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3.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omments1.xml" ContentType="application/vnd.openxmlformats-officedocument.spreadsheetml.comments+xml"/>
  <Override PartName="/xl/drawings/drawing4.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431"/>
  <workbookPr codeName="ThisWorkbook"/>
  <mc:AlternateContent xmlns:mc="http://schemas.openxmlformats.org/markup-compatibility/2006">
    <mc:Choice Requires="x15">
      <x15ac:absPath xmlns:x15ac="http://schemas.microsoft.com/office/spreadsheetml/2010/11/ac" url="Z:\28 Sustainability Data Services Contract\04 Tender &amp; Contract Documentation\"/>
    </mc:Choice>
  </mc:AlternateContent>
  <bookViews>
    <workbookView xWindow="-120" yWindow="-16320" windowWidth="29040" windowHeight="15840" tabRatio="897" activeTab="6"/>
  </bookViews>
  <sheets>
    <sheet name="Instructions" sheetId="1" r:id="rId1"/>
    <sheet name="Performance" sheetId="16" r:id="rId2"/>
    <sheet name="QA config" sheetId="37" state="hidden" r:id="rId3"/>
    <sheet name="2019-2020" sheetId="50" r:id="rId4"/>
    <sheet name="Q1" sheetId="28" r:id="rId5"/>
    <sheet name="QAQ1" sheetId="6" state="hidden" r:id="rId6"/>
    <sheet name="Q2" sheetId="40" r:id="rId7"/>
    <sheet name="QAQ2" sheetId="43" state="hidden" r:id="rId8"/>
    <sheet name="Q3" sheetId="41" r:id="rId9"/>
    <sheet name="QAQ3" sheetId="44" state="hidden" r:id="rId10"/>
    <sheet name="Q4" sheetId="42" r:id="rId11"/>
    <sheet name="QAQ4" sheetId="45" state="hidden" r:id="rId12"/>
    <sheet name="Notes" sheetId="27" r:id="rId13"/>
    <sheet name="Issues Log" sheetId="15" r:id="rId14"/>
    <sheet name="CHP" sheetId="13" r:id="rId15"/>
    <sheet name="Baseline" sheetId="3" r:id="rId16"/>
    <sheet name="2018-2019" sheetId="4" r:id="rId17"/>
    <sheet name="Q1-19" sheetId="49" r:id="rId18"/>
    <sheet name="Q2-19" sheetId="48" r:id="rId19"/>
    <sheet name="Q3-19" sheetId="47" r:id="rId20"/>
    <sheet name="Q4-19" sheetId="46" r:id="rId21"/>
    <sheet name="Scope" sheetId="2" r:id="rId22"/>
    <sheet name="Emission Factors" sheetId="23" r:id="rId23"/>
    <sheet name="conversion factors" sheetId="26" r:id="rId24"/>
  </sheets>
  <calcPr calcId="171027"/>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164" i="4" l="1"/>
  <c r="E10" i="4"/>
  <c r="D10" i="4"/>
  <c r="E164" i="50"/>
  <c r="E10" i="50"/>
  <c r="D10" i="50"/>
  <c r="B5" i="15"/>
  <c r="B6" i="15"/>
  <c r="B7" i="15"/>
  <c r="B8" i="15"/>
  <c r="B9" i="15"/>
  <c r="B10" i="15"/>
  <c r="B11" i="15"/>
  <c r="B12" i="15"/>
  <c r="B13" i="15"/>
  <c r="B14" i="15"/>
  <c r="B15" i="15"/>
  <c r="B16" i="15"/>
  <c r="B17" i="15"/>
  <c r="B18" i="15"/>
  <c r="B19" i="15"/>
  <c r="B20" i="15"/>
  <c r="B21" i="15"/>
  <c r="B22" i="15"/>
  <c r="B23" i="15"/>
  <c r="B24" i="15"/>
  <c r="B25" i="15"/>
  <c r="B26" i="15"/>
  <c r="B27" i="15"/>
  <c r="B28" i="15"/>
  <c r="B29" i="15"/>
  <c r="B30" i="15"/>
  <c r="B31" i="15"/>
  <c r="B32" i="15"/>
  <c r="B33" i="15"/>
  <c r="B34" i="15"/>
  <c r="B35" i="15"/>
  <c r="B36" i="15"/>
  <c r="B37" i="15"/>
  <c r="B38" i="15"/>
  <c r="B39" i="15"/>
  <c r="B40" i="15"/>
  <c r="B41" i="15"/>
  <c r="B42" i="15"/>
  <c r="B43" i="15"/>
  <c r="B44" i="15"/>
  <c r="B45" i="15"/>
  <c r="B46" i="15"/>
  <c r="B47" i="15"/>
  <c r="B48" i="15"/>
  <c r="B49" i="15"/>
  <c r="B50" i="15"/>
  <c r="B51" i="15"/>
  <c r="B52" i="15"/>
  <c r="B53" i="15"/>
  <c r="B54" i="15"/>
  <c r="B55" i="15"/>
  <c r="B56" i="15"/>
  <c r="B57" i="15"/>
  <c r="B58" i="15"/>
  <c r="B59" i="15"/>
  <c r="B60" i="15"/>
  <c r="B61" i="15"/>
  <c r="B62" i="15"/>
  <c r="B63" i="15"/>
  <c r="B64" i="15"/>
  <c r="B65" i="15"/>
  <c r="B66" i="15"/>
  <c r="B67" i="15"/>
  <c r="B68" i="15"/>
  <c r="B69" i="15"/>
  <c r="B70" i="15"/>
  <c r="B71" i="15"/>
  <c r="B72" i="15"/>
  <c r="B73" i="15"/>
  <c r="B74" i="15"/>
  <c r="B75" i="15"/>
  <c r="B76" i="15"/>
  <c r="B77" i="15"/>
  <c r="B78" i="15"/>
  <c r="B79" i="15"/>
  <c r="B80" i="15"/>
  <c r="B81" i="15"/>
  <c r="B82" i="15"/>
  <c r="B83" i="15"/>
  <c r="B84" i="15"/>
  <c r="B85" i="15"/>
  <c r="B86" i="15"/>
  <c r="B87" i="15"/>
  <c r="B88" i="15"/>
  <c r="B89" i="15"/>
  <c r="B90" i="15"/>
  <c r="B91" i="15"/>
  <c r="B92" i="15"/>
  <c r="B93" i="15"/>
  <c r="B94" i="15"/>
  <c r="B95" i="15"/>
  <c r="B96" i="15"/>
  <c r="B97" i="15"/>
  <c r="B98" i="15"/>
  <c r="B99" i="15"/>
  <c r="B100" i="15"/>
  <c r="B101" i="15"/>
  <c r="B102" i="15"/>
  <c r="B103" i="15"/>
  <c r="B104" i="15"/>
  <c r="B105" i="15"/>
  <c r="B106" i="15"/>
  <c r="B107" i="15"/>
  <c r="B108" i="15"/>
  <c r="B109" i="15"/>
  <c r="B110" i="15"/>
  <c r="B111" i="15"/>
  <c r="B112" i="15"/>
  <c r="B113" i="15"/>
  <c r="B114" i="15"/>
  <c r="B115" i="15"/>
  <c r="B116" i="15"/>
  <c r="B117" i="15"/>
  <c r="B118" i="15"/>
  <c r="B119" i="15"/>
  <c r="B120" i="15"/>
  <c r="B121" i="15"/>
  <c r="B122" i="15"/>
  <c r="B123" i="15"/>
  <c r="B124" i="15"/>
  <c r="B125" i="15"/>
  <c r="B126" i="15"/>
  <c r="B127" i="15"/>
  <c r="B128" i="15"/>
  <c r="B129" i="15"/>
  <c r="B130" i="15"/>
  <c r="B131" i="15"/>
  <c r="B132" i="15"/>
  <c r="B133" i="15"/>
  <c r="B134" i="15"/>
  <c r="B135" i="15"/>
  <c r="B136" i="15"/>
  <c r="B137" i="15"/>
  <c r="B138" i="15"/>
  <c r="B139" i="15"/>
  <c r="B140" i="15"/>
  <c r="B141" i="15"/>
  <c r="B142" i="15"/>
  <c r="B143" i="15"/>
  <c r="B144" i="15"/>
  <c r="B145" i="15"/>
  <c r="B146" i="15"/>
  <c r="B147" i="15"/>
  <c r="B148" i="15"/>
  <c r="B149" i="15"/>
  <c r="B150" i="15"/>
  <c r="B151" i="15"/>
  <c r="B152" i="15"/>
  <c r="B153" i="15"/>
  <c r="B154" i="15"/>
  <c r="B155" i="15"/>
  <c r="B156" i="15"/>
  <c r="B157" i="15"/>
  <c r="B158" i="15"/>
  <c r="B159" i="15"/>
  <c r="B160" i="15"/>
  <c r="B161" i="15"/>
  <c r="B162" i="15"/>
  <c r="B163" i="15"/>
  <c r="B164" i="15"/>
  <c r="B165" i="15"/>
  <c r="B166" i="15"/>
  <c r="B167" i="15"/>
  <c r="B168" i="15"/>
  <c r="B169" i="15"/>
  <c r="B170" i="15"/>
  <c r="B171" i="15"/>
  <c r="B172" i="15"/>
  <c r="B173" i="15"/>
  <c r="B174" i="15"/>
  <c r="B175" i="15"/>
  <c r="B176" i="15"/>
  <c r="B177" i="15"/>
  <c r="B178" i="15"/>
  <c r="B179" i="15"/>
  <c r="B180" i="15"/>
  <c r="B181" i="15"/>
  <c r="B182" i="15"/>
  <c r="B183" i="15"/>
  <c r="B184" i="15"/>
  <c r="B185" i="15"/>
  <c r="B186" i="15"/>
  <c r="B187" i="15"/>
  <c r="B188" i="15"/>
  <c r="B189" i="15"/>
  <c r="B190" i="15"/>
  <c r="B191" i="15"/>
  <c r="B192" i="15"/>
  <c r="B193" i="15"/>
  <c r="B194" i="15"/>
  <c r="B195" i="15"/>
  <c r="B196" i="15"/>
  <c r="B197" i="15"/>
  <c r="B198" i="15"/>
  <c r="B199" i="15"/>
  <c r="B200" i="15"/>
  <c r="B201" i="15"/>
  <c r="E136" i="50"/>
  <c r="E135" i="50"/>
  <c r="E134" i="50"/>
  <c r="E133" i="50"/>
  <c r="E132" i="50"/>
  <c r="E131" i="50"/>
  <c r="E130" i="50"/>
  <c r="E129" i="50"/>
  <c r="E128" i="50"/>
  <c r="E118" i="50"/>
  <c r="E117" i="50"/>
  <c r="E116" i="50"/>
  <c r="E115" i="50"/>
  <c r="E114" i="50"/>
  <c r="E113" i="50"/>
  <c r="E112" i="50"/>
  <c r="E111" i="50"/>
  <c r="E110" i="50"/>
  <c r="E109" i="50"/>
  <c r="S95" i="50"/>
  <c r="S94" i="50"/>
  <c r="S93" i="50"/>
  <c r="S92" i="50"/>
  <c r="S91" i="50"/>
  <c r="S90" i="50"/>
  <c r="E80" i="50"/>
  <c r="E79" i="50"/>
  <c r="E78" i="50"/>
  <c r="E77" i="50"/>
  <c r="E76" i="50"/>
  <c r="E75" i="50"/>
  <c r="E74" i="50"/>
  <c r="X73" i="50"/>
  <c r="S73" i="50"/>
  <c r="E73" i="50"/>
  <c r="X72" i="50"/>
  <c r="S72" i="50"/>
  <c r="E72" i="50"/>
  <c r="X71" i="50"/>
  <c r="S71" i="50"/>
  <c r="E71" i="50"/>
  <c r="X70" i="50"/>
  <c r="S70" i="50"/>
  <c r="E70" i="50"/>
  <c r="X69" i="50"/>
  <c r="S69" i="50"/>
  <c r="E69" i="50"/>
  <c r="X68" i="50"/>
  <c r="S68" i="50"/>
  <c r="E68" i="50"/>
  <c r="E67" i="50"/>
  <c r="E66" i="50"/>
  <c r="E65" i="50"/>
  <c r="E38" i="50"/>
  <c r="E37" i="50"/>
  <c r="E36" i="50"/>
  <c r="E30" i="50"/>
  <c r="Q29" i="50"/>
  <c r="O29" i="50"/>
  <c r="E28" i="50"/>
  <c r="E27" i="50"/>
  <c r="E26" i="50"/>
  <c r="E25" i="50"/>
  <c r="E24" i="50"/>
  <c r="Q20" i="50"/>
  <c r="O20" i="50"/>
  <c r="E136" i="42"/>
  <c r="E135" i="42"/>
  <c r="E134" i="42"/>
  <c r="E133" i="42"/>
  <c r="E132" i="42"/>
  <c r="E131" i="42"/>
  <c r="E130" i="42"/>
  <c r="E129" i="42"/>
  <c r="E128" i="42"/>
  <c r="E118" i="42"/>
  <c r="E117" i="42"/>
  <c r="E116" i="42"/>
  <c r="E115" i="42"/>
  <c r="E114" i="42"/>
  <c r="E113" i="42"/>
  <c r="E112" i="42"/>
  <c r="E111" i="42"/>
  <c r="E110" i="42"/>
  <c r="E109" i="42"/>
  <c r="X95" i="42"/>
  <c r="S95" i="42"/>
  <c r="X94" i="42"/>
  <c r="S94" i="42"/>
  <c r="X93" i="42"/>
  <c r="S93" i="42"/>
  <c r="X92" i="42"/>
  <c r="S92" i="42"/>
  <c r="X91" i="42"/>
  <c r="S91" i="42"/>
  <c r="X90" i="42"/>
  <c r="S90" i="42"/>
  <c r="E80" i="42"/>
  <c r="E79" i="42"/>
  <c r="E78" i="42"/>
  <c r="E77" i="42"/>
  <c r="E76" i="42"/>
  <c r="E75" i="42"/>
  <c r="E74" i="42"/>
  <c r="X73" i="42"/>
  <c r="S73" i="42"/>
  <c r="E73" i="42"/>
  <c r="X72" i="42"/>
  <c r="S72" i="42"/>
  <c r="E72" i="42"/>
  <c r="X71" i="42"/>
  <c r="S71" i="42"/>
  <c r="E71" i="42"/>
  <c r="X70" i="42"/>
  <c r="S70" i="42"/>
  <c r="E70" i="42"/>
  <c r="X69" i="42"/>
  <c r="S69" i="42"/>
  <c r="E69" i="42"/>
  <c r="X68" i="42"/>
  <c r="S68" i="42"/>
  <c r="E68" i="42"/>
  <c r="E67" i="42"/>
  <c r="E66" i="42"/>
  <c r="E65" i="42"/>
  <c r="E38" i="42"/>
  <c r="E37" i="42"/>
  <c r="E36" i="42"/>
  <c r="E30" i="42"/>
  <c r="Q29" i="42"/>
  <c r="O29" i="42"/>
  <c r="E28" i="42"/>
  <c r="E27" i="42"/>
  <c r="E26" i="42"/>
  <c r="E25" i="42"/>
  <c r="E24" i="42"/>
  <c r="Q20" i="42"/>
  <c r="O20" i="42"/>
  <c r="E136" i="41"/>
  <c r="E135" i="41"/>
  <c r="E134" i="41"/>
  <c r="E133" i="41"/>
  <c r="E132" i="41"/>
  <c r="E131" i="41"/>
  <c r="E130" i="41"/>
  <c r="E129" i="41"/>
  <c r="E128" i="41"/>
  <c r="E118" i="41"/>
  <c r="E117" i="41"/>
  <c r="E116" i="41"/>
  <c r="E115" i="41"/>
  <c r="E114" i="41"/>
  <c r="E113" i="41"/>
  <c r="E112" i="41"/>
  <c r="E111" i="41"/>
  <c r="E110" i="41"/>
  <c r="E109" i="41"/>
  <c r="X95" i="41"/>
  <c r="S95" i="41"/>
  <c r="X94" i="41"/>
  <c r="S94" i="41"/>
  <c r="X93" i="41"/>
  <c r="S93" i="41"/>
  <c r="X92" i="41"/>
  <c r="S92" i="41"/>
  <c r="X91" i="41"/>
  <c r="S91" i="41"/>
  <c r="X90" i="41"/>
  <c r="S90" i="41"/>
  <c r="E80" i="41"/>
  <c r="E79" i="41"/>
  <c r="E78" i="41"/>
  <c r="E77" i="41"/>
  <c r="E76" i="41"/>
  <c r="E75" i="41"/>
  <c r="E74" i="41"/>
  <c r="X73" i="41"/>
  <c r="S73" i="41"/>
  <c r="E73" i="41"/>
  <c r="X72" i="41"/>
  <c r="S72" i="41"/>
  <c r="E72" i="41"/>
  <c r="X71" i="41"/>
  <c r="S71" i="41"/>
  <c r="E71" i="41"/>
  <c r="X70" i="41"/>
  <c r="S70" i="41"/>
  <c r="E70" i="41"/>
  <c r="X69" i="41"/>
  <c r="S69" i="41"/>
  <c r="E69" i="41"/>
  <c r="X68" i="41"/>
  <c r="S68" i="41"/>
  <c r="E68" i="41"/>
  <c r="E67" i="41"/>
  <c r="E66" i="41"/>
  <c r="E65" i="41"/>
  <c r="E38" i="41"/>
  <c r="E37" i="41"/>
  <c r="E36" i="41"/>
  <c r="E30" i="41"/>
  <c r="Q29" i="41"/>
  <c r="O29" i="41"/>
  <c r="E28" i="41"/>
  <c r="E27" i="41"/>
  <c r="E26" i="41"/>
  <c r="E25" i="41"/>
  <c r="E24" i="41"/>
  <c r="Q20" i="41"/>
  <c r="O20" i="41"/>
  <c r="E136" i="40"/>
  <c r="E135" i="40"/>
  <c r="E134" i="40"/>
  <c r="E133" i="40"/>
  <c r="E132" i="40"/>
  <c r="E131" i="40"/>
  <c r="E130" i="40"/>
  <c r="E129" i="40"/>
  <c r="E128" i="40"/>
  <c r="E118" i="40"/>
  <c r="E117" i="40"/>
  <c r="E116" i="40"/>
  <c r="E115" i="40"/>
  <c r="E114" i="40"/>
  <c r="E113" i="40"/>
  <c r="E112" i="40"/>
  <c r="E111" i="40"/>
  <c r="E110" i="40"/>
  <c r="E109" i="40"/>
  <c r="X95" i="40"/>
  <c r="S95" i="40"/>
  <c r="X94" i="40"/>
  <c r="S94" i="40"/>
  <c r="X93" i="40"/>
  <c r="S93" i="40"/>
  <c r="X92" i="40"/>
  <c r="S92" i="40"/>
  <c r="X91" i="40"/>
  <c r="S91" i="40"/>
  <c r="X90" i="40"/>
  <c r="S90" i="40"/>
  <c r="E80" i="40"/>
  <c r="E79" i="40"/>
  <c r="E78" i="40"/>
  <c r="E77" i="40"/>
  <c r="E76" i="40"/>
  <c r="E75" i="40"/>
  <c r="E74" i="40"/>
  <c r="X73" i="40"/>
  <c r="S73" i="40"/>
  <c r="E73" i="40"/>
  <c r="X72" i="40"/>
  <c r="S72" i="40"/>
  <c r="E72" i="40"/>
  <c r="X71" i="40"/>
  <c r="S71" i="40"/>
  <c r="E71" i="40"/>
  <c r="X70" i="40"/>
  <c r="S70" i="40"/>
  <c r="E70" i="40"/>
  <c r="X69" i="40"/>
  <c r="S69" i="40"/>
  <c r="E69" i="40"/>
  <c r="X68" i="40"/>
  <c r="S68" i="40"/>
  <c r="E68" i="40"/>
  <c r="E67" i="40"/>
  <c r="E66" i="40"/>
  <c r="E65" i="40"/>
  <c r="E38" i="40"/>
  <c r="E37" i="40"/>
  <c r="E36" i="40"/>
  <c r="E30" i="40"/>
  <c r="Q29" i="40"/>
  <c r="O29" i="40"/>
  <c r="E28" i="40"/>
  <c r="E27" i="40"/>
  <c r="E26" i="40"/>
  <c r="E25" i="40"/>
  <c r="E24" i="40"/>
  <c r="Q20" i="40"/>
  <c r="O20" i="40"/>
  <c r="E136" i="28"/>
  <c r="E135" i="28"/>
  <c r="E134" i="28"/>
  <c r="E133" i="28"/>
  <c r="E132" i="28"/>
  <c r="E131" i="28"/>
  <c r="E130" i="28"/>
  <c r="E129" i="28"/>
  <c r="E128" i="28"/>
  <c r="E118" i="28"/>
  <c r="E117" i="28"/>
  <c r="E116" i="28"/>
  <c r="E115" i="28"/>
  <c r="E114" i="28"/>
  <c r="E113" i="28"/>
  <c r="E112" i="28"/>
  <c r="E111" i="28"/>
  <c r="E110" i="28"/>
  <c r="E109" i="28"/>
  <c r="X95" i="28"/>
  <c r="S95" i="28"/>
  <c r="X94" i="28"/>
  <c r="S94" i="28"/>
  <c r="X93" i="28"/>
  <c r="S93" i="28"/>
  <c r="X92" i="28"/>
  <c r="S92" i="28"/>
  <c r="X91" i="28"/>
  <c r="S91" i="28"/>
  <c r="X90" i="28"/>
  <c r="S90" i="28"/>
  <c r="E80" i="28"/>
  <c r="E79" i="28"/>
  <c r="E78" i="28"/>
  <c r="E77" i="28"/>
  <c r="E76" i="28"/>
  <c r="E75" i="28"/>
  <c r="E74" i="28"/>
  <c r="X73" i="28"/>
  <c r="S73" i="28"/>
  <c r="E73" i="28"/>
  <c r="X72" i="28"/>
  <c r="S72" i="28"/>
  <c r="E72" i="28"/>
  <c r="X71" i="28"/>
  <c r="S71" i="28"/>
  <c r="E71" i="28"/>
  <c r="X70" i="28"/>
  <c r="S70" i="28"/>
  <c r="E70" i="28"/>
  <c r="X69" i="28"/>
  <c r="S69" i="28"/>
  <c r="E69" i="28"/>
  <c r="X68" i="28"/>
  <c r="S68" i="28"/>
  <c r="E68" i="28"/>
  <c r="E67" i="28"/>
  <c r="E66" i="28"/>
  <c r="E65" i="28"/>
  <c r="E38" i="28"/>
  <c r="E37" i="28"/>
  <c r="E36" i="28"/>
  <c r="E30" i="28"/>
  <c r="Q29" i="28"/>
  <c r="O29" i="28"/>
  <c r="E28" i="28"/>
  <c r="E27" i="28"/>
  <c r="E26" i="28"/>
  <c r="E25" i="28"/>
  <c r="E24" i="28"/>
  <c r="Q20" i="28"/>
  <c r="O20" i="28"/>
  <c r="K32" i="23"/>
  <c r="Q32" i="50"/>
  <c r="K31" i="23"/>
  <c r="O32" i="42"/>
  <c r="K16" i="23"/>
  <c r="K9" i="23"/>
  <c r="K10" i="23"/>
  <c r="C79" i="16"/>
  <c r="E79" i="16"/>
  <c r="H79" i="16"/>
  <c r="I79" i="16"/>
  <c r="C63" i="16"/>
  <c r="D63" i="16"/>
  <c r="E63" i="16"/>
  <c r="F63" i="16"/>
  <c r="G63" i="16"/>
  <c r="H63" i="16"/>
  <c r="I63" i="16"/>
  <c r="L28" i="16"/>
  <c r="K28" i="16"/>
  <c r="J28" i="16"/>
  <c r="I30" i="16"/>
  <c r="I29" i="16"/>
  <c r="I28" i="16"/>
  <c r="I27" i="16"/>
  <c r="G30" i="16"/>
  <c r="G29" i="16"/>
  <c r="G28" i="16"/>
  <c r="G27" i="16"/>
  <c r="D197" i="4"/>
  <c r="I46" i="16"/>
  <c r="D191" i="4"/>
  <c r="C191" i="4"/>
  <c r="B191" i="4"/>
  <c r="G185" i="4"/>
  <c r="E185" i="4"/>
  <c r="G183" i="4"/>
  <c r="E183" i="4"/>
  <c r="G179" i="4"/>
  <c r="E179" i="4"/>
  <c r="G178" i="4"/>
  <c r="E178" i="4"/>
  <c r="G177" i="4"/>
  <c r="E177" i="4"/>
  <c r="G176" i="4"/>
  <c r="E176" i="4"/>
  <c r="G175" i="4"/>
  <c r="E175" i="4"/>
  <c r="G174" i="4"/>
  <c r="E174" i="4"/>
  <c r="G173" i="4"/>
  <c r="E173" i="4"/>
  <c r="G172" i="4"/>
  <c r="E172" i="4"/>
  <c r="G171" i="4"/>
  <c r="E171" i="4"/>
  <c r="F164" i="4"/>
  <c r="D164" i="4"/>
  <c r="G46" i="16"/>
  <c r="D155" i="4"/>
  <c r="E154" i="4"/>
  <c r="D153" i="4"/>
  <c r="H146" i="4"/>
  <c r="D136" i="4"/>
  <c r="D135" i="4"/>
  <c r="D134" i="4"/>
  <c r="D133" i="4"/>
  <c r="D132" i="4"/>
  <c r="D131" i="4"/>
  <c r="D130" i="4"/>
  <c r="D129" i="4"/>
  <c r="D128" i="4"/>
  <c r="D122" i="4"/>
  <c r="D121" i="4"/>
  <c r="D120" i="4"/>
  <c r="D119" i="4"/>
  <c r="D118" i="4"/>
  <c r="D117" i="4"/>
  <c r="D116" i="4"/>
  <c r="D115" i="4"/>
  <c r="D114" i="4"/>
  <c r="D113" i="4"/>
  <c r="D112" i="4"/>
  <c r="D111" i="4"/>
  <c r="D110" i="4"/>
  <c r="D109" i="4"/>
  <c r="D107" i="4"/>
  <c r="D106" i="4"/>
  <c r="D105" i="4"/>
  <c r="D104" i="4"/>
  <c r="D103" i="4"/>
  <c r="D102" i="4"/>
  <c r="D101" i="4"/>
  <c r="D100" i="4"/>
  <c r="D99" i="4"/>
  <c r="D98" i="4"/>
  <c r="D97" i="4"/>
  <c r="R96" i="4"/>
  <c r="D96" i="4"/>
  <c r="R95" i="4"/>
  <c r="D95" i="4"/>
  <c r="R94" i="4"/>
  <c r="D94" i="4"/>
  <c r="R93" i="4"/>
  <c r="D93" i="4"/>
  <c r="R92" i="4"/>
  <c r="D92" i="4"/>
  <c r="R91" i="4"/>
  <c r="D91" i="4"/>
  <c r="R90" i="4"/>
  <c r="D90" i="4"/>
  <c r="D89" i="4"/>
  <c r="D88" i="4"/>
  <c r="D87" i="4"/>
  <c r="D85" i="4"/>
  <c r="D84" i="4"/>
  <c r="D83" i="4"/>
  <c r="D82" i="4"/>
  <c r="D81" i="4"/>
  <c r="D80" i="4"/>
  <c r="D79" i="4"/>
  <c r="D78" i="4"/>
  <c r="D77" i="4"/>
  <c r="D76" i="4"/>
  <c r="D75" i="4"/>
  <c r="R74" i="4"/>
  <c r="D74" i="4"/>
  <c r="R73" i="4"/>
  <c r="D73" i="4"/>
  <c r="R72" i="4"/>
  <c r="D72" i="4"/>
  <c r="R71" i="4"/>
  <c r="D71" i="4"/>
  <c r="R70" i="4"/>
  <c r="D70" i="4"/>
  <c r="R69" i="4"/>
  <c r="D69" i="4"/>
  <c r="R68" i="4"/>
  <c r="D68" i="4"/>
  <c r="D67" i="4"/>
  <c r="D66" i="4"/>
  <c r="D65" i="4"/>
  <c r="G53" i="4"/>
  <c r="D53" i="4"/>
  <c r="G47" i="4"/>
  <c r="G46" i="4"/>
  <c r="G45" i="4"/>
  <c r="G44" i="4"/>
  <c r="G43" i="4"/>
  <c r="G42" i="4"/>
  <c r="G41" i="4"/>
  <c r="D41" i="4"/>
  <c r="G40" i="4"/>
  <c r="D40" i="4"/>
  <c r="G39" i="4"/>
  <c r="D39" i="4"/>
  <c r="G38" i="4"/>
  <c r="D38" i="4"/>
  <c r="G37" i="4"/>
  <c r="D37" i="4"/>
  <c r="G36" i="4"/>
  <c r="D36" i="4"/>
  <c r="G35" i="4"/>
  <c r="D35" i="4"/>
  <c r="G34" i="4"/>
  <c r="D34" i="4"/>
  <c r="G33" i="4"/>
  <c r="D33" i="4"/>
  <c r="G32" i="4"/>
  <c r="D32" i="4"/>
  <c r="G31" i="4"/>
  <c r="D31" i="4"/>
  <c r="G30" i="4"/>
  <c r="D30" i="4"/>
  <c r="G29" i="4"/>
  <c r="D29" i="4"/>
  <c r="G28" i="4"/>
  <c r="D28" i="4"/>
  <c r="G27" i="4"/>
  <c r="D27" i="4"/>
  <c r="G26" i="4"/>
  <c r="D26" i="4"/>
  <c r="G25" i="4"/>
  <c r="D25" i="4"/>
  <c r="G24" i="4"/>
  <c r="D24" i="4"/>
  <c r="G23" i="4"/>
  <c r="D23" i="4"/>
  <c r="G22" i="4"/>
  <c r="D22" i="4"/>
  <c r="G21" i="4"/>
  <c r="D21" i="4"/>
  <c r="G20" i="4"/>
  <c r="D20" i="4"/>
  <c r="D197" i="50"/>
  <c r="D193" i="50"/>
  <c r="D191" i="50"/>
  <c r="C191" i="50"/>
  <c r="B191" i="50"/>
  <c r="D187" i="50"/>
  <c r="G185" i="50"/>
  <c r="E185" i="50"/>
  <c r="G183" i="50"/>
  <c r="E183" i="50"/>
  <c r="G179" i="50"/>
  <c r="E179" i="50"/>
  <c r="G178" i="50"/>
  <c r="E178" i="50"/>
  <c r="G177" i="50"/>
  <c r="E177" i="50"/>
  <c r="G176" i="50"/>
  <c r="E176" i="50"/>
  <c r="G175" i="50"/>
  <c r="E175" i="50"/>
  <c r="G174" i="50"/>
  <c r="E174" i="50"/>
  <c r="G173" i="50"/>
  <c r="G181" i="50"/>
  <c r="E173" i="50"/>
  <c r="E181" i="50"/>
  <c r="G172" i="50"/>
  <c r="E172" i="50"/>
  <c r="G171" i="50"/>
  <c r="G182" i="50" s="1"/>
  <c r="G184" i="50" s="1"/>
  <c r="E171" i="50"/>
  <c r="E180" i="50" s="1"/>
  <c r="D167" i="50"/>
  <c r="F164" i="50"/>
  <c r="G164" i="50" s="1"/>
  <c r="D164" i="50"/>
  <c r="D157" i="50"/>
  <c r="D155" i="50"/>
  <c r="E154" i="50"/>
  <c r="D153" i="50"/>
  <c r="D149" i="50"/>
  <c r="H146" i="50"/>
  <c r="D138" i="50"/>
  <c r="D136" i="50"/>
  <c r="F136" i="50"/>
  <c r="D135" i="50"/>
  <c r="F135" i="50"/>
  <c r="L135" i="50"/>
  <c r="F134" i="50"/>
  <c r="L134" i="50"/>
  <c r="D134" i="50"/>
  <c r="D133" i="50"/>
  <c r="F133" i="50"/>
  <c r="L133" i="50"/>
  <c r="D132" i="50"/>
  <c r="F132" i="50"/>
  <c r="L132" i="50"/>
  <c r="D131" i="50"/>
  <c r="F131" i="50"/>
  <c r="L131" i="50"/>
  <c r="D130" i="50"/>
  <c r="F130" i="50"/>
  <c r="L130" i="50"/>
  <c r="D129" i="50"/>
  <c r="F129" i="50"/>
  <c r="L129" i="50"/>
  <c r="F128" i="50"/>
  <c r="L128" i="50"/>
  <c r="D128" i="50"/>
  <c r="D122" i="50"/>
  <c r="E121" i="50"/>
  <c r="D121" i="50"/>
  <c r="D120" i="50"/>
  <c r="E119" i="50"/>
  <c r="D119" i="50"/>
  <c r="F118" i="50"/>
  <c r="D118" i="50"/>
  <c r="F117" i="50"/>
  <c r="D117" i="50"/>
  <c r="F116" i="50"/>
  <c r="D116" i="50"/>
  <c r="F115" i="50"/>
  <c r="D115" i="50"/>
  <c r="F114" i="50"/>
  <c r="D114" i="50"/>
  <c r="D113" i="50"/>
  <c r="F113" i="50"/>
  <c r="D112" i="50"/>
  <c r="F112" i="50"/>
  <c r="F111" i="50"/>
  <c r="D111" i="50"/>
  <c r="D110" i="50"/>
  <c r="F110" i="50"/>
  <c r="D109" i="50"/>
  <c r="F109" i="50" s="1"/>
  <c r="F108" i="50" s="1"/>
  <c r="D107" i="50"/>
  <c r="E107" i="50"/>
  <c r="E106" i="50"/>
  <c r="D106" i="50"/>
  <c r="D105" i="50"/>
  <c r="E105" i="50"/>
  <c r="E104" i="50"/>
  <c r="D104" i="50"/>
  <c r="D103" i="50"/>
  <c r="E103" i="50"/>
  <c r="E102" i="50"/>
  <c r="F102" i="50"/>
  <c r="D102" i="50"/>
  <c r="E101" i="50"/>
  <c r="D101" i="50"/>
  <c r="F101" i="50"/>
  <c r="E100" i="50"/>
  <c r="D100" i="50"/>
  <c r="F100" i="50"/>
  <c r="E99" i="50"/>
  <c r="D99" i="50"/>
  <c r="F99" i="50"/>
  <c r="E98" i="50"/>
  <c r="D98" i="50"/>
  <c r="E97" i="50"/>
  <c r="D97" i="50"/>
  <c r="F97" i="50"/>
  <c r="R96" i="50"/>
  <c r="X96" i="50"/>
  <c r="E96" i="50"/>
  <c r="D96" i="50"/>
  <c r="F96" i="50"/>
  <c r="X95" i="50"/>
  <c r="Y95" i="50"/>
  <c r="R95" i="50"/>
  <c r="Z95" i="50"/>
  <c r="E95" i="50"/>
  <c r="D95" i="50"/>
  <c r="F95" i="50"/>
  <c r="X94" i="50"/>
  <c r="Y94" i="50"/>
  <c r="R94" i="50"/>
  <c r="Z94" i="50"/>
  <c r="E94" i="50"/>
  <c r="D94" i="50"/>
  <c r="F94" i="50"/>
  <c r="X93" i="50"/>
  <c r="Y93" i="50"/>
  <c r="R93" i="50"/>
  <c r="Z93" i="50"/>
  <c r="E93" i="50"/>
  <c r="D93" i="50"/>
  <c r="F93" i="50"/>
  <c r="X92" i="50"/>
  <c r="Y92" i="50"/>
  <c r="R92" i="50"/>
  <c r="Z92" i="50"/>
  <c r="E92" i="50"/>
  <c r="D92" i="50"/>
  <c r="F92" i="50"/>
  <c r="X91" i="50"/>
  <c r="Y91" i="50"/>
  <c r="R91" i="50"/>
  <c r="Z91" i="50"/>
  <c r="E91" i="50"/>
  <c r="D91" i="50"/>
  <c r="F91" i="50"/>
  <c r="X90" i="50"/>
  <c r="Y90" i="50"/>
  <c r="R90" i="50"/>
  <c r="Z90" i="50"/>
  <c r="E90" i="50"/>
  <c r="D90" i="50"/>
  <c r="F90" i="50"/>
  <c r="E89" i="50"/>
  <c r="D89" i="50"/>
  <c r="F89" i="50"/>
  <c r="E88" i="50"/>
  <c r="D88" i="50"/>
  <c r="F88" i="50"/>
  <c r="E87" i="50"/>
  <c r="D87" i="50"/>
  <c r="F87" i="50"/>
  <c r="O86" i="50"/>
  <c r="D85" i="50"/>
  <c r="E85" i="50"/>
  <c r="E84" i="50"/>
  <c r="D84" i="50"/>
  <c r="D83" i="50"/>
  <c r="E83" i="50"/>
  <c r="D82" i="50"/>
  <c r="D81" i="50"/>
  <c r="D80" i="50"/>
  <c r="F80" i="50"/>
  <c r="D79" i="50"/>
  <c r="F79" i="50"/>
  <c r="D78" i="50"/>
  <c r="F78" i="50"/>
  <c r="D77" i="50"/>
  <c r="F77" i="50"/>
  <c r="D76" i="50"/>
  <c r="F76" i="50"/>
  <c r="D75" i="50"/>
  <c r="F75" i="50"/>
  <c r="X74" i="50"/>
  <c r="S74" i="50"/>
  <c r="R74" i="50"/>
  <c r="F74" i="50"/>
  <c r="D74" i="50"/>
  <c r="R73" i="50"/>
  <c r="Y73" i="50"/>
  <c r="D73" i="50"/>
  <c r="F73" i="50"/>
  <c r="T72" i="50"/>
  <c r="R72" i="50"/>
  <c r="Y72" i="50"/>
  <c r="F72" i="50"/>
  <c r="D72" i="50"/>
  <c r="R71" i="50"/>
  <c r="Y71" i="50"/>
  <c r="D71" i="50"/>
  <c r="F71" i="50"/>
  <c r="R70" i="50"/>
  <c r="Y70" i="50"/>
  <c r="D70" i="50"/>
  <c r="F70" i="50"/>
  <c r="R69" i="50"/>
  <c r="Y69" i="50"/>
  <c r="D69" i="50"/>
  <c r="F69" i="50"/>
  <c r="R68" i="50"/>
  <c r="Y68" i="50"/>
  <c r="F68" i="50"/>
  <c r="D68" i="50"/>
  <c r="F67" i="50"/>
  <c r="D67" i="50"/>
  <c r="F66" i="50"/>
  <c r="D66" i="50"/>
  <c r="D65" i="50"/>
  <c r="F65" i="50"/>
  <c r="D55" i="50"/>
  <c r="G53" i="50"/>
  <c r="H53" i="50"/>
  <c r="D53" i="50"/>
  <c r="F53" i="50"/>
  <c r="D49" i="50"/>
  <c r="G47" i="50"/>
  <c r="G46" i="50"/>
  <c r="G45" i="50"/>
  <c r="G44" i="50"/>
  <c r="G43" i="50"/>
  <c r="G42" i="50"/>
  <c r="G41" i="50"/>
  <c r="D41" i="50"/>
  <c r="E41" i="50"/>
  <c r="H41" i="50"/>
  <c r="G40" i="50"/>
  <c r="E40" i="50"/>
  <c r="H40" i="50"/>
  <c r="D40" i="50"/>
  <c r="G39" i="50"/>
  <c r="D39" i="50"/>
  <c r="E39" i="50"/>
  <c r="H39" i="50"/>
  <c r="G38" i="50"/>
  <c r="H38" i="50"/>
  <c r="D38" i="50"/>
  <c r="F38" i="50"/>
  <c r="G37" i="50"/>
  <c r="H37" i="50"/>
  <c r="D37" i="50"/>
  <c r="F37" i="50"/>
  <c r="G36" i="50"/>
  <c r="H36" i="50"/>
  <c r="D36" i="50"/>
  <c r="F36" i="50"/>
  <c r="G35" i="50"/>
  <c r="D35" i="50"/>
  <c r="G34" i="50"/>
  <c r="D34" i="50"/>
  <c r="E34" i="50"/>
  <c r="H34" i="50"/>
  <c r="G33" i="50"/>
  <c r="D33" i="50"/>
  <c r="D141" i="50"/>
  <c r="X32" i="50"/>
  <c r="W32" i="50"/>
  <c r="G32" i="50"/>
  <c r="D32" i="50"/>
  <c r="R32" i="50"/>
  <c r="G31" i="50"/>
  <c r="E31" i="50"/>
  <c r="H31" i="50"/>
  <c r="D31" i="50"/>
  <c r="H30" i="50"/>
  <c r="G30" i="50"/>
  <c r="F30" i="50"/>
  <c r="D30" i="50"/>
  <c r="X29" i="50"/>
  <c r="W29" i="50"/>
  <c r="V29" i="50"/>
  <c r="U29" i="50"/>
  <c r="H29" i="50"/>
  <c r="G29" i="50"/>
  <c r="E29" i="50"/>
  <c r="D29" i="50"/>
  <c r="R29" i="50"/>
  <c r="G28" i="50"/>
  <c r="H28" i="50"/>
  <c r="D28" i="50"/>
  <c r="F28" i="50"/>
  <c r="G27" i="50"/>
  <c r="H27" i="50"/>
  <c r="D27" i="50"/>
  <c r="F27" i="50"/>
  <c r="G26" i="50"/>
  <c r="H26" i="50"/>
  <c r="D26" i="50"/>
  <c r="F26" i="50"/>
  <c r="G25" i="50"/>
  <c r="H25" i="50"/>
  <c r="D25" i="50"/>
  <c r="F25" i="50"/>
  <c r="G24" i="50"/>
  <c r="H24" i="50"/>
  <c r="D24" i="50"/>
  <c r="F24" i="50" s="1"/>
  <c r="G23" i="50"/>
  <c r="D23" i="50"/>
  <c r="G22" i="50"/>
  <c r="D22" i="50"/>
  <c r="P22" i="50"/>
  <c r="Q21" i="50"/>
  <c r="W21" i="50"/>
  <c r="O21" i="50"/>
  <c r="O22" i="50"/>
  <c r="G21" i="50"/>
  <c r="G20" i="50"/>
  <c r="V20" i="50" s="1"/>
  <c r="E21" i="50"/>
  <c r="D21" i="50"/>
  <c r="R21" i="50"/>
  <c r="W20" i="50"/>
  <c r="U20" i="50"/>
  <c r="E20" i="50"/>
  <c r="D20" i="50"/>
  <c r="R20" i="50" s="1"/>
  <c r="F20" i="50" s="1"/>
  <c r="D13" i="50"/>
  <c r="D6" i="50"/>
  <c r="B4" i="50"/>
  <c r="H198" i="49"/>
  <c r="D198" i="49"/>
  <c r="H197" i="49"/>
  <c r="D193" i="49"/>
  <c r="I191" i="49"/>
  <c r="E191" i="49"/>
  <c r="H27" i="16"/>
  <c r="D187" i="49"/>
  <c r="L185" i="49"/>
  <c r="L183" i="49"/>
  <c r="G182" i="49"/>
  <c r="G184" i="49"/>
  <c r="E182" i="49"/>
  <c r="E184" i="49"/>
  <c r="G181" i="49"/>
  <c r="E181" i="49"/>
  <c r="L181" i="49"/>
  <c r="G180" i="49"/>
  <c r="E180" i="49"/>
  <c r="L180" i="49"/>
  <c r="L179" i="49"/>
  <c r="L178" i="49"/>
  <c r="L177" i="49"/>
  <c r="L176" i="49"/>
  <c r="L175" i="49"/>
  <c r="L174" i="49"/>
  <c r="L173" i="49"/>
  <c r="L172" i="49"/>
  <c r="L171" i="49"/>
  <c r="D167" i="49"/>
  <c r="H164" i="49"/>
  <c r="L164" i="49"/>
  <c r="G164" i="49"/>
  <c r="L27" i="16"/>
  <c r="D157" i="49"/>
  <c r="D149" i="49"/>
  <c r="D141" i="49"/>
  <c r="D138" i="49"/>
  <c r="M136" i="49"/>
  <c r="F136" i="49"/>
  <c r="E136" i="49"/>
  <c r="M135" i="49"/>
  <c r="F135" i="49"/>
  <c r="L135" i="49"/>
  <c r="E135" i="49"/>
  <c r="M134" i="49"/>
  <c r="F134" i="49"/>
  <c r="L134" i="49"/>
  <c r="E134" i="49"/>
  <c r="M133" i="49"/>
  <c r="F133" i="49"/>
  <c r="L133" i="49"/>
  <c r="E133" i="49"/>
  <c r="M132" i="49"/>
  <c r="F132" i="49"/>
  <c r="L132" i="49"/>
  <c r="E132" i="49"/>
  <c r="M131" i="49"/>
  <c r="F131" i="49"/>
  <c r="L131" i="49"/>
  <c r="E131" i="49"/>
  <c r="M130" i="49"/>
  <c r="F130" i="49"/>
  <c r="L130" i="49"/>
  <c r="E130" i="49"/>
  <c r="M129" i="49"/>
  <c r="F129" i="49"/>
  <c r="L129" i="49"/>
  <c r="E129" i="49"/>
  <c r="M128" i="49"/>
  <c r="F128" i="49"/>
  <c r="L128" i="49"/>
  <c r="L127" i="49"/>
  <c r="E128" i="49"/>
  <c r="M127" i="49"/>
  <c r="F127" i="49"/>
  <c r="D127" i="49"/>
  <c r="L122" i="49"/>
  <c r="L121" i="49"/>
  <c r="F121" i="49"/>
  <c r="L120" i="49"/>
  <c r="F120" i="49"/>
  <c r="L119" i="49"/>
  <c r="F119" i="49"/>
  <c r="L118" i="49"/>
  <c r="E118" i="49"/>
  <c r="F118" i="49"/>
  <c r="F117" i="49"/>
  <c r="E117" i="49"/>
  <c r="L117" i="49"/>
  <c r="E116" i="49"/>
  <c r="L116" i="49"/>
  <c r="L115" i="49"/>
  <c r="F115" i="49"/>
  <c r="E115" i="49"/>
  <c r="L114" i="49"/>
  <c r="E114" i="49"/>
  <c r="F114" i="49"/>
  <c r="F113" i="49"/>
  <c r="E113" i="49"/>
  <c r="L113" i="49"/>
  <c r="E112" i="49"/>
  <c r="L112" i="49"/>
  <c r="L111" i="49"/>
  <c r="F111" i="49"/>
  <c r="E111" i="49"/>
  <c r="L110" i="49"/>
  <c r="E110" i="49"/>
  <c r="F110" i="49"/>
  <c r="F109" i="49"/>
  <c r="E109" i="49"/>
  <c r="L109" i="49"/>
  <c r="D108" i="49"/>
  <c r="L107" i="49"/>
  <c r="F107" i="49"/>
  <c r="L106" i="49"/>
  <c r="F106" i="49"/>
  <c r="L105" i="49"/>
  <c r="F105" i="49"/>
  <c r="L104" i="49"/>
  <c r="F104" i="49"/>
  <c r="L103" i="49"/>
  <c r="F103" i="49"/>
  <c r="Z96" i="49"/>
  <c r="Y96" i="49"/>
  <c r="T96" i="49"/>
  <c r="Z95" i="49"/>
  <c r="X95" i="49"/>
  <c r="Y95" i="49"/>
  <c r="S95" i="49"/>
  <c r="T95" i="49"/>
  <c r="Z94" i="49"/>
  <c r="X94" i="49"/>
  <c r="S94" i="49"/>
  <c r="T94" i="49"/>
  <c r="Z93" i="49"/>
  <c r="X93" i="49"/>
  <c r="S93" i="49"/>
  <c r="T93" i="49"/>
  <c r="Z92" i="49"/>
  <c r="X92" i="49"/>
  <c r="Y92" i="49"/>
  <c r="S92" i="49"/>
  <c r="T92" i="49"/>
  <c r="Z91" i="49"/>
  <c r="X91" i="49"/>
  <c r="Y91" i="49"/>
  <c r="S91" i="49"/>
  <c r="T91" i="49"/>
  <c r="Z90" i="49"/>
  <c r="X90" i="49"/>
  <c r="S90" i="49"/>
  <c r="T90" i="49"/>
  <c r="O86" i="49"/>
  <c r="D86" i="49"/>
  <c r="L85" i="49"/>
  <c r="F85" i="49"/>
  <c r="L84" i="49"/>
  <c r="F84" i="49"/>
  <c r="L83" i="49"/>
  <c r="F83" i="49"/>
  <c r="L82" i="49"/>
  <c r="F82" i="49"/>
  <c r="L81" i="49"/>
  <c r="F81" i="49"/>
  <c r="E80" i="49"/>
  <c r="E102" i="49"/>
  <c r="L79" i="49"/>
  <c r="F79" i="49"/>
  <c r="E79" i="49"/>
  <c r="E101" i="49"/>
  <c r="L78" i="49"/>
  <c r="E78" i="49"/>
  <c r="E100" i="49"/>
  <c r="F77" i="49"/>
  <c r="E77" i="49"/>
  <c r="E99" i="49"/>
  <c r="E76" i="49"/>
  <c r="E98" i="49"/>
  <c r="L75" i="49"/>
  <c r="F75" i="49"/>
  <c r="E75" i="49"/>
  <c r="E97" i="49"/>
  <c r="Z74" i="49"/>
  <c r="Y74" i="49"/>
  <c r="T74" i="49"/>
  <c r="F74" i="49"/>
  <c r="E74" i="49"/>
  <c r="E96" i="49"/>
  <c r="Z73" i="49"/>
  <c r="X73" i="49"/>
  <c r="Y73" i="49"/>
  <c r="S73" i="49"/>
  <c r="T73" i="49"/>
  <c r="F73" i="49"/>
  <c r="E73" i="49"/>
  <c r="E95" i="49"/>
  <c r="Z72" i="49"/>
  <c r="X72" i="49"/>
  <c r="Y72" i="49"/>
  <c r="S72" i="49"/>
  <c r="T72" i="49"/>
  <c r="F72" i="49"/>
  <c r="E72" i="49"/>
  <c r="E94" i="49"/>
  <c r="Z71" i="49"/>
  <c r="X71" i="49"/>
  <c r="Y71" i="49"/>
  <c r="S71" i="49"/>
  <c r="T71" i="49"/>
  <c r="F71" i="49"/>
  <c r="E71" i="49"/>
  <c r="E93" i="49"/>
  <c r="Z70" i="49"/>
  <c r="X70" i="49"/>
  <c r="Y70" i="49"/>
  <c r="S70" i="49"/>
  <c r="T70" i="49"/>
  <c r="F70" i="49"/>
  <c r="E70" i="49"/>
  <c r="E92" i="49"/>
  <c r="Z69" i="49"/>
  <c r="X69" i="49"/>
  <c r="Y69" i="49"/>
  <c r="S69" i="49"/>
  <c r="T69" i="49"/>
  <c r="F69" i="49"/>
  <c r="E69" i="49"/>
  <c r="E91" i="49"/>
  <c r="Z68" i="49"/>
  <c r="X68" i="49"/>
  <c r="Y68" i="49"/>
  <c r="S68" i="49"/>
  <c r="T68" i="49"/>
  <c r="T67" i="49"/>
  <c r="F68" i="49"/>
  <c r="E68" i="49"/>
  <c r="E90" i="49"/>
  <c r="L67" i="49"/>
  <c r="E67" i="49"/>
  <c r="E89" i="49"/>
  <c r="F66" i="49"/>
  <c r="E66" i="49"/>
  <c r="E88" i="49"/>
  <c r="E65" i="49"/>
  <c r="E87" i="49"/>
  <c r="O64" i="49"/>
  <c r="D64" i="49"/>
  <c r="D55" i="49"/>
  <c r="L53" i="49"/>
  <c r="H53" i="49"/>
  <c r="F53" i="49"/>
  <c r="D49" i="49"/>
  <c r="H41" i="49"/>
  <c r="F41" i="49"/>
  <c r="H40" i="49"/>
  <c r="F40" i="49"/>
  <c r="L39" i="49"/>
  <c r="H39" i="49"/>
  <c r="F39" i="49"/>
  <c r="L38" i="49"/>
  <c r="F38" i="49"/>
  <c r="E38" i="49"/>
  <c r="H38" i="49"/>
  <c r="L37" i="49"/>
  <c r="F37" i="49"/>
  <c r="E37" i="49"/>
  <c r="H37" i="49"/>
  <c r="L36" i="49"/>
  <c r="F36" i="49"/>
  <c r="E36" i="49"/>
  <c r="H36" i="49"/>
  <c r="L35" i="49"/>
  <c r="H35" i="49"/>
  <c r="F35" i="49"/>
  <c r="L34" i="49"/>
  <c r="H34" i="49"/>
  <c r="F34" i="49"/>
  <c r="L33" i="49"/>
  <c r="H33" i="49"/>
  <c r="F33" i="49"/>
  <c r="Q32" i="49"/>
  <c r="W32" i="49"/>
  <c r="X32" i="49"/>
  <c r="O32" i="49"/>
  <c r="P32" i="49"/>
  <c r="L31" i="49"/>
  <c r="H31" i="49"/>
  <c r="F31" i="49"/>
  <c r="L30" i="49"/>
  <c r="F30" i="49"/>
  <c r="E30" i="49"/>
  <c r="H30" i="49"/>
  <c r="R29" i="49"/>
  <c r="Q29" i="49"/>
  <c r="W29" i="49"/>
  <c r="X29" i="49"/>
  <c r="P29" i="49"/>
  <c r="O29" i="49"/>
  <c r="U29" i="49"/>
  <c r="V29" i="49"/>
  <c r="L29" i="49"/>
  <c r="F29" i="49"/>
  <c r="E29" i="49"/>
  <c r="H29" i="49"/>
  <c r="L28" i="49"/>
  <c r="F28" i="49"/>
  <c r="E28" i="49"/>
  <c r="H28" i="49"/>
  <c r="L27" i="49"/>
  <c r="F27" i="49"/>
  <c r="E27" i="49"/>
  <c r="H27" i="49"/>
  <c r="L26" i="49"/>
  <c r="F26" i="49"/>
  <c r="E26" i="49"/>
  <c r="H26" i="49"/>
  <c r="L25" i="49"/>
  <c r="F25" i="49"/>
  <c r="E25" i="49"/>
  <c r="H25" i="49"/>
  <c r="L24" i="49"/>
  <c r="F24" i="49"/>
  <c r="E24" i="49"/>
  <c r="H24" i="49"/>
  <c r="R20" i="49"/>
  <c r="Q20" i="49"/>
  <c r="E20" i="49"/>
  <c r="P20" i="49"/>
  <c r="O20" i="49"/>
  <c r="O21" i="49"/>
  <c r="G19" i="49"/>
  <c r="D13" i="49"/>
  <c r="I10" i="49"/>
  <c r="D6" i="49"/>
  <c r="B4" i="49"/>
  <c r="H198" i="48"/>
  <c r="D198" i="48"/>
  <c r="H197" i="48"/>
  <c r="D193" i="48"/>
  <c r="I191" i="48"/>
  <c r="E191" i="48"/>
  <c r="H28" i="16"/>
  <c r="D187" i="48"/>
  <c r="L185" i="48"/>
  <c r="L183" i="48"/>
  <c r="G182" i="48"/>
  <c r="G184" i="48"/>
  <c r="E182" i="48"/>
  <c r="E184" i="48"/>
  <c r="G181" i="48"/>
  <c r="E181" i="48"/>
  <c r="L181" i="48"/>
  <c r="G180" i="48"/>
  <c r="E180" i="48"/>
  <c r="L180" i="48"/>
  <c r="L179" i="48"/>
  <c r="L178" i="48"/>
  <c r="L177" i="48"/>
  <c r="L176" i="48"/>
  <c r="L175" i="48"/>
  <c r="L174" i="48"/>
  <c r="L173" i="48"/>
  <c r="L172" i="48"/>
  <c r="L171" i="48"/>
  <c r="D167" i="48"/>
  <c r="H164" i="48"/>
  <c r="L164" i="48"/>
  <c r="G164" i="48"/>
  <c r="D157" i="48"/>
  <c r="D149" i="48"/>
  <c r="D141" i="48"/>
  <c r="D138" i="48"/>
  <c r="M136" i="48"/>
  <c r="F136" i="48"/>
  <c r="E136" i="48"/>
  <c r="M135" i="48"/>
  <c r="F135" i="48"/>
  <c r="L135" i="48"/>
  <c r="E135" i="48"/>
  <c r="M134" i="48"/>
  <c r="F134" i="48"/>
  <c r="L134" i="48"/>
  <c r="E134" i="48"/>
  <c r="M133" i="48"/>
  <c r="F133" i="48"/>
  <c r="L133" i="48"/>
  <c r="E133" i="48"/>
  <c r="M132" i="48"/>
  <c r="F132" i="48"/>
  <c r="L132" i="48"/>
  <c r="E132" i="48"/>
  <c r="M131" i="48"/>
  <c r="F131" i="48"/>
  <c r="L131" i="48"/>
  <c r="E131" i="48"/>
  <c r="M130" i="48"/>
  <c r="F130" i="48"/>
  <c r="L130" i="48"/>
  <c r="E130" i="48"/>
  <c r="M129" i="48"/>
  <c r="F129" i="48"/>
  <c r="L129" i="48"/>
  <c r="E129" i="48"/>
  <c r="M128" i="48"/>
  <c r="F128" i="48"/>
  <c r="L128" i="48"/>
  <c r="E128" i="48"/>
  <c r="M127" i="48"/>
  <c r="D127" i="48"/>
  <c r="L122" i="48"/>
  <c r="L121" i="48"/>
  <c r="F121" i="48"/>
  <c r="L120" i="48"/>
  <c r="F120" i="48"/>
  <c r="L119" i="48"/>
  <c r="F119" i="48"/>
  <c r="E118" i="48"/>
  <c r="F118" i="48"/>
  <c r="F117" i="48"/>
  <c r="E117" i="48"/>
  <c r="L117" i="48"/>
  <c r="E116" i="48"/>
  <c r="F116" i="48"/>
  <c r="L115" i="48"/>
  <c r="F115" i="48"/>
  <c r="E115" i="48"/>
  <c r="L114" i="48"/>
  <c r="E114" i="48"/>
  <c r="F114" i="48"/>
  <c r="E113" i="48"/>
  <c r="L113" i="48"/>
  <c r="E112" i="48"/>
  <c r="F112" i="48"/>
  <c r="L111" i="48"/>
  <c r="F111" i="48"/>
  <c r="E111" i="48"/>
  <c r="E110" i="48"/>
  <c r="L110" i="48"/>
  <c r="E109" i="48"/>
  <c r="L109" i="48"/>
  <c r="D108" i="48"/>
  <c r="L107" i="48"/>
  <c r="F107" i="48"/>
  <c r="L106" i="48"/>
  <c r="F106" i="48"/>
  <c r="L105" i="48"/>
  <c r="F105" i="48"/>
  <c r="L104" i="48"/>
  <c r="F104" i="48"/>
  <c r="L103" i="48"/>
  <c r="F103" i="48"/>
  <c r="E101" i="48"/>
  <c r="L101" i="48"/>
  <c r="F97" i="48"/>
  <c r="E97" i="48"/>
  <c r="L97" i="48"/>
  <c r="Z96" i="48"/>
  <c r="Y96" i="48"/>
  <c r="T96" i="48"/>
  <c r="Z95" i="48"/>
  <c r="Y95" i="48"/>
  <c r="X95" i="48"/>
  <c r="S95" i="48"/>
  <c r="T95" i="48"/>
  <c r="Z94" i="48"/>
  <c r="Y94" i="48"/>
  <c r="X94" i="48"/>
  <c r="S94" i="48"/>
  <c r="T94" i="48"/>
  <c r="Z93" i="48"/>
  <c r="Y93" i="48"/>
  <c r="X93" i="48"/>
  <c r="S93" i="48"/>
  <c r="T93" i="48"/>
  <c r="Z92" i="48"/>
  <c r="Y92" i="48"/>
  <c r="X92" i="48"/>
  <c r="S92" i="48"/>
  <c r="T92" i="48"/>
  <c r="Z91" i="48"/>
  <c r="Y91" i="48"/>
  <c r="X91" i="48"/>
  <c r="S91" i="48"/>
  <c r="T91" i="48"/>
  <c r="Z90" i="48"/>
  <c r="Y90" i="48"/>
  <c r="Y89" i="48"/>
  <c r="X90" i="48"/>
  <c r="S90" i="48"/>
  <c r="T90" i="48"/>
  <c r="T89" i="48"/>
  <c r="F88" i="48"/>
  <c r="O86" i="48"/>
  <c r="D86" i="48"/>
  <c r="L85" i="48"/>
  <c r="F85" i="48"/>
  <c r="L84" i="48"/>
  <c r="F84" i="48"/>
  <c r="L83" i="48"/>
  <c r="F83" i="48"/>
  <c r="L82" i="48"/>
  <c r="F82" i="48"/>
  <c r="L81" i="48"/>
  <c r="F81" i="48"/>
  <c r="E80" i="48"/>
  <c r="F80" i="48"/>
  <c r="L79" i="48"/>
  <c r="F79" i="48"/>
  <c r="E79" i="48"/>
  <c r="L78" i="48"/>
  <c r="E78" i="48"/>
  <c r="F78" i="48"/>
  <c r="E77" i="48"/>
  <c r="F77" i="48"/>
  <c r="E76" i="48"/>
  <c r="F76" i="48"/>
  <c r="L75" i="48"/>
  <c r="F75" i="48"/>
  <c r="E75" i="48"/>
  <c r="Z74" i="48"/>
  <c r="Y74" i="48"/>
  <c r="T74" i="48"/>
  <c r="E74" i="48"/>
  <c r="Z73" i="48"/>
  <c r="X73" i="48"/>
  <c r="Y73" i="48"/>
  <c r="S73" i="48"/>
  <c r="T73" i="48"/>
  <c r="E73" i="48"/>
  <c r="F73" i="48"/>
  <c r="Z72" i="48"/>
  <c r="X72" i="48"/>
  <c r="Y72" i="48"/>
  <c r="S72" i="48"/>
  <c r="T72" i="48"/>
  <c r="E72" i="48"/>
  <c r="Z71" i="48"/>
  <c r="X71" i="48"/>
  <c r="Y71" i="48"/>
  <c r="S71" i="48"/>
  <c r="T71" i="48"/>
  <c r="E71" i="48"/>
  <c r="F71" i="48"/>
  <c r="Z70" i="48"/>
  <c r="X70" i="48"/>
  <c r="Y70" i="48"/>
  <c r="S70" i="48"/>
  <c r="T70" i="48"/>
  <c r="E70" i="48"/>
  <c r="Z69" i="48"/>
  <c r="X69" i="48"/>
  <c r="Y69" i="48"/>
  <c r="S69" i="48"/>
  <c r="T69" i="48"/>
  <c r="E69" i="48"/>
  <c r="F69" i="48"/>
  <c r="Z68" i="48"/>
  <c r="X68" i="48"/>
  <c r="Y68" i="48"/>
  <c r="Y67" i="48"/>
  <c r="S68" i="48"/>
  <c r="T68" i="48"/>
  <c r="T67" i="48"/>
  <c r="E68" i="48"/>
  <c r="L67" i="48"/>
  <c r="E67" i="48"/>
  <c r="F67" i="48"/>
  <c r="F66" i="48"/>
  <c r="E66" i="48"/>
  <c r="E88" i="48"/>
  <c r="L88" i="48"/>
  <c r="E65" i="48"/>
  <c r="L65" i="48"/>
  <c r="O64" i="48"/>
  <c r="D64" i="48"/>
  <c r="D55" i="48"/>
  <c r="L53" i="48"/>
  <c r="H53" i="48"/>
  <c r="F53" i="48"/>
  <c r="D49" i="48"/>
  <c r="H41" i="48"/>
  <c r="F41" i="48"/>
  <c r="H40" i="48"/>
  <c r="F40" i="48"/>
  <c r="L39" i="48"/>
  <c r="H39" i="48"/>
  <c r="F39" i="48"/>
  <c r="L38" i="48"/>
  <c r="F38" i="48"/>
  <c r="E38" i="48"/>
  <c r="H38" i="48"/>
  <c r="L37" i="48"/>
  <c r="F37" i="48"/>
  <c r="E37" i="48"/>
  <c r="H37" i="48"/>
  <c r="L36" i="48"/>
  <c r="F36" i="48"/>
  <c r="E36" i="48"/>
  <c r="H36" i="48"/>
  <c r="L35" i="48"/>
  <c r="H35" i="48"/>
  <c r="F35" i="48"/>
  <c r="L34" i="48"/>
  <c r="H34" i="48"/>
  <c r="F34" i="48"/>
  <c r="L33" i="48"/>
  <c r="H33" i="48"/>
  <c r="F33" i="48"/>
  <c r="Q32" i="48"/>
  <c r="W32" i="48"/>
  <c r="X32" i="48"/>
  <c r="O32" i="48"/>
  <c r="P32" i="48"/>
  <c r="L31" i="48"/>
  <c r="H31" i="48"/>
  <c r="F31" i="48"/>
  <c r="L30" i="48"/>
  <c r="F30" i="48"/>
  <c r="E30" i="48"/>
  <c r="H30" i="48"/>
  <c r="R29" i="48"/>
  <c r="Q29" i="48"/>
  <c r="W29" i="48"/>
  <c r="X29" i="48"/>
  <c r="P29" i="48"/>
  <c r="O29" i="48"/>
  <c r="U29" i="48"/>
  <c r="V29" i="48"/>
  <c r="L29" i="48"/>
  <c r="F29" i="48"/>
  <c r="E29" i="48"/>
  <c r="H29" i="48"/>
  <c r="L28" i="48"/>
  <c r="F28" i="48"/>
  <c r="E28" i="48"/>
  <c r="H28" i="48"/>
  <c r="L27" i="48"/>
  <c r="F27" i="48"/>
  <c r="E27" i="48"/>
  <c r="H27" i="48"/>
  <c r="L26" i="48"/>
  <c r="F26" i="48"/>
  <c r="E26" i="48"/>
  <c r="H26" i="48"/>
  <c r="L25" i="48"/>
  <c r="F25" i="48"/>
  <c r="E25" i="48"/>
  <c r="H25" i="48"/>
  <c r="L24" i="48"/>
  <c r="F24" i="48"/>
  <c r="E24" i="48"/>
  <c r="H24" i="48"/>
  <c r="R20" i="48"/>
  <c r="Q20" i="48"/>
  <c r="Q21" i="48"/>
  <c r="P20" i="48"/>
  <c r="O20" i="48"/>
  <c r="O21" i="48"/>
  <c r="L20" i="48"/>
  <c r="E20" i="48"/>
  <c r="H20" i="48"/>
  <c r="G19" i="48"/>
  <c r="D13" i="48"/>
  <c r="I10" i="48"/>
  <c r="D6" i="48"/>
  <c r="B4" i="48"/>
  <c r="H198" i="47"/>
  <c r="D198" i="47"/>
  <c r="H197" i="47"/>
  <c r="D193" i="47"/>
  <c r="I191" i="47"/>
  <c r="E191" i="47"/>
  <c r="H29" i="16"/>
  <c r="D187" i="47"/>
  <c r="L185" i="47"/>
  <c r="L183" i="47"/>
  <c r="G182" i="47"/>
  <c r="G184" i="47"/>
  <c r="E182" i="47"/>
  <c r="E184" i="47"/>
  <c r="G181" i="47"/>
  <c r="E181" i="47"/>
  <c r="L181" i="47"/>
  <c r="G180" i="47"/>
  <c r="E180" i="47"/>
  <c r="L180" i="47"/>
  <c r="L179" i="47"/>
  <c r="L178" i="47"/>
  <c r="L177" i="47"/>
  <c r="L176" i="47"/>
  <c r="L175" i="47"/>
  <c r="L174" i="47"/>
  <c r="L173" i="47"/>
  <c r="L172" i="47"/>
  <c r="L171" i="47"/>
  <c r="D167" i="47"/>
  <c r="H164" i="47"/>
  <c r="L164" i="47"/>
  <c r="G164" i="47"/>
  <c r="L29" i="16"/>
  <c r="D157" i="47"/>
  <c r="D149" i="47"/>
  <c r="D141" i="47"/>
  <c r="D138" i="47"/>
  <c r="M136" i="47"/>
  <c r="F136" i="47"/>
  <c r="E136" i="47"/>
  <c r="M135" i="47"/>
  <c r="F135" i="47"/>
  <c r="L135" i="47"/>
  <c r="E135" i="47"/>
  <c r="M134" i="47"/>
  <c r="F134" i="47"/>
  <c r="L134" i="47"/>
  <c r="E134" i="47"/>
  <c r="M133" i="47"/>
  <c r="F133" i="47"/>
  <c r="L133" i="47"/>
  <c r="E133" i="47"/>
  <c r="M132" i="47"/>
  <c r="F132" i="47"/>
  <c r="L132" i="47"/>
  <c r="E132" i="47"/>
  <c r="M131" i="47"/>
  <c r="F131" i="47"/>
  <c r="L131" i="47"/>
  <c r="E131" i="47"/>
  <c r="M130" i="47"/>
  <c r="F130" i="47"/>
  <c r="L130" i="47"/>
  <c r="E130" i="47"/>
  <c r="M129" i="47"/>
  <c r="F129" i="47"/>
  <c r="L129" i="47"/>
  <c r="E129" i="47"/>
  <c r="M128" i="47"/>
  <c r="F128" i="47"/>
  <c r="L128" i="47"/>
  <c r="E128" i="47"/>
  <c r="M127" i="47"/>
  <c r="F127" i="47"/>
  <c r="D127" i="47"/>
  <c r="L122" i="47"/>
  <c r="L121" i="47"/>
  <c r="F121" i="47"/>
  <c r="L120" i="47"/>
  <c r="F120" i="47"/>
  <c r="L119" i="47"/>
  <c r="F119" i="47"/>
  <c r="E118" i="47"/>
  <c r="L118" i="47"/>
  <c r="F117" i="47"/>
  <c r="E117" i="47"/>
  <c r="L117" i="47"/>
  <c r="L116" i="47"/>
  <c r="E116" i="47"/>
  <c r="F116" i="47"/>
  <c r="L115" i="47"/>
  <c r="F115" i="47"/>
  <c r="E115" i="47"/>
  <c r="E114" i="47"/>
  <c r="L114" i="47"/>
  <c r="F113" i="47"/>
  <c r="E113" i="47"/>
  <c r="L113" i="47"/>
  <c r="L112" i="47"/>
  <c r="E112" i="47"/>
  <c r="F112" i="47"/>
  <c r="L111" i="47"/>
  <c r="F111" i="47"/>
  <c r="E111" i="47"/>
  <c r="E110" i="47"/>
  <c r="L110" i="47"/>
  <c r="F109" i="47"/>
  <c r="E109" i="47"/>
  <c r="L109" i="47"/>
  <c r="D108" i="47"/>
  <c r="L107" i="47"/>
  <c r="F107" i="47"/>
  <c r="L106" i="47"/>
  <c r="F106" i="47"/>
  <c r="L105" i="47"/>
  <c r="F105" i="47"/>
  <c r="L104" i="47"/>
  <c r="F104" i="47"/>
  <c r="L103" i="47"/>
  <c r="F103" i="47"/>
  <c r="Z96" i="47"/>
  <c r="Y96" i="47"/>
  <c r="T96" i="47"/>
  <c r="Z95" i="47"/>
  <c r="X95" i="47"/>
  <c r="Y95" i="47"/>
  <c r="S95" i="47"/>
  <c r="T95" i="47"/>
  <c r="Z94" i="47"/>
  <c r="X94" i="47"/>
  <c r="Y94" i="47"/>
  <c r="S94" i="47"/>
  <c r="T94" i="47"/>
  <c r="Z93" i="47"/>
  <c r="X93" i="47"/>
  <c r="Y93" i="47"/>
  <c r="S93" i="47"/>
  <c r="T93" i="47"/>
  <c r="Z92" i="47"/>
  <c r="X92" i="47"/>
  <c r="Y92" i="47"/>
  <c r="S92" i="47"/>
  <c r="T92" i="47"/>
  <c r="Z91" i="47"/>
  <c r="X91" i="47"/>
  <c r="Y91" i="47"/>
  <c r="S91" i="47"/>
  <c r="T91" i="47"/>
  <c r="Z90" i="47"/>
  <c r="X90" i="47"/>
  <c r="Y90" i="47"/>
  <c r="S90" i="47"/>
  <c r="T90" i="47"/>
  <c r="T89" i="47"/>
  <c r="O86" i="47"/>
  <c r="D86" i="47"/>
  <c r="L85" i="47"/>
  <c r="F85" i="47"/>
  <c r="L84" i="47"/>
  <c r="F84" i="47"/>
  <c r="L83" i="47"/>
  <c r="F83" i="47"/>
  <c r="L82" i="47"/>
  <c r="F82" i="47"/>
  <c r="L81" i="47"/>
  <c r="F81" i="47"/>
  <c r="E80" i="47"/>
  <c r="E102" i="47"/>
  <c r="L79" i="47"/>
  <c r="F79" i="47"/>
  <c r="E79" i="47"/>
  <c r="E101" i="47"/>
  <c r="L78" i="47"/>
  <c r="E78" i="47"/>
  <c r="E100" i="47"/>
  <c r="F77" i="47"/>
  <c r="E77" i="47"/>
  <c r="E99" i="47"/>
  <c r="E76" i="47"/>
  <c r="E98" i="47"/>
  <c r="L75" i="47"/>
  <c r="F75" i="47"/>
  <c r="E75" i="47"/>
  <c r="E97" i="47"/>
  <c r="Z74" i="47"/>
  <c r="Y74" i="47"/>
  <c r="T74" i="47"/>
  <c r="F74" i="47"/>
  <c r="E74" i="47"/>
  <c r="E96" i="47"/>
  <c r="Z73" i="47"/>
  <c r="X73" i="47"/>
  <c r="Y73" i="47"/>
  <c r="S73" i="47"/>
  <c r="T73" i="47"/>
  <c r="F73" i="47"/>
  <c r="E73" i="47"/>
  <c r="E95" i="47"/>
  <c r="Z72" i="47"/>
  <c r="X72" i="47"/>
  <c r="Y72" i="47"/>
  <c r="S72" i="47"/>
  <c r="T72" i="47"/>
  <c r="F72" i="47"/>
  <c r="E72" i="47"/>
  <c r="E94" i="47"/>
  <c r="Z71" i="47"/>
  <c r="X71" i="47"/>
  <c r="Y71" i="47"/>
  <c r="S71" i="47"/>
  <c r="T71" i="47"/>
  <c r="F71" i="47"/>
  <c r="E71" i="47"/>
  <c r="E93" i="47"/>
  <c r="Z70" i="47"/>
  <c r="X70" i="47"/>
  <c r="Y70" i="47"/>
  <c r="S70" i="47"/>
  <c r="T70" i="47"/>
  <c r="F70" i="47"/>
  <c r="E70" i="47"/>
  <c r="E92" i="47"/>
  <c r="Z69" i="47"/>
  <c r="X69" i="47"/>
  <c r="Y69" i="47"/>
  <c r="S69" i="47"/>
  <c r="T69" i="47"/>
  <c r="F69" i="47"/>
  <c r="E69" i="47"/>
  <c r="E91" i="47"/>
  <c r="Z68" i="47"/>
  <c r="X68" i="47"/>
  <c r="Y68" i="47"/>
  <c r="Y67" i="47"/>
  <c r="S68" i="47"/>
  <c r="T68" i="47"/>
  <c r="F68" i="47"/>
  <c r="E68" i="47"/>
  <c r="E90" i="47"/>
  <c r="L67" i="47"/>
  <c r="E67" i="47"/>
  <c r="E89" i="47"/>
  <c r="F66" i="47"/>
  <c r="E66" i="47"/>
  <c r="E88" i="47"/>
  <c r="E65" i="47"/>
  <c r="E87" i="47"/>
  <c r="O64" i="47"/>
  <c r="D64" i="47"/>
  <c r="D55" i="47"/>
  <c r="L53" i="47"/>
  <c r="H53" i="47"/>
  <c r="F53" i="47"/>
  <c r="D49" i="47"/>
  <c r="H41" i="47"/>
  <c r="F41" i="47"/>
  <c r="H40" i="47"/>
  <c r="F40" i="47"/>
  <c r="L39" i="47"/>
  <c r="H39" i="47"/>
  <c r="F39" i="47"/>
  <c r="L38" i="47"/>
  <c r="H38" i="47"/>
  <c r="F38" i="47"/>
  <c r="E38" i="47"/>
  <c r="L37" i="47"/>
  <c r="H37" i="47"/>
  <c r="F37" i="47"/>
  <c r="E37" i="47"/>
  <c r="L36" i="47"/>
  <c r="H36" i="47"/>
  <c r="F36" i="47"/>
  <c r="E36" i="47"/>
  <c r="L35" i="47"/>
  <c r="H35" i="47"/>
  <c r="F35" i="47"/>
  <c r="L34" i="47"/>
  <c r="H34" i="47"/>
  <c r="F34" i="47"/>
  <c r="L33" i="47"/>
  <c r="H33" i="47"/>
  <c r="F33" i="47"/>
  <c r="Q32" i="47"/>
  <c r="W32" i="47"/>
  <c r="X32" i="47"/>
  <c r="O32" i="47"/>
  <c r="P32" i="47"/>
  <c r="E32" i="47"/>
  <c r="H32" i="47"/>
  <c r="L31" i="47"/>
  <c r="H31" i="47"/>
  <c r="F31" i="47"/>
  <c r="L30" i="47"/>
  <c r="H30" i="47"/>
  <c r="F30" i="47"/>
  <c r="E30" i="47"/>
  <c r="R29" i="47"/>
  <c r="F29" i="47"/>
  <c r="Q29" i="47"/>
  <c r="E29" i="47"/>
  <c r="P29" i="47"/>
  <c r="O29" i="47"/>
  <c r="U29" i="47"/>
  <c r="V29" i="47"/>
  <c r="L28" i="47"/>
  <c r="H28" i="47"/>
  <c r="F28" i="47"/>
  <c r="E28" i="47"/>
  <c r="L27" i="47"/>
  <c r="H27" i="47"/>
  <c r="F27" i="47"/>
  <c r="E27" i="47"/>
  <c r="L26" i="47"/>
  <c r="H26" i="47"/>
  <c r="F26" i="47"/>
  <c r="E26" i="47"/>
  <c r="L25" i="47"/>
  <c r="H25" i="47"/>
  <c r="F25" i="47"/>
  <c r="E25" i="47"/>
  <c r="L24" i="47"/>
  <c r="H24" i="47"/>
  <c r="F24" i="47"/>
  <c r="E24" i="47"/>
  <c r="R20" i="47"/>
  <c r="Q20" i="47"/>
  <c r="E20" i="47"/>
  <c r="P20" i="47"/>
  <c r="O20" i="47"/>
  <c r="O21" i="47"/>
  <c r="G19" i="47"/>
  <c r="D13" i="47"/>
  <c r="I10" i="47"/>
  <c r="D6" i="47"/>
  <c r="B4" i="47"/>
  <c r="H198" i="46"/>
  <c r="D198" i="46"/>
  <c r="H197" i="46"/>
  <c r="D193" i="46"/>
  <c r="I191" i="46"/>
  <c r="E191" i="46"/>
  <c r="H30" i="16"/>
  <c r="D187" i="46"/>
  <c r="L185" i="46"/>
  <c r="L183" i="46"/>
  <c r="G182" i="46"/>
  <c r="G184" i="46"/>
  <c r="E182" i="46"/>
  <c r="E184" i="46"/>
  <c r="G181" i="46"/>
  <c r="E181" i="46"/>
  <c r="L181" i="46"/>
  <c r="G180" i="46"/>
  <c r="E180" i="46"/>
  <c r="L180" i="46"/>
  <c r="L179" i="46"/>
  <c r="L178" i="46"/>
  <c r="L177" i="46"/>
  <c r="L176" i="46"/>
  <c r="L175" i="46"/>
  <c r="L174" i="46"/>
  <c r="L173" i="46"/>
  <c r="L172" i="46"/>
  <c r="L171" i="46"/>
  <c r="D167" i="46"/>
  <c r="H164" i="46"/>
  <c r="L164" i="46"/>
  <c r="G164" i="46"/>
  <c r="L30" i="16"/>
  <c r="D157" i="46"/>
  <c r="D149" i="46"/>
  <c r="D141" i="46"/>
  <c r="D138" i="46"/>
  <c r="M136" i="46"/>
  <c r="F136" i="46"/>
  <c r="E136" i="46"/>
  <c r="M135" i="46"/>
  <c r="F135" i="46"/>
  <c r="L135" i="46"/>
  <c r="E135" i="46"/>
  <c r="M134" i="46"/>
  <c r="F134" i="46"/>
  <c r="L134" i="46"/>
  <c r="E134" i="46"/>
  <c r="M133" i="46"/>
  <c r="F133" i="46"/>
  <c r="L133" i="46"/>
  <c r="E133" i="46"/>
  <c r="M132" i="46"/>
  <c r="F132" i="46"/>
  <c r="L132" i="46"/>
  <c r="E132" i="46"/>
  <c r="M131" i="46"/>
  <c r="F131" i="46"/>
  <c r="L131" i="46"/>
  <c r="E131" i="46"/>
  <c r="M130" i="46"/>
  <c r="F130" i="46"/>
  <c r="L130" i="46"/>
  <c r="E130" i="46"/>
  <c r="M129" i="46"/>
  <c r="F129" i="46"/>
  <c r="L129" i="46"/>
  <c r="E129" i="46"/>
  <c r="M128" i="46"/>
  <c r="F128" i="46"/>
  <c r="L128" i="46"/>
  <c r="E128" i="46"/>
  <c r="M127" i="46"/>
  <c r="F127" i="46"/>
  <c r="D127" i="46"/>
  <c r="L122" i="46"/>
  <c r="L121" i="46"/>
  <c r="F121" i="46"/>
  <c r="L120" i="46"/>
  <c r="F120" i="46"/>
  <c r="L119" i="46"/>
  <c r="F119" i="46"/>
  <c r="E118" i="46"/>
  <c r="L118" i="46"/>
  <c r="F117" i="46"/>
  <c r="E117" i="46"/>
  <c r="L117" i="46"/>
  <c r="L116" i="46"/>
  <c r="E116" i="46"/>
  <c r="F116" i="46"/>
  <c r="L115" i="46"/>
  <c r="F115" i="46"/>
  <c r="E115" i="46"/>
  <c r="E114" i="46"/>
  <c r="L114" i="46"/>
  <c r="F113" i="46"/>
  <c r="E113" i="46"/>
  <c r="L113" i="46"/>
  <c r="L112" i="46"/>
  <c r="E112" i="46"/>
  <c r="F112" i="46"/>
  <c r="L111" i="46"/>
  <c r="F111" i="46"/>
  <c r="E111" i="46"/>
  <c r="E110" i="46"/>
  <c r="L110" i="46"/>
  <c r="F109" i="46"/>
  <c r="E109" i="46"/>
  <c r="L109" i="46"/>
  <c r="D108" i="46"/>
  <c r="L107" i="46"/>
  <c r="F107" i="46"/>
  <c r="L106" i="46"/>
  <c r="F106" i="46"/>
  <c r="L105" i="46"/>
  <c r="F105" i="46"/>
  <c r="L104" i="46"/>
  <c r="F104" i="46"/>
  <c r="L103" i="46"/>
  <c r="F103" i="46"/>
  <c r="Z96" i="46"/>
  <c r="Y96" i="46"/>
  <c r="T96" i="46"/>
  <c r="Z95" i="46"/>
  <c r="X95" i="46"/>
  <c r="Y95" i="46"/>
  <c r="S95" i="46"/>
  <c r="T95" i="46"/>
  <c r="X94" i="46"/>
  <c r="Y94" i="46"/>
  <c r="S94" i="46"/>
  <c r="Z94" i="46"/>
  <c r="X93" i="46"/>
  <c r="Y93" i="46"/>
  <c r="S93" i="46"/>
  <c r="Z93" i="46"/>
  <c r="X92" i="46"/>
  <c r="Y92" i="46"/>
  <c r="S92" i="46"/>
  <c r="T92" i="46"/>
  <c r="Z91" i="46"/>
  <c r="X91" i="46"/>
  <c r="Y91" i="46"/>
  <c r="S91" i="46"/>
  <c r="T91" i="46"/>
  <c r="X90" i="46"/>
  <c r="Y90" i="46"/>
  <c r="Y89" i="46"/>
  <c r="S90" i="46"/>
  <c r="T90" i="46"/>
  <c r="O86" i="46"/>
  <c r="D86" i="46"/>
  <c r="L85" i="46"/>
  <c r="F85" i="46"/>
  <c r="L84" i="46"/>
  <c r="F84" i="46"/>
  <c r="L83" i="46"/>
  <c r="F83" i="46"/>
  <c r="L82" i="46"/>
  <c r="F82" i="46"/>
  <c r="L81" i="46"/>
  <c r="F81" i="46"/>
  <c r="L80" i="46"/>
  <c r="E80" i="46"/>
  <c r="E102" i="46"/>
  <c r="L79" i="46"/>
  <c r="F79" i="46"/>
  <c r="E79" i="46"/>
  <c r="E101" i="46"/>
  <c r="E78" i="46"/>
  <c r="L78" i="46"/>
  <c r="F77" i="46"/>
  <c r="E77" i="46"/>
  <c r="E99" i="46"/>
  <c r="L76" i="46"/>
  <c r="E76" i="46"/>
  <c r="E98" i="46"/>
  <c r="L75" i="46"/>
  <c r="F75" i="46"/>
  <c r="E75" i="46"/>
  <c r="E97" i="46"/>
  <c r="Z74" i="46"/>
  <c r="Y74" i="46"/>
  <c r="T74" i="46"/>
  <c r="F74" i="46"/>
  <c r="E74" i="46"/>
  <c r="E96" i="46"/>
  <c r="X73" i="46"/>
  <c r="Y73" i="46"/>
  <c r="S73" i="46"/>
  <c r="T73" i="46"/>
  <c r="F73" i="46"/>
  <c r="E73" i="46"/>
  <c r="E95" i="46"/>
  <c r="Z72" i="46"/>
  <c r="X72" i="46"/>
  <c r="Y72" i="46"/>
  <c r="S72" i="46"/>
  <c r="T72" i="46"/>
  <c r="F72" i="46"/>
  <c r="E72" i="46"/>
  <c r="E94" i="46"/>
  <c r="X71" i="46"/>
  <c r="Y71" i="46"/>
  <c r="S71" i="46"/>
  <c r="T71" i="46"/>
  <c r="F71" i="46"/>
  <c r="E71" i="46"/>
  <c r="E93" i="46"/>
  <c r="X70" i="46"/>
  <c r="Y70" i="46"/>
  <c r="S70" i="46"/>
  <c r="T70" i="46"/>
  <c r="F70" i="46"/>
  <c r="E70" i="46"/>
  <c r="E92" i="46"/>
  <c r="Z69" i="46"/>
  <c r="X69" i="46"/>
  <c r="Y69" i="46"/>
  <c r="S69" i="46"/>
  <c r="T69" i="46"/>
  <c r="F69" i="46"/>
  <c r="E69" i="46"/>
  <c r="E91" i="46"/>
  <c r="X68" i="46"/>
  <c r="Y68" i="46"/>
  <c r="S68" i="46"/>
  <c r="T68" i="46"/>
  <c r="F68" i="46"/>
  <c r="E68" i="46"/>
  <c r="E90" i="46"/>
  <c r="E67" i="46"/>
  <c r="L67" i="46"/>
  <c r="F66" i="46"/>
  <c r="E66" i="46"/>
  <c r="E88" i="46"/>
  <c r="L65" i="46"/>
  <c r="E65" i="46"/>
  <c r="E87" i="46"/>
  <c r="O64" i="46"/>
  <c r="D64" i="46"/>
  <c r="D55" i="46"/>
  <c r="L53" i="46"/>
  <c r="H53" i="46"/>
  <c r="F53" i="46"/>
  <c r="D49" i="46"/>
  <c r="H41" i="46"/>
  <c r="F41" i="46"/>
  <c r="H40" i="46"/>
  <c r="F40" i="46"/>
  <c r="L39" i="46"/>
  <c r="H39" i="46"/>
  <c r="F39" i="46"/>
  <c r="L38" i="46"/>
  <c r="F38" i="46"/>
  <c r="E38" i="46"/>
  <c r="H38" i="46"/>
  <c r="L37" i="46"/>
  <c r="F37" i="46"/>
  <c r="E37" i="46"/>
  <c r="H37" i="46"/>
  <c r="L36" i="46"/>
  <c r="F36" i="46"/>
  <c r="E36" i="46"/>
  <c r="H36" i="46"/>
  <c r="L35" i="46"/>
  <c r="H35" i="46"/>
  <c r="F35" i="46"/>
  <c r="L34" i="46"/>
  <c r="H34" i="46"/>
  <c r="F34" i="46"/>
  <c r="L33" i="46"/>
  <c r="H33" i="46"/>
  <c r="F33" i="46"/>
  <c r="Q32" i="46"/>
  <c r="W32" i="46"/>
  <c r="X32" i="46"/>
  <c r="O32" i="46"/>
  <c r="P32" i="46"/>
  <c r="L31" i="46"/>
  <c r="H31" i="46"/>
  <c r="F31" i="46"/>
  <c r="L30" i="46"/>
  <c r="F30" i="46"/>
  <c r="E30" i="46"/>
  <c r="H30" i="46"/>
  <c r="R29" i="46"/>
  <c r="Q29" i="46"/>
  <c r="W29" i="46"/>
  <c r="X29" i="46"/>
  <c r="P29" i="46"/>
  <c r="F29" i="46"/>
  <c r="O29" i="46"/>
  <c r="U29" i="46"/>
  <c r="V29" i="46"/>
  <c r="L29" i="46"/>
  <c r="E29" i="46"/>
  <c r="H29" i="46"/>
  <c r="L28" i="46"/>
  <c r="H28" i="46"/>
  <c r="F28" i="46"/>
  <c r="E28" i="46"/>
  <c r="L27" i="46"/>
  <c r="H27" i="46"/>
  <c r="F27" i="46"/>
  <c r="E27" i="46"/>
  <c r="L26" i="46"/>
  <c r="H26" i="46"/>
  <c r="F26" i="46"/>
  <c r="E26" i="46"/>
  <c r="L25" i="46"/>
  <c r="H25" i="46"/>
  <c r="F25" i="46"/>
  <c r="E25" i="46"/>
  <c r="L24" i="46"/>
  <c r="H24" i="46"/>
  <c r="F24" i="46"/>
  <c r="E24" i="46"/>
  <c r="R20" i="46"/>
  <c r="Q20" i="46"/>
  <c r="E20" i="46"/>
  <c r="P20" i="46"/>
  <c r="O20" i="46"/>
  <c r="O21" i="46"/>
  <c r="G19" i="46"/>
  <c r="D13" i="46"/>
  <c r="I10" i="46"/>
  <c r="D6" i="46"/>
  <c r="B4" i="46"/>
  <c r="E191" i="50"/>
  <c r="H7" i="16"/>
  <c r="H21" i="50"/>
  <c r="E182" i="50"/>
  <c r="E184" i="50" s="1"/>
  <c r="D127" i="50"/>
  <c r="F98" i="50"/>
  <c r="T70" i="50"/>
  <c r="Y67" i="50"/>
  <c r="T68" i="50"/>
  <c r="L88" i="46"/>
  <c r="F88" i="46"/>
  <c r="L92" i="46"/>
  <c r="F92" i="46"/>
  <c r="L87" i="47"/>
  <c r="F87" i="47"/>
  <c r="F97" i="47"/>
  <c r="L97" i="47"/>
  <c r="L99" i="47"/>
  <c r="F99" i="47"/>
  <c r="T67" i="46"/>
  <c r="L95" i="46"/>
  <c r="F95" i="46"/>
  <c r="L96" i="46"/>
  <c r="F96" i="46"/>
  <c r="F98" i="46"/>
  <c r="L98" i="46"/>
  <c r="L102" i="46"/>
  <c r="F102" i="46"/>
  <c r="L127" i="46"/>
  <c r="L20" i="47"/>
  <c r="H20" i="47"/>
  <c r="L29" i="47"/>
  <c r="H29" i="47"/>
  <c r="L88" i="47"/>
  <c r="F88" i="47"/>
  <c r="L90" i="47"/>
  <c r="F90" i="47"/>
  <c r="L94" i="47"/>
  <c r="F94" i="47"/>
  <c r="Y89" i="47"/>
  <c r="K29" i="16"/>
  <c r="H177" i="47"/>
  <c r="H182" i="47"/>
  <c r="H178" i="47"/>
  <c r="H183" i="47"/>
  <c r="H181" i="47"/>
  <c r="H175" i="47"/>
  <c r="H173" i="47"/>
  <c r="H171" i="47"/>
  <c r="H180" i="47"/>
  <c r="H176" i="47"/>
  <c r="F97" i="46"/>
  <c r="L97" i="46"/>
  <c r="L101" i="46"/>
  <c r="F101" i="46"/>
  <c r="L91" i="47"/>
  <c r="F91" i="47"/>
  <c r="L127" i="47"/>
  <c r="P21" i="46"/>
  <c r="O22" i="46"/>
  <c r="U21" i="46"/>
  <c r="V21" i="46"/>
  <c r="L20" i="46"/>
  <c r="H20" i="46"/>
  <c r="F87" i="46"/>
  <c r="L87" i="46"/>
  <c r="Y67" i="46"/>
  <c r="F146" i="46"/>
  <c r="L95" i="47"/>
  <c r="F95" i="47"/>
  <c r="L100" i="47"/>
  <c r="F100" i="47"/>
  <c r="P21" i="48"/>
  <c r="O22" i="48"/>
  <c r="U21" i="48"/>
  <c r="V21" i="48"/>
  <c r="E21" i="48"/>
  <c r="L90" i="46"/>
  <c r="F90" i="46"/>
  <c r="L91" i="46"/>
  <c r="F91" i="46"/>
  <c r="L99" i="46"/>
  <c r="F99" i="46"/>
  <c r="D30" i="16"/>
  <c r="H185" i="46"/>
  <c r="F181" i="46"/>
  <c r="F176" i="46"/>
  <c r="F185" i="46"/>
  <c r="F180" i="46"/>
  <c r="F30" i="16"/>
  <c r="F177" i="46"/>
  <c r="L184" i="46"/>
  <c r="F178" i="46"/>
  <c r="F183" i="46"/>
  <c r="E30" i="16"/>
  <c r="F182" i="46"/>
  <c r="F175" i="46"/>
  <c r="F173" i="46"/>
  <c r="F171" i="46"/>
  <c r="P21" i="47"/>
  <c r="O22" i="47"/>
  <c r="U21" i="47"/>
  <c r="V21" i="47"/>
  <c r="L89" i="47"/>
  <c r="F89" i="47"/>
  <c r="T67" i="47"/>
  <c r="L92" i="47"/>
  <c r="F92" i="47"/>
  <c r="L96" i="47"/>
  <c r="F96" i="47"/>
  <c r="L98" i="47"/>
  <c r="F98" i="47"/>
  <c r="L102" i="47"/>
  <c r="F102" i="47"/>
  <c r="L93" i="46"/>
  <c r="F93" i="46"/>
  <c r="L94" i="46"/>
  <c r="F94" i="46"/>
  <c r="K30" i="16"/>
  <c r="H177" i="46"/>
  <c r="H182" i="46"/>
  <c r="H178" i="46"/>
  <c r="H175" i="46"/>
  <c r="H173" i="46"/>
  <c r="H171" i="46"/>
  <c r="H183" i="46"/>
  <c r="H181" i="46"/>
  <c r="H180" i="46"/>
  <c r="H176" i="46"/>
  <c r="F146" i="47"/>
  <c r="L93" i="47"/>
  <c r="F93" i="47"/>
  <c r="F101" i="47"/>
  <c r="L101" i="47"/>
  <c r="D29" i="16"/>
  <c r="H185" i="47"/>
  <c r="F181" i="47"/>
  <c r="F176" i="47"/>
  <c r="F185" i="47"/>
  <c r="F180" i="47"/>
  <c r="F29" i="16"/>
  <c r="F177" i="47"/>
  <c r="L184" i="47"/>
  <c r="F178" i="47"/>
  <c r="F183" i="47"/>
  <c r="E29" i="16"/>
  <c r="F182" i="47"/>
  <c r="F175" i="47"/>
  <c r="F173" i="47"/>
  <c r="F171" i="47"/>
  <c r="R21" i="48"/>
  <c r="Q22" i="48"/>
  <c r="W21" i="48"/>
  <c r="X21" i="48"/>
  <c r="F20" i="46"/>
  <c r="E89" i="46"/>
  <c r="Z90" i="46"/>
  <c r="Z92" i="46"/>
  <c r="E100" i="46"/>
  <c r="W20" i="46"/>
  <c r="X20" i="46"/>
  <c r="Q21" i="46"/>
  <c r="R32" i="46"/>
  <c r="F32" i="46"/>
  <c r="F65" i="46"/>
  <c r="L66" i="46"/>
  <c r="L68" i="46"/>
  <c r="L69" i="46"/>
  <c r="L70" i="46"/>
  <c r="L71" i="46"/>
  <c r="L72" i="46"/>
  <c r="L73" i="46"/>
  <c r="L74" i="46"/>
  <c r="F76" i="46"/>
  <c r="L77" i="46"/>
  <c r="F80" i="46"/>
  <c r="T93" i="46"/>
  <c r="T89" i="46"/>
  <c r="T94" i="46"/>
  <c r="W20" i="47"/>
  <c r="X20" i="47"/>
  <c r="Q21" i="47"/>
  <c r="E21" i="47"/>
  <c r="W29" i="47"/>
  <c r="X29" i="47"/>
  <c r="L32" i="47"/>
  <c r="R32" i="47"/>
  <c r="F32" i="47"/>
  <c r="F65" i="47"/>
  <c r="L66" i="47"/>
  <c r="L68" i="47"/>
  <c r="L69" i="47"/>
  <c r="L70" i="47"/>
  <c r="L71" i="47"/>
  <c r="L72" i="47"/>
  <c r="L73" i="47"/>
  <c r="L74" i="47"/>
  <c r="F76" i="47"/>
  <c r="L77" i="47"/>
  <c r="F80" i="47"/>
  <c r="W20" i="48"/>
  <c r="X20" i="48"/>
  <c r="R32" i="48"/>
  <c r="F32" i="48"/>
  <c r="F65" i="48"/>
  <c r="L66" i="48"/>
  <c r="L80" i="48"/>
  <c r="E87" i="48"/>
  <c r="E98" i="48"/>
  <c r="F101" i="48"/>
  <c r="F110" i="48"/>
  <c r="F113" i="48"/>
  <c r="L116" i="48"/>
  <c r="L118" i="48"/>
  <c r="L20" i="49"/>
  <c r="H20" i="49"/>
  <c r="F33" i="4"/>
  <c r="L87" i="49"/>
  <c r="F87" i="49"/>
  <c r="Y67" i="49"/>
  <c r="L93" i="49"/>
  <c r="F93" i="49"/>
  <c r="F97" i="49"/>
  <c r="L97" i="49"/>
  <c r="L99" i="49"/>
  <c r="F99" i="49"/>
  <c r="F101" i="49"/>
  <c r="L101" i="49"/>
  <c r="F81" i="4"/>
  <c r="F83" i="4"/>
  <c r="F85" i="4"/>
  <c r="T89" i="49"/>
  <c r="F119" i="4"/>
  <c r="F121" i="4"/>
  <c r="E32" i="46"/>
  <c r="U32" i="46"/>
  <c r="V32" i="46"/>
  <c r="Z70" i="46"/>
  <c r="U32" i="47"/>
  <c r="V32" i="47"/>
  <c r="L65" i="47"/>
  <c r="L76" i="47"/>
  <c r="L80" i="47"/>
  <c r="E32" i="48"/>
  <c r="U32" i="48"/>
  <c r="V32" i="48"/>
  <c r="E90" i="48"/>
  <c r="L68" i="48"/>
  <c r="E92" i="48"/>
  <c r="L70" i="48"/>
  <c r="E94" i="48"/>
  <c r="L72" i="48"/>
  <c r="E96" i="48"/>
  <c r="L74" i="48"/>
  <c r="E89" i="48"/>
  <c r="E100" i="48"/>
  <c r="E102" i="48"/>
  <c r="L127" i="48"/>
  <c r="F40" i="4"/>
  <c r="L88" i="49"/>
  <c r="F88" i="49"/>
  <c r="L90" i="49"/>
  <c r="F90" i="49"/>
  <c r="L94" i="49"/>
  <c r="F94" i="49"/>
  <c r="T74" i="4"/>
  <c r="X90" i="4"/>
  <c r="X94" i="4"/>
  <c r="F103" i="4"/>
  <c r="F105" i="4"/>
  <c r="F107" i="4"/>
  <c r="D27" i="16"/>
  <c r="H185" i="49"/>
  <c r="F181" i="49"/>
  <c r="F176" i="49"/>
  <c r="F185" i="49"/>
  <c r="F180" i="49"/>
  <c r="F27" i="16"/>
  <c r="F177" i="49"/>
  <c r="L184" i="49"/>
  <c r="F178" i="49"/>
  <c r="F183" i="49"/>
  <c r="E27" i="16"/>
  <c r="F182" i="49"/>
  <c r="F175" i="49"/>
  <c r="F173" i="49"/>
  <c r="F171" i="49"/>
  <c r="O23" i="50"/>
  <c r="U22" i="50"/>
  <c r="V22" i="50"/>
  <c r="Z68" i="46"/>
  <c r="Z71" i="46"/>
  <c r="Z73" i="46"/>
  <c r="U20" i="46"/>
  <c r="V20" i="46"/>
  <c r="F67" i="46"/>
  <c r="F78" i="46"/>
  <c r="F110" i="46"/>
  <c r="F108" i="46"/>
  <c r="E108" i="46"/>
  <c r="L108" i="46"/>
  <c r="F114" i="46"/>
  <c r="F118" i="46"/>
  <c r="U20" i="47"/>
  <c r="V20" i="47"/>
  <c r="F67" i="47"/>
  <c r="F78" i="47"/>
  <c r="F110" i="47"/>
  <c r="F108" i="47"/>
  <c r="E108" i="47"/>
  <c r="L108" i="47"/>
  <c r="F114" i="47"/>
  <c r="F118" i="47"/>
  <c r="U20" i="48"/>
  <c r="V20" i="48"/>
  <c r="F68" i="48"/>
  <c r="F70" i="48"/>
  <c r="F72" i="48"/>
  <c r="F74" i="48"/>
  <c r="L76" i="48"/>
  <c r="F109" i="48"/>
  <c r="F108" i="48"/>
  <c r="E108" i="48"/>
  <c r="L108" i="48"/>
  <c r="L112" i="48"/>
  <c r="F127" i="48"/>
  <c r="F146" i="48"/>
  <c r="D28" i="16"/>
  <c r="H185" i="48"/>
  <c r="F181" i="48"/>
  <c r="F176" i="48"/>
  <c r="F185" i="48"/>
  <c r="F180" i="48"/>
  <c r="F28" i="16"/>
  <c r="F177" i="48"/>
  <c r="L184" i="48"/>
  <c r="F178" i="48"/>
  <c r="F183" i="48"/>
  <c r="E28" i="16"/>
  <c r="F182" i="48"/>
  <c r="F175" i="48"/>
  <c r="F173" i="48"/>
  <c r="F171" i="48"/>
  <c r="P21" i="49"/>
  <c r="O22" i="49"/>
  <c r="U21" i="49"/>
  <c r="V21" i="49"/>
  <c r="F35" i="4"/>
  <c r="F39" i="4"/>
  <c r="L91" i="49"/>
  <c r="F91" i="49"/>
  <c r="L95" i="49"/>
  <c r="F95" i="49"/>
  <c r="Y74" i="4"/>
  <c r="L100" i="49"/>
  <c r="F100" i="49"/>
  <c r="F82" i="4"/>
  <c r="F84" i="4"/>
  <c r="X93" i="4"/>
  <c r="T96" i="4"/>
  <c r="F120" i="4"/>
  <c r="K27" i="16"/>
  <c r="H177" i="49"/>
  <c r="H182" i="49"/>
  <c r="H178" i="49"/>
  <c r="H183" i="49"/>
  <c r="H181" i="49"/>
  <c r="H175" i="49"/>
  <c r="H173" i="49"/>
  <c r="H171" i="49"/>
  <c r="H180" i="49"/>
  <c r="H176" i="49"/>
  <c r="L182" i="46"/>
  <c r="F20" i="47"/>
  <c r="L182" i="47"/>
  <c r="F20" i="48"/>
  <c r="E91" i="48"/>
  <c r="L69" i="48"/>
  <c r="E93" i="48"/>
  <c r="L71" i="48"/>
  <c r="E95" i="48"/>
  <c r="L73" i="48"/>
  <c r="E99" i="48"/>
  <c r="L77" i="48"/>
  <c r="H177" i="48"/>
  <c r="H182" i="48"/>
  <c r="H178" i="48"/>
  <c r="H183" i="48"/>
  <c r="H181" i="48"/>
  <c r="H175" i="48"/>
  <c r="H173" i="48"/>
  <c r="H171" i="48"/>
  <c r="H180" i="48"/>
  <c r="H176" i="48"/>
  <c r="F31" i="4"/>
  <c r="F34" i="4"/>
  <c r="F41" i="4"/>
  <c r="L89" i="49"/>
  <c r="F89" i="49"/>
  <c r="L92" i="49"/>
  <c r="F92" i="49"/>
  <c r="L96" i="49"/>
  <c r="F96" i="49"/>
  <c r="L98" i="49"/>
  <c r="F98" i="49"/>
  <c r="L102" i="49"/>
  <c r="F102" i="49"/>
  <c r="Y96" i="4"/>
  <c r="F104" i="4"/>
  <c r="F106" i="4"/>
  <c r="L127" i="50"/>
  <c r="W20" i="49"/>
  <c r="X20" i="49"/>
  <c r="Q21" i="49"/>
  <c r="R32" i="49"/>
  <c r="F32" i="49"/>
  <c r="F65" i="49"/>
  <c r="L66" i="49"/>
  <c r="L68" i="49"/>
  <c r="L69" i="49"/>
  <c r="L70" i="49"/>
  <c r="L71" i="49"/>
  <c r="L72" i="49"/>
  <c r="L73" i="49"/>
  <c r="L74" i="49"/>
  <c r="F76" i="49"/>
  <c r="L77" i="49"/>
  <c r="F80" i="49"/>
  <c r="F112" i="49"/>
  <c r="F108" i="49"/>
  <c r="E108" i="49"/>
  <c r="L108" i="49"/>
  <c r="F116" i="49"/>
  <c r="X21" i="50"/>
  <c r="Q22" i="50"/>
  <c r="P23" i="50"/>
  <c r="P29" i="50"/>
  <c r="F29" i="50"/>
  <c r="D64" i="50"/>
  <c r="T71" i="50"/>
  <c r="T90" i="50"/>
  <c r="T91" i="50"/>
  <c r="T92" i="50"/>
  <c r="T93" i="50"/>
  <c r="T94" i="50"/>
  <c r="T95" i="50"/>
  <c r="S96" i="50"/>
  <c r="Z96" i="50"/>
  <c r="E120" i="50"/>
  <c r="F127" i="50"/>
  <c r="X92" i="4"/>
  <c r="E32" i="49"/>
  <c r="U32" i="49"/>
  <c r="V32" i="49"/>
  <c r="L65" i="49"/>
  <c r="L76" i="49"/>
  <c r="L80" i="49"/>
  <c r="U21" i="50"/>
  <c r="V21" i="50"/>
  <c r="R22" i="50"/>
  <c r="F22" i="50"/>
  <c r="G7" i="16"/>
  <c r="G47" i="16"/>
  <c r="I47" i="16"/>
  <c r="I7" i="16"/>
  <c r="X91" i="4"/>
  <c r="X95" i="4"/>
  <c r="U20" i="49"/>
  <c r="V20" i="49"/>
  <c r="F67" i="49"/>
  <c r="F78" i="49"/>
  <c r="Y90" i="49"/>
  <c r="Y93" i="49"/>
  <c r="Y94" i="49"/>
  <c r="P20" i="50"/>
  <c r="P21" i="50"/>
  <c r="F21" i="50"/>
  <c r="T69" i="50"/>
  <c r="T67" i="50"/>
  <c r="T73" i="50"/>
  <c r="D86" i="50"/>
  <c r="L182" i="48"/>
  <c r="F20" i="49"/>
  <c r="L182" i="49"/>
  <c r="G180" i="50"/>
  <c r="K19" i="23"/>
  <c r="Q32" i="40"/>
  <c r="Q32" i="42"/>
  <c r="O32" i="28"/>
  <c r="O32" i="41"/>
  <c r="O32" i="50"/>
  <c r="Q32" i="28"/>
  <c r="Q32" i="41"/>
  <c r="O32" i="40"/>
  <c r="H164" i="42"/>
  <c r="H164" i="41"/>
  <c r="H47" i="16"/>
  <c r="L21" i="47"/>
  <c r="H21" i="47"/>
  <c r="U32" i="50"/>
  <c r="V32" i="50"/>
  <c r="E32" i="50"/>
  <c r="H32" i="50"/>
  <c r="R21" i="49"/>
  <c r="Q22" i="49"/>
  <c r="W21" i="49"/>
  <c r="X21" i="49"/>
  <c r="E21" i="49"/>
  <c r="Q22" i="46"/>
  <c r="W21" i="46"/>
  <c r="X21" i="46"/>
  <c r="R21" i="46"/>
  <c r="R22" i="48"/>
  <c r="Q23" i="48"/>
  <c r="W22" i="48"/>
  <c r="X22" i="48"/>
  <c r="L21" i="48"/>
  <c r="H21" i="48"/>
  <c r="F95" i="48"/>
  <c r="L95" i="48"/>
  <c r="F91" i="48"/>
  <c r="L91" i="48"/>
  <c r="U23" i="50"/>
  <c r="V23" i="50"/>
  <c r="L102" i="48"/>
  <c r="F102" i="48"/>
  <c r="L96" i="48"/>
  <c r="F96" i="48"/>
  <c r="L92" i="48"/>
  <c r="F92" i="48"/>
  <c r="H32" i="48"/>
  <c r="L32" i="48"/>
  <c r="H32" i="46"/>
  <c r="L32" i="46"/>
  <c r="L98" i="48"/>
  <c r="F98" i="48"/>
  <c r="F64" i="48"/>
  <c r="E64" i="48"/>
  <c r="L64" i="48"/>
  <c r="L89" i="46"/>
  <c r="F89" i="46"/>
  <c r="O23" i="46"/>
  <c r="U22" i="46"/>
  <c r="V22" i="46"/>
  <c r="E22" i="46"/>
  <c r="P22" i="46"/>
  <c r="F86" i="47"/>
  <c r="E86" i="47"/>
  <c r="L86" i="47"/>
  <c r="F64" i="49"/>
  <c r="E64" i="49"/>
  <c r="L64" i="49"/>
  <c r="P22" i="49"/>
  <c r="O23" i="49"/>
  <c r="U22" i="49"/>
  <c r="V22" i="49"/>
  <c r="E22" i="49"/>
  <c r="F100" i="48"/>
  <c r="L100" i="48"/>
  <c r="L87" i="48"/>
  <c r="F87" i="48"/>
  <c r="F64" i="46"/>
  <c r="E64" i="46"/>
  <c r="L64" i="46"/>
  <c r="L100" i="46"/>
  <c r="F100" i="46"/>
  <c r="P22" i="48"/>
  <c r="O23" i="48"/>
  <c r="U22" i="48"/>
  <c r="V22" i="48"/>
  <c r="E22" i="48"/>
  <c r="F21" i="46"/>
  <c r="Y89" i="49"/>
  <c r="F146" i="49"/>
  <c r="F146" i="4"/>
  <c r="H32" i="49"/>
  <c r="L32" i="49"/>
  <c r="P32" i="50"/>
  <c r="F32" i="50"/>
  <c r="Q23" i="50"/>
  <c r="W22" i="50"/>
  <c r="X22" i="50"/>
  <c r="F99" i="48"/>
  <c r="L99" i="48"/>
  <c r="F93" i="48"/>
  <c r="L93" i="48"/>
  <c r="F21" i="49"/>
  <c r="E22" i="50"/>
  <c r="H22" i="50"/>
  <c r="F89" i="48"/>
  <c r="L89" i="48"/>
  <c r="L94" i="48"/>
  <c r="F94" i="48"/>
  <c r="L90" i="48"/>
  <c r="F90" i="48"/>
  <c r="F86" i="49"/>
  <c r="E86" i="49"/>
  <c r="L86" i="49"/>
  <c r="F64" i="47"/>
  <c r="E64" i="47"/>
  <c r="L64" i="47"/>
  <c r="R21" i="47"/>
  <c r="Q22" i="47"/>
  <c r="W21" i="47"/>
  <c r="X21" i="47"/>
  <c r="P22" i="47"/>
  <c r="O23" i="47"/>
  <c r="U22" i="47"/>
  <c r="V22" i="47"/>
  <c r="F21" i="48"/>
  <c r="F86" i="46"/>
  <c r="E86" i="46"/>
  <c r="L86" i="46"/>
  <c r="E21" i="46"/>
  <c r="Z96" i="42"/>
  <c r="Z74" i="42"/>
  <c r="L82" i="42"/>
  <c r="L21" i="46"/>
  <c r="H21" i="46"/>
  <c r="R22" i="47"/>
  <c r="Q23" i="47"/>
  <c r="W22" i="47"/>
  <c r="X22" i="47"/>
  <c r="P23" i="47"/>
  <c r="U23" i="47"/>
  <c r="V23" i="47"/>
  <c r="H144" i="47"/>
  <c r="E23" i="47"/>
  <c r="W23" i="50"/>
  <c r="X23" i="50"/>
  <c r="R23" i="50"/>
  <c r="F23" i="50"/>
  <c r="P23" i="46"/>
  <c r="U23" i="46"/>
  <c r="V23" i="46"/>
  <c r="H144" i="46"/>
  <c r="F21" i="47"/>
  <c r="P23" i="48"/>
  <c r="U23" i="48"/>
  <c r="V23" i="48"/>
  <c r="H144" i="48"/>
  <c r="E23" i="48"/>
  <c r="P23" i="49"/>
  <c r="U23" i="49"/>
  <c r="V23" i="49"/>
  <c r="H144" i="49"/>
  <c r="L21" i="49"/>
  <c r="H21" i="49"/>
  <c r="F22" i="47"/>
  <c r="E22" i="47"/>
  <c r="F22" i="48"/>
  <c r="F144" i="48"/>
  <c r="F144" i="49"/>
  <c r="L22" i="46"/>
  <c r="H22" i="46"/>
  <c r="E23" i="50"/>
  <c r="H23" i="50"/>
  <c r="R23" i="48"/>
  <c r="F145" i="48"/>
  <c r="W23" i="48"/>
  <c r="X23" i="48"/>
  <c r="H145" i="48"/>
  <c r="R22" i="46"/>
  <c r="Q23" i="46"/>
  <c r="E23" i="46"/>
  <c r="W22" i="46"/>
  <c r="X22" i="46"/>
  <c r="L22" i="48"/>
  <c r="H22" i="48"/>
  <c r="F86" i="48"/>
  <c r="E86" i="48"/>
  <c r="L86" i="48"/>
  <c r="L22" i="49"/>
  <c r="H22" i="49"/>
  <c r="R22" i="49"/>
  <c r="F22" i="49"/>
  <c r="Q23" i="49"/>
  <c r="E23" i="49"/>
  <c r="W22" i="49"/>
  <c r="X22" i="49"/>
  <c r="O8" i="13"/>
  <c r="O7" i="13"/>
  <c r="BH7" i="13"/>
  <c r="Z95" i="42"/>
  <c r="Z93" i="42"/>
  <c r="Z92" i="42"/>
  <c r="Z91" i="42"/>
  <c r="Z90" i="42"/>
  <c r="Z73" i="42"/>
  <c r="Z71" i="42"/>
  <c r="Z70" i="42"/>
  <c r="Z69" i="42"/>
  <c r="Z68" i="42"/>
  <c r="E136" i="4"/>
  <c r="E135" i="4"/>
  <c r="E134" i="4"/>
  <c r="E133" i="4"/>
  <c r="E132" i="4"/>
  <c r="E131" i="4"/>
  <c r="E130" i="4"/>
  <c r="E129" i="4"/>
  <c r="E128" i="4"/>
  <c r="E118" i="4"/>
  <c r="E117" i="4"/>
  <c r="E116" i="4"/>
  <c r="E115" i="4"/>
  <c r="E114" i="4"/>
  <c r="E113" i="4"/>
  <c r="E112" i="4"/>
  <c r="E111" i="4"/>
  <c r="E110" i="4"/>
  <c r="E109" i="4"/>
  <c r="S95" i="4"/>
  <c r="S93" i="4"/>
  <c r="S92" i="4"/>
  <c r="S91" i="4"/>
  <c r="S90" i="4"/>
  <c r="E80" i="4"/>
  <c r="E79" i="4"/>
  <c r="E78" i="4"/>
  <c r="E77" i="4"/>
  <c r="E76" i="4"/>
  <c r="E75" i="4"/>
  <c r="E74" i="4"/>
  <c r="X73" i="4"/>
  <c r="S73" i="4"/>
  <c r="E73" i="4"/>
  <c r="X72" i="4"/>
  <c r="E72" i="4"/>
  <c r="X71" i="4"/>
  <c r="S71" i="4"/>
  <c r="E71" i="4"/>
  <c r="X70" i="4"/>
  <c r="S70" i="4"/>
  <c r="E70" i="4"/>
  <c r="X69" i="4"/>
  <c r="S69" i="4"/>
  <c r="E69" i="4"/>
  <c r="X68" i="4"/>
  <c r="S68" i="4"/>
  <c r="E68" i="4"/>
  <c r="E67" i="4"/>
  <c r="E66" i="4"/>
  <c r="E65" i="4"/>
  <c r="E38" i="4"/>
  <c r="E37" i="4"/>
  <c r="E36" i="4"/>
  <c r="E30" i="4"/>
  <c r="Q29" i="4"/>
  <c r="O29" i="4"/>
  <c r="E28" i="4"/>
  <c r="E27" i="4"/>
  <c r="E26" i="4"/>
  <c r="E25" i="4"/>
  <c r="E24" i="4"/>
  <c r="Q20" i="4"/>
  <c r="O20" i="4"/>
  <c r="J69" i="23"/>
  <c r="J70" i="23"/>
  <c r="J71" i="23"/>
  <c r="J72" i="23"/>
  <c r="J73" i="23"/>
  <c r="J74" i="23"/>
  <c r="J75" i="23"/>
  <c r="J76" i="23"/>
  <c r="J77" i="23"/>
  <c r="J78" i="23"/>
  <c r="J79" i="23"/>
  <c r="J80" i="23"/>
  <c r="J81" i="23"/>
  <c r="J82" i="23"/>
  <c r="J83" i="23"/>
  <c r="J68" i="23"/>
  <c r="J40" i="23"/>
  <c r="J16" i="23"/>
  <c r="I16" i="23"/>
  <c r="J32" i="23"/>
  <c r="J31" i="23"/>
  <c r="J19" i="23"/>
  <c r="J9" i="23"/>
  <c r="J10" i="23"/>
  <c r="L23" i="46"/>
  <c r="H23" i="46"/>
  <c r="L23" i="49"/>
  <c r="H23" i="49"/>
  <c r="H144" i="4"/>
  <c r="F23" i="48"/>
  <c r="R23" i="49"/>
  <c r="F23" i="49"/>
  <c r="W23" i="49"/>
  <c r="X23" i="49"/>
  <c r="H145" i="49"/>
  <c r="H145" i="4"/>
  <c r="R23" i="46"/>
  <c r="F145" i="46"/>
  <c r="W23" i="46"/>
  <c r="X23" i="46"/>
  <c r="H145" i="46"/>
  <c r="L22" i="47"/>
  <c r="H22" i="47"/>
  <c r="F145" i="49"/>
  <c r="F144" i="47"/>
  <c r="F144" i="4"/>
  <c r="F22" i="46"/>
  <c r="L23" i="48"/>
  <c r="H23" i="48"/>
  <c r="F23" i="46"/>
  <c r="F144" i="46"/>
  <c r="L23" i="47"/>
  <c r="H23" i="47"/>
  <c r="R23" i="47"/>
  <c r="F145" i="47"/>
  <c r="W23" i="47"/>
  <c r="X23" i="47"/>
  <c r="H145" i="47"/>
  <c r="Q32" i="4"/>
  <c r="S72" i="4"/>
  <c r="Z72" i="42"/>
  <c r="Z94" i="42"/>
  <c r="S94" i="4"/>
  <c r="O32" i="4"/>
  <c r="F23" i="47"/>
  <c r="F145" i="4"/>
  <c r="X96" i="4"/>
  <c r="S96" i="4"/>
  <c r="Z93" i="4"/>
  <c r="E106" i="4"/>
  <c r="E107" i="4"/>
  <c r="E84" i="4"/>
  <c r="E85" i="4"/>
  <c r="Z96" i="4"/>
  <c r="Z95" i="4"/>
  <c r="T95" i="4"/>
  <c r="Z94" i="4"/>
  <c r="T94" i="4"/>
  <c r="Z92" i="4"/>
  <c r="T92" i="4"/>
  <c r="Z91" i="4"/>
  <c r="T91" i="4"/>
  <c r="Z90" i="4"/>
  <c r="T90" i="4"/>
  <c r="O86" i="4"/>
  <c r="E40" i="4"/>
  <c r="E41" i="4"/>
  <c r="E34" i="4"/>
  <c r="I21" i="16"/>
  <c r="G21" i="16"/>
  <c r="I20" i="16"/>
  <c r="G20" i="16"/>
  <c r="K19" i="16"/>
  <c r="I19" i="16"/>
  <c r="G19" i="16"/>
  <c r="G18" i="16"/>
  <c r="I176" i="45"/>
  <c r="H176" i="45"/>
  <c r="G176" i="45"/>
  <c r="F176" i="45"/>
  <c r="E176" i="45"/>
  <c r="D176" i="45"/>
  <c r="C176" i="45"/>
  <c r="I168" i="45"/>
  <c r="H168" i="45"/>
  <c r="G168" i="45"/>
  <c r="F168" i="45"/>
  <c r="E168" i="45"/>
  <c r="D168" i="45"/>
  <c r="C168" i="45"/>
  <c r="A162" i="45"/>
  <c r="A161" i="45"/>
  <c r="A160" i="45"/>
  <c r="A159" i="45"/>
  <c r="A158" i="45"/>
  <c r="A157" i="45"/>
  <c r="A156" i="45"/>
  <c r="A155" i="45"/>
  <c r="A154" i="45"/>
  <c r="A153" i="45"/>
  <c r="A152" i="45"/>
  <c r="A151" i="45"/>
  <c r="A150" i="45"/>
  <c r="A149" i="45"/>
  <c r="I148" i="45"/>
  <c r="H148" i="45"/>
  <c r="G148" i="45"/>
  <c r="F148" i="45"/>
  <c r="E148" i="45"/>
  <c r="D148" i="45"/>
  <c r="C148" i="45"/>
  <c r="I139" i="45"/>
  <c r="H139" i="45"/>
  <c r="G139" i="45"/>
  <c r="F139" i="45"/>
  <c r="E139" i="45"/>
  <c r="D139" i="45"/>
  <c r="C139" i="45"/>
  <c r="B133" i="45"/>
  <c r="B132" i="45"/>
  <c r="B131" i="45"/>
  <c r="B130" i="45"/>
  <c r="B129" i="45"/>
  <c r="B128" i="45"/>
  <c r="B127" i="45"/>
  <c r="B126" i="45"/>
  <c r="B125" i="45"/>
  <c r="B124" i="45"/>
  <c r="B123" i="45"/>
  <c r="B122" i="45"/>
  <c r="B121" i="45"/>
  <c r="B120" i="45"/>
  <c r="I119" i="45"/>
  <c r="H119" i="45"/>
  <c r="G119" i="45"/>
  <c r="F119" i="45"/>
  <c r="E119" i="45"/>
  <c r="D119" i="45"/>
  <c r="C119" i="45"/>
  <c r="Z117" i="45"/>
  <c r="J117" i="45"/>
  <c r="R117" i="45"/>
  <c r="Z116" i="45"/>
  <c r="J116" i="45"/>
  <c r="S116" i="45"/>
  <c r="Y114" i="45"/>
  <c r="Z114" i="45"/>
  <c r="J114" i="45"/>
  <c r="R114" i="45"/>
  <c r="B113" i="45"/>
  <c r="B112" i="45"/>
  <c r="B111" i="45"/>
  <c r="B110" i="45"/>
  <c r="B109" i="45"/>
  <c r="B108" i="45"/>
  <c r="B107" i="45"/>
  <c r="B106" i="45"/>
  <c r="B105" i="45"/>
  <c r="B104" i="45"/>
  <c r="B103" i="45"/>
  <c r="B102" i="45"/>
  <c r="B101" i="45"/>
  <c r="B99" i="45"/>
  <c r="B98" i="45"/>
  <c r="B97" i="45"/>
  <c r="B96" i="45"/>
  <c r="B95" i="45"/>
  <c r="B94" i="45"/>
  <c r="B93" i="45"/>
  <c r="B92" i="45"/>
  <c r="B91" i="45"/>
  <c r="B90" i="45"/>
  <c r="B89" i="45"/>
  <c r="B88" i="45"/>
  <c r="B87" i="45"/>
  <c r="B86" i="45"/>
  <c r="B85" i="45"/>
  <c r="B84" i="45"/>
  <c r="B83" i="45"/>
  <c r="B82" i="45"/>
  <c r="B81" i="45"/>
  <c r="B80" i="45"/>
  <c r="B79" i="45"/>
  <c r="B77" i="45"/>
  <c r="B76" i="45"/>
  <c r="B75" i="45"/>
  <c r="B74" i="45"/>
  <c r="B73" i="45"/>
  <c r="B72" i="45"/>
  <c r="B71" i="45"/>
  <c r="B70" i="45"/>
  <c r="B69" i="45"/>
  <c r="B68" i="45"/>
  <c r="B67" i="45"/>
  <c r="B66" i="45"/>
  <c r="B65" i="45"/>
  <c r="B64" i="45"/>
  <c r="B63" i="45"/>
  <c r="B62" i="45"/>
  <c r="B61" i="45"/>
  <c r="B60" i="45"/>
  <c r="B59" i="45"/>
  <c r="B58" i="45"/>
  <c r="B57" i="45"/>
  <c r="AB56" i="45"/>
  <c r="I55" i="45"/>
  <c r="H55" i="45"/>
  <c r="G55" i="45"/>
  <c r="F55" i="45"/>
  <c r="E55" i="45"/>
  <c r="D55" i="45"/>
  <c r="C55" i="45"/>
  <c r="Z50" i="45"/>
  <c r="J50" i="45"/>
  <c r="R50" i="45"/>
  <c r="I48" i="45"/>
  <c r="H48" i="45"/>
  <c r="G48" i="45"/>
  <c r="F48" i="45"/>
  <c r="E48" i="45"/>
  <c r="D48" i="45"/>
  <c r="C48" i="45"/>
  <c r="B43" i="45"/>
  <c r="B42" i="45"/>
  <c r="B41" i="45"/>
  <c r="B40" i="45"/>
  <c r="B39" i="45"/>
  <c r="B38" i="45"/>
  <c r="B37" i="45"/>
  <c r="B36" i="45"/>
  <c r="B35" i="45"/>
  <c r="B34" i="45"/>
  <c r="B33" i="45"/>
  <c r="B32" i="45"/>
  <c r="B31" i="45"/>
  <c r="B30" i="45"/>
  <c r="B29" i="45"/>
  <c r="B28" i="45"/>
  <c r="B27" i="45"/>
  <c r="B26" i="45"/>
  <c r="B25" i="45"/>
  <c r="B24" i="45"/>
  <c r="B23" i="45"/>
  <c r="B22" i="45"/>
  <c r="B21" i="45"/>
  <c r="B20" i="45"/>
  <c r="B19" i="45"/>
  <c r="B18" i="45"/>
  <c r="B17" i="45"/>
  <c r="B16" i="45"/>
  <c r="AJ14" i="45"/>
  <c r="AJ148" i="45"/>
  <c r="AI14" i="45"/>
  <c r="AH14" i="45"/>
  <c r="AG14" i="45"/>
  <c r="AF14" i="45"/>
  <c r="AE14" i="45"/>
  <c r="AD14" i="45"/>
  <c r="AW14" i="45"/>
  <c r="X14" i="45"/>
  <c r="W14" i="45"/>
  <c r="V14" i="45"/>
  <c r="A13" i="45"/>
  <c r="O9" i="45"/>
  <c r="O8" i="45"/>
  <c r="K8" i="45"/>
  <c r="AL7" i="45"/>
  <c r="K7" i="45"/>
  <c r="P4" i="45"/>
  <c r="P5" i="45"/>
  <c r="O4" i="45"/>
  <c r="O5" i="45"/>
  <c r="N4" i="45"/>
  <c r="N5" i="45"/>
  <c r="M4" i="45"/>
  <c r="AN4" i="45"/>
  <c r="AN5" i="45"/>
  <c r="L4" i="45"/>
  <c r="L5" i="45"/>
  <c r="P3" i="45"/>
  <c r="O3" i="45"/>
  <c r="N3" i="45"/>
  <c r="AO3" i="45"/>
  <c r="M3" i="45"/>
  <c r="AN3" i="45"/>
  <c r="L3" i="45"/>
  <c r="AM3" i="45"/>
  <c r="I176" i="44"/>
  <c r="H176" i="44"/>
  <c r="G176" i="44"/>
  <c r="F176" i="44"/>
  <c r="E176" i="44"/>
  <c r="D176" i="44"/>
  <c r="C176" i="44"/>
  <c r="I168" i="44"/>
  <c r="H168" i="44"/>
  <c r="G168" i="44"/>
  <c r="F168" i="44"/>
  <c r="E168" i="44"/>
  <c r="D168" i="44"/>
  <c r="C168" i="44"/>
  <c r="A162" i="44"/>
  <c r="A161" i="44"/>
  <c r="A160" i="44"/>
  <c r="A159" i="44"/>
  <c r="A158" i="44"/>
  <c r="A157" i="44"/>
  <c r="A156" i="44"/>
  <c r="A155" i="44"/>
  <c r="A154" i="44"/>
  <c r="A153" i="44"/>
  <c r="A152" i="44"/>
  <c r="A151" i="44"/>
  <c r="A150" i="44"/>
  <c r="A149" i="44"/>
  <c r="I148" i="44"/>
  <c r="H148" i="44"/>
  <c r="G148" i="44"/>
  <c r="F148" i="44"/>
  <c r="E148" i="44"/>
  <c r="D148" i="44"/>
  <c r="C148" i="44"/>
  <c r="I139" i="44"/>
  <c r="H139" i="44"/>
  <c r="G139" i="44"/>
  <c r="F139" i="44"/>
  <c r="E139" i="44"/>
  <c r="D139" i="44"/>
  <c r="C139" i="44"/>
  <c r="B133" i="44"/>
  <c r="B132" i="44"/>
  <c r="B131" i="44"/>
  <c r="B130" i="44"/>
  <c r="B129" i="44"/>
  <c r="B128" i="44"/>
  <c r="B127" i="44"/>
  <c r="B126" i="44"/>
  <c r="B125" i="44"/>
  <c r="B124" i="44"/>
  <c r="B123" i="44"/>
  <c r="B122" i="44"/>
  <c r="B121" i="44"/>
  <c r="B120" i="44"/>
  <c r="I119" i="44"/>
  <c r="H119" i="44"/>
  <c r="G119" i="44"/>
  <c r="F119" i="44"/>
  <c r="E119" i="44"/>
  <c r="D119" i="44"/>
  <c r="C119" i="44"/>
  <c r="Z117" i="44"/>
  <c r="J117" i="44"/>
  <c r="R117" i="44"/>
  <c r="Z116" i="44"/>
  <c r="J116" i="44"/>
  <c r="O116" i="44"/>
  <c r="Y114" i="44"/>
  <c r="Z114" i="44"/>
  <c r="J114" i="44"/>
  <c r="O114" i="44"/>
  <c r="B113" i="44"/>
  <c r="B112" i="44"/>
  <c r="B111" i="44"/>
  <c r="B110" i="44"/>
  <c r="B109" i="44"/>
  <c r="B108" i="44"/>
  <c r="B107" i="44"/>
  <c r="B106" i="44"/>
  <c r="B105" i="44"/>
  <c r="B104" i="44"/>
  <c r="B103" i="44"/>
  <c r="B102" i="44"/>
  <c r="B101" i="44"/>
  <c r="B99" i="44"/>
  <c r="B98" i="44"/>
  <c r="B97" i="44"/>
  <c r="B96" i="44"/>
  <c r="B95" i="44"/>
  <c r="B94" i="44"/>
  <c r="B93" i="44"/>
  <c r="B92" i="44"/>
  <c r="B91" i="44"/>
  <c r="B90" i="44"/>
  <c r="B89" i="44"/>
  <c r="B88" i="44"/>
  <c r="B87" i="44"/>
  <c r="B86" i="44"/>
  <c r="B85" i="44"/>
  <c r="B84" i="44"/>
  <c r="B83" i="44"/>
  <c r="B82" i="44"/>
  <c r="B81" i="44"/>
  <c r="B80" i="44"/>
  <c r="B79" i="44"/>
  <c r="B77" i="44"/>
  <c r="B76" i="44"/>
  <c r="B75" i="44"/>
  <c r="B74" i="44"/>
  <c r="B73" i="44"/>
  <c r="B72" i="44"/>
  <c r="B71" i="44"/>
  <c r="B70" i="44"/>
  <c r="B69" i="44"/>
  <c r="B68" i="44"/>
  <c r="B67" i="44"/>
  <c r="B66" i="44"/>
  <c r="B65" i="44"/>
  <c r="B64" i="44"/>
  <c r="B63" i="44"/>
  <c r="B62" i="44"/>
  <c r="B61" i="44"/>
  <c r="B60" i="44"/>
  <c r="B59" i="44"/>
  <c r="B58" i="44"/>
  <c r="B57" i="44"/>
  <c r="AB56" i="44"/>
  <c r="I55" i="44"/>
  <c r="H55" i="44"/>
  <c r="G55" i="44"/>
  <c r="F55" i="44"/>
  <c r="E55" i="44"/>
  <c r="D55" i="44"/>
  <c r="C55" i="44"/>
  <c r="Z50" i="44"/>
  <c r="J50" i="44"/>
  <c r="I48" i="44"/>
  <c r="H48" i="44"/>
  <c r="G48" i="44"/>
  <c r="F48" i="44"/>
  <c r="E48" i="44"/>
  <c r="D48" i="44"/>
  <c r="C48" i="44"/>
  <c r="B43" i="44"/>
  <c r="B42" i="44"/>
  <c r="B41" i="44"/>
  <c r="B40" i="44"/>
  <c r="B39" i="44"/>
  <c r="B38" i="44"/>
  <c r="B37" i="44"/>
  <c r="B36" i="44"/>
  <c r="B35" i="44"/>
  <c r="B34" i="44"/>
  <c r="B33" i="44"/>
  <c r="B32" i="44"/>
  <c r="B31" i="44"/>
  <c r="B30" i="44"/>
  <c r="B29" i="44"/>
  <c r="B28" i="44"/>
  <c r="B27" i="44"/>
  <c r="B26" i="44"/>
  <c r="B25" i="44"/>
  <c r="B24" i="44"/>
  <c r="B23" i="44"/>
  <c r="B22" i="44"/>
  <c r="B21" i="44"/>
  <c r="B20" i="44"/>
  <c r="B19" i="44"/>
  <c r="B18" i="44"/>
  <c r="B17" i="44"/>
  <c r="B16" i="44"/>
  <c r="AJ14" i="44"/>
  <c r="AJ148" i="44"/>
  <c r="AI14" i="44"/>
  <c r="AH14" i="44"/>
  <c r="AG14" i="44"/>
  <c r="AF14" i="44"/>
  <c r="AE14" i="44"/>
  <c r="AL8" i="44"/>
  <c r="AD14" i="44"/>
  <c r="AL7" i="44"/>
  <c r="X14" i="44"/>
  <c r="W14" i="44"/>
  <c r="V14" i="44"/>
  <c r="A13" i="44"/>
  <c r="O9" i="44"/>
  <c r="O8" i="44"/>
  <c r="K8" i="44"/>
  <c r="K7" i="44"/>
  <c r="P4" i="44"/>
  <c r="P5" i="44"/>
  <c r="O4" i="44"/>
  <c r="O5" i="44"/>
  <c r="N4" i="44"/>
  <c r="AO4" i="44"/>
  <c r="AO5" i="44"/>
  <c r="M4" i="44"/>
  <c r="M5" i="44"/>
  <c r="L4" i="44"/>
  <c r="AM4" i="44"/>
  <c r="AM5" i="44"/>
  <c r="P3" i="44"/>
  <c r="O3" i="44"/>
  <c r="N3" i="44"/>
  <c r="AO3" i="44"/>
  <c r="M3" i="44"/>
  <c r="AN3" i="44"/>
  <c r="L3" i="44"/>
  <c r="AM3" i="44"/>
  <c r="I176" i="43"/>
  <c r="H176" i="43"/>
  <c r="G176" i="43"/>
  <c r="F176" i="43"/>
  <c r="E176" i="43"/>
  <c r="D176" i="43"/>
  <c r="C176" i="43"/>
  <c r="I168" i="43"/>
  <c r="H168" i="43"/>
  <c r="G168" i="43"/>
  <c r="F168" i="43"/>
  <c r="E168" i="43"/>
  <c r="D168" i="43"/>
  <c r="C168" i="43"/>
  <c r="A162" i="43"/>
  <c r="A161" i="43"/>
  <c r="A160" i="43"/>
  <c r="A159" i="43"/>
  <c r="A158" i="43"/>
  <c r="A157" i="43"/>
  <c r="A156" i="43"/>
  <c r="A155" i="43"/>
  <c r="A154" i="43"/>
  <c r="A153" i="43"/>
  <c r="A152" i="43"/>
  <c r="A151" i="43"/>
  <c r="A150" i="43"/>
  <c r="A149" i="43"/>
  <c r="I148" i="43"/>
  <c r="H148" i="43"/>
  <c r="G148" i="43"/>
  <c r="F148" i="43"/>
  <c r="E148" i="43"/>
  <c r="D148" i="43"/>
  <c r="C148" i="43"/>
  <c r="I139" i="43"/>
  <c r="H139" i="43"/>
  <c r="G139" i="43"/>
  <c r="F139" i="43"/>
  <c r="E139" i="43"/>
  <c r="D139" i="43"/>
  <c r="C139" i="43"/>
  <c r="B133" i="43"/>
  <c r="B132" i="43"/>
  <c r="B131" i="43"/>
  <c r="B130" i="43"/>
  <c r="B129" i="43"/>
  <c r="B128" i="43"/>
  <c r="B127" i="43"/>
  <c r="B126" i="43"/>
  <c r="B125" i="43"/>
  <c r="B124" i="43"/>
  <c r="B123" i="43"/>
  <c r="B122" i="43"/>
  <c r="B121" i="43"/>
  <c r="B120" i="43"/>
  <c r="I119" i="43"/>
  <c r="H119" i="43"/>
  <c r="G119" i="43"/>
  <c r="F119" i="43"/>
  <c r="E119" i="43"/>
  <c r="D119" i="43"/>
  <c r="C119" i="43"/>
  <c r="Z117" i="43"/>
  <c r="J117" i="43"/>
  <c r="S117" i="43"/>
  <c r="Z116" i="43"/>
  <c r="J116" i="43"/>
  <c r="R116" i="43"/>
  <c r="Y114" i="43"/>
  <c r="Z114" i="43"/>
  <c r="J114" i="43"/>
  <c r="R114" i="43"/>
  <c r="B113" i="43"/>
  <c r="B112" i="43"/>
  <c r="B111" i="43"/>
  <c r="B110" i="43"/>
  <c r="B109" i="43"/>
  <c r="B108" i="43"/>
  <c r="B107" i="43"/>
  <c r="B106" i="43"/>
  <c r="B105" i="43"/>
  <c r="B104" i="43"/>
  <c r="B103" i="43"/>
  <c r="B102" i="43"/>
  <c r="B101" i="43"/>
  <c r="B99" i="43"/>
  <c r="B98" i="43"/>
  <c r="B97" i="43"/>
  <c r="B96" i="43"/>
  <c r="B95" i="43"/>
  <c r="B94" i="43"/>
  <c r="B93" i="43"/>
  <c r="B92" i="43"/>
  <c r="B91" i="43"/>
  <c r="B90" i="43"/>
  <c r="B89" i="43"/>
  <c r="B88" i="43"/>
  <c r="B87" i="43"/>
  <c r="B86" i="43"/>
  <c r="B85" i="43"/>
  <c r="B84" i="43"/>
  <c r="B83" i="43"/>
  <c r="B82" i="43"/>
  <c r="B81" i="43"/>
  <c r="B80" i="43"/>
  <c r="B79" i="43"/>
  <c r="B77" i="43"/>
  <c r="B76" i="43"/>
  <c r="B75" i="43"/>
  <c r="B74" i="43"/>
  <c r="B73" i="43"/>
  <c r="B72" i="43"/>
  <c r="B71" i="43"/>
  <c r="B70" i="43"/>
  <c r="B69" i="43"/>
  <c r="B68" i="43"/>
  <c r="B67" i="43"/>
  <c r="B66" i="43"/>
  <c r="B65" i="43"/>
  <c r="B64" i="43"/>
  <c r="B63" i="43"/>
  <c r="B62" i="43"/>
  <c r="B61" i="43"/>
  <c r="B60" i="43"/>
  <c r="B59" i="43"/>
  <c r="B58" i="43"/>
  <c r="B57" i="43"/>
  <c r="AB56" i="43"/>
  <c r="I55" i="43"/>
  <c r="H55" i="43"/>
  <c r="G55" i="43"/>
  <c r="F55" i="43"/>
  <c r="E55" i="43"/>
  <c r="D55" i="43"/>
  <c r="C55" i="43"/>
  <c r="Z50" i="43"/>
  <c r="J50" i="43"/>
  <c r="I48" i="43"/>
  <c r="H48" i="43"/>
  <c r="G48" i="43"/>
  <c r="F48" i="43"/>
  <c r="E48" i="43"/>
  <c r="D48" i="43"/>
  <c r="C48" i="43"/>
  <c r="B43" i="43"/>
  <c r="B42" i="43"/>
  <c r="B41" i="43"/>
  <c r="B40" i="43"/>
  <c r="B39" i="43"/>
  <c r="B38" i="43"/>
  <c r="B37" i="43"/>
  <c r="B36" i="43"/>
  <c r="B35" i="43"/>
  <c r="B34" i="43"/>
  <c r="B33" i="43"/>
  <c r="B32" i="43"/>
  <c r="B31" i="43"/>
  <c r="B30" i="43"/>
  <c r="B29" i="43"/>
  <c r="B28" i="43"/>
  <c r="B27" i="43"/>
  <c r="B26" i="43"/>
  <c r="B25" i="43"/>
  <c r="B24" i="43"/>
  <c r="B23" i="43"/>
  <c r="B22" i="43"/>
  <c r="B21" i="43"/>
  <c r="B20" i="43"/>
  <c r="B19" i="43"/>
  <c r="B18" i="43"/>
  <c r="B17" i="43"/>
  <c r="B16" i="43"/>
  <c r="AJ14" i="43"/>
  <c r="AJ148" i="43"/>
  <c r="AI14" i="43"/>
  <c r="AH14" i="43"/>
  <c r="AG14" i="43"/>
  <c r="AF14" i="43"/>
  <c r="AE14" i="43"/>
  <c r="AX14" i="43"/>
  <c r="AD14" i="43"/>
  <c r="AL7" i="43"/>
  <c r="X14" i="43"/>
  <c r="W14" i="43"/>
  <c r="V14" i="43"/>
  <c r="A13" i="43"/>
  <c r="O9" i="43"/>
  <c r="O8" i="43"/>
  <c r="L176" i="43"/>
  <c r="K8" i="43"/>
  <c r="K7" i="43"/>
  <c r="P4" i="43"/>
  <c r="P5" i="43"/>
  <c r="O4" i="43"/>
  <c r="O5" i="43"/>
  <c r="N4" i="43"/>
  <c r="AO4" i="43"/>
  <c r="AO5" i="43"/>
  <c r="M4" i="43"/>
  <c r="M5" i="43"/>
  <c r="L4" i="43"/>
  <c r="AM4" i="43"/>
  <c r="AM5" i="43"/>
  <c r="P3" i="43"/>
  <c r="O3" i="43"/>
  <c r="N3" i="43"/>
  <c r="AO3" i="43"/>
  <c r="M3" i="43"/>
  <c r="AN3" i="43"/>
  <c r="L3" i="43"/>
  <c r="AM3" i="43"/>
  <c r="D198" i="42"/>
  <c r="H197" i="42"/>
  <c r="D193" i="42"/>
  <c r="I191" i="42"/>
  <c r="E191" i="42"/>
  <c r="D187" i="42"/>
  <c r="L185" i="42"/>
  <c r="L183" i="42"/>
  <c r="G182" i="42"/>
  <c r="E182" i="42"/>
  <c r="G181" i="42"/>
  <c r="E181" i="42"/>
  <c r="G180" i="42"/>
  <c r="E180" i="42"/>
  <c r="L179" i="42"/>
  <c r="L178" i="42"/>
  <c r="L177" i="42"/>
  <c r="L176" i="42"/>
  <c r="L175" i="42"/>
  <c r="L174" i="42"/>
  <c r="L173" i="42"/>
  <c r="L172" i="42"/>
  <c r="L171" i="42"/>
  <c r="D167" i="42"/>
  <c r="G164" i="42"/>
  <c r="D157" i="42"/>
  <c r="D149" i="42"/>
  <c r="D141" i="42"/>
  <c r="D138" i="42"/>
  <c r="M136" i="42"/>
  <c r="F136" i="42"/>
  <c r="M135" i="42"/>
  <c r="F135" i="42"/>
  <c r="L135" i="42"/>
  <c r="M134" i="42"/>
  <c r="F134" i="42"/>
  <c r="L134" i="42"/>
  <c r="M133" i="42"/>
  <c r="F133" i="42"/>
  <c r="L133" i="42"/>
  <c r="M132" i="42"/>
  <c r="F132" i="42"/>
  <c r="L132" i="42"/>
  <c r="M131" i="42"/>
  <c r="F131" i="42"/>
  <c r="L131" i="42"/>
  <c r="M130" i="42"/>
  <c r="F130" i="42"/>
  <c r="L130" i="42"/>
  <c r="M129" i="42"/>
  <c r="F129" i="42"/>
  <c r="L129" i="42"/>
  <c r="M128" i="42"/>
  <c r="F128" i="42"/>
  <c r="D127" i="42"/>
  <c r="M127" i="42"/>
  <c r="L122" i="42"/>
  <c r="L121" i="42"/>
  <c r="F121" i="42"/>
  <c r="L120" i="42"/>
  <c r="F120" i="42"/>
  <c r="L119" i="42"/>
  <c r="F119" i="42"/>
  <c r="L118" i="42"/>
  <c r="F117" i="42"/>
  <c r="F116" i="42"/>
  <c r="F115" i="42"/>
  <c r="L114" i="42"/>
  <c r="F113" i="42"/>
  <c r="L112" i="42"/>
  <c r="F112" i="42"/>
  <c r="L111" i="42"/>
  <c r="L110" i="42"/>
  <c r="F109" i="42"/>
  <c r="D108" i="42"/>
  <c r="L107" i="42"/>
  <c r="F107" i="42"/>
  <c r="L106" i="42"/>
  <c r="F106" i="42"/>
  <c r="L105" i="42"/>
  <c r="F105" i="42"/>
  <c r="L104" i="42"/>
  <c r="F104" i="42"/>
  <c r="L103" i="42"/>
  <c r="F103" i="42"/>
  <c r="E102" i="42"/>
  <c r="L102" i="42"/>
  <c r="Y96" i="42"/>
  <c r="T96" i="42"/>
  <c r="Y95" i="42"/>
  <c r="T95" i="42"/>
  <c r="Y94" i="42"/>
  <c r="T94" i="42"/>
  <c r="E94" i="42"/>
  <c r="L94" i="42"/>
  <c r="Y93" i="42"/>
  <c r="T93" i="42"/>
  <c r="Y92" i="42"/>
  <c r="T92" i="42"/>
  <c r="Y91" i="42"/>
  <c r="T91" i="42"/>
  <c r="Y90" i="42"/>
  <c r="T90" i="42"/>
  <c r="O86" i="42"/>
  <c r="D86" i="42"/>
  <c r="L85" i="42"/>
  <c r="F85" i="42"/>
  <c r="L84" i="42"/>
  <c r="F84" i="42"/>
  <c r="L83" i="42"/>
  <c r="F83" i="42"/>
  <c r="F82" i="42"/>
  <c r="L81" i="42"/>
  <c r="F81" i="42"/>
  <c r="F80" i="42"/>
  <c r="E101" i="42"/>
  <c r="F77" i="42"/>
  <c r="F75" i="42"/>
  <c r="Y74" i="42"/>
  <c r="T74" i="42"/>
  <c r="F74" i="42"/>
  <c r="Y73" i="42"/>
  <c r="T73" i="42"/>
  <c r="Y72" i="42"/>
  <c r="T72" i="42"/>
  <c r="F72" i="42"/>
  <c r="Y71" i="42"/>
  <c r="T71" i="42"/>
  <c r="F71" i="42"/>
  <c r="Y70" i="42"/>
  <c r="T70" i="42"/>
  <c r="F70" i="42"/>
  <c r="Y69" i="42"/>
  <c r="T69" i="42"/>
  <c r="F69" i="42"/>
  <c r="Y68" i="42"/>
  <c r="T68" i="42"/>
  <c r="F67" i="42"/>
  <c r="F66" i="42"/>
  <c r="L65" i="42"/>
  <c r="E87" i="42"/>
  <c r="L87" i="42"/>
  <c r="O64" i="42"/>
  <c r="D64" i="42"/>
  <c r="D55" i="42"/>
  <c r="L53" i="42"/>
  <c r="H53" i="42"/>
  <c r="F53" i="42"/>
  <c r="D49" i="42"/>
  <c r="H41" i="42"/>
  <c r="F41" i="42"/>
  <c r="H40" i="42"/>
  <c r="F40" i="42"/>
  <c r="L39" i="42"/>
  <c r="H39" i="42"/>
  <c r="F39" i="42"/>
  <c r="L38" i="42"/>
  <c r="L36" i="42"/>
  <c r="L35" i="42"/>
  <c r="H35" i="42"/>
  <c r="F35" i="42"/>
  <c r="L34" i="42"/>
  <c r="H34" i="42"/>
  <c r="F34" i="42"/>
  <c r="L33" i="42"/>
  <c r="H33" i="42"/>
  <c r="F33" i="42"/>
  <c r="U32" i="42"/>
  <c r="V32" i="42"/>
  <c r="L31" i="42"/>
  <c r="H31" i="42"/>
  <c r="F31" i="42"/>
  <c r="U29" i="42"/>
  <c r="V29" i="42"/>
  <c r="R29" i="42"/>
  <c r="L28" i="42"/>
  <c r="L27" i="42"/>
  <c r="L26" i="42"/>
  <c r="H25" i="42"/>
  <c r="L25" i="42"/>
  <c r="F24" i="42"/>
  <c r="R20" i="42"/>
  <c r="G19" i="42"/>
  <c r="D13" i="42"/>
  <c r="I10" i="42"/>
  <c r="D6" i="42"/>
  <c r="B4" i="42"/>
  <c r="D198" i="41"/>
  <c r="H197" i="41"/>
  <c r="D193" i="41"/>
  <c r="I191" i="41"/>
  <c r="E191" i="41"/>
  <c r="D187" i="41"/>
  <c r="L185" i="41"/>
  <c r="L183" i="41"/>
  <c r="G182" i="41"/>
  <c r="E182" i="41"/>
  <c r="G181" i="41"/>
  <c r="E181" i="41"/>
  <c r="G180" i="41"/>
  <c r="E180" i="41"/>
  <c r="L179" i="41"/>
  <c r="L178" i="41"/>
  <c r="L177" i="41"/>
  <c r="L176" i="41"/>
  <c r="L175" i="41"/>
  <c r="L174" i="41"/>
  <c r="L173" i="41"/>
  <c r="L172" i="41"/>
  <c r="L171" i="41"/>
  <c r="D167" i="41"/>
  <c r="G164" i="41"/>
  <c r="D157" i="41"/>
  <c r="D149" i="41"/>
  <c r="D141" i="41"/>
  <c r="D138" i="41"/>
  <c r="M136" i="41"/>
  <c r="F136" i="41"/>
  <c r="M135" i="41"/>
  <c r="F135" i="41"/>
  <c r="L135" i="41"/>
  <c r="M134" i="41"/>
  <c r="F134" i="41"/>
  <c r="L134" i="41"/>
  <c r="M133" i="41"/>
  <c r="F133" i="41"/>
  <c r="L133" i="41"/>
  <c r="M132" i="41"/>
  <c r="F132" i="41"/>
  <c r="L132" i="41"/>
  <c r="M131" i="41"/>
  <c r="F131" i="41"/>
  <c r="L131" i="41"/>
  <c r="M130" i="41"/>
  <c r="F130" i="41"/>
  <c r="L130" i="41"/>
  <c r="M129" i="41"/>
  <c r="F129" i="41"/>
  <c r="L129" i="41"/>
  <c r="M128" i="41"/>
  <c r="F128" i="41"/>
  <c r="D127" i="41"/>
  <c r="M127" i="41"/>
  <c r="L122" i="41"/>
  <c r="L121" i="41"/>
  <c r="F121" i="41"/>
  <c r="L120" i="41"/>
  <c r="F120" i="41"/>
  <c r="L119" i="41"/>
  <c r="F119" i="41"/>
  <c r="L118" i="41"/>
  <c r="F117" i="41"/>
  <c r="F115" i="41"/>
  <c r="L114" i="41"/>
  <c r="F113" i="41"/>
  <c r="F112" i="41"/>
  <c r="L111" i="41"/>
  <c r="L110" i="41"/>
  <c r="F109" i="41"/>
  <c r="D108" i="41"/>
  <c r="L107" i="41"/>
  <c r="F107" i="41"/>
  <c r="L106" i="41"/>
  <c r="F106" i="41"/>
  <c r="L105" i="41"/>
  <c r="F105" i="41"/>
  <c r="L104" i="41"/>
  <c r="F104" i="41"/>
  <c r="L103" i="41"/>
  <c r="F103" i="41"/>
  <c r="Z96" i="41"/>
  <c r="Y96" i="41"/>
  <c r="T96" i="41"/>
  <c r="Z95" i="41"/>
  <c r="Y95" i="41"/>
  <c r="T95" i="41"/>
  <c r="Z94" i="41"/>
  <c r="Y94" i="41"/>
  <c r="T94" i="41"/>
  <c r="Z93" i="41"/>
  <c r="Y93" i="41"/>
  <c r="T93" i="41"/>
  <c r="Z92" i="41"/>
  <c r="Y92" i="41"/>
  <c r="T92" i="41"/>
  <c r="Z91" i="41"/>
  <c r="Y91" i="41"/>
  <c r="T91" i="41"/>
  <c r="Z90" i="41"/>
  <c r="Y90" i="41"/>
  <c r="T90" i="41"/>
  <c r="O86" i="41"/>
  <c r="D86" i="41"/>
  <c r="L85" i="41"/>
  <c r="F85" i="41"/>
  <c r="L84" i="41"/>
  <c r="F84" i="41"/>
  <c r="L83" i="41"/>
  <c r="F83" i="41"/>
  <c r="L82" i="41"/>
  <c r="F82" i="41"/>
  <c r="L81" i="41"/>
  <c r="F81" i="41"/>
  <c r="E101" i="41"/>
  <c r="F77" i="41"/>
  <c r="L76" i="41"/>
  <c r="Z74" i="41"/>
  <c r="Y74" i="41"/>
  <c r="T74" i="41"/>
  <c r="Z73" i="41"/>
  <c r="Y73" i="41"/>
  <c r="T73" i="41"/>
  <c r="F73" i="41"/>
  <c r="Z72" i="41"/>
  <c r="Y72" i="41"/>
  <c r="T72" i="41"/>
  <c r="F72" i="41"/>
  <c r="Z71" i="41"/>
  <c r="Y71" i="41"/>
  <c r="T71" i="41"/>
  <c r="F71" i="41"/>
  <c r="Z70" i="41"/>
  <c r="Y70" i="41"/>
  <c r="T70" i="41"/>
  <c r="F70" i="41"/>
  <c r="Z69" i="41"/>
  <c r="Y69" i="41"/>
  <c r="T69" i="41"/>
  <c r="F69" i="41"/>
  <c r="Z68" i="41"/>
  <c r="Y68" i="41"/>
  <c r="T68" i="41"/>
  <c r="F68" i="41"/>
  <c r="F67" i="41"/>
  <c r="F66" i="41"/>
  <c r="F65" i="41"/>
  <c r="O64" i="41"/>
  <c r="D64" i="41"/>
  <c r="D55" i="41"/>
  <c r="L53" i="41"/>
  <c r="H53" i="41"/>
  <c r="F53" i="41"/>
  <c r="D49" i="41"/>
  <c r="H41" i="41"/>
  <c r="F41" i="41"/>
  <c r="H40" i="41"/>
  <c r="F40" i="41"/>
  <c r="L39" i="41"/>
  <c r="H39" i="41"/>
  <c r="F39" i="41"/>
  <c r="L38" i="41"/>
  <c r="H37" i="41"/>
  <c r="L37" i="41"/>
  <c r="L36" i="41"/>
  <c r="L35" i="41"/>
  <c r="H35" i="41"/>
  <c r="F35" i="41"/>
  <c r="L34" i="41"/>
  <c r="H34" i="41"/>
  <c r="F34" i="41"/>
  <c r="L33" i="41"/>
  <c r="H33" i="41"/>
  <c r="F33" i="41"/>
  <c r="W32" i="41"/>
  <c r="X32" i="41"/>
  <c r="L31" i="41"/>
  <c r="H31" i="41"/>
  <c r="F31" i="41"/>
  <c r="L30" i="41"/>
  <c r="R29" i="41"/>
  <c r="P29" i="41"/>
  <c r="L27" i="41"/>
  <c r="L26" i="41"/>
  <c r="L25" i="41"/>
  <c r="R20" i="41"/>
  <c r="O21" i="41"/>
  <c r="G19" i="41"/>
  <c r="D13" i="41"/>
  <c r="I10" i="41"/>
  <c r="D6" i="41"/>
  <c r="B4" i="41"/>
  <c r="D198" i="40"/>
  <c r="H197" i="40"/>
  <c r="D193" i="40"/>
  <c r="I191" i="40"/>
  <c r="E191" i="40"/>
  <c r="D187" i="40"/>
  <c r="L185" i="40"/>
  <c r="L183" i="40"/>
  <c r="G182" i="40"/>
  <c r="E182" i="40"/>
  <c r="G181" i="40"/>
  <c r="E181" i="40"/>
  <c r="G180" i="40"/>
  <c r="E180" i="40"/>
  <c r="L179" i="40"/>
  <c r="L178" i="40"/>
  <c r="L177" i="40"/>
  <c r="L176" i="40"/>
  <c r="L175" i="40"/>
  <c r="L174" i="40"/>
  <c r="L173" i="40"/>
  <c r="L172" i="40"/>
  <c r="L171" i="40"/>
  <c r="D167" i="40"/>
  <c r="G164" i="40"/>
  <c r="L19" i="16" s="1"/>
  <c r="D157" i="40"/>
  <c r="D149" i="40"/>
  <c r="D141" i="40"/>
  <c r="D138" i="40"/>
  <c r="M136" i="40"/>
  <c r="F136" i="40"/>
  <c r="M135" i="40"/>
  <c r="F135" i="40"/>
  <c r="L135" i="40"/>
  <c r="M134" i="40"/>
  <c r="F134" i="40"/>
  <c r="L134" i="40"/>
  <c r="M133" i="40"/>
  <c r="F133" i="40"/>
  <c r="L133" i="40"/>
  <c r="M132" i="40"/>
  <c r="F132" i="40"/>
  <c r="L132" i="40"/>
  <c r="M131" i="40"/>
  <c r="F131" i="40"/>
  <c r="L131" i="40"/>
  <c r="M130" i="40"/>
  <c r="F130" i="40"/>
  <c r="L130" i="40"/>
  <c r="M129" i="40"/>
  <c r="F129" i="40"/>
  <c r="L129" i="40"/>
  <c r="M128" i="40"/>
  <c r="F128" i="40"/>
  <c r="D127" i="40"/>
  <c r="M127" i="40"/>
  <c r="L122" i="40"/>
  <c r="L121" i="40"/>
  <c r="F121" i="40"/>
  <c r="L120" i="40"/>
  <c r="F120" i="40"/>
  <c r="L119" i="40"/>
  <c r="F119" i="40"/>
  <c r="F115" i="40"/>
  <c r="F111" i="40"/>
  <c r="L110" i="40"/>
  <c r="F109" i="40"/>
  <c r="D108" i="40"/>
  <c r="L107" i="40"/>
  <c r="F107" i="40"/>
  <c r="L106" i="40"/>
  <c r="F106" i="40"/>
  <c r="L105" i="40"/>
  <c r="F105" i="40"/>
  <c r="L104" i="40"/>
  <c r="F104" i="40"/>
  <c r="L103" i="40"/>
  <c r="F103" i="40"/>
  <c r="Z96" i="40"/>
  <c r="Y96" i="40"/>
  <c r="T96" i="40"/>
  <c r="Z95" i="40"/>
  <c r="Y95" i="40"/>
  <c r="T95" i="40"/>
  <c r="Z94" i="40"/>
  <c r="Y94" i="40"/>
  <c r="T94" i="40"/>
  <c r="Z93" i="40"/>
  <c r="Y93" i="40"/>
  <c r="T93" i="40"/>
  <c r="Z92" i="40"/>
  <c r="Y92" i="40"/>
  <c r="T92" i="40"/>
  <c r="Z91" i="40"/>
  <c r="Y91" i="40"/>
  <c r="T91" i="40"/>
  <c r="Z90" i="40"/>
  <c r="Y90" i="40"/>
  <c r="T90" i="40"/>
  <c r="O86" i="40"/>
  <c r="D86" i="40"/>
  <c r="L85" i="40"/>
  <c r="F85" i="40"/>
  <c r="L84" i="40"/>
  <c r="F84" i="40"/>
  <c r="L83" i="40"/>
  <c r="F83" i="40"/>
  <c r="L82" i="40"/>
  <c r="F82" i="40"/>
  <c r="L81" i="40"/>
  <c r="F81" i="40"/>
  <c r="E102" i="40"/>
  <c r="L102" i="40"/>
  <c r="F79" i="40"/>
  <c r="E100" i="40"/>
  <c r="L100" i="40"/>
  <c r="E98" i="40"/>
  <c r="L98" i="40"/>
  <c r="Z74" i="40"/>
  <c r="Y74" i="40"/>
  <c r="T74" i="40"/>
  <c r="F74" i="40"/>
  <c r="Z73" i="40"/>
  <c r="Y73" i="40"/>
  <c r="T73" i="40"/>
  <c r="F73" i="40"/>
  <c r="Z72" i="40"/>
  <c r="Y72" i="40"/>
  <c r="T72" i="40"/>
  <c r="F72" i="40"/>
  <c r="Z71" i="40"/>
  <c r="Y71" i="40"/>
  <c r="T71" i="40"/>
  <c r="Z70" i="40"/>
  <c r="Y70" i="40"/>
  <c r="T70" i="40"/>
  <c r="F70" i="40"/>
  <c r="Z69" i="40"/>
  <c r="Y69" i="40"/>
  <c r="T69" i="40"/>
  <c r="F69" i="40"/>
  <c r="Z68" i="40"/>
  <c r="Y68" i="40"/>
  <c r="T68" i="40"/>
  <c r="F68" i="40"/>
  <c r="E89" i="40"/>
  <c r="F66" i="40"/>
  <c r="L65" i="40"/>
  <c r="F65" i="40"/>
  <c r="E87" i="40"/>
  <c r="L87" i="40"/>
  <c r="O64" i="40"/>
  <c r="D64" i="40"/>
  <c r="D55" i="40"/>
  <c r="L53" i="40"/>
  <c r="H53" i="40"/>
  <c r="F53" i="40"/>
  <c r="D49" i="40"/>
  <c r="H41" i="40"/>
  <c r="F41" i="40"/>
  <c r="H40" i="40"/>
  <c r="F40" i="40"/>
  <c r="L39" i="40"/>
  <c r="H39" i="40"/>
  <c r="F39" i="40"/>
  <c r="H38" i="40"/>
  <c r="H37" i="40"/>
  <c r="H36" i="40"/>
  <c r="L35" i="40"/>
  <c r="H35" i="40"/>
  <c r="F35" i="40"/>
  <c r="L34" i="40"/>
  <c r="H34" i="40"/>
  <c r="F34" i="40"/>
  <c r="L33" i="40"/>
  <c r="H33" i="40"/>
  <c r="F33" i="40"/>
  <c r="R32" i="40"/>
  <c r="W32" i="40"/>
  <c r="X32" i="40"/>
  <c r="L31" i="40"/>
  <c r="H31" i="40"/>
  <c r="F31" i="40"/>
  <c r="U29" i="40"/>
  <c r="V29" i="40"/>
  <c r="R29" i="40"/>
  <c r="P29" i="40"/>
  <c r="H27" i="40"/>
  <c r="H25" i="40"/>
  <c r="R20" i="40"/>
  <c r="P20" i="40"/>
  <c r="F144" i="40" s="1"/>
  <c r="F144" i="50" s="1"/>
  <c r="G19" i="40"/>
  <c r="D13" i="40"/>
  <c r="I10" i="40"/>
  <c r="D6" i="40"/>
  <c r="B4" i="40"/>
  <c r="E184" i="40"/>
  <c r="F181" i="40"/>
  <c r="L164" i="42"/>
  <c r="E184" i="42"/>
  <c r="AG48" i="44"/>
  <c r="AI48" i="45"/>
  <c r="G184" i="40"/>
  <c r="H182" i="40"/>
  <c r="H19" i="16"/>
  <c r="H198" i="40"/>
  <c r="E184" i="41"/>
  <c r="G184" i="42"/>
  <c r="H21" i="16"/>
  <c r="H198" i="42"/>
  <c r="L164" i="41"/>
  <c r="G184" i="41"/>
  <c r="H20" i="16"/>
  <c r="H198" i="41"/>
  <c r="L21" i="16"/>
  <c r="L20" i="16"/>
  <c r="F173" i="41"/>
  <c r="L180" i="41"/>
  <c r="X55" i="44"/>
  <c r="AL8" i="43"/>
  <c r="L180" i="42"/>
  <c r="N5" i="44"/>
  <c r="AB114" i="43"/>
  <c r="R117" i="43"/>
  <c r="AB114" i="44"/>
  <c r="AB114" i="45"/>
  <c r="O117" i="45"/>
  <c r="L180" i="40"/>
  <c r="F183" i="42"/>
  <c r="E21" i="16"/>
  <c r="R114" i="44"/>
  <c r="R116" i="44"/>
  <c r="R116" i="45"/>
  <c r="S114" i="44"/>
  <c r="F183" i="41"/>
  <c r="E20" i="16"/>
  <c r="O117" i="44"/>
  <c r="AM4" i="45"/>
  <c r="AM5" i="45"/>
  <c r="T89" i="41"/>
  <c r="F175" i="41"/>
  <c r="F175" i="42"/>
  <c r="O117" i="43"/>
  <c r="T117" i="43"/>
  <c r="L176" i="44"/>
  <c r="AO4" i="45"/>
  <c r="AO5" i="45"/>
  <c r="S114" i="45"/>
  <c r="O116" i="45"/>
  <c r="T116" i="45"/>
  <c r="D21" i="16"/>
  <c r="AN4" i="43"/>
  <c r="AN5" i="43"/>
  <c r="F171" i="41"/>
  <c r="O114" i="43"/>
  <c r="S116" i="44"/>
  <c r="L176" i="45"/>
  <c r="O114" i="45"/>
  <c r="S117" i="45"/>
  <c r="T117" i="45"/>
  <c r="L181" i="40"/>
  <c r="L181" i="41"/>
  <c r="L181" i="42"/>
  <c r="F28" i="42"/>
  <c r="H28" i="42"/>
  <c r="F78" i="40"/>
  <c r="F80" i="40"/>
  <c r="H30" i="41"/>
  <c r="F76" i="41"/>
  <c r="Y89" i="41"/>
  <c r="E98" i="41"/>
  <c r="L98" i="41"/>
  <c r="L112" i="41"/>
  <c r="L115" i="41"/>
  <c r="L115" i="42"/>
  <c r="L69" i="40"/>
  <c r="F76" i="40"/>
  <c r="L78" i="40"/>
  <c r="E88" i="40"/>
  <c r="F88" i="40"/>
  <c r="L115" i="40"/>
  <c r="L65" i="41"/>
  <c r="P32" i="42"/>
  <c r="Y67" i="42"/>
  <c r="L80" i="42"/>
  <c r="T89" i="40"/>
  <c r="F100" i="40"/>
  <c r="U20" i="41"/>
  <c r="V20" i="41"/>
  <c r="U29" i="41"/>
  <c r="V29" i="41"/>
  <c r="F37" i="41"/>
  <c r="E87" i="41"/>
  <c r="L87" i="41"/>
  <c r="E94" i="41"/>
  <c r="L94" i="41"/>
  <c r="F65" i="42"/>
  <c r="L72" i="42"/>
  <c r="L116" i="42"/>
  <c r="L89" i="40"/>
  <c r="F89" i="40"/>
  <c r="F77" i="40"/>
  <c r="L77" i="40"/>
  <c r="L116" i="40"/>
  <c r="F116" i="40"/>
  <c r="L37" i="42"/>
  <c r="H37" i="42"/>
  <c r="F67" i="40"/>
  <c r="T67" i="40"/>
  <c r="F75" i="40"/>
  <c r="L75" i="40"/>
  <c r="L114" i="40"/>
  <c r="F114" i="40"/>
  <c r="L24" i="41"/>
  <c r="H24" i="41"/>
  <c r="F24" i="41"/>
  <c r="U32" i="41"/>
  <c r="V32" i="41"/>
  <c r="P32" i="41"/>
  <c r="Y67" i="41"/>
  <c r="E102" i="41"/>
  <c r="L102" i="41"/>
  <c r="L80" i="41"/>
  <c r="F80" i="41"/>
  <c r="O21" i="42"/>
  <c r="U21" i="42"/>
  <c r="V21" i="42"/>
  <c r="U20" i="42"/>
  <c r="V20" i="42"/>
  <c r="E32" i="42"/>
  <c r="L32" i="42"/>
  <c r="W32" i="42"/>
  <c r="X32" i="42"/>
  <c r="E98" i="42"/>
  <c r="L98" i="42"/>
  <c r="L76" i="42"/>
  <c r="E92" i="42"/>
  <c r="L92" i="42"/>
  <c r="F71" i="40"/>
  <c r="L71" i="40"/>
  <c r="L118" i="40"/>
  <c r="F118" i="40"/>
  <c r="L28" i="41"/>
  <c r="H28" i="41"/>
  <c r="L68" i="41"/>
  <c r="F74" i="41"/>
  <c r="E96" i="41"/>
  <c r="L96" i="41"/>
  <c r="F75" i="41"/>
  <c r="L75" i="41"/>
  <c r="F76" i="42"/>
  <c r="T89" i="42"/>
  <c r="U32" i="40"/>
  <c r="V32" i="40"/>
  <c r="P32" i="40"/>
  <c r="F32" i="40"/>
  <c r="E32" i="40"/>
  <c r="E99" i="40"/>
  <c r="F99" i="40"/>
  <c r="L112" i="40"/>
  <c r="F112" i="40"/>
  <c r="H25" i="41"/>
  <c r="F28" i="41"/>
  <c r="E90" i="41"/>
  <c r="L90" i="41"/>
  <c r="E95" i="41"/>
  <c r="L95" i="41"/>
  <c r="L116" i="41"/>
  <c r="F116" i="41"/>
  <c r="L24" i="42"/>
  <c r="H24" i="42"/>
  <c r="L30" i="42"/>
  <c r="H30" i="42"/>
  <c r="F30" i="42"/>
  <c r="F68" i="42"/>
  <c r="E90" i="42"/>
  <c r="L90" i="42"/>
  <c r="L68" i="42"/>
  <c r="F73" i="42"/>
  <c r="E95" i="42"/>
  <c r="L95" i="42"/>
  <c r="Y89" i="42"/>
  <c r="E91" i="41"/>
  <c r="L91" i="41"/>
  <c r="L66" i="40"/>
  <c r="L73" i="40"/>
  <c r="F110" i="40"/>
  <c r="F30" i="41"/>
  <c r="E32" i="41"/>
  <c r="L72" i="41"/>
  <c r="E92" i="41"/>
  <c r="L92" i="41"/>
  <c r="L75" i="42"/>
  <c r="E91" i="42"/>
  <c r="L91" i="42"/>
  <c r="E96" i="42"/>
  <c r="F96" i="42"/>
  <c r="F29" i="40"/>
  <c r="E29" i="40"/>
  <c r="L29" i="40"/>
  <c r="W29" i="40"/>
  <c r="X29" i="40"/>
  <c r="W29" i="41"/>
  <c r="X29" i="41"/>
  <c r="W29" i="42"/>
  <c r="X29" i="42"/>
  <c r="F29" i="41"/>
  <c r="E29" i="42"/>
  <c r="L29" i="42"/>
  <c r="F37" i="42"/>
  <c r="H38" i="41"/>
  <c r="H38" i="42"/>
  <c r="T93" i="4"/>
  <c r="H34" i="4"/>
  <c r="H41" i="4"/>
  <c r="H40" i="4"/>
  <c r="X119" i="45"/>
  <c r="AG148" i="45"/>
  <c r="AG139" i="45"/>
  <c r="AG48" i="45"/>
  <c r="AE48" i="45"/>
  <c r="AY14" i="45"/>
  <c r="X55" i="45"/>
  <c r="V119" i="45"/>
  <c r="V55" i="45"/>
  <c r="AE148" i="45"/>
  <c r="AE139" i="45"/>
  <c r="AX14" i="45"/>
  <c r="AI148" i="45"/>
  <c r="AI139" i="45"/>
  <c r="M5" i="45"/>
  <c r="AL8" i="45"/>
  <c r="W119" i="45"/>
  <c r="W55" i="45"/>
  <c r="AF148" i="45"/>
  <c r="AF139" i="45"/>
  <c r="AF48" i="45"/>
  <c r="AD148" i="45"/>
  <c r="AD139" i="45"/>
  <c r="AD48" i="45"/>
  <c r="AH148" i="45"/>
  <c r="AH139" i="45"/>
  <c r="AH48" i="45"/>
  <c r="O50" i="45"/>
  <c r="T50" i="45"/>
  <c r="S50" i="45"/>
  <c r="AB50" i="45"/>
  <c r="W119" i="44"/>
  <c r="W55" i="44"/>
  <c r="AF148" i="44"/>
  <c r="AF48" i="44"/>
  <c r="AF139" i="44"/>
  <c r="AN4" i="44"/>
  <c r="AN5" i="44"/>
  <c r="L5" i="44"/>
  <c r="AD139" i="44"/>
  <c r="AD148" i="44"/>
  <c r="AD48" i="44"/>
  <c r="AH148" i="44"/>
  <c r="AH139" i="44"/>
  <c r="AH48" i="44"/>
  <c r="AX14" i="44"/>
  <c r="V119" i="44"/>
  <c r="V55" i="44"/>
  <c r="AE148" i="44"/>
  <c r="AE139" i="44"/>
  <c r="AE48" i="44"/>
  <c r="AI148" i="44"/>
  <c r="AI139" i="44"/>
  <c r="AI48" i="44"/>
  <c r="AY14" i="44"/>
  <c r="X119" i="44"/>
  <c r="AG139" i="44"/>
  <c r="AG148" i="44"/>
  <c r="AW14" i="44"/>
  <c r="O50" i="44"/>
  <c r="S50" i="44"/>
  <c r="AB50" i="44"/>
  <c r="R50" i="44"/>
  <c r="T114" i="44"/>
  <c r="S117" i="44"/>
  <c r="T117" i="44"/>
  <c r="AF148" i="43"/>
  <c r="AF139" i="43"/>
  <c r="AF48" i="43"/>
  <c r="L5" i="43"/>
  <c r="AD148" i="43"/>
  <c r="AD139" i="43"/>
  <c r="AD48" i="43"/>
  <c r="AH148" i="43"/>
  <c r="AH139" i="43"/>
  <c r="AH48" i="43"/>
  <c r="N5" i="43"/>
  <c r="W119" i="43"/>
  <c r="W55" i="43"/>
  <c r="V119" i="43"/>
  <c r="V55" i="43"/>
  <c r="AE148" i="43"/>
  <c r="AE139" i="43"/>
  <c r="AE48" i="43"/>
  <c r="AI148" i="43"/>
  <c r="AI139" i="43"/>
  <c r="AI48" i="43"/>
  <c r="AY14" i="43"/>
  <c r="X119" i="43"/>
  <c r="X55" i="43"/>
  <c r="AG148" i="43"/>
  <c r="AG139" i="43"/>
  <c r="AG48" i="43"/>
  <c r="AW14" i="43"/>
  <c r="R50" i="43"/>
  <c r="O50" i="43"/>
  <c r="S50" i="43"/>
  <c r="AB50" i="43"/>
  <c r="S116" i="43"/>
  <c r="S114" i="43"/>
  <c r="T114" i="43"/>
  <c r="O116" i="43"/>
  <c r="F101" i="42"/>
  <c r="L101" i="42"/>
  <c r="P21" i="42"/>
  <c r="T67" i="42"/>
  <c r="L128" i="42"/>
  <c r="L127" i="42"/>
  <c r="F127" i="42"/>
  <c r="H177" i="42"/>
  <c r="H182" i="42"/>
  <c r="H178" i="42"/>
  <c r="H175" i="42"/>
  <c r="H173" i="42"/>
  <c r="H171" i="42"/>
  <c r="H183" i="42"/>
  <c r="H181" i="42"/>
  <c r="H180" i="42"/>
  <c r="H176" i="42"/>
  <c r="L184" i="42"/>
  <c r="E93" i="42"/>
  <c r="H27" i="42"/>
  <c r="P29" i="42"/>
  <c r="F29" i="42"/>
  <c r="L66" i="42"/>
  <c r="Q21" i="42"/>
  <c r="F27" i="42"/>
  <c r="F36" i="42"/>
  <c r="L71" i="42"/>
  <c r="L77" i="42"/>
  <c r="F79" i="42"/>
  <c r="F87" i="42"/>
  <c r="F94" i="42"/>
  <c r="F98" i="42"/>
  <c r="L109" i="42"/>
  <c r="F111" i="42"/>
  <c r="F114" i="42"/>
  <c r="L117" i="42"/>
  <c r="H185" i="42"/>
  <c r="F181" i="42"/>
  <c r="F176" i="42"/>
  <c r="F185" i="42"/>
  <c r="F180" i="42"/>
  <c r="F21" i="16"/>
  <c r="F177" i="42"/>
  <c r="F26" i="42"/>
  <c r="H36" i="42"/>
  <c r="L70" i="42"/>
  <c r="L74" i="42"/>
  <c r="E100" i="42"/>
  <c r="L78" i="42"/>
  <c r="L79" i="42"/>
  <c r="E88" i="42"/>
  <c r="E97" i="42"/>
  <c r="E99" i="42"/>
  <c r="F102" i="42"/>
  <c r="F182" i="42"/>
  <c r="E20" i="42"/>
  <c r="P20" i="42"/>
  <c r="W20" i="42"/>
  <c r="X20" i="42"/>
  <c r="F25" i="42"/>
  <c r="H26" i="42"/>
  <c r="R32" i="42"/>
  <c r="F32" i="42"/>
  <c r="F38" i="42"/>
  <c r="E89" i="42"/>
  <c r="L67" i="42"/>
  <c r="L69" i="42"/>
  <c r="L73" i="42"/>
  <c r="F78" i="42"/>
  <c r="F110" i="42"/>
  <c r="L113" i="42"/>
  <c r="F118" i="42"/>
  <c r="F178" i="42"/>
  <c r="L182" i="42"/>
  <c r="F101" i="41"/>
  <c r="L101" i="41"/>
  <c r="U21" i="41"/>
  <c r="V21" i="41"/>
  <c r="O22" i="41"/>
  <c r="P21" i="41"/>
  <c r="T67" i="41"/>
  <c r="L128" i="41"/>
  <c r="L127" i="41"/>
  <c r="F127" i="41"/>
  <c r="H177" i="41"/>
  <c r="H182" i="41"/>
  <c r="H178" i="41"/>
  <c r="H175" i="41"/>
  <c r="H173" i="41"/>
  <c r="H171" i="41"/>
  <c r="H183" i="41"/>
  <c r="L184" i="41"/>
  <c r="H181" i="41"/>
  <c r="H180" i="41"/>
  <c r="H176" i="41"/>
  <c r="E93" i="41"/>
  <c r="Q21" i="41"/>
  <c r="E21" i="41"/>
  <c r="F27" i="41"/>
  <c r="F36" i="41"/>
  <c r="L71" i="41"/>
  <c r="L77" i="41"/>
  <c r="F79" i="41"/>
  <c r="F87" i="41"/>
  <c r="L109" i="41"/>
  <c r="F111" i="41"/>
  <c r="F114" i="41"/>
  <c r="L117" i="41"/>
  <c r="H185" i="41"/>
  <c r="F181" i="41"/>
  <c r="F176" i="41"/>
  <c r="F185" i="41"/>
  <c r="F180" i="41"/>
  <c r="F20" i="16"/>
  <c r="F177" i="41"/>
  <c r="F26" i="41"/>
  <c r="H27" i="41"/>
  <c r="E29" i="41"/>
  <c r="H36" i="41"/>
  <c r="L66" i="41"/>
  <c r="L70" i="41"/>
  <c r="L74" i="41"/>
  <c r="E100" i="41"/>
  <c r="L78" i="41"/>
  <c r="L79" i="41"/>
  <c r="E88" i="41"/>
  <c r="E97" i="41"/>
  <c r="E99" i="41"/>
  <c r="F182" i="41"/>
  <c r="E20" i="41"/>
  <c r="P20" i="41"/>
  <c r="W20" i="41"/>
  <c r="X20" i="41"/>
  <c r="F25" i="41"/>
  <c r="H26" i="41"/>
  <c r="R32" i="41"/>
  <c r="F38" i="41"/>
  <c r="E89" i="41"/>
  <c r="L67" i="41"/>
  <c r="L69" i="41"/>
  <c r="L73" i="41"/>
  <c r="F78" i="41"/>
  <c r="F110" i="41"/>
  <c r="L113" i="41"/>
  <c r="F118" i="41"/>
  <c r="F178" i="41"/>
  <c r="L182" i="41"/>
  <c r="E92" i="40"/>
  <c r="E96" i="40"/>
  <c r="H185" i="40"/>
  <c r="F177" i="40"/>
  <c r="F178" i="40"/>
  <c r="F182" i="40"/>
  <c r="L36" i="40"/>
  <c r="F36" i="40"/>
  <c r="L38" i="40"/>
  <c r="F38" i="40"/>
  <c r="L68" i="40"/>
  <c r="Y67" i="40"/>
  <c r="L72" i="40"/>
  <c r="L79" i="40"/>
  <c r="F87" i="40"/>
  <c r="E91" i="40"/>
  <c r="E95" i="40"/>
  <c r="E97" i="40"/>
  <c r="F102" i="40"/>
  <c r="L25" i="40"/>
  <c r="F25" i="40"/>
  <c r="L27" i="40"/>
  <c r="F27" i="40"/>
  <c r="E20" i="40"/>
  <c r="U20" i="40"/>
  <c r="V20" i="40"/>
  <c r="O21" i="40"/>
  <c r="L24" i="40"/>
  <c r="F24" i="40"/>
  <c r="F143" i="40" s="1"/>
  <c r="F143" i="50" s="1"/>
  <c r="L26" i="40"/>
  <c r="F26" i="40"/>
  <c r="L28" i="40"/>
  <c r="F28" i="40"/>
  <c r="L30" i="40"/>
  <c r="F30" i="40"/>
  <c r="E90" i="40"/>
  <c r="E94" i="40"/>
  <c r="L128" i="40"/>
  <c r="L127" i="40"/>
  <c r="F127" i="40"/>
  <c r="W20" i="40"/>
  <c r="X20" i="40"/>
  <c r="Q21" i="40"/>
  <c r="H24" i="40"/>
  <c r="H26" i="40"/>
  <c r="H28" i="40"/>
  <c r="H30" i="40"/>
  <c r="L37" i="40"/>
  <c r="F37" i="40"/>
  <c r="L70" i="40"/>
  <c r="L74" i="40"/>
  <c r="L88" i="40"/>
  <c r="Y89" i="40"/>
  <c r="E93" i="40"/>
  <c r="F98" i="40"/>
  <c r="E101" i="40"/>
  <c r="L109" i="40"/>
  <c r="L111" i="40"/>
  <c r="F113" i="40"/>
  <c r="L113" i="40"/>
  <c r="F117" i="40"/>
  <c r="L117" i="40"/>
  <c r="L76" i="40"/>
  <c r="L80" i="40"/>
  <c r="L67" i="40"/>
  <c r="L182" i="40"/>
  <c r="F183" i="40"/>
  <c r="E19" i="16"/>
  <c r="F180" i="40"/>
  <c r="F19" i="16"/>
  <c r="H173" i="40"/>
  <c r="F171" i="40"/>
  <c r="F185" i="40"/>
  <c r="F173" i="40"/>
  <c r="F176" i="40"/>
  <c r="F175" i="40"/>
  <c r="H180" i="40"/>
  <c r="H171" i="40"/>
  <c r="H178" i="40"/>
  <c r="H177" i="40"/>
  <c r="H183" i="40"/>
  <c r="H181" i="40"/>
  <c r="H175" i="40"/>
  <c r="L184" i="40"/>
  <c r="H176" i="40"/>
  <c r="F171" i="42"/>
  <c r="F173" i="42"/>
  <c r="K20" i="16"/>
  <c r="K21" i="16"/>
  <c r="D20" i="16"/>
  <c r="D19" i="16"/>
  <c r="F95" i="41"/>
  <c r="F94" i="41"/>
  <c r="T116" i="44"/>
  <c r="T114" i="45"/>
  <c r="F32" i="41"/>
  <c r="T116" i="43"/>
  <c r="F64" i="40"/>
  <c r="E64" i="40"/>
  <c r="L64" i="40"/>
  <c r="F95" i="42"/>
  <c r="H32" i="42"/>
  <c r="F108" i="41"/>
  <c r="E108" i="41"/>
  <c r="L108" i="41"/>
  <c r="F146" i="41"/>
  <c r="F98" i="41"/>
  <c r="O22" i="42"/>
  <c r="U22" i="42"/>
  <c r="V22" i="42"/>
  <c r="F91" i="41"/>
  <c r="F64" i="42"/>
  <c r="E64" i="42"/>
  <c r="L64" i="42"/>
  <c r="F96" i="41"/>
  <c r="F90" i="41"/>
  <c r="F90" i="42"/>
  <c r="H32" i="40"/>
  <c r="L32" i="40"/>
  <c r="F64" i="41"/>
  <c r="E64" i="41"/>
  <c r="L64" i="41"/>
  <c r="F92" i="42"/>
  <c r="L96" i="42"/>
  <c r="L32" i="41"/>
  <c r="H32" i="41"/>
  <c r="F108" i="40"/>
  <c r="E108" i="40"/>
  <c r="L108" i="40"/>
  <c r="L99" i="40"/>
  <c r="F102" i="41"/>
  <c r="F92" i="41"/>
  <c r="F108" i="42"/>
  <c r="E108" i="42"/>
  <c r="L108" i="42"/>
  <c r="F91" i="42"/>
  <c r="F146" i="42"/>
  <c r="H29" i="42"/>
  <c r="H29" i="40"/>
  <c r="T50" i="44"/>
  <c r="T50" i="43"/>
  <c r="R21" i="42"/>
  <c r="F21" i="42"/>
  <c r="Q22" i="42"/>
  <c r="W21" i="42"/>
  <c r="X21" i="42"/>
  <c r="O23" i="42"/>
  <c r="F88" i="42"/>
  <c r="L88" i="42"/>
  <c r="F20" i="42"/>
  <c r="F97" i="42"/>
  <c r="L97" i="42"/>
  <c r="L100" i="42"/>
  <c r="F100" i="42"/>
  <c r="F89" i="42"/>
  <c r="L89" i="42"/>
  <c r="L20" i="42"/>
  <c r="H20" i="42"/>
  <c r="F99" i="42"/>
  <c r="L99" i="42"/>
  <c r="L93" i="42"/>
  <c r="F93" i="42"/>
  <c r="E21" i="42"/>
  <c r="F88" i="41"/>
  <c r="L88" i="41"/>
  <c r="L21" i="41"/>
  <c r="H21" i="41"/>
  <c r="F20" i="41"/>
  <c r="R21" i="41"/>
  <c r="Q22" i="41"/>
  <c r="E22" i="41"/>
  <c r="W21" i="41"/>
  <c r="X21" i="41"/>
  <c r="L89" i="41"/>
  <c r="F89" i="41"/>
  <c r="L20" i="41"/>
  <c r="H20" i="41"/>
  <c r="F99" i="41"/>
  <c r="L99" i="41"/>
  <c r="L29" i="41"/>
  <c r="H29" i="41"/>
  <c r="L93" i="41"/>
  <c r="F93" i="41"/>
  <c r="U22" i="41"/>
  <c r="V22" i="41"/>
  <c r="O23" i="41"/>
  <c r="P22" i="41"/>
  <c r="F97" i="41"/>
  <c r="L97" i="41"/>
  <c r="L100" i="41"/>
  <c r="F100" i="41"/>
  <c r="L20" i="40"/>
  <c r="H20" i="40"/>
  <c r="R21" i="40"/>
  <c r="Q22" i="40"/>
  <c r="W21" i="40"/>
  <c r="X21" i="40"/>
  <c r="H145" i="40" s="1"/>
  <c r="H145" i="50" s="1"/>
  <c r="F90" i="40"/>
  <c r="L90" i="40"/>
  <c r="P21" i="40"/>
  <c r="O22" i="40"/>
  <c r="E21" i="40"/>
  <c r="U21" i="40"/>
  <c r="V21" i="40"/>
  <c r="F95" i="40"/>
  <c r="L95" i="40"/>
  <c r="F96" i="40"/>
  <c r="L96" i="40"/>
  <c r="F93" i="40"/>
  <c r="L93" i="40"/>
  <c r="F94" i="40"/>
  <c r="L94" i="40"/>
  <c r="F97" i="40"/>
  <c r="L97" i="40"/>
  <c r="F101" i="40"/>
  <c r="L101" i="40"/>
  <c r="F91" i="40"/>
  <c r="L91" i="40"/>
  <c r="F146" i="40"/>
  <c r="F92" i="40"/>
  <c r="L92" i="40"/>
  <c r="P22" i="42"/>
  <c r="E22" i="42"/>
  <c r="F86" i="40"/>
  <c r="E86" i="40"/>
  <c r="L86" i="40"/>
  <c r="F86" i="41"/>
  <c r="E86" i="41"/>
  <c r="L86" i="41"/>
  <c r="F86" i="42"/>
  <c r="E86" i="42"/>
  <c r="L86" i="42"/>
  <c r="R22" i="42"/>
  <c r="Q23" i="42"/>
  <c r="W22" i="42"/>
  <c r="X22" i="42"/>
  <c r="P23" i="42"/>
  <c r="U23" i="42"/>
  <c r="V23" i="42"/>
  <c r="H144" i="42"/>
  <c r="L21" i="42"/>
  <c r="H21" i="42"/>
  <c r="L22" i="42"/>
  <c r="H22" i="42"/>
  <c r="L22" i="41"/>
  <c r="H22" i="41"/>
  <c r="R22" i="41"/>
  <c r="F22" i="41"/>
  <c r="Q23" i="41"/>
  <c r="W22" i="41"/>
  <c r="X22" i="41"/>
  <c r="P23" i="41"/>
  <c r="U23" i="41"/>
  <c r="V23" i="41"/>
  <c r="H144" i="41"/>
  <c r="F21" i="41"/>
  <c r="L21" i="40"/>
  <c r="H21" i="40"/>
  <c r="R22" i="40"/>
  <c r="Q23" i="40"/>
  <c r="W22" i="40"/>
  <c r="X22" i="40"/>
  <c r="P22" i="40"/>
  <c r="O23" i="40"/>
  <c r="U22" i="40"/>
  <c r="V22" i="40"/>
  <c r="E22" i="40"/>
  <c r="F21" i="40"/>
  <c r="F22" i="42"/>
  <c r="R23" i="42"/>
  <c r="F145" i="42"/>
  <c r="W23" i="42"/>
  <c r="X23" i="42"/>
  <c r="H145" i="42"/>
  <c r="E23" i="42"/>
  <c r="F144" i="42"/>
  <c r="F144" i="41"/>
  <c r="R23" i="41"/>
  <c r="F145" i="41"/>
  <c r="W23" i="41"/>
  <c r="X23" i="41"/>
  <c r="H145" i="41"/>
  <c r="E23" i="41"/>
  <c r="R23" i="40"/>
  <c r="F145" i="40"/>
  <c r="W23" i="40"/>
  <c r="X23" i="40"/>
  <c r="F22" i="40"/>
  <c r="P23" i="40"/>
  <c r="U23" i="40"/>
  <c r="V23" i="40"/>
  <c r="E23" i="40"/>
  <c r="L22" i="40"/>
  <c r="H22" i="40"/>
  <c r="L23" i="42"/>
  <c r="H23" i="42"/>
  <c r="L23" i="41"/>
  <c r="H23" i="41"/>
  <c r="F23" i="41"/>
  <c r="F23" i="40"/>
  <c r="L23" i="40"/>
  <c r="H23" i="40"/>
  <c r="F23" i="42"/>
  <c r="Z117" i="6"/>
  <c r="Z116" i="6"/>
  <c r="Y114" i="6"/>
  <c r="Z114" i="6"/>
  <c r="Z50" i="6"/>
  <c r="AI14" i="6"/>
  <c r="AY14" i="6"/>
  <c r="AI139" i="6"/>
  <c r="AI48" i="6"/>
  <c r="AI148" i="6"/>
  <c r="X14" i="6"/>
  <c r="W14" i="6"/>
  <c r="V14" i="6"/>
  <c r="H176" i="6"/>
  <c r="H168" i="6"/>
  <c r="H148" i="6"/>
  <c r="H139" i="6"/>
  <c r="H119" i="6"/>
  <c r="H55" i="6"/>
  <c r="H48" i="6"/>
  <c r="K8" i="6"/>
  <c r="K7" i="6"/>
  <c r="AU72" i="13"/>
  <c r="AU77" i="13"/>
  <c r="D47" i="42"/>
  <c r="AL72" i="13"/>
  <c r="AC72" i="13"/>
  <c r="AC77" i="13"/>
  <c r="D47" i="40"/>
  <c r="T72" i="13"/>
  <c r="AU71" i="13"/>
  <c r="AU76" i="13"/>
  <c r="D46" i="42"/>
  <c r="AL71" i="13"/>
  <c r="AL76" i="13"/>
  <c r="D46" i="41"/>
  <c r="AC71" i="13"/>
  <c r="T71" i="13"/>
  <c r="K67" i="13"/>
  <c r="AY66" i="13"/>
  <c r="AY67" i="13"/>
  <c r="AP66" i="13"/>
  <c r="AP67" i="13"/>
  <c r="AG66" i="13"/>
  <c r="AG67" i="13"/>
  <c r="X66" i="13"/>
  <c r="X67" i="13"/>
  <c r="K66" i="13"/>
  <c r="K62" i="13"/>
  <c r="K61" i="13"/>
  <c r="AU45" i="13"/>
  <c r="AU50" i="13"/>
  <c r="D45" i="42"/>
  <c r="AL45" i="13"/>
  <c r="AC45" i="13"/>
  <c r="AC50" i="13"/>
  <c r="D45" i="40"/>
  <c r="T45" i="13"/>
  <c r="AU44" i="13"/>
  <c r="AU49" i="13"/>
  <c r="D44" i="42"/>
  <c r="AL44" i="13"/>
  <c r="AL49" i="13"/>
  <c r="D44" i="41"/>
  <c r="AC44" i="13"/>
  <c r="AC49" i="13"/>
  <c r="D44" i="40"/>
  <c r="T44" i="13"/>
  <c r="T49" i="13"/>
  <c r="D44" i="28"/>
  <c r="K40" i="13"/>
  <c r="AY39" i="13"/>
  <c r="AY40" i="13"/>
  <c r="AP39" i="13"/>
  <c r="AP40" i="13"/>
  <c r="AG39" i="13"/>
  <c r="AG40" i="13"/>
  <c r="X39" i="13"/>
  <c r="X40" i="13"/>
  <c r="K39" i="13"/>
  <c r="K35" i="13"/>
  <c r="K34" i="13"/>
  <c r="AU18" i="13"/>
  <c r="AU23" i="13"/>
  <c r="D43" i="42"/>
  <c r="AL18" i="13"/>
  <c r="AC18" i="13"/>
  <c r="AC23" i="13"/>
  <c r="D43" i="40"/>
  <c r="T18" i="13"/>
  <c r="AU17" i="13"/>
  <c r="AY17" i="13"/>
  <c r="AL17" i="13"/>
  <c r="AL22" i="13"/>
  <c r="D42" i="41"/>
  <c r="AC17" i="13"/>
  <c r="AC22" i="13"/>
  <c r="D42" i="40"/>
  <c r="T17" i="13"/>
  <c r="T22" i="13"/>
  <c r="D42" i="28"/>
  <c r="K13" i="13"/>
  <c r="AY12" i="13"/>
  <c r="AY13" i="13"/>
  <c r="AP12" i="13"/>
  <c r="AP13" i="13"/>
  <c r="AG12" i="13"/>
  <c r="AG13" i="13"/>
  <c r="X12" i="13"/>
  <c r="X13" i="13"/>
  <c r="K12" i="13"/>
  <c r="O35" i="13"/>
  <c r="O62" i="13"/>
  <c r="K8" i="13"/>
  <c r="X7" i="13"/>
  <c r="K7" i="13"/>
  <c r="E42" i="46"/>
  <c r="H42" i="46"/>
  <c r="E42" i="42"/>
  <c r="D44" i="50"/>
  <c r="E44" i="50"/>
  <c r="AC52" i="13"/>
  <c r="AC79" i="13"/>
  <c r="AL24" i="13"/>
  <c r="O39" i="13"/>
  <c r="O40" i="13"/>
  <c r="AL51" i="13"/>
  <c r="AL78" i="13"/>
  <c r="X55" i="6"/>
  <c r="X119" i="6"/>
  <c r="AU22" i="13"/>
  <c r="D42" i="42"/>
  <c r="V55" i="6"/>
  <c r="V119" i="6"/>
  <c r="K49" i="13"/>
  <c r="W119" i="6"/>
  <c r="W55" i="6"/>
  <c r="X8" i="13"/>
  <c r="AG8" i="13"/>
  <c r="AP8" i="13"/>
  <c r="AY44" i="13"/>
  <c r="O12" i="13"/>
  <c r="O13" i="13"/>
  <c r="AC25" i="13"/>
  <c r="AU79" i="13"/>
  <c r="O66" i="13"/>
  <c r="O67" i="13"/>
  <c r="T76" i="13"/>
  <c r="D46" i="28"/>
  <c r="T77" i="13"/>
  <c r="D47" i="28"/>
  <c r="K72" i="13"/>
  <c r="O72" i="13"/>
  <c r="X72" i="13"/>
  <c r="AG7" i="13"/>
  <c r="X34" i="13"/>
  <c r="X61" i="13"/>
  <c r="K17" i="13"/>
  <c r="O17" i="13"/>
  <c r="AG17" i="13"/>
  <c r="T23" i="13"/>
  <c r="D43" i="28"/>
  <c r="K18" i="13"/>
  <c r="O18" i="13"/>
  <c r="AP18" i="13"/>
  <c r="AC24" i="13"/>
  <c r="K44" i="13"/>
  <c r="O44" i="13"/>
  <c r="AG44" i="13"/>
  <c r="T50" i="13"/>
  <c r="D45" i="28"/>
  <c r="K45" i="13"/>
  <c r="O45" i="13"/>
  <c r="AP45" i="13"/>
  <c r="AC51" i="13"/>
  <c r="AC76" i="13"/>
  <c r="D46" i="40"/>
  <c r="AG71" i="13"/>
  <c r="X18" i="13"/>
  <c r="AU25" i="13"/>
  <c r="O34" i="13"/>
  <c r="O61" i="13"/>
  <c r="X45" i="13"/>
  <c r="AU52" i="13"/>
  <c r="AP72" i="13"/>
  <c r="T79" i="13"/>
  <c r="T24" i="13"/>
  <c r="AU24" i="13"/>
  <c r="AL23" i="13"/>
  <c r="D43" i="41"/>
  <c r="T51" i="13"/>
  <c r="AU51" i="13"/>
  <c r="AL50" i="13"/>
  <c r="D45" i="41"/>
  <c r="K71" i="13"/>
  <c r="O71" i="13"/>
  <c r="AU78" i="13"/>
  <c r="AY71" i="13"/>
  <c r="AL77" i="13"/>
  <c r="D47" i="41"/>
  <c r="X17" i="13"/>
  <c r="AP17" i="13"/>
  <c r="AG18" i="13"/>
  <c r="AY18" i="13"/>
  <c r="X44" i="13"/>
  <c r="AP44" i="13"/>
  <c r="AG45" i="13"/>
  <c r="AY45" i="13"/>
  <c r="X71" i="13"/>
  <c r="AP71" i="13"/>
  <c r="AG72" i="13"/>
  <c r="AY72" i="13"/>
  <c r="E47" i="48"/>
  <c r="H47" i="48"/>
  <c r="E47" i="40"/>
  <c r="E46" i="47"/>
  <c r="H46" i="47"/>
  <c r="E46" i="41"/>
  <c r="E42" i="47"/>
  <c r="H42" i="47"/>
  <c r="E42" i="41"/>
  <c r="E46" i="49"/>
  <c r="H46" i="49"/>
  <c r="H46" i="4"/>
  <c r="E46" i="28"/>
  <c r="E44" i="49"/>
  <c r="H44" i="49"/>
  <c r="E44" i="28"/>
  <c r="E42" i="49"/>
  <c r="H42" i="49"/>
  <c r="E42" i="28"/>
  <c r="E47" i="47"/>
  <c r="H47" i="47"/>
  <c r="E47" i="41"/>
  <c r="E44" i="48"/>
  <c r="H44" i="48"/>
  <c r="E44" i="40"/>
  <c r="D47" i="50"/>
  <c r="E47" i="50"/>
  <c r="E45" i="46"/>
  <c r="H45" i="46"/>
  <c r="E45" i="42"/>
  <c r="H45" i="42"/>
  <c r="E43" i="49"/>
  <c r="H43" i="49"/>
  <c r="E43" i="28"/>
  <c r="E45" i="47"/>
  <c r="H45" i="47"/>
  <c r="E45" i="41"/>
  <c r="D43" i="50"/>
  <c r="E43" i="50"/>
  <c r="D46" i="50"/>
  <c r="E46" i="50"/>
  <c r="H19" i="46"/>
  <c r="E43" i="48"/>
  <c r="H43" i="48"/>
  <c r="E43" i="40"/>
  <c r="H43" i="40"/>
  <c r="E46" i="46"/>
  <c r="H46" i="46"/>
  <c r="E46" i="42"/>
  <c r="E45" i="49"/>
  <c r="H45" i="49"/>
  <c r="E45" i="28"/>
  <c r="E46" i="48"/>
  <c r="H46" i="48"/>
  <c r="E46" i="40"/>
  <c r="E42" i="48"/>
  <c r="H42" i="48"/>
  <c r="E42" i="40"/>
  <c r="E47" i="49"/>
  <c r="H47" i="49"/>
  <c r="E47" i="28"/>
  <c r="E44" i="46"/>
  <c r="H44" i="46"/>
  <c r="E44" i="42"/>
  <c r="H44" i="42"/>
  <c r="E47" i="46"/>
  <c r="H47" i="46"/>
  <c r="E47" i="42"/>
  <c r="H47" i="42"/>
  <c r="E43" i="46"/>
  <c r="H43" i="46"/>
  <c r="H143" i="46"/>
  <c r="H142" i="46"/>
  <c r="J30" i="16"/>
  <c r="E43" i="42"/>
  <c r="E45" i="48"/>
  <c r="H45" i="48"/>
  <c r="E45" i="40"/>
  <c r="H45" i="40"/>
  <c r="E44" i="47"/>
  <c r="H44" i="47"/>
  <c r="E44" i="41"/>
  <c r="D45" i="50"/>
  <c r="E45" i="50"/>
  <c r="E43" i="47"/>
  <c r="H43" i="47"/>
  <c r="E43" i="41"/>
  <c r="D42" i="50"/>
  <c r="T25" i="13"/>
  <c r="K22" i="13"/>
  <c r="T52" i="13"/>
  <c r="X35" i="13"/>
  <c r="X62" i="13"/>
  <c r="AG35" i="13"/>
  <c r="AG62" i="13"/>
  <c r="H45" i="41"/>
  <c r="K50" i="13"/>
  <c r="H47" i="40"/>
  <c r="H47" i="41"/>
  <c r="K51" i="13"/>
  <c r="K24" i="13"/>
  <c r="H43" i="41"/>
  <c r="H43" i="42"/>
  <c r="H42" i="42"/>
  <c r="H42" i="41"/>
  <c r="H44" i="41"/>
  <c r="H44" i="40"/>
  <c r="K77" i="13"/>
  <c r="AC78" i="13"/>
  <c r="K23" i="13"/>
  <c r="AG34" i="13"/>
  <c r="AG61" i="13"/>
  <c r="AP7" i="13"/>
  <c r="AY8" i="13"/>
  <c r="AY35" i="13"/>
  <c r="AY62" i="13"/>
  <c r="AP35" i="13"/>
  <c r="AP62" i="13"/>
  <c r="H143" i="48"/>
  <c r="H142" i="48"/>
  <c r="H45" i="4"/>
  <c r="H43" i="4"/>
  <c r="H42" i="4"/>
  <c r="H143" i="49"/>
  <c r="H19" i="49"/>
  <c r="H47" i="4"/>
  <c r="E42" i="50"/>
  <c r="D19" i="50"/>
  <c r="H44" i="4"/>
  <c r="H143" i="47"/>
  <c r="H142" i="47"/>
  <c r="J29" i="16"/>
  <c r="H19" i="47"/>
  <c r="H19" i="48"/>
  <c r="AL79" i="13"/>
  <c r="K79" i="13"/>
  <c r="AL52" i="13"/>
  <c r="K52" i="13"/>
  <c r="AL25" i="13"/>
  <c r="K25" i="13"/>
  <c r="K76" i="13"/>
  <c r="T78" i="13"/>
  <c r="K78" i="13"/>
  <c r="L44" i="40"/>
  <c r="L44" i="42"/>
  <c r="F44" i="41"/>
  <c r="L46" i="41"/>
  <c r="F44" i="42"/>
  <c r="F46" i="42"/>
  <c r="H46" i="42"/>
  <c r="L46" i="40"/>
  <c r="D19" i="41"/>
  <c r="F46" i="41"/>
  <c r="H46" i="41"/>
  <c r="F42" i="40"/>
  <c r="H42" i="40"/>
  <c r="L42" i="40"/>
  <c r="D19" i="40"/>
  <c r="F46" i="40"/>
  <c r="H46" i="40"/>
  <c r="L42" i="42"/>
  <c r="F42" i="42"/>
  <c r="D19" i="42"/>
  <c r="F44" i="40"/>
  <c r="L42" i="41"/>
  <c r="F42" i="41"/>
  <c r="L44" i="41"/>
  <c r="L46" i="42"/>
  <c r="AP34" i="13"/>
  <c r="AP61" i="13"/>
  <c r="AY7" i="13"/>
  <c r="AY34" i="13"/>
  <c r="AY61" i="13"/>
  <c r="A150" i="6"/>
  <c r="A151" i="6"/>
  <c r="A152" i="6"/>
  <c r="A153" i="6"/>
  <c r="A154" i="6"/>
  <c r="A155" i="6"/>
  <c r="A156" i="6"/>
  <c r="A157" i="6"/>
  <c r="A158" i="6"/>
  <c r="A159" i="6"/>
  <c r="A160" i="6"/>
  <c r="A161" i="6"/>
  <c r="A162" i="6"/>
  <c r="A149" i="6"/>
  <c r="B128" i="6"/>
  <c r="B129" i="6"/>
  <c r="B130" i="6"/>
  <c r="B131" i="6"/>
  <c r="B132" i="6"/>
  <c r="B133" i="6"/>
  <c r="B127" i="6"/>
  <c r="B121" i="6"/>
  <c r="B122" i="6"/>
  <c r="B123" i="6"/>
  <c r="B124" i="6"/>
  <c r="B125" i="6"/>
  <c r="B126" i="6"/>
  <c r="B120" i="6"/>
  <c r="B102" i="6"/>
  <c r="B103" i="6"/>
  <c r="B104" i="6"/>
  <c r="B105" i="6"/>
  <c r="B106" i="6"/>
  <c r="B107" i="6"/>
  <c r="B108" i="6"/>
  <c r="B109" i="6"/>
  <c r="B110" i="6"/>
  <c r="B111" i="6"/>
  <c r="B112" i="6"/>
  <c r="B113" i="6"/>
  <c r="B101" i="6"/>
  <c r="B80" i="6"/>
  <c r="B81" i="6"/>
  <c r="B82" i="6"/>
  <c r="B83" i="6"/>
  <c r="B84" i="6"/>
  <c r="B85" i="6"/>
  <c r="B86" i="6"/>
  <c r="B87" i="6"/>
  <c r="B88" i="6"/>
  <c r="B89" i="6"/>
  <c r="B90" i="6"/>
  <c r="B91" i="6"/>
  <c r="B92" i="6"/>
  <c r="B93" i="6"/>
  <c r="B94" i="6"/>
  <c r="B95" i="6"/>
  <c r="B96" i="6"/>
  <c r="B97" i="6"/>
  <c r="B98" i="6"/>
  <c r="B99" i="6"/>
  <c r="B79" i="6"/>
  <c r="B58" i="6"/>
  <c r="B59" i="6"/>
  <c r="B60" i="6"/>
  <c r="B61" i="6"/>
  <c r="B62" i="6"/>
  <c r="B63" i="6"/>
  <c r="B64" i="6"/>
  <c r="B65" i="6"/>
  <c r="B66" i="6"/>
  <c r="B67" i="6"/>
  <c r="B68" i="6"/>
  <c r="B69" i="6"/>
  <c r="B70" i="6"/>
  <c r="B71" i="6"/>
  <c r="B72" i="6"/>
  <c r="B73" i="6"/>
  <c r="B74" i="6"/>
  <c r="B75" i="6"/>
  <c r="B76" i="6"/>
  <c r="B77" i="6"/>
  <c r="B57" i="6"/>
  <c r="AE14" i="6"/>
  <c r="AF14" i="6"/>
  <c r="AG14" i="6"/>
  <c r="AH14" i="6"/>
  <c r="AJ14" i="6"/>
  <c r="AJ148" i="6"/>
  <c r="AD14" i="6"/>
  <c r="D176" i="6"/>
  <c r="E176" i="6"/>
  <c r="F176" i="6"/>
  <c r="G176" i="6"/>
  <c r="I176" i="6"/>
  <c r="C176" i="6"/>
  <c r="D168" i="6"/>
  <c r="E168" i="6"/>
  <c r="F168" i="6"/>
  <c r="G168" i="6"/>
  <c r="I168" i="6"/>
  <c r="C168" i="6"/>
  <c r="D148" i="6"/>
  <c r="E148" i="6"/>
  <c r="F148" i="6"/>
  <c r="G148" i="6"/>
  <c r="I148" i="6"/>
  <c r="C148" i="6"/>
  <c r="D139" i="6"/>
  <c r="E139" i="6"/>
  <c r="F139" i="6"/>
  <c r="G139" i="6"/>
  <c r="I139" i="6"/>
  <c r="C139" i="6"/>
  <c r="D119" i="6"/>
  <c r="E119" i="6"/>
  <c r="F119" i="6"/>
  <c r="G119" i="6"/>
  <c r="I119" i="6"/>
  <c r="C119" i="6"/>
  <c r="D55" i="6"/>
  <c r="E55" i="6"/>
  <c r="F55" i="6"/>
  <c r="G55" i="6"/>
  <c r="I55" i="6"/>
  <c r="C55" i="6"/>
  <c r="D48" i="6"/>
  <c r="E48" i="6"/>
  <c r="F48" i="6"/>
  <c r="G48" i="6"/>
  <c r="I48" i="6"/>
  <c r="C48" i="6"/>
  <c r="B32" i="6"/>
  <c r="B33" i="6"/>
  <c r="B34" i="6"/>
  <c r="B35" i="6"/>
  <c r="B36" i="6"/>
  <c r="B37" i="6"/>
  <c r="B38" i="6"/>
  <c r="B39" i="6"/>
  <c r="B40" i="6"/>
  <c r="B41" i="6"/>
  <c r="B42" i="6"/>
  <c r="B43" i="6"/>
  <c r="B17" i="6"/>
  <c r="B18" i="6"/>
  <c r="B19" i="6"/>
  <c r="B20" i="6"/>
  <c r="B21" i="6"/>
  <c r="B22" i="6"/>
  <c r="B23" i="6"/>
  <c r="B24" i="6"/>
  <c r="B25" i="6"/>
  <c r="B26" i="6"/>
  <c r="B27" i="6"/>
  <c r="B28" i="6"/>
  <c r="B29" i="6"/>
  <c r="B30" i="6"/>
  <c r="B31" i="6"/>
  <c r="B16" i="6"/>
  <c r="E182" i="28"/>
  <c r="E181" i="28"/>
  <c r="E180" i="28"/>
  <c r="O64" i="28"/>
  <c r="T91" i="28"/>
  <c r="T92" i="28"/>
  <c r="T93" i="28"/>
  <c r="T94" i="28"/>
  <c r="T95" i="28"/>
  <c r="T90" i="28"/>
  <c r="O86" i="28"/>
  <c r="Z96" i="28"/>
  <c r="Y96" i="28"/>
  <c r="Y96" i="50"/>
  <c r="Y89" i="50"/>
  <c r="T96" i="28"/>
  <c r="Z95" i="28"/>
  <c r="Z94" i="28"/>
  <c r="Z93" i="28"/>
  <c r="Z92" i="28"/>
  <c r="Z91" i="28"/>
  <c r="Z90" i="28"/>
  <c r="T96" i="50"/>
  <c r="T89" i="50"/>
  <c r="AF148" i="6"/>
  <c r="AH148" i="6"/>
  <c r="AG148" i="6"/>
  <c r="H143" i="41"/>
  <c r="H142" i="41"/>
  <c r="J20" i="16"/>
  <c r="H143" i="42"/>
  <c r="H142" i="42"/>
  <c r="J21" i="16"/>
  <c r="H142" i="49"/>
  <c r="J27" i="16"/>
  <c r="H143" i="4"/>
  <c r="T89" i="4"/>
  <c r="AL7" i="6"/>
  <c r="AD148" i="6"/>
  <c r="AW14" i="6"/>
  <c r="AL8" i="6"/>
  <c r="AE148" i="6"/>
  <c r="AX14" i="6"/>
  <c r="Y93" i="28"/>
  <c r="Y93" i="4"/>
  <c r="Y90" i="28"/>
  <c r="Y90" i="4"/>
  <c r="Y92" i="28"/>
  <c r="Y92" i="4"/>
  <c r="H19" i="42"/>
  <c r="Y95" i="28"/>
  <c r="Y95" i="4"/>
  <c r="Y91" i="28"/>
  <c r="Y91" i="4"/>
  <c r="Y94" i="28"/>
  <c r="Y94" i="4"/>
  <c r="L43" i="42"/>
  <c r="F43" i="42"/>
  <c r="L47" i="40"/>
  <c r="F47" i="40"/>
  <c r="F45" i="42"/>
  <c r="L45" i="42"/>
  <c r="L43" i="41"/>
  <c r="F43" i="41"/>
  <c r="F47" i="42"/>
  <c r="L47" i="42"/>
  <c r="F45" i="41"/>
  <c r="L45" i="41"/>
  <c r="F43" i="40"/>
  <c r="L43" i="40"/>
  <c r="H19" i="41"/>
  <c r="F47" i="41"/>
  <c r="L47" i="41"/>
  <c r="F45" i="40"/>
  <c r="L45" i="40"/>
  <c r="AG139" i="6"/>
  <c r="AH139" i="6"/>
  <c r="AD139" i="6"/>
  <c r="AF139" i="6"/>
  <c r="AE139" i="6"/>
  <c r="AG48" i="6"/>
  <c r="AF48" i="6"/>
  <c r="AH48" i="6"/>
  <c r="AD48" i="6"/>
  <c r="AE48" i="6"/>
  <c r="T89" i="28"/>
  <c r="D108" i="28"/>
  <c r="D86" i="28"/>
  <c r="D64" i="28"/>
  <c r="L121" i="28"/>
  <c r="L105" i="28"/>
  <c r="L106" i="28"/>
  <c r="L107" i="28"/>
  <c r="L85" i="28"/>
  <c r="L84" i="28"/>
  <c r="L83" i="28"/>
  <c r="Z74" i="28"/>
  <c r="Y74" i="28"/>
  <c r="T74" i="28"/>
  <c r="F106" i="28"/>
  <c r="F107" i="28"/>
  <c r="F84" i="28"/>
  <c r="F85" i="28"/>
  <c r="H40" i="28"/>
  <c r="H41" i="28"/>
  <c r="F40" i="28"/>
  <c r="F41" i="28"/>
  <c r="H34" i="28"/>
  <c r="H35" i="28"/>
  <c r="F34" i="28"/>
  <c r="F35" i="28"/>
  <c r="L34" i="28"/>
  <c r="L35" i="28"/>
  <c r="F107" i="50"/>
  <c r="F106" i="50"/>
  <c r="F35" i="50"/>
  <c r="E35" i="50" s="1"/>
  <c r="H35" i="50" s="1"/>
  <c r="F41" i="50"/>
  <c r="F85" i="50"/>
  <c r="T74" i="50"/>
  <c r="F34" i="50"/>
  <c r="F40" i="50"/>
  <c r="F84" i="50"/>
  <c r="X74" i="4"/>
  <c r="Y74" i="50"/>
  <c r="E35" i="4"/>
  <c r="H35" i="4"/>
  <c r="S74" i="4"/>
  <c r="Y89" i="28"/>
  <c r="F19" i="42"/>
  <c r="F143" i="42"/>
  <c r="F142" i="42"/>
  <c r="C21" i="16"/>
  <c r="Y89" i="4"/>
  <c r="F19" i="41"/>
  <c r="F143" i="41"/>
  <c r="F142" i="41"/>
  <c r="C20" i="16"/>
  <c r="G164" i="28"/>
  <c r="H164" i="28"/>
  <c r="G164" i="4"/>
  <c r="H164" i="4"/>
  <c r="L31" i="16"/>
  <c r="L46" i="16"/>
  <c r="L18" i="16"/>
  <c r="F123" i="42"/>
  <c r="E19" i="42"/>
  <c r="L19" i="42"/>
  <c r="F123" i="41"/>
  <c r="E19" i="41"/>
  <c r="L19" i="41"/>
  <c r="D198" i="28"/>
  <c r="L164" i="28"/>
  <c r="H198" i="28"/>
  <c r="B72" i="13"/>
  <c r="B71" i="13"/>
  <c r="B45" i="13"/>
  <c r="B44" i="13"/>
  <c r="B77" i="13"/>
  <c r="B79" i="13"/>
  <c r="B76" i="13"/>
  <c r="B78" i="13"/>
  <c r="B49" i="13"/>
  <c r="B51" i="13"/>
  <c r="B50" i="13"/>
  <c r="B52" i="13"/>
  <c r="A5" i="15"/>
  <c r="A6" i="15"/>
  <c r="A7" i="15"/>
  <c r="A10" i="15"/>
  <c r="A11" i="15"/>
  <c r="A12" i="15"/>
  <c r="A13" i="15"/>
  <c r="A14" i="15"/>
  <c r="A15" i="15"/>
  <c r="A16" i="15"/>
  <c r="A17" i="15"/>
  <c r="A18" i="15"/>
  <c r="A19" i="15"/>
  <c r="A20" i="15"/>
  <c r="A21" i="15"/>
  <c r="A22" i="15"/>
  <c r="A23" i="15"/>
  <c r="A24" i="15"/>
  <c r="A25" i="15"/>
  <c r="A26" i="15"/>
  <c r="A27" i="15"/>
  <c r="A28" i="15"/>
  <c r="A29" i="15"/>
  <c r="A30" i="15"/>
  <c r="A31" i="15"/>
  <c r="A32" i="15"/>
  <c r="A33" i="15"/>
  <c r="A34" i="15"/>
  <c r="A35" i="15"/>
  <c r="A36" i="15"/>
  <c r="A37" i="15"/>
  <c r="A38" i="15"/>
  <c r="A39" i="15"/>
  <c r="A40" i="15"/>
  <c r="A41" i="15"/>
  <c r="A42" i="15"/>
  <c r="A43" i="15"/>
  <c r="A44" i="15"/>
  <c r="A45" i="15"/>
  <c r="A46" i="15"/>
  <c r="A47" i="15"/>
  <c r="A48" i="15"/>
  <c r="A49" i="15"/>
  <c r="A50" i="15"/>
  <c r="A51" i="15"/>
  <c r="A52" i="15"/>
  <c r="A53" i="15"/>
  <c r="A54" i="15"/>
  <c r="A55" i="15"/>
  <c r="A56" i="15"/>
  <c r="A57" i="15"/>
  <c r="A58" i="15"/>
  <c r="A59" i="15"/>
  <c r="A60" i="15"/>
  <c r="A61" i="15"/>
  <c r="A62" i="15"/>
  <c r="A63" i="15"/>
  <c r="A64" i="15"/>
  <c r="A65" i="15"/>
  <c r="A66" i="15"/>
  <c r="A67" i="15"/>
  <c r="A68" i="15"/>
  <c r="A69" i="15"/>
  <c r="A70" i="15"/>
  <c r="A71" i="15"/>
  <c r="A72" i="15"/>
  <c r="A73" i="15"/>
  <c r="A74" i="15"/>
  <c r="A75" i="15"/>
  <c r="A76" i="15"/>
  <c r="A77" i="15"/>
  <c r="A78" i="15"/>
  <c r="A79" i="15"/>
  <c r="A80" i="15"/>
  <c r="A81" i="15"/>
  <c r="A82" i="15"/>
  <c r="A83" i="15"/>
  <c r="A84" i="15"/>
  <c r="A85" i="15"/>
  <c r="A86" i="15"/>
  <c r="A87" i="15"/>
  <c r="A88" i="15"/>
  <c r="A89" i="15"/>
  <c r="A90" i="15"/>
  <c r="A91" i="15"/>
  <c r="A92" i="15"/>
  <c r="A93" i="15"/>
  <c r="A94" i="15"/>
  <c r="A95" i="15"/>
  <c r="A96" i="15"/>
  <c r="A97" i="15"/>
  <c r="A98" i="15"/>
  <c r="A99" i="15"/>
  <c r="A100" i="15"/>
  <c r="A101" i="15"/>
  <c r="A102" i="15"/>
  <c r="A103" i="15"/>
  <c r="A104" i="15"/>
  <c r="A105" i="15"/>
  <c r="A106" i="15"/>
  <c r="A107" i="15"/>
  <c r="A108" i="15"/>
  <c r="A109" i="15"/>
  <c r="A110" i="15"/>
  <c r="A111" i="15"/>
  <c r="A112" i="15"/>
  <c r="A113" i="15"/>
  <c r="A114" i="15"/>
  <c r="A115" i="15"/>
  <c r="A116" i="15"/>
  <c r="A117" i="15"/>
  <c r="A118" i="15"/>
  <c r="A119" i="15"/>
  <c r="A120" i="15"/>
  <c r="A121" i="15"/>
  <c r="A122" i="15"/>
  <c r="A123" i="15"/>
  <c r="A124" i="15"/>
  <c r="A125" i="15"/>
  <c r="A126" i="15"/>
  <c r="A127" i="15"/>
  <c r="A128" i="15"/>
  <c r="A129" i="15"/>
  <c r="A130" i="15"/>
  <c r="A131" i="15"/>
  <c r="A132" i="15"/>
  <c r="A133" i="15"/>
  <c r="A134" i="15"/>
  <c r="A135" i="15"/>
  <c r="A136" i="15"/>
  <c r="A137" i="15"/>
  <c r="A138" i="15"/>
  <c r="A139" i="15"/>
  <c r="A140" i="15"/>
  <c r="A141" i="15"/>
  <c r="A142" i="15"/>
  <c r="A143" i="15"/>
  <c r="A144" i="15"/>
  <c r="A145" i="15"/>
  <c r="A146" i="15"/>
  <c r="A147" i="15"/>
  <c r="A148" i="15"/>
  <c r="A149" i="15"/>
  <c r="A150" i="15"/>
  <c r="A151" i="15"/>
  <c r="A152" i="15"/>
  <c r="A153" i="15"/>
  <c r="A154" i="15"/>
  <c r="A155" i="15"/>
  <c r="A156" i="15"/>
  <c r="A157" i="15"/>
  <c r="A158" i="15"/>
  <c r="A159" i="15"/>
  <c r="A160" i="15"/>
  <c r="A161" i="15"/>
  <c r="A162" i="15"/>
  <c r="A163" i="15"/>
  <c r="A164" i="15"/>
  <c r="A165" i="15"/>
  <c r="A166" i="15"/>
  <c r="A167" i="15"/>
  <c r="A168" i="15"/>
  <c r="A169" i="15"/>
  <c r="A170" i="15"/>
  <c r="A171" i="15"/>
  <c r="A172" i="15"/>
  <c r="A173" i="15"/>
  <c r="A174" i="15"/>
  <c r="A175" i="15"/>
  <c r="A176" i="15"/>
  <c r="A177" i="15"/>
  <c r="A178" i="15"/>
  <c r="A179" i="15"/>
  <c r="A180" i="15"/>
  <c r="A181" i="15"/>
  <c r="A182" i="15"/>
  <c r="A183" i="15"/>
  <c r="A184" i="15"/>
  <c r="A185" i="15"/>
  <c r="A186" i="15"/>
  <c r="A187" i="15"/>
  <c r="A188" i="15"/>
  <c r="A189" i="15"/>
  <c r="A190" i="15"/>
  <c r="A191" i="15"/>
  <c r="A192" i="15"/>
  <c r="A193" i="15"/>
  <c r="A194" i="15"/>
  <c r="A195" i="15"/>
  <c r="A196" i="15"/>
  <c r="A197" i="15"/>
  <c r="A198" i="15"/>
  <c r="A199" i="15"/>
  <c r="A200" i="15"/>
  <c r="A201" i="15"/>
  <c r="I10" i="28"/>
  <c r="L3" i="6"/>
  <c r="L4" i="6"/>
  <c r="M4" i="6"/>
  <c r="N4" i="6"/>
  <c r="O4" i="6"/>
  <c r="P4" i="6"/>
  <c r="M3" i="6"/>
  <c r="N3" i="6"/>
  <c r="O3" i="6"/>
  <c r="P3" i="6"/>
  <c r="O9" i="6"/>
  <c r="O8" i="6"/>
  <c r="L31" i="28"/>
  <c r="Z69" i="28"/>
  <c r="Z70" i="28"/>
  <c r="Z71" i="28"/>
  <c r="Z72" i="28"/>
  <c r="Z73" i="28"/>
  <c r="Z68" i="28"/>
  <c r="L53" i="28"/>
  <c r="L81" i="28"/>
  <c r="L82" i="28"/>
  <c r="L103" i="28"/>
  <c r="L104" i="28"/>
  <c r="L119" i="28"/>
  <c r="L120" i="28"/>
  <c r="L122" i="28"/>
  <c r="L33" i="28"/>
  <c r="L39" i="28"/>
  <c r="H197" i="28"/>
  <c r="L172" i="28"/>
  <c r="L173" i="28"/>
  <c r="L174" i="28"/>
  <c r="L175" i="28"/>
  <c r="L176" i="28"/>
  <c r="L177" i="28"/>
  <c r="L178" i="28"/>
  <c r="L179" i="28"/>
  <c r="L183" i="28"/>
  <c r="L185" i="28"/>
  <c r="L171" i="28"/>
  <c r="D6" i="4"/>
  <c r="I191" i="28"/>
  <c r="D6" i="28"/>
  <c r="C195" i="16"/>
  <c r="C196" i="16"/>
  <c r="D175" i="16"/>
  <c r="D198" i="4"/>
  <c r="BH8" i="13"/>
  <c r="L38" i="28"/>
  <c r="L37" i="28"/>
  <c r="L36" i="28"/>
  <c r="L30" i="28"/>
  <c r="L28" i="28"/>
  <c r="L27" i="28"/>
  <c r="L26" i="28"/>
  <c r="L25" i="28"/>
  <c r="L24" i="28"/>
  <c r="L111" i="28"/>
  <c r="L112" i="28"/>
  <c r="L113" i="28"/>
  <c r="L114" i="28"/>
  <c r="L115" i="28"/>
  <c r="L116" i="28"/>
  <c r="L117" i="28"/>
  <c r="L118" i="28"/>
  <c r="L110" i="28"/>
  <c r="L109" i="28"/>
  <c r="L68" i="28"/>
  <c r="L69" i="28"/>
  <c r="L70" i="28"/>
  <c r="L71" i="28"/>
  <c r="L72" i="28"/>
  <c r="L73" i="28"/>
  <c r="L74" i="28"/>
  <c r="L75" i="28"/>
  <c r="L76" i="28"/>
  <c r="L77" i="28"/>
  <c r="L78" i="28"/>
  <c r="L79" i="28"/>
  <c r="L80" i="28"/>
  <c r="L67" i="28"/>
  <c r="L66" i="28"/>
  <c r="L65" i="28"/>
  <c r="D178" i="3"/>
  <c r="D137" i="3"/>
  <c r="D149" i="4"/>
  <c r="M128" i="28"/>
  <c r="M129" i="28"/>
  <c r="M130" i="28"/>
  <c r="M131" i="28"/>
  <c r="M132" i="28"/>
  <c r="M133" i="28"/>
  <c r="M134" i="28"/>
  <c r="M135" i="28"/>
  <c r="M136" i="28"/>
  <c r="C194" i="16"/>
  <c r="D157" i="28"/>
  <c r="D141" i="28"/>
  <c r="D149" i="28"/>
  <c r="E160" i="3"/>
  <c r="G160" i="3"/>
  <c r="G180" i="28"/>
  <c r="G144" i="3"/>
  <c r="L37" i="16"/>
  <c r="E181" i="4"/>
  <c r="E121" i="4"/>
  <c r="E120" i="4"/>
  <c r="E105" i="4"/>
  <c r="E83" i="4"/>
  <c r="E101" i="4"/>
  <c r="E99" i="4"/>
  <c r="E98" i="4"/>
  <c r="E95" i="4"/>
  <c r="E94" i="4"/>
  <c r="E93" i="4"/>
  <c r="E92" i="4"/>
  <c r="E91" i="4"/>
  <c r="E90" i="4"/>
  <c r="E89" i="4"/>
  <c r="E87" i="4"/>
  <c r="F53" i="4"/>
  <c r="H53" i="4"/>
  <c r="W29" i="4"/>
  <c r="U29" i="4"/>
  <c r="W20" i="4"/>
  <c r="O21" i="4"/>
  <c r="U21" i="4"/>
  <c r="B4" i="4"/>
  <c r="D193" i="4"/>
  <c r="D187" i="4"/>
  <c r="D167" i="4"/>
  <c r="D157" i="4"/>
  <c r="D138" i="4"/>
  <c r="E100" i="4"/>
  <c r="E88" i="4"/>
  <c r="D55" i="4"/>
  <c r="D49" i="4"/>
  <c r="U32" i="4"/>
  <c r="D13" i="4"/>
  <c r="G181" i="4"/>
  <c r="F128" i="4"/>
  <c r="L128" i="4"/>
  <c r="F130" i="4"/>
  <c r="L130" i="4"/>
  <c r="F132" i="4"/>
  <c r="L132" i="4"/>
  <c r="F134" i="4"/>
  <c r="L134" i="4"/>
  <c r="F136" i="4"/>
  <c r="U20" i="4"/>
  <c r="P20" i="4"/>
  <c r="T73" i="4"/>
  <c r="F129" i="4"/>
  <c r="L129" i="4"/>
  <c r="F131" i="4"/>
  <c r="L131" i="4"/>
  <c r="F133" i="4"/>
  <c r="L133" i="4"/>
  <c r="F135" i="4"/>
  <c r="L135" i="4"/>
  <c r="E180" i="4"/>
  <c r="F67" i="4"/>
  <c r="F30" i="4"/>
  <c r="Y68" i="4"/>
  <c r="F68" i="4"/>
  <c r="Y72" i="4"/>
  <c r="F71" i="4"/>
  <c r="F79" i="4"/>
  <c r="F112" i="4"/>
  <c r="F114" i="4"/>
  <c r="F116" i="4"/>
  <c r="Y70" i="4"/>
  <c r="F69" i="4"/>
  <c r="F109" i="4"/>
  <c r="D141" i="4"/>
  <c r="F28" i="4"/>
  <c r="T69" i="4"/>
  <c r="T68" i="4"/>
  <c r="T72" i="4"/>
  <c r="F74" i="4"/>
  <c r="F78" i="4"/>
  <c r="F80" i="4"/>
  <c r="E102" i="4"/>
  <c r="F102" i="4"/>
  <c r="E182" i="4"/>
  <c r="E96" i="4"/>
  <c r="F96" i="4"/>
  <c r="F24" i="4"/>
  <c r="F115" i="4"/>
  <c r="F117" i="4"/>
  <c r="P32" i="4"/>
  <c r="V32" i="4"/>
  <c r="F91" i="4"/>
  <c r="E32" i="4"/>
  <c r="P21" i="4"/>
  <c r="V21" i="4"/>
  <c r="F72" i="4"/>
  <c r="F65" i="4"/>
  <c r="T70" i="4"/>
  <c r="Y71" i="4"/>
  <c r="R29" i="4"/>
  <c r="X29" i="4"/>
  <c r="F27" i="4"/>
  <c r="F66" i="4"/>
  <c r="F70" i="4"/>
  <c r="F75" i="4"/>
  <c r="F77" i="4"/>
  <c r="G19" i="4"/>
  <c r="F26" i="4"/>
  <c r="F111" i="4"/>
  <c r="F113" i="4"/>
  <c r="F87" i="4"/>
  <c r="F99" i="4"/>
  <c r="F95" i="4"/>
  <c r="D86" i="4"/>
  <c r="F36" i="4"/>
  <c r="E97" i="4"/>
  <c r="F97" i="4"/>
  <c r="T71" i="4"/>
  <c r="F94" i="4"/>
  <c r="F90" i="4"/>
  <c r="F98" i="4"/>
  <c r="D108" i="4"/>
  <c r="O22" i="4"/>
  <c r="P22" i="4"/>
  <c r="E29" i="4"/>
  <c r="P29" i="4"/>
  <c r="V29" i="4"/>
  <c r="R32" i="4"/>
  <c r="F37" i="4"/>
  <c r="D64" i="4"/>
  <c r="F73" i="4"/>
  <c r="E20" i="4"/>
  <c r="Q21" i="4"/>
  <c r="E21" i="4"/>
  <c r="F25" i="4"/>
  <c r="W32" i="4"/>
  <c r="F88" i="4"/>
  <c r="F92" i="4"/>
  <c r="F100" i="4"/>
  <c r="F110" i="4"/>
  <c r="F118" i="4"/>
  <c r="D127" i="4"/>
  <c r="F38" i="4"/>
  <c r="Y69" i="4"/>
  <c r="Y73" i="4"/>
  <c r="F76" i="4"/>
  <c r="F89" i="4"/>
  <c r="F93" i="4"/>
  <c r="F101" i="4"/>
  <c r="E191" i="4"/>
  <c r="R20" i="4"/>
  <c r="X20" i="4"/>
  <c r="H30" i="4"/>
  <c r="H46" i="16"/>
  <c r="D174" i="16"/>
  <c r="H37" i="4"/>
  <c r="H27" i="4"/>
  <c r="H24" i="4"/>
  <c r="G180" i="4"/>
  <c r="H28" i="4"/>
  <c r="H26" i="4"/>
  <c r="H38" i="4"/>
  <c r="H25" i="4"/>
  <c r="H36" i="4"/>
  <c r="D173" i="16"/>
  <c r="X32" i="4"/>
  <c r="V20" i="4"/>
  <c r="E184" i="4"/>
  <c r="G182" i="4"/>
  <c r="L127" i="4"/>
  <c r="Y67" i="4"/>
  <c r="T67" i="4"/>
  <c r="F32" i="4"/>
  <c r="F29" i="4"/>
  <c r="R21" i="4"/>
  <c r="F127" i="4"/>
  <c r="Q22" i="4"/>
  <c r="E22" i="4"/>
  <c r="W21" i="4"/>
  <c r="O23" i="4"/>
  <c r="U22" i="4"/>
  <c r="V22" i="4"/>
  <c r="F20" i="4"/>
  <c r="H29" i="4"/>
  <c r="H20" i="4"/>
  <c r="H32" i="4"/>
  <c r="D46" i="16"/>
  <c r="C153" i="16"/>
  <c r="C152" i="16"/>
  <c r="F177" i="4"/>
  <c r="F173" i="4"/>
  <c r="F171" i="4"/>
  <c r="F175" i="4"/>
  <c r="H185" i="4"/>
  <c r="F181" i="4"/>
  <c r="F185" i="4"/>
  <c r="F180" i="4"/>
  <c r="F176" i="4"/>
  <c r="F182" i="4"/>
  <c r="F178" i="4"/>
  <c r="F183" i="4"/>
  <c r="G184" i="4"/>
  <c r="F21" i="4"/>
  <c r="X21" i="4"/>
  <c r="U23" i="4"/>
  <c r="P23" i="4"/>
  <c r="W22" i="4"/>
  <c r="Q23" i="4"/>
  <c r="E23" i="4"/>
  <c r="R22" i="4"/>
  <c r="K31" i="16"/>
  <c r="K46" i="16"/>
  <c r="F31" i="16"/>
  <c r="F46" i="16"/>
  <c r="D153" i="16"/>
  <c r="H21" i="4"/>
  <c r="D135" i="16"/>
  <c r="E31" i="16"/>
  <c r="E46" i="16"/>
  <c r="H180" i="4"/>
  <c r="D134" i="16"/>
  <c r="D152" i="16"/>
  <c r="X22" i="4"/>
  <c r="V23" i="4"/>
  <c r="H178" i="4"/>
  <c r="H176" i="4"/>
  <c r="H175" i="4"/>
  <c r="H183" i="4"/>
  <c r="H182" i="4"/>
  <c r="H173" i="4"/>
  <c r="H181" i="4"/>
  <c r="H177" i="4"/>
  <c r="H171" i="4"/>
  <c r="F22" i="4"/>
  <c r="W23" i="4"/>
  <c r="R23" i="4"/>
  <c r="H22" i="4"/>
  <c r="X23" i="4"/>
  <c r="F23" i="4"/>
  <c r="H23" i="4"/>
  <c r="A13" i="6"/>
  <c r="L176" i="6"/>
  <c r="J117" i="6"/>
  <c r="J116" i="6"/>
  <c r="J114" i="6"/>
  <c r="AB56" i="6"/>
  <c r="J50" i="6"/>
  <c r="P5" i="6"/>
  <c r="O5" i="6"/>
  <c r="N5" i="6"/>
  <c r="M5" i="6"/>
  <c r="L5" i="6"/>
  <c r="AO4" i="6"/>
  <c r="AO5" i="6"/>
  <c r="AN4" i="6"/>
  <c r="AN5" i="6"/>
  <c r="AM4" i="6"/>
  <c r="AM5" i="6"/>
  <c r="AO3" i="6"/>
  <c r="AN3" i="6"/>
  <c r="AM3" i="6"/>
  <c r="S117" i="6"/>
  <c r="R117" i="6"/>
  <c r="O117" i="6"/>
  <c r="S50" i="6"/>
  <c r="R50" i="6"/>
  <c r="O50" i="6"/>
  <c r="AB50" i="6"/>
  <c r="S114" i="6"/>
  <c r="R114" i="6"/>
  <c r="O114" i="6"/>
  <c r="AB114" i="6"/>
  <c r="S116" i="6"/>
  <c r="R116" i="6"/>
  <c r="O116" i="6"/>
  <c r="T117" i="6"/>
  <c r="T116" i="6"/>
  <c r="T114" i="6"/>
  <c r="T50" i="6"/>
  <c r="I18" i="16"/>
  <c r="D193" i="28"/>
  <c r="E191" i="28"/>
  <c r="D187" i="28"/>
  <c r="D167" i="28"/>
  <c r="D138" i="28"/>
  <c r="F136" i="28"/>
  <c r="F135" i="28"/>
  <c r="L135" i="28"/>
  <c r="F134" i="28"/>
  <c r="L134" i="28"/>
  <c r="F133" i="28"/>
  <c r="L133" i="28"/>
  <c r="F132" i="28"/>
  <c r="L132" i="28"/>
  <c r="F131" i="28"/>
  <c r="L131" i="28"/>
  <c r="F130" i="28"/>
  <c r="L130" i="28"/>
  <c r="F129" i="28"/>
  <c r="L129" i="28"/>
  <c r="F128" i="28"/>
  <c r="L128" i="28"/>
  <c r="D127" i="28"/>
  <c r="M127" i="28"/>
  <c r="F121" i="28"/>
  <c r="F120" i="28"/>
  <c r="F119" i="28"/>
  <c r="F118" i="28"/>
  <c r="F117" i="28"/>
  <c r="F116" i="28"/>
  <c r="F115" i="28"/>
  <c r="F114" i="28"/>
  <c r="F113" i="28"/>
  <c r="F112" i="28"/>
  <c r="F111" i="28"/>
  <c r="F110" i="28"/>
  <c r="F109" i="28"/>
  <c r="F105" i="28"/>
  <c r="F104" i="28"/>
  <c r="F103" i="28"/>
  <c r="F83" i="28"/>
  <c r="F82" i="28"/>
  <c r="F81" i="28"/>
  <c r="E102" i="28"/>
  <c r="L102" i="28"/>
  <c r="E101" i="28"/>
  <c r="L101" i="28"/>
  <c r="F78" i="28"/>
  <c r="F77" i="28"/>
  <c r="E98" i="28"/>
  <c r="L98" i="28"/>
  <c r="E97" i="28"/>
  <c r="L97" i="28"/>
  <c r="F74" i="28"/>
  <c r="F73" i="28"/>
  <c r="E94" i="28"/>
  <c r="L94" i="28"/>
  <c r="E93" i="28"/>
  <c r="L93" i="28"/>
  <c r="F70" i="28"/>
  <c r="Y73" i="28"/>
  <c r="T73" i="28"/>
  <c r="F69" i="28"/>
  <c r="Y72" i="28"/>
  <c r="T72" i="28"/>
  <c r="E90" i="28"/>
  <c r="L90" i="28"/>
  <c r="Y71" i="28"/>
  <c r="T71" i="28"/>
  <c r="E89" i="28"/>
  <c r="L89" i="28"/>
  <c r="Y70" i="28"/>
  <c r="T70" i="28"/>
  <c r="F66" i="28"/>
  <c r="Y69" i="28"/>
  <c r="T69" i="28"/>
  <c r="E87" i="28"/>
  <c r="L87" i="28"/>
  <c r="Y68" i="28"/>
  <c r="T68" i="28"/>
  <c r="D55" i="28"/>
  <c r="F53" i="28"/>
  <c r="H53" i="28"/>
  <c r="D49" i="28"/>
  <c r="F39" i="28"/>
  <c r="F38" i="28"/>
  <c r="F33" i="28"/>
  <c r="W32" i="28"/>
  <c r="P32" i="28"/>
  <c r="F31" i="28"/>
  <c r="W29" i="28"/>
  <c r="P29" i="28"/>
  <c r="F27" i="28"/>
  <c r="F25" i="28"/>
  <c r="R20" i="28"/>
  <c r="O21" i="28"/>
  <c r="D13" i="28"/>
  <c r="B4" i="28"/>
  <c r="F33" i="50"/>
  <c r="E33" i="50"/>
  <c r="H33" i="50" s="1"/>
  <c r="F31" i="50"/>
  <c r="F103" i="50"/>
  <c r="F86" i="50"/>
  <c r="F104" i="50"/>
  <c r="F119" i="50"/>
  <c r="F82" i="50"/>
  <c r="E82" i="50"/>
  <c r="F105" i="50"/>
  <c r="F120" i="50"/>
  <c r="F39" i="50"/>
  <c r="F81" i="50"/>
  <c r="E81" i="50"/>
  <c r="F83" i="50"/>
  <c r="F121" i="50"/>
  <c r="H38" i="28"/>
  <c r="E81" i="4"/>
  <c r="E82" i="4"/>
  <c r="H27" i="28"/>
  <c r="H25" i="28"/>
  <c r="H39" i="28"/>
  <c r="H31" i="28"/>
  <c r="Y67" i="28"/>
  <c r="T67" i="28"/>
  <c r="F108" i="28"/>
  <c r="E108" i="28" s="1"/>
  <c r="H33" i="28"/>
  <c r="G182" i="28"/>
  <c r="G184" i="28" s="1"/>
  <c r="G181" i="28"/>
  <c r="F87" i="28"/>
  <c r="F93" i="28"/>
  <c r="F97" i="28"/>
  <c r="F101" i="28"/>
  <c r="F90" i="28"/>
  <c r="F94" i="28"/>
  <c r="F98" i="28"/>
  <c r="F102" i="28"/>
  <c r="F89" i="28"/>
  <c r="E104" i="4"/>
  <c r="E119" i="4"/>
  <c r="E39" i="4"/>
  <c r="E103" i="4"/>
  <c r="F65" i="28"/>
  <c r="U32" i="28"/>
  <c r="V32" i="28"/>
  <c r="P20" i="28"/>
  <c r="L127" i="28"/>
  <c r="U20" i="28"/>
  <c r="E100" i="28"/>
  <c r="L100" i="28"/>
  <c r="F75" i="28"/>
  <c r="E91" i="28"/>
  <c r="L91" i="28"/>
  <c r="U29" i="28"/>
  <c r="V29" i="28"/>
  <c r="E99" i="28"/>
  <c r="L99" i="28"/>
  <c r="E20" i="28"/>
  <c r="L20" i="28"/>
  <c r="F79" i="28"/>
  <c r="E92" i="28"/>
  <c r="L92" i="28"/>
  <c r="F30" i="28"/>
  <c r="E95" i="28"/>
  <c r="L95" i="28"/>
  <c r="H18" i="16"/>
  <c r="Q21" i="28"/>
  <c r="W21" i="28"/>
  <c r="F37" i="28"/>
  <c r="W20" i="28"/>
  <c r="X20" i="28"/>
  <c r="F71" i="28"/>
  <c r="E88" i="28"/>
  <c r="L88" i="28"/>
  <c r="E96" i="28"/>
  <c r="L96" i="28"/>
  <c r="E184" i="28"/>
  <c r="F177" i="28" s="1"/>
  <c r="F127" i="28"/>
  <c r="P21" i="28"/>
  <c r="U21" i="28"/>
  <c r="O22" i="28"/>
  <c r="F28" i="28"/>
  <c r="R32" i="28"/>
  <c r="F68" i="28"/>
  <c r="F80" i="28"/>
  <c r="F26" i="28"/>
  <c r="E29" i="28"/>
  <c r="L29" i="28"/>
  <c r="E32" i="28"/>
  <c r="L32" i="28"/>
  <c r="R29" i="28"/>
  <c r="F72" i="28"/>
  <c r="F67" i="28"/>
  <c r="F76" i="28"/>
  <c r="F24" i="28"/>
  <c r="F36" i="28"/>
  <c r="F64" i="50"/>
  <c r="H36" i="28"/>
  <c r="H37" i="28"/>
  <c r="H30" i="28"/>
  <c r="H26" i="28"/>
  <c r="H28" i="28"/>
  <c r="L181" i="28"/>
  <c r="F146" i="28"/>
  <c r="F146" i="50"/>
  <c r="H24" i="28"/>
  <c r="F64" i="28"/>
  <c r="E64" i="28"/>
  <c r="L64" i="28"/>
  <c r="H39" i="4"/>
  <c r="V21" i="28"/>
  <c r="F29" i="28"/>
  <c r="X29" i="28"/>
  <c r="E31" i="4"/>
  <c r="H31" i="4"/>
  <c r="E33" i="4"/>
  <c r="H33" i="4"/>
  <c r="F32" i="28"/>
  <c r="X32" i="28"/>
  <c r="F20" i="28"/>
  <c r="V20" i="28"/>
  <c r="F96" i="28"/>
  <c r="F95" i="28"/>
  <c r="F100" i="28"/>
  <c r="F88" i="28"/>
  <c r="F92" i="28"/>
  <c r="F99" i="28"/>
  <c r="F91" i="28"/>
  <c r="L180" i="28"/>
  <c r="F64" i="4"/>
  <c r="H185" i="28"/>
  <c r="Q22" i="28"/>
  <c r="W22" i="28"/>
  <c r="R21" i="28"/>
  <c r="E21" i="28"/>
  <c r="L21" i="28"/>
  <c r="F183" i="28"/>
  <c r="E18" i="16" s="1"/>
  <c r="F180" i="28"/>
  <c r="F18" i="16" s="1"/>
  <c r="F175" i="28"/>
  <c r="F181" i="28"/>
  <c r="F178" i="28"/>
  <c r="F185" i="28"/>
  <c r="F173" i="28"/>
  <c r="F171" i="28"/>
  <c r="F176" i="28"/>
  <c r="D18" i="16"/>
  <c r="P22" i="28"/>
  <c r="U22" i="28"/>
  <c r="O23" i="28"/>
  <c r="H32" i="28"/>
  <c r="H20" i="28"/>
  <c r="H29" i="28"/>
  <c r="F86" i="28"/>
  <c r="E86" i="28"/>
  <c r="L86" i="28"/>
  <c r="X21" i="28"/>
  <c r="V22" i="28"/>
  <c r="E22" i="28"/>
  <c r="L22" i="28"/>
  <c r="F21" i="28"/>
  <c r="Q23" i="28"/>
  <c r="R23" i="28"/>
  <c r="R22" i="28"/>
  <c r="X22" i="28"/>
  <c r="U23" i="28"/>
  <c r="P23" i="28"/>
  <c r="F144" i="28"/>
  <c r="H21" i="28"/>
  <c r="W23" i="28"/>
  <c r="X23" i="28"/>
  <c r="H145" i="28"/>
  <c r="V23" i="28"/>
  <c r="H144" i="28"/>
  <c r="E23" i="28"/>
  <c r="L23" i="28"/>
  <c r="F22" i="28"/>
  <c r="F23" i="28"/>
  <c r="J82" i="16"/>
  <c r="B82" i="16"/>
  <c r="H22" i="28"/>
  <c r="H23" i="28"/>
  <c r="E162" i="3"/>
  <c r="G162" i="3"/>
  <c r="G164" i="3"/>
  <c r="H160" i="3"/>
  <c r="O194" i="16"/>
  <c r="CN18" i="13"/>
  <c r="CN17" i="13"/>
  <c r="CN45" i="13"/>
  <c r="CN50" i="13"/>
  <c r="D45" i="46"/>
  <c r="CN44" i="13"/>
  <c r="CN49" i="13"/>
  <c r="D44" i="46"/>
  <c r="CN72" i="13"/>
  <c r="CN71" i="13"/>
  <c r="CE72" i="13"/>
  <c r="CE71" i="13"/>
  <c r="CE45" i="13"/>
  <c r="CE44" i="13"/>
  <c r="CE49" i="13"/>
  <c r="D44" i="47"/>
  <c r="CE18" i="13"/>
  <c r="CE23" i="13"/>
  <c r="D43" i="47"/>
  <c r="CE17" i="13"/>
  <c r="BV18" i="13"/>
  <c r="BV23" i="13"/>
  <c r="D43" i="48"/>
  <c r="BV17" i="13"/>
  <c r="BV45" i="13"/>
  <c r="BV44" i="13"/>
  <c r="BV49" i="13"/>
  <c r="D44" i="48"/>
  <c r="BV72" i="13"/>
  <c r="BV71" i="13"/>
  <c r="BV76" i="13"/>
  <c r="D46" i="48"/>
  <c r="BM72" i="13"/>
  <c r="BM77" i="13"/>
  <c r="D47" i="49"/>
  <c r="BM71" i="13"/>
  <c r="BM45" i="13"/>
  <c r="BM50" i="13"/>
  <c r="D45" i="49"/>
  <c r="BM44" i="13"/>
  <c r="BM49" i="13"/>
  <c r="D44" i="49"/>
  <c r="BM18" i="13"/>
  <c r="BM17" i="13"/>
  <c r="BM22" i="13"/>
  <c r="D42" i="49"/>
  <c r="F47" i="49"/>
  <c r="L47" i="49"/>
  <c r="F43" i="47"/>
  <c r="L43" i="47"/>
  <c r="F45" i="46"/>
  <c r="L45" i="46"/>
  <c r="F44" i="49"/>
  <c r="D44" i="4"/>
  <c r="L44" i="49"/>
  <c r="F46" i="48"/>
  <c r="L46" i="48"/>
  <c r="F44" i="47"/>
  <c r="L44" i="47"/>
  <c r="F45" i="49"/>
  <c r="L45" i="49"/>
  <c r="F43" i="48"/>
  <c r="L43" i="48"/>
  <c r="F42" i="49"/>
  <c r="L42" i="49"/>
  <c r="D19" i="49"/>
  <c r="F44" i="48"/>
  <c r="L44" i="48"/>
  <c r="F44" i="46"/>
  <c r="L44" i="46"/>
  <c r="BV25" i="13"/>
  <c r="BM23" i="13"/>
  <c r="D43" i="49"/>
  <c r="BM24" i="13"/>
  <c r="CE51" i="13"/>
  <c r="BM79" i="13"/>
  <c r="BM76" i="13"/>
  <c r="D46" i="49"/>
  <c r="CE25" i="13"/>
  <c r="CN23" i="13"/>
  <c r="D43" i="46"/>
  <c r="CN22" i="13"/>
  <c r="D42" i="46"/>
  <c r="CN51" i="13"/>
  <c r="CN52" i="13"/>
  <c r="CN76" i="13"/>
  <c r="D46" i="46"/>
  <c r="CN77" i="13"/>
  <c r="D47" i="46"/>
  <c r="CE76" i="13"/>
  <c r="D46" i="47"/>
  <c r="CE77" i="13"/>
  <c r="D47" i="47"/>
  <c r="CE50" i="13"/>
  <c r="D45" i="47"/>
  <c r="CE22" i="13"/>
  <c r="D42" i="47"/>
  <c r="BV22" i="13"/>
  <c r="D42" i="48"/>
  <c r="BV50" i="13"/>
  <c r="D45" i="48"/>
  <c r="D45" i="4"/>
  <c r="BV51" i="13"/>
  <c r="BV77" i="13"/>
  <c r="D47" i="48"/>
  <c r="BV78" i="13"/>
  <c r="BM51" i="13"/>
  <c r="BM52" i="13"/>
  <c r="F45" i="47"/>
  <c r="L45" i="47"/>
  <c r="F46" i="46"/>
  <c r="L46" i="46"/>
  <c r="F43" i="46"/>
  <c r="L43" i="46"/>
  <c r="F47" i="47"/>
  <c r="F19" i="47"/>
  <c r="F123" i="47"/>
  <c r="L47" i="47"/>
  <c r="F42" i="48"/>
  <c r="L42" i="48"/>
  <c r="D19" i="48"/>
  <c r="F46" i="47"/>
  <c r="L46" i="47"/>
  <c r="F46" i="49"/>
  <c r="D46" i="4"/>
  <c r="L46" i="49"/>
  <c r="F43" i="49"/>
  <c r="F43" i="4"/>
  <c r="D43" i="4"/>
  <c r="L43" i="49"/>
  <c r="D42" i="4"/>
  <c r="F19" i="49"/>
  <c r="F123" i="49"/>
  <c r="F47" i="48"/>
  <c r="F19" i="48"/>
  <c r="F123" i="48"/>
  <c r="L47" i="48"/>
  <c r="F42" i="47"/>
  <c r="L42" i="47"/>
  <c r="D19" i="47"/>
  <c r="F47" i="46"/>
  <c r="L47" i="46"/>
  <c r="F42" i="46"/>
  <c r="L42" i="46"/>
  <c r="D19" i="46"/>
  <c r="F143" i="49"/>
  <c r="F44" i="4"/>
  <c r="F45" i="48"/>
  <c r="F45" i="4"/>
  <c r="L45" i="48"/>
  <c r="D47" i="4"/>
  <c r="E19" i="49"/>
  <c r="L19" i="49"/>
  <c r="E44" i="4"/>
  <c r="BM25" i="13"/>
  <c r="G19" i="28"/>
  <c r="CN24" i="13"/>
  <c r="CE52" i="13"/>
  <c r="CE79" i="13"/>
  <c r="BM78" i="13"/>
  <c r="CN25" i="13"/>
  <c r="CE78" i="13"/>
  <c r="CE24" i="13"/>
  <c r="BV79" i="13"/>
  <c r="BV52" i="13"/>
  <c r="BV24" i="13"/>
  <c r="CN79" i="13"/>
  <c r="CN78" i="13"/>
  <c r="D166" i="16"/>
  <c r="D167" i="16"/>
  <c r="O108" i="16"/>
  <c r="D105" i="16"/>
  <c r="D106" i="16"/>
  <c r="D112" i="16"/>
  <c r="D113" i="16"/>
  <c r="D114" i="16"/>
  <c r="D86" i="16"/>
  <c r="D87" i="16"/>
  <c r="C146" i="16"/>
  <c r="C145" i="16"/>
  <c r="D107" i="16"/>
  <c r="D168" i="16"/>
  <c r="C147" i="16"/>
  <c r="D88" i="16"/>
  <c r="D108" i="16"/>
  <c r="D169" i="16"/>
  <c r="C148" i="16"/>
  <c r="D89" i="16"/>
  <c r="D109" i="16"/>
  <c r="D170" i="16"/>
  <c r="C149" i="16"/>
  <c r="D90" i="16"/>
  <c r="L19" i="47"/>
  <c r="E19" i="47"/>
  <c r="E19" i="48"/>
  <c r="L19" i="48"/>
  <c r="F142" i="49"/>
  <c r="C27" i="16"/>
  <c r="F143" i="46"/>
  <c r="F142" i="46"/>
  <c r="C30" i="16"/>
  <c r="F19" i="46"/>
  <c r="F123" i="46"/>
  <c r="F46" i="4"/>
  <c r="F42" i="4"/>
  <c r="F143" i="47"/>
  <c r="F142" i="47"/>
  <c r="C29" i="16"/>
  <c r="F47" i="4"/>
  <c r="F143" i="48"/>
  <c r="F142" i="48"/>
  <c r="C28" i="16"/>
  <c r="E45" i="4"/>
  <c r="E46" i="4"/>
  <c r="E47" i="4"/>
  <c r="D19" i="28"/>
  <c r="E19" i="46"/>
  <c r="L19" i="46"/>
  <c r="F143" i="4"/>
  <c r="D19" i="4"/>
  <c r="F108" i="4"/>
  <c r="O176" i="16"/>
  <c r="O156" i="16"/>
  <c r="O129" i="16"/>
  <c r="O147" i="16"/>
  <c r="O128" i="16"/>
  <c r="O127" i="16"/>
  <c r="L144" i="3"/>
  <c r="E164" i="3"/>
  <c r="F160" i="3"/>
  <c r="F8" i="16"/>
  <c r="F53" i="16"/>
  <c r="F57" i="16"/>
  <c r="F54" i="16"/>
  <c r="F58" i="16"/>
  <c r="F55" i="16"/>
  <c r="F59" i="16"/>
  <c r="F56" i="16"/>
  <c r="F61" i="16"/>
  <c r="F62" i="16"/>
  <c r="F60" i="16"/>
  <c r="F86" i="4"/>
  <c r="H163" i="3"/>
  <c r="D8" i="16"/>
  <c r="D53" i="16"/>
  <c r="D57" i="16"/>
  <c r="D54" i="16"/>
  <c r="D58" i="16"/>
  <c r="D55" i="16"/>
  <c r="D59" i="16"/>
  <c r="D56" i="16"/>
  <c r="D61" i="16"/>
  <c r="D62" i="16"/>
  <c r="D60" i="16"/>
  <c r="H153" i="3"/>
  <c r="H158" i="3"/>
  <c r="H157" i="3"/>
  <c r="H155" i="3"/>
  <c r="H151" i="3"/>
  <c r="H161" i="3"/>
  <c r="H162" i="3"/>
  <c r="H156" i="3"/>
  <c r="F37" i="16"/>
  <c r="D37" i="16"/>
  <c r="S61" i="3"/>
  <c r="S60" i="3"/>
  <c r="S59" i="3"/>
  <c r="S58" i="3"/>
  <c r="S57" i="3"/>
  <c r="S56" i="3"/>
  <c r="E124" i="3"/>
  <c r="F124" i="3"/>
  <c r="E123" i="3"/>
  <c r="F123" i="3"/>
  <c r="L123" i="3"/>
  <c r="E122" i="3"/>
  <c r="F122" i="3"/>
  <c r="L122" i="3"/>
  <c r="E121" i="3"/>
  <c r="F121" i="3"/>
  <c r="L121" i="3"/>
  <c r="E120" i="3"/>
  <c r="F120" i="3"/>
  <c r="L120" i="3"/>
  <c r="E119" i="3"/>
  <c r="F119" i="3"/>
  <c r="L119" i="3"/>
  <c r="E118" i="3"/>
  <c r="F118" i="3"/>
  <c r="L118" i="3"/>
  <c r="E117" i="3"/>
  <c r="F117" i="3"/>
  <c r="L117" i="3"/>
  <c r="E116" i="3"/>
  <c r="F116" i="3"/>
  <c r="L116" i="3"/>
  <c r="E106" i="3"/>
  <c r="E105" i="3"/>
  <c r="E104" i="3"/>
  <c r="E103" i="3"/>
  <c r="E102" i="3"/>
  <c r="E101" i="3"/>
  <c r="E100" i="3"/>
  <c r="E99" i="3"/>
  <c r="E98" i="3"/>
  <c r="E97" i="3"/>
  <c r="F97" i="3"/>
  <c r="E72" i="3"/>
  <c r="E92" i="3"/>
  <c r="E71" i="3"/>
  <c r="E91" i="3"/>
  <c r="E70" i="3"/>
  <c r="E90" i="3"/>
  <c r="E69" i="3"/>
  <c r="E89" i="3"/>
  <c r="E68" i="3"/>
  <c r="E88" i="3"/>
  <c r="E67" i="3"/>
  <c r="E87" i="3"/>
  <c r="E66" i="3"/>
  <c r="E86" i="3"/>
  <c r="E65" i="3"/>
  <c r="E85" i="3"/>
  <c r="E64" i="3"/>
  <c r="E84" i="3"/>
  <c r="E63" i="3"/>
  <c r="E83" i="3"/>
  <c r="E62" i="3"/>
  <c r="E82" i="3"/>
  <c r="E61" i="3"/>
  <c r="E81" i="3"/>
  <c r="E60" i="3"/>
  <c r="E80" i="3"/>
  <c r="E59" i="3"/>
  <c r="E79" i="3"/>
  <c r="E58" i="3"/>
  <c r="E78" i="3"/>
  <c r="E57" i="3"/>
  <c r="E77" i="3"/>
  <c r="E32" i="3"/>
  <c r="E31" i="3"/>
  <c r="E30" i="3"/>
  <c r="E26" i="3"/>
  <c r="E24" i="3"/>
  <c r="E23" i="3"/>
  <c r="E22" i="3"/>
  <c r="E21" i="3"/>
  <c r="E20" i="3"/>
  <c r="Q28" i="3"/>
  <c r="W28" i="3"/>
  <c r="O28" i="3"/>
  <c r="Q25" i="3"/>
  <c r="W25" i="3"/>
  <c r="O25" i="3"/>
  <c r="U25" i="3"/>
  <c r="Q16" i="3"/>
  <c r="W16" i="3"/>
  <c r="O16" i="3"/>
  <c r="D173" i="3"/>
  <c r="D167" i="3"/>
  <c r="D147" i="3"/>
  <c r="D126" i="3"/>
  <c r="D47" i="3"/>
  <c r="D41" i="3"/>
  <c r="D6" i="3"/>
  <c r="B4" i="3"/>
  <c r="D111" i="16"/>
  <c r="L115" i="3"/>
  <c r="Q17" i="3"/>
  <c r="Q18" i="3"/>
  <c r="W18" i="3"/>
  <c r="R16" i="3"/>
  <c r="X16" i="3"/>
  <c r="E28" i="3"/>
  <c r="C144" i="16"/>
  <c r="E25" i="3"/>
  <c r="U28" i="3"/>
  <c r="E16" i="3"/>
  <c r="O17" i="3"/>
  <c r="O18" i="3"/>
  <c r="U18" i="3"/>
  <c r="P16" i="3"/>
  <c r="U16" i="3"/>
  <c r="V16" i="3"/>
  <c r="Q19" i="3"/>
  <c r="W19" i="3"/>
  <c r="W17" i="3"/>
  <c r="E17" i="3"/>
  <c r="U17" i="3"/>
  <c r="E18" i="3"/>
  <c r="O19" i="3"/>
  <c r="F16" i="3"/>
  <c r="H16" i="3"/>
  <c r="E19" i="3"/>
  <c r="U19" i="3"/>
  <c r="B85" i="16"/>
  <c r="B165" i="16"/>
  <c r="B104" i="16"/>
  <c r="B126" i="16"/>
  <c r="B144" i="16"/>
  <c r="B186" i="16"/>
  <c r="M85" i="16"/>
  <c r="B86" i="16"/>
  <c r="B166" i="16"/>
  <c r="B105" i="16"/>
  <c r="B127" i="16"/>
  <c r="B145" i="16"/>
  <c r="B187" i="16"/>
  <c r="B87" i="16"/>
  <c r="B167" i="16"/>
  <c r="B106" i="16"/>
  <c r="B128" i="16"/>
  <c r="B146" i="16"/>
  <c r="B188" i="16"/>
  <c r="B88" i="16"/>
  <c r="B168" i="16"/>
  <c r="B107" i="16"/>
  <c r="B129" i="16"/>
  <c r="B147" i="16"/>
  <c r="B189" i="16"/>
  <c r="B89" i="16"/>
  <c r="B169" i="16"/>
  <c r="B108" i="16"/>
  <c r="B130" i="16"/>
  <c r="B148" i="16"/>
  <c r="B190" i="16"/>
  <c r="B90" i="16"/>
  <c r="B170" i="16"/>
  <c r="B109" i="16"/>
  <c r="B131" i="16"/>
  <c r="B149" i="16"/>
  <c r="B191" i="16"/>
  <c r="B91" i="16"/>
  <c r="B171" i="16"/>
  <c r="B110" i="16"/>
  <c r="B132" i="16"/>
  <c r="B150" i="16"/>
  <c r="B192" i="16"/>
  <c r="B92" i="16"/>
  <c r="B172" i="16"/>
  <c r="B111" i="16"/>
  <c r="B133" i="16"/>
  <c r="B151" i="16"/>
  <c r="B193" i="16"/>
  <c r="B93" i="16"/>
  <c r="B173" i="16"/>
  <c r="B112" i="16"/>
  <c r="B134" i="16"/>
  <c r="B152" i="16"/>
  <c r="B194" i="16"/>
  <c r="B94" i="16"/>
  <c r="B174" i="16"/>
  <c r="B113" i="16"/>
  <c r="B135" i="16"/>
  <c r="B153" i="16"/>
  <c r="B195" i="16"/>
  <c r="B95" i="16"/>
  <c r="B175" i="16"/>
  <c r="B114" i="16"/>
  <c r="B136" i="16"/>
  <c r="B154" i="16"/>
  <c r="B196" i="16"/>
  <c r="D127" i="16"/>
  <c r="D128" i="16"/>
  <c r="D129" i="16"/>
  <c r="D130" i="16"/>
  <c r="D131" i="16"/>
  <c r="B137" i="16"/>
  <c r="B138" i="16"/>
  <c r="B139" i="16"/>
  <c r="B140" i="16"/>
  <c r="D144" i="16"/>
  <c r="D145" i="16"/>
  <c r="D146" i="16"/>
  <c r="D147" i="16"/>
  <c r="D148" i="16"/>
  <c r="D149" i="16"/>
  <c r="C187" i="16"/>
  <c r="C188" i="16"/>
  <c r="C189" i="16"/>
  <c r="C190" i="16"/>
  <c r="C191" i="16"/>
  <c r="A2" i="15"/>
  <c r="F8" i="13"/>
  <c r="F35" i="13"/>
  <c r="F62" i="13"/>
  <c r="F7" i="13"/>
  <c r="F34" i="13"/>
  <c r="F61" i="13"/>
  <c r="B79" i="16"/>
  <c r="E78" i="16"/>
  <c r="B78" i="16"/>
  <c r="E77" i="16"/>
  <c r="B77" i="16"/>
  <c r="E76" i="16"/>
  <c r="B76" i="16"/>
  <c r="E75" i="16"/>
  <c r="B75" i="16"/>
  <c r="E74" i="16"/>
  <c r="B74" i="16"/>
  <c r="E73" i="16"/>
  <c r="B73" i="16"/>
  <c r="E72" i="16"/>
  <c r="B72" i="16"/>
  <c r="E71" i="16"/>
  <c r="B71" i="16"/>
  <c r="E70" i="16"/>
  <c r="B70" i="16"/>
  <c r="E69" i="16"/>
  <c r="B69" i="16"/>
  <c r="B63" i="16"/>
  <c r="B62" i="16"/>
  <c r="B61" i="16"/>
  <c r="B60" i="16"/>
  <c r="B59" i="16"/>
  <c r="B58" i="16"/>
  <c r="B57" i="16"/>
  <c r="B56" i="16"/>
  <c r="B55" i="16"/>
  <c r="B54" i="16"/>
  <c r="B53" i="16"/>
  <c r="J99" i="16"/>
  <c r="J116" i="16"/>
  <c r="J134" i="16"/>
  <c r="J151" i="16"/>
  <c r="J169" i="16"/>
  <c r="J186" i="16"/>
  <c r="BD79" i="13"/>
  <c r="BD78" i="13"/>
  <c r="BD77" i="13"/>
  <c r="BD76" i="13"/>
  <c r="CR72" i="13"/>
  <c r="CI72" i="13"/>
  <c r="BZ72" i="13"/>
  <c r="BQ72" i="13"/>
  <c r="BD72" i="13"/>
  <c r="BH72" i="13"/>
  <c r="F72" i="13"/>
  <c r="CR71" i="13"/>
  <c r="CI71" i="13"/>
  <c r="BZ71" i="13"/>
  <c r="BQ71" i="13"/>
  <c r="BD71" i="13"/>
  <c r="BH71" i="13"/>
  <c r="F71" i="13"/>
  <c r="BD67" i="13"/>
  <c r="CR66" i="13"/>
  <c r="CR67" i="13"/>
  <c r="CI66" i="13"/>
  <c r="CI67" i="13"/>
  <c r="BZ66" i="13"/>
  <c r="BZ67" i="13"/>
  <c r="BQ66" i="13"/>
  <c r="BQ67" i="13"/>
  <c r="BD66" i="13"/>
  <c r="F66" i="13"/>
  <c r="F67" i="13"/>
  <c r="BD62" i="13"/>
  <c r="BD61" i="13"/>
  <c r="BD52" i="13"/>
  <c r="BD51" i="13"/>
  <c r="BD50" i="13"/>
  <c r="BD49" i="13"/>
  <c r="CR45" i="13"/>
  <c r="CI45" i="13"/>
  <c r="BZ45" i="13"/>
  <c r="BQ45" i="13"/>
  <c r="BD45" i="13"/>
  <c r="BH45" i="13"/>
  <c r="F45" i="13"/>
  <c r="CR44" i="13"/>
  <c r="CI44" i="13"/>
  <c r="BZ44" i="13"/>
  <c r="BQ44" i="13"/>
  <c r="BD44" i="13"/>
  <c r="BH44" i="13"/>
  <c r="F44" i="13"/>
  <c r="BD40" i="13"/>
  <c r="CR39" i="13"/>
  <c r="CR40" i="13"/>
  <c r="CI39" i="13"/>
  <c r="CI40" i="13"/>
  <c r="BZ39" i="13"/>
  <c r="BZ40" i="13"/>
  <c r="BQ39" i="13"/>
  <c r="BQ40" i="13"/>
  <c r="BD39" i="13"/>
  <c r="F39" i="13"/>
  <c r="F40" i="13"/>
  <c r="BD35" i="13"/>
  <c r="BD34" i="13"/>
  <c r="B18" i="13"/>
  <c r="B17" i="13"/>
  <c r="B22" i="13"/>
  <c r="BD13" i="13"/>
  <c r="BD12" i="13"/>
  <c r="BD8" i="13"/>
  <c r="L44" i="28"/>
  <c r="L45" i="28"/>
  <c r="L46" i="28"/>
  <c r="L47" i="28"/>
  <c r="E128" i="16"/>
  <c r="E132" i="16"/>
  <c r="E136" i="16"/>
  <c r="E131" i="16"/>
  <c r="E127" i="16"/>
  <c r="E135" i="16"/>
  <c r="E129" i="16"/>
  <c r="E133" i="16"/>
  <c r="E126" i="16"/>
  <c r="E130" i="16"/>
  <c r="E134" i="16"/>
  <c r="B23" i="13"/>
  <c r="B25" i="13"/>
  <c r="F37" i="3"/>
  <c r="H37" i="3"/>
  <c r="F39" i="3"/>
  <c r="H39" i="3"/>
  <c r="F36" i="3"/>
  <c r="H36" i="3"/>
  <c r="F38" i="3"/>
  <c r="H38" i="3"/>
  <c r="BQ8" i="13"/>
  <c r="BZ8" i="13"/>
  <c r="CI8" i="13"/>
  <c r="CR8" i="13"/>
  <c r="CR35" i="13"/>
  <c r="CR62" i="13"/>
  <c r="BQ7" i="13"/>
  <c r="F12" i="13"/>
  <c r="F17" i="13"/>
  <c r="BH39" i="13"/>
  <c r="BH40" i="13"/>
  <c r="BH66" i="13"/>
  <c r="BH67" i="13"/>
  <c r="BD7" i="13"/>
  <c r="B102" i="16"/>
  <c r="B122" i="16"/>
  <c r="B142" i="16"/>
  <c r="B162" i="16"/>
  <c r="B182" i="16"/>
  <c r="F44" i="28"/>
  <c r="F46" i="28"/>
  <c r="F47" i="28"/>
  <c r="F45" i="28"/>
  <c r="BQ12" i="13"/>
  <c r="BQ13" i="13"/>
  <c r="BQ18" i="13"/>
  <c r="BH35" i="13"/>
  <c r="BH62" i="13"/>
  <c r="CI35" i="13"/>
  <c r="CI62" i="13"/>
  <c r="BH34" i="13"/>
  <c r="BH61" i="13"/>
  <c r="BZ35" i="13"/>
  <c r="BZ62" i="13"/>
  <c r="BH12" i="13"/>
  <c r="BH13" i="13"/>
  <c r="BQ35" i="13"/>
  <c r="BQ62" i="13"/>
  <c r="BZ7" i="13"/>
  <c r="BZ12" i="13"/>
  <c r="BQ34" i="13"/>
  <c r="BQ61" i="13"/>
  <c r="F13" i="13"/>
  <c r="F18" i="13"/>
  <c r="BD18" i="13"/>
  <c r="BD23" i="13"/>
  <c r="BD17" i="13"/>
  <c r="B24" i="13"/>
  <c r="F45" i="50"/>
  <c r="F46" i="50"/>
  <c r="F47" i="50"/>
  <c r="F44" i="50"/>
  <c r="L43" i="28"/>
  <c r="H46" i="28"/>
  <c r="H45" i="28"/>
  <c r="H44" i="28"/>
  <c r="H47" i="28"/>
  <c r="BQ17" i="13"/>
  <c r="BD25" i="13"/>
  <c r="BD22" i="13"/>
  <c r="BZ13" i="13"/>
  <c r="BZ18" i="13"/>
  <c r="BZ17" i="13"/>
  <c r="BH17" i="13"/>
  <c r="BH18" i="13"/>
  <c r="F34" i="3"/>
  <c r="H34" i="3"/>
  <c r="CI7" i="13"/>
  <c r="CI12" i="13"/>
  <c r="BZ34" i="13"/>
  <c r="BZ61" i="13"/>
  <c r="H47" i="50"/>
  <c r="H44" i="50"/>
  <c r="H45" i="50"/>
  <c r="H46" i="50"/>
  <c r="L42" i="28"/>
  <c r="F43" i="28"/>
  <c r="BD24" i="13"/>
  <c r="CI13" i="13"/>
  <c r="CI18" i="13"/>
  <c r="CI17" i="13"/>
  <c r="F35" i="3"/>
  <c r="H35" i="3"/>
  <c r="CR7" i="13"/>
  <c r="CI34" i="13"/>
  <c r="CI61" i="13"/>
  <c r="F43" i="50"/>
  <c r="F42" i="28"/>
  <c r="H43" i="28"/>
  <c r="H42" i="28"/>
  <c r="CR34" i="13"/>
  <c r="CR61" i="13"/>
  <c r="CR12" i="13"/>
  <c r="H43" i="50"/>
  <c r="F42" i="50"/>
  <c r="H42" i="50"/>
  <c r="F143" i="28"/>
  <c r="F19" i="28"/>
  <c r="H143" i="28"/>
  <c r="H19" i="28"/>
  <c r="CR13" i="13"/>
  <c r="CR18" i="13"/>
  <c r="CR17" i="13"/>
  <c r="E19" i="28"/>
  <c r="L19" i="28"/>
  <c r="H142" i="28"/>
  <c r="J18" i="16"/>
  <c r="H142" i="4"/>
  <c r="F142" i="4"/>
  <c r="C46" i="16"/>
  <c r="L10" i="45"/>
  <c r="L10" i="44"/>
  <c r="L10" i="43"/>
  <c r="L10" i="6"/>
  <c r="AM10" i="45"/>
  <c r="AM10" i="44"/>
  <c r="AM10" i="43"/>
  <c r="AM10" i="6"/>
  <c r="J31" i="16"/>
  <c r="J46" i="16"/>
  <c r="E43" i="4"/>
  <c r="F19" i="4"/>
  <c r="F123" i="4"/>
  <c r="E42" i="4"/>
  <c r="D91" i="16"/>
  <c r="R28" i="3"/>
  <c r="X28" i="3"/>
  <c r="P28" i="3"/>
  <c r="V28" i="3"/>
  <c r="F28" i="3"/>
  <c r="H28" i="3"/>
  <c r="R18" i="3"/>
  <c r="X18" i="3"/>
  <c r="R17" i="3"/>
  <c r="X17" i="3"/>
  <c r="D15" i="3"/>
  <c r="F32" i="3"/>
  <c r="H32" i="3"/>
  <c r="F31" i="3"/>
  <c r="H31" i="3"/>
  <c r="F26" i="3"/>
  <c r="H26" i="3"/>
  <c r="R19" i="3"/>
  <c r="X19" i="3"/>
  <c r="P19" i="3"/>
  <c r="V19" i="3"/>
  <c r="R25" i="3"/>
  <c r="X25" i="3"/>
  <c r="D129" i="3"/>
  <c r="P17" i="3"/>
  <c r="V17" i="3"/>
  <c r="F23" i="3"/>
  <c r="H23" i="3"/>
  <c r="P25" i="3"/>
  <c r="V25" i="3"/>
  <c r="F24" i="3"/>
  <c r="H24" i="3"/>
  <c r="F21" i="3"/>
  <c r="H21" i="3"/>
  <c r="P18" i="3"/>
  <c r="V18" i="3"/>
  <c r="F22" i="3"/>
  <c r="H22" i="3"/>
  <c r="F30" i="3"/>
  <c r="H30" i="3"/>
  <c r="F20" i="3"/>
  <c r="H20" i="3"/>
  <c r="D93" i="16"/>
  <c r="D94" i="16"/>
  <c r="H19" i="4"/>
  <c r="H133" i="3"/>
  <c r="F25" i="3"/>
  <c r="H25" i="3"/>
  <c r="F18" i="3"/>
  <c r="H18" i="3"/>
  <c r="F17" i="3"/>
  <c r="H17" i="3"/>
  <c r="F19" i="3"/>
  <c r="H19" i="3"/>
  <c r="G15" i="3"/>
  <c r="F45" i="3"/>
  <c r="F62" i="3"/>
  <c r="F58" i="3"/>
  <c r="F72" i="3"/>
  <c r="F74" i="3"/>
  <c r="F70" i="3"/>
  <c r="F61" i="3"/>
  <c r="F68" i="3"/>
  <c r="F73" i="3"/>
  <c r="F64" i="3"/>
  <c r="F69" i="3"/>
  <c r="F66" i="3"/>
  <c r="F60" i="3"/>
  <c r="F67" i="3"/>
  <c r="D56" i="3"/>
  <c r="F71" i="3"/>
  <c r="F65" i="3"/>
  <c r="F75" i="3"/>
  <c r="F63" i="3"/>
  <c r="F59" i="3"/>
  <c r="F57" i="3"/>
  <c r="F56" i="3"/>
  <c r="F85" i="3"/>
  <c r="F92" i="3"/>
  <c r="F86" i="3"/>
  <c r="F95" i="3"/>
  <c r="F78" i="3"/>
  <c r="F89" i="3"/>
  <c r="F79" i="3"/>
  <c r="F91" i="3"/>
  <c r="F93" i="3"/>
  <c r="F83" i="3"/>
  <c r="F82" i="3"/>
  <c r="F84" i="3"/>
  <c r="F81" i="3"/>
  <c r="F90" i="3"/>
  <c r="F80" i="3"/>
  <c r="F88" i="3"/>
  <c r="F87" i="3"/>
  <c r="F94" i="3"/>
  <c r="D76" i="3"/>
  <c r="F77" i="3"/>
  <c r="F76" i="3"/>
  <c r="F107" i="3"/>
  <c r="F109" i="3"/>
  <c r="F100" i="3"/>
  <c r="F106" i="3"/>
  <c r="F98" i="3"/>
  <c r="F105" i="3"/>
  <c r="F108" i="3"/>
  <c r="F103" i="3"/>
  <c r="F102" i="3"/>
  <c r="F104" i="3"/>
  <c r="F99" i="3"/>
  <c r="F101" i="3"/>
  <c r="D96" i="3"/>
  <c r="F96" i="3"/>
  <c r="F133" i="3"/>
  <c r="D115" i="3"/>
  <c r="F115" i="3"/>
  <c r="F134" i="3"/>
  <c r="O192" i="16"/>
  <c r="N192" i="16"/>
  <c r="N193" i="16"/>
  <c r="O193" i="16"/>
  <c r="N194" i="16"/>
  <c r="C192" i="16"/>
  <c r="G8" i="16"/>
  <c r="C193" i="16"/>
  <c r="G53" i="16"/>
  <c r="G57" i="16"/>
  <c r="G56" i="16"/>
  <c r="G55" i="16"/>
  <c r="G59" i="16"/>
  <c r="G54" i="16"/>
  <c r="G58" i="16"/>
  <c r="G61" i="16"/>
  <c r="G62" i="16"/>
  <c r="G60" i="16"/>
  <c r="O191" i="16"/>
  <c r="G14" i="16"/>
  <c r="G37" i="16"/>
  <c r="G31" i="16"/>
  <c r="N191" i="16"/>
  <c r="G22" i="16"/>
  <c r="G9" i="16"/>
  <c r="G10" i="16"/>
  <c r="C186" i="16"/>
  <c r="E161" i="3"/>
  <c r="G161" i="3"/>
  <c r="N129" i="16"/>
  <c r="N126" i="16"/>
  <c r="N153" i="16"/>
  <c r="N147" i="16"/>
  <c r="C151" i="16"/>
  <c r="N156" i="16"/>
  <c r="D150" i="16"/>
  <c r="N145" i="16"/>
  <c r="N154" i="16"/>
  <c r="F165" i="3"/>
  <c r="F155" i="3"/>
  <c r="F158" i="3"/>
  <c r="F157" i="3"/>
  <c r="F162" i="3"/>
  <c r="F163" i="3"/>
  <c r="E8" i="16"/>
  <c r="F156" i="3"/>
  <c r="H165" i="3"/>
  <c r="F161" i="3"/>
  <c r="F153" i="3"/>
  <c r="F151" i="3"/>
  <c r="N146" i="16"/>
  <c r="N128" i="16"/>
  <c r="N144" i="16"/>
  <c r="N127" i="16"/>
  <c r="E53" i="16"/>
  <c r="E57" i="16"/>
  <c r="E54" i="16"/>
  <c r="E58" i="16"/>
  <c r="E55" i="16"/>
  <c r="E59" i="16"/>
  <c r="E56" i="16"/>
  <c r="E60" i="16"/>
  <c r="E61" i="16"/>
  <c r="E62" i="16"/>
  <c r="E37" i="16"/>
  <c r="D126" i="16"/>
  <c r="D14" i="16"/>
  <c r="D133" i="16"/>
  <c r="N155" i="16"/>
  <c r="D151" i="16"/>
  <c r="O155" i="16"/>
  <c r="D31" i="16"/>
  <c r="C150" i="16"/>
  <c r="O145" i="16"/>
  <c r="O154" i="16"/>
  <c r="O146" i="16"/>
  <c r="D132" i="16"/>
  <c r="O144" i="16"/>
  <c r="D22" i="16"/>
  <c r="E171" i="3"/>
  <c r="H8" i="16"/>
  <c r="N176" i="16"/>
  <c r="N174" i="16"/>
  <c r="N175" i="16"/>
  <c r="H54" i="16"/>
  <c r="H58" i="16"/>
  <c r="H53" i="16"/>
  <c r="H57" i="16"/>
  <c r="H56" i="16"/>
  <c r="H55" i="16"/>
  <c r="H59" i="16"/>
  <c r="H62" i="16"/>
  <c r="H78" i="16"/>
  <c r="H61" i="16"/>
  <c r="H77" i="16"/>
  <c r="H60" i="16"/>
  <c r="D172" i="16"/>
  <c r="H37" i="16"/>
  <c r="D171" i="16"/>
  <c r="H31" i="16"/>
  <c r="N173" i="16"/>
  <c r="O175" i="16"/>
  <c r="O174" i="16"/>
  <c r="H14" i="16"/>
  <c r="H76" i="16"/>
  <c r="O173" i="16"/>
  <c r="H22" i="16"/>
  <c r="H9" i="16"/>
  <c r="H10" i="16"/>
  <c r="N107" i="16"/>
  <c r="I14" i="16"/>
  <c r="I8" i="16"/>
  <c r="N108" i="16"/>
  <c r="N106" i="16"/>
  <c r="O106" i="16"/>
  <c r="I55" i="16"/>
  <c r="I59" i="16"/>
  <c r="I54" i="16"/>
  <c r="I58" i="16"/>
  <c r="I53" i="16"/>
  <c r="I57" i="16"/>
  <c r="I56" i="16"/>
  <c r="I62" i="16"/>
  <c r="I78" i="16"/>
  <c r="I61" i="16"/>
  <c r="I77" i="16"/>
  <c r="I60" i="16"/>
  <c r="I37" i="16"/>
  <c r="H75" i="16"/>
  <c r="I31" i="16"/>
  <c r="N105" i="16"/>
  <c r="O105" i="16"/>
  <c r="D110" i="16"/>
  <c r="O107" i="16"/>
  <c r="I76" i="16"/>
  <c r="H74" i="16"/>
  <c r="I22" i="16"/>
  <c r="I9" i="16"/>
  <c r="I10" i="16"/>
  <c r="H45" i="3"/>
  <c r="I75" i="16"/>
  <c r="H73" i="16"/>
  <c r="I74" i="16"/>
  <c r="H72" i="16"/>
  <c r="F27" i="3"/>
  <c r="H27" i="3"/>
  <c r="F29" i="3"/>
  <c r="H29" i="3"/>
  <c r="F33" i="3"/>
  <c r="H33" i="3"/>
  <c r="H131" i="3"/>
  <c r="H132" i="3"/>
  <c r="H15" i="3"/>
  <c r="F15" i="3"/>
  <c r="F132" i="3"/>
  <c r="I73" i="16"/>
  <c r="H71" i="16"/>
  <c r="H130" i="3"/>
  <c r="I72" i="16"/>
  <c r="H70" i="16"/>
  <c r="I71" i="16"/>
  <c r="C165" i="16"/>
  <c r="H69" i="16"/>
  <c r="D165" i="16"/>
  <c r="C166" i="16"/>
  <c r="C167" i="16"/>
  <c r="C168" i="16"/>
  <c r="C169" i="16"/>
  <c r="C170" i="16"/>
  <c r="C171" i="16"/>
  <c r="C172" i="16"/>
  <c r="C173" i="16"/>
  <c r="C174" i="16"/>
  <c r="C175" i="16"/>
  <c r="E165" i="16"/>
  <c r="E166" i="16"/>
  <c r="E167" i="16"/>
  <c r="E168" i="16"/>
  <c r="E169" i="16"/>
  <c r="E170" i="16"/>
  <c r="E171" i="16"/>
  <c r="E172" i="16"/>
  <c r="E173" i="16"/>
  <c r="E174" i="16"/>
  <c r="E175" i="16"/>
  <c r="I70" i="16"/>
  <c r="C104" i="16"/>
  <c r="I69" i="16"/>
  <c r="D104" i="16"/>
  <c r="C105" i="16"/>
  <c r="C106" i="16"/>
  <c r="C107" i="16"/>
  <c r="C108" i="16"/>
  <c r="C109" i="16"/>
  <c r="C110" i="16"/>
  <c r="C111" i="16"/>
  <c r="C112" i="16"/>
  <c r="C113" i="16"/>
  <c r="C114" i="16"/>
  <c r="E104" i="16"/>
  <c r="E105" i="16"/>
  <c r="E106" i="16"/>
  <c r="E107" i="16"/>
  <c r="E108" i="16"/>
  <c r="E109" i="16"/>
  <c r="E110" i="16"/>
  <c r="E111" i="16"/>
  <c r="E112" i="16"/>
  <c r="E113" i="16"/>
  <c r="E114" i="16"/>
  <c r="D92" i="16"/>
  <c r="T58" i="3"/>
  <c r="T57" i="3"/>
  <c r="T60" i="3"/>
  <c r="T61" i="3"/>
  <c r="T59" i="3"/>
  <c r="T56" i="3"/>
  <c r="T55" i="3"/>
  <c r="N86" i="16"/>
  <c r="F111" i="3"/>
  <c r="F131" i="3"/>
  <c r="F130" i="3"/>
  <c r="C8" i="16"/>
  <c r="O89" i="16"/>
  <c r="N89" i="16"/>
  <c r="C61" i="16"/>
  <c r="C77" i="16"/>
  <c r="C62" i="16"/>
  <c r="C78" i="16"/>
  <c r="C54" i="16"/>
  <c r="C58" i="16"/>
  <c r="C55" i="16"/>
  <c r="C59" i="16"/>
  <c r="C56" i="16"/>
  <c r="C57" i="16"/>
  <c r="C53" i="16"/>
  <c r="C60" i="16"/>
  <c r="C37" i="16"/>
  <c r="N88" i="16"/>
  <c r="C76" i="16"/>
  <c r="C75" i="16"/>
  <c r="N87" i="16"/>
  <c r="C31" i="16"/>
  <c r="C74" i="16"/>
  <c r="C73" i="16"/>
  <c r="C72" i="16"/>
  <c r="C71" i="16"/>
  <c r="C70" i="16"/>
  <c r="C85" i="16"/>
  <c r="C69" i="16"/>
  <c r="O88" i="16"/>
  <c r="D85" i="16"/>
  <c r="C86" i="16"/>
  <c r="C87" i="16"/>
  <c r="C88" i="16"/>
  <c r="C89" i="16"/>
  <c r="C90" i="16"/>
  <c r="C91" i="16"/>
  <c r="C92" i="16"/>
  <c r="E85" i="16"/>
  <c r="E86" i="16"/>
  <c r="E87" i="16"/>
  <c r="E88" i="16"/>
  <c r="E89" i="16"/>
  <c r="E90" i="16"/>
  <c r="E91" i="16"/>
  <c r="E92" i="16"/>
  <c r="E93" i="16"/>
  <c r="E94" i="16"/>
  <c r="E95" i="16"/>
  <c r="C93" i="16"/>
  <c r="C94" i="16"/>
  <c r="C95" i="16"/>
  <c r="H144" i="40" l="1"/>
  <c r="H144" i="50" s="1"/>
  <c r="X20" i="50"/>
  <c r="G19" i="50"/>
  <c r="H20" i="50"/>
  <c r="H19" i="50" s="1"/>
  <c r="H143" i="40"/>
  <c r="H143" i="50" s="1"/>
  <c r="F142" i="40"/>
  <c r="C19" i="16" s="1"/>
  <c r="O87" i="16" s="1"/>
  <c r="F20" i="40"/>
  <c r="F19" i="40" s="1"/>
  <c r="F123" i="40" s="1"/>
  <c r="F19" i="50"/>
  <c r="F123" i="50" s="1"/>
  <c r="H19" i="40"/>
  <c r="H164" i="50"/>
  <c r="L7" i="16" s="1"/>
  <c r="L22" i="16"/>
  <c r="L47" i="16" s="1"/>
  <c r="H164" i="40"/>
  <c r="L164" i="40" s="1"/>
  <c r="L108" i="28"/>
  <c r="D198" i="50"/>
  <c r="D108" i="50"/>
  <c r="F145" i="28"/>
  <c r="F123" i="28"/>
  <c r="H180" i="28"/>
  <c r="K18" i="16"/>
  <c r="H175" i="28"/>
  <c r="L184" i="28"/>
  <c r="H178" i="28"/>
  <c r="H182" i="28"/>
  <c r="H171" i="28"/>
  <c r="H176" i="28"/>
  <c r="H181" i="28"/>
  <c r="H183" i="28"/>
  <c r="H177" i="28"/>
  <c r="H173" i="28"/>
  <c r="H183" i="50"/>
  <c r="H171" i="50"/>
  <c r="H181" i="50"/>
  <c r="H180" i="50"/>
  <c r="K22" i="16"/>
  <c r="K47" i="16" s="1"/>
  <c r="H173" i="50"/>
  <c r="H178" i="50"/>
  <c r="H177" i="50"/>
  <c r="H176" i="50"/>
  <c r="K7" i="16"/>
  <c r="H175" i="50"/>
  <c r="L182" i="28"/>
  <c r="F180" i="50"/>
  <c r="F173" i="50"/>
  <c r="D7" i="16"/>
  <c r="F185" i="50"/>
  <c r="D47" i="16"/>
  <c r="C154" i="16" s="1"/>
  <c r="F178" i="50"/>
  <c r="H185" i="50"/>
  <c r="F177" i="50"/>
  <c r="F183" i="50"/>
  <c r="F176" i="50"/>
  <c r="F182" i="50"/>
  <c r="F175" i="50"/>
  <c r="F181" i="50"/>
  <c r="F171" i="50"/>
  <c r="F14" i="16"/>
  <c r="O153" i="16"/>
  <c r="E14" i="16"/>
  <c r="O126" i="16"/>
  <c r="D9" i="16"/>
  <c r="D10" i="16" s="1"/>
  <c r="H182" i="50"/>
  <c r="F182" i="28"/>
  <c r="H142" i="50" l="1"/>
  <c r="AM9" i="44" s="1"/>
  <c r="J7" i="16"/>
  <c r="AM9" i="6"/>
  <c r="H142" i="40"/>
  <c r="J19" i="16" s="1"/>
  <c r="E19" i="40"/>
  <c r="L19" i="40" s="1"/>
  <c r="J22" i="16"/>
  <c r="J47" i="16" s="1"/>
  <c r="F145" i="50"/>
  <c r="F142" i="50" s="1"/>
  <c r="F142" i="28"/>
  <c r="E47" i="16"/>
  <c r="D136" i="16" s="1"/>
  <c r="E7" i="16"/>
  <c r="E10" i="16" s="1"/>
  <c r="E22" i="16"/>
  <c r="F47" i="16"/>
  <c r="D154" i="16" s="1"/>
  <c r="F22" i="16"/>
  <c r="F7" i="16"/>
  <c r="F10" i="16" s="1"/>
  <c r="AM9" i="45" l="1"/>
  <c r="AM9" i="43"/>
  <c r="C18" i="16"/>
  <c r="L9" i="6"/>
  <c r="L9" i="45"/>
  <c r="C47" i="16"/>
  <c r="D95" i="16" s="1"/>
  <c r="L9" i="44"/>
  <c r="L9" i="43"/>
  <c r="C14" i="16" l="1"/>
  <c r="C22" i="16"/>
  <c r="O86" i="16"/>
  <c r="C7" i="16" l="1"/>
  <c r="C9" i="16" s="1"/>
  <c r="C10" i="16" s="1"/>
  <c r="F128" i="6"/>
  <c r="F25" i="45"/>
  <c r="C18" i="6"/>
  <c r="AF20" i="45"/>
  <c r="H104" i="43"/>
  <c r="E66" i="44"/>
  <c r="C151" i="45"/>
  <c r="H89" i="44"/>
  <c r="F16" i="44"/>
  <c r="E154" i="43"/>
  <c r="AE155" i="44"/>
  <c r="F77" i="44"/>
  <c r="F79" i="45"/>
  <c r="D32" i="44"/>
  <c r="C57" i="45"/>
  <c r="E122" i="45"/>
  <c r="G74" i="43"/>
  <c r="C92" i="45"/>
  <c r="F66" i="45"/>
  <c r="C108" i="6"/>
  <c r="C85" i="45"/>
  <c r="H106" i="43"/>
  <c r="H129" i="44"/>
  <c r="H37" i="44"/>
  <c r="D157" i="44"/>
  <c r="G84" i="6"/>
  <c r="AD149" i="45"/>
  <c r="F131" i="43"/>
  <c r="G108" i="43"/>
  <c r="E111" i="43"/>
  <c r="F109" i="45"/>
  <c r="C88" i="45"/>
  <c r="F101" i="45"/>
  <c r="H57" i="45"/>
  <c r="G152" i="43"/>
  <c r="D162" i="6"/>
  <c r="E28" i="6"/>
  <c r="E98" i="43"/>
  <c r="E71" i="45"/>
  <c r="G130" i="6"/>
  <c r="AG42" i="45"/>
  <c r="H98" i="45"/>
  <c r="E80" i="43"/>
  <c r="H19" i="43"/>
  <c r="C91" i="6"/>
  <c r="H92" i="44"/>
  <c r="E177" i="6"/>
  <c r="E90" i="6"/>
  <c r="C18" i="43"/>
  <c r="F149" i="44"/>
  <c r="F21" i="45"/>
  <c r="E16" i="6"/>
  <c r="F103" i="45"/>
  <c r="H152" i="43"/>
  <c r="AG151" i="45"/>
  <c r="E132" i="6"/>
  <c r="G81" i="6"/>
  <c r="AG23" i="45"/>
  <c r="AF34" i="44"/>
  <c r="AD31" i="6"/>
  <c r="E140" i="45"/>
  <c r="W71" i="44"/>
  <c r="G59" i="45"/>
  <c r="AD161" i="45"/>
  <c r="D95" i="6"/>
  <c r="D35" i="6"/>
  <c r="F82" i="6"/>
  <c r="D111" i="6"/>
  <c r="H85" i="45"/>
  <c r="D71" i="43"/>
  <c r="C63" i="45"/>
  <c r="G88" i="44"/>
  <c r="G130" i="43"/>
  <c r="G58" i="6"/>
  <c r="F28" i="6"/>
  <c r="C153" i="45"/>
  <c r="F64" i="44"/>
  <c r="G105" i="45"/>
  <c r="E23" i="6"/>
  <c r="D67" i="45"/>
  <c r="F162" i="6"/>
  <c r="C67" i="6"/>
  <c r="E72" i="43"/>
  <c r="D82" i="44"/>
  <c r="G100" i="6"/>
  <c r="AD16" i="6"/>
  <c r="D22" i="45"/>
  <c r="AE31" i="44"/>
  <c r="G154" i="43"/>
  <c r="F150" i="45"/>
  <c r="H20" i="45"/>
  <c r="F126" i="45"/>
  <c r="G124" i="44"/>
  <c r="G33" i="44"/>
  <c r="D91" i="43"/>
  <c r="D36" i="45"/>
  <c r="D126" i="44"/>
  <c r="AX34" i="44"/>
  <c r="F158" i="6"/>
  <c r="E83" i="44"/>
  <c r="H86" i="43"/>
  <c r="AE43" i="45"/>
  <c r="V111" i="44"/>
  <c r="F96" i="6"/>
  <c r="H127" i="44"/>
  <c r="V113" i="43"/>
  <c r="D90" i="45"/>
  <c r="G58" i="43"/>
  <c r="C18" i="44"/>
  <c r="F98" i="45"/>
  <c r="F169" i="44"/>
  <c r="D75" i="44"/>
  <c r="AX33" i="44"/>
  <c r="F66" i="44"/>
  <c r="H60" i="45"/>
  <c r="D161" i="45"/>
  <c r="E88" i="45"/>
  <c r="D64" i="44"/>
  <c r="D131" i="45"/>
  <c r="E95" i="6"/>
  <c r="H76" i="45"/>
  <c r="F178" i="44"/>
  <c r="C153" i="44"/>
  <c r="AE31" i="43"/>
  <c r="F86" i="6"/>
  <c r="F125" i="43"/>
  <c r="E26" i="45"/>
  <c r="AD153" i="43"/>
  <c r="D37" i="43"/>
  <c r="H16" i="44"/>
  <c r="F155" i="44"/>
  <c r="AD27" i="45"/>
  <c r="F19" i="44"/>
  <c r="G150" i="43"/>
  <c r="E69" i="44"/>
  <c r="G57" i="45"/>
  <c r="D66" i="45"/>
  <c r="D92" i="45"/>
  <c r="G94" i="45"/>
  <c r="F161" i="43"/>
  <c r="H150" i="45"/>
  <c r="G20" i="45"/>
  <c r="H107" i="44"/>
  <c r="D21" i="45"/>
  <c r="G158" i="44"/>
  <c r="E121" i="6"/>
  <c r="V108" i="45"/>
  <c r="F130" i="44"/>
  <c r="C121" i="44"/>
  <c r="H96" i="6"/>
  <c r="H90" i="44"/>
  <c r="C86" i="44"/>
  <c r="H89" i="6"/>
  <c r="V72" i="45"/>
  <c r="H124" i="44"/>
  <c r="G97" i="6"/>
  <c r="C62" i="43"/>
  <c r="D57" i="45"/>
  <c r="G125" i="44"/>
  <c r="D68" i="43"/>
  <c r="AE161" i="44"/>
  <c r="V107" i="43"/>
  <c r="D62" i="44"/>
  <c r="F59" i="44"/>
  <c r="AG20" i="45"/>
  <c r="C26" i="45"/>
  <c r="E76" i="6"/>
  <c r="C103" i="45"/>
  <c r="D151" i="44"/>
  <c r="E130" i="43"/>
  <c r="D110" i="45"/>
  <c r="F27" i="45"/>
  <c r="C93" i="43"/>
  <c r="AH150" i="43"/>
  <c r="C132" i="45"/>
  <c r="H30" i="44"/>
  <c r="C23" i="44"/>
  <c r="D93" i="45"/>
  <c r="H133" i="45"/>
  <c r="AE34" i="43"/>
  <c r="C152" i="6"/>
  <c r="H103" i="44"/>
  <c r="AD37" i="43"/>
  <c r="C20" i="44"/>
  <c r="C125" i="45"/>
  <c r="AD159" i="45"/>
  <c r="G160" i="45"/>
  <c r="G61" i="43"/>
  <c r="G69" i="45"/>
  <c r="AF25" i="45"/>
  <c r="V17" i="6"/>
  <c r="G34" i="45"/>
  <c r="E126" i="6"/>
  <c r="F31" i="6"/>
  <c r="H24" i="44"/>
  <c r="G31" i="6"/>
  <c r="H81" i="43"/>
  <c r="AH36" i="45"/>
  <c r="G140" i="44"/>
  <c r="E95" i="43"/>
  <c r="E25" i="44"/>
  <c r="C102" i="43"/>
  <c r="F33" i="6"/>
  <c r="H122" i="43"/>
  <c r="C126" i="43"/>
  <c r="F94" i="45"/>
  <c r="D61" i="43"/>
  <c r="C90" i="45"/>
  <c r="D62" i="6"/>
  <c r="AE22" i="43"/>
  <c r="G18" i="6"/>
  <c r="C121" i="6"/>
  <c r="C94" i="44"/>
  <c r="E104" i="44"/>
  <c r="AF24" i="44"/>
  <c r="H27" i="43"/>
  <c r="C128" i="44"/>
  <c r="C58" i="43"/>
  <c r="AD49" i="6"/>
  <c r="G178" i="6"/>
  <c r="AD156" i="6"/>
  <c r="G66" i="45"/>
  <c r="C113" i="44"/>
  <c r="D79" i="45"/>
  <c r="F17" i="43"/>
  <c r="G101" i="6"/>
  <c r="AF161" i="44"/>
  <c r="H60" i="43"/>
  <c r="G86" i="43"/>
  <c r="G161" i="44"/>
  <c r="G63" i="43"/>
  <c r="F30" i="6"/>
  <c r="AD32" i="43"/>
  <c r="C28" i="43"/>
  <c r="F106" i="45"/>
  <c r="H103" i="6"/>
  <c r="C60" i="44"/>
  <c r="G88" i="45"/>
  <c r="H21" i="45"/>
  <c r="AE24" i="45"/>
  <c r="G101" i="43"/>
  <c r="F113" i="43"/>
  <c r="C154" i="6"/>
  <c r="F73" i="43"/>
  <c r="AE153" i="43"/>
  <c r="D35" i="45"/>
  <c r="C31" i="43"/>
  <c r="G90" i="44"/>
  <c r="V81" i="44"/>
  <c r="AF23" i="44"/>
  <c r="AD154" i="44"/>
  <c r="F159" i="44"/>
  <c r="C129" i="44"/>
  <c r="AE152" i="45"/>
  <c r="AD19" i="45"/>
  <c r="H57" i="44"/>
  <c r="AE49" i="45"/>
  <c r="AE42" i="45"/>
  <c r="D64" i="43"/>
  <c r="G86" i="6"/>
  <c r="AX36" i="45"/>
  <c r="AD18" i="43"/>
  <c r="G102" i="45"/>
  <c r="D94" i="43"/>
  <c r="D120" i="6"/>
  <c r="C23" i="6"/>
  <c r="E102" i="6"/>
  <c r="AE20" i="43"/>
  <c r="C37" i="6"/>
  <c r="E63" i="44"/>
  <c r="D63" i="45"/>
  <c r="F73" i="45"/>
  <c r="AD161" i="6"/>
  <c r="G69" i="43"/>
  <c r="D86" i="45"/>
  <c r="F99" i="6"/>
  <c r="G69" i="6"/>
  <c r="F28" i="43"/>
  <c r="H157" i="6"/>
  <c r="D93" i="44"/>
  <c r="H161" i="43"/>
  <c r="C73" i="6"/>
  <c r="AF18" i="45"/>
  <c r="AD155" i="6"/>
  <c r="G98" i="6"/>
  <c r="C29" i="45"/>
  <c r="AE27" i="43"/>
  <c r="AD21" i="45"/>
  <c r="C67" i="43"/>
  <c r="F154" i="43"/>
  <c r="AF36" i="45"/>
  <c r="H65" i="43"/>
  <c r="E106" i="44"/>
  <c r="D80" i="44"/>
  <c r="AF36" i="44"/>
  <c r="E85" i="43"/>
  <c r="H110" i="6"/>
  <c r="AH39" i="43"/>
  <c r="AW37" i="45"/>
  <c r="H140" i="6"/>
  <c r="F26" i="45"/>
  <c r="AF21" i="45"/>
  <c r="H88" i="45"/>
  <c r="C122" i="43"/>
  <c r="G78" i="6"/>
  <c r="E74" i="43"/>
  <c r="C88" i="6"/>
  <c r="F75" i="44"/>
  <c r="C93" i="45"/>
  <c r="F105" i="44"/>
  <c r="E121" i="45"/>
  <c r="G140" i="43"/>
  <c r="H108" i="45"/>
  <c r="G77" i="6"/>
  <c r="H112" i="44"/>
  <c r="C26" i="44"/>
  <c r="F18" i="44"/>
  <c r="E87" i="44"/>
  <c r="F74" i="43"/>
  <c r="E23" i="43"/>
  <c r="D159" i="44"/>
  <c r="C132" i="6"/>
  <c r="H120" i="43"/>
  <c r="E49" i="6"/>
  <c r="F112" i="6"/>
  <c r="AD29" i="45"/>
  <c r="G162" i="45"/>
  <c r="G106" i="45"/>
  <c r="G35" i="45"/>
  <c r="D81" i="44"/>
  <c r="F110" i="6"/>
  <c r="C24" i="43"/>
  <c r="H59" i="45"/>
  <c r="D91" i="45"/>
  <c r="AF38" i="44"/>
  <c r="H80" i="44"/>
  <c r="C155" i="43"/>
  <c r="G177" i="44"/>
  <c r="H103" i="45"/>
  <c r="C108" i="45"/>
  <c r="D69" i="43"/>
  <c r="H38" i="45"/>
  <c r="H83" i="6"/>
  <c r="C127" i="6"/>
  <c r="H132" i="44"/>
  <c r="AD19" i="43"/>
  <c r="C95" i="45"/>
  <c r="D154" i="45"/>
  <c r="F133" i="6"/>
  <c r="E70" i="6"/>
  <c r="V97" i="43"/>
  <c r="AH25" i="43"/>
  <c r="F122" i="44"/>
  <c r="W102" i="44"/>
  <c r="AD40" i="43"/>
  <c r="AF28" i="44"/>
  <c r="G133" i="45"/>
  <c r="AD25" i="45"/>
  <c r="F106" i="43"/>
  <c r="F160" i="6"/>
  <c r="E19" i="6"/>
  <c r="C29" i="6"/>
  <c r="D72" i="44"/>
  <c r="H82" i="45"/>
  <c r="F69" i="6"/>
  <c r="C111" i="6"/>
  <c r="G73" i="44"/>
  <c r="AE39" i="43"/>
  <c r="E125" i="44"/>
  <c r="G79" i="44"/>
  <c r="AG25" i="45"/>
  <c r="AG32" i="45"/>
  <c r="G17" i="44"/>
  <c r="V80" i="45"/>
  <c r="G73" i="43"/>
  <c r="G81" i="44"/>
  <c r="D128" i="43"/>
  <c r="C98" i="43"/>
  <c r="F97" i="45"/>
  <c r="G151" i="44"/>
  <c r="D149" i="44"/>
  <c r="G89" i="45"/>
  <c r="G92" i="6"/>
  <c r="G120" i="44"/>
  <c r="D65" i="44"/>
  <c r="C66" i="44"/>
  <c r="F80" i="43"/>
  <c r="G178" i="45"/>
  <c r="G30" i="45"/>
  <c r="G79" i="45"/>
  <c r="G107" i="43"/>
  <c r="F49" i="45"/>
  <c r="F79" i="6"/>
  <c r="G112" i="45"/>
  <c r="E71" i="43"/>
  <c r="H155" i="6"/>
  <c r="G76" i="44"/>
  <c r="AD17" i="45"/>
  <c r="G34" i="44"/>
  <c r="G84" i="43"/>
  <c r="E20" i="43"/>
  <c r="AG149" i="45"/>
  <c r="C120" i="44"/>
  <c r="F160" i="44"/>
  <c r="D149" i="45"/>
  <c r="AE21" i="45"/>
  <c r="E126" i="44"/>
  <c r="H17" i="43"/>
  <c r="AE39" i="45"/>
  <c r="D21" i="44"/>
  <c r="C30" i="44"/>
  <c r="F56" i="44"/>
  <c r="D75" i="45"/>
  <c r="H107" i="43"/>
  <c r="C156" i="45"/>
  <c r="H29" i="43"/>
  <c r="E108" i="43"/>
  <c r="H37" i="6"/>
  <c r="F105" i="43"/>
  <c r="C150" i="44"/>
  <c r="C27" i="43"/>
  <c r="C126" i="45"/>
  <c r="F126" i="43"/>
  <c r="G83" i="44"/>
  <c r="AE24" i="43"/>
  <c r="G110" i="6"/>
  <c r="AI24" i="43"/>
  <c r="E81" i="6"/>
  <c r="H161" i="44"/>
  <c r="G124" i="6"/>
  <c r="F88" i="45"/>
  <c r="D124" i="43"/>
  <c r="AE156" i="43"/>
  <c r="G100" i="43"/>
  <c r="D35" i="43"/>
  <c r="AE18" i="44"/>
  <c r="H19" i="45"/>
  <c r="C64" i="44"/>
  <c r="G111" i="44"/>
  <c r="H86" i="45"/>
  <c r="D57" i="6"/>
  <c r="D72" i="43"/>
  <c r="G18" i="43"/>
  <c r="C83" i="43"/>
  <c r="H130" i="44"/>
  <c r="F106" i="44"/>
  <c r="E131" i="44"/>
  <c r="AG34" i="45"/>
  <c r="E90" i="44"/>
  <c r="H150" i="43"/>
  <c r="G64" i="43"/>
  <c r="E89" i="45"/>
  <c r="E72" i="44"/>
  <c r="AF153" i="45"/>
  <c r="AD42" i="43"/>
  <c r="D19" i="6"/>
  <c r="AD26" i="43"/>
  <c r="H76" i="6"/>
  <c r="C113" i="6"/>
  <c r="G18" i="45"/>
  <c r="G95" i="43"/>
  <c r="C68" i="43"/>
  <c r="H73" i="6"/>
  <c r="AE26" i="45"/>
  <c r="G108" i="45"/>
  <c r="C34" i="43"/>
  <c r="H31" i="43"/>
  <c r="AD39" i="6"/>
  <c r="V103" i="45"/>
  <c r="C36" i="6"/>
  <c r="AI37" i="43"/>
  <c r="AE17" i="45"/>
  <c r="G73" i="45"/>
  <c r="AG40" i="44"/>
  <c r="F99" i="45"/>
  <c r="F131" i="44"/>
  <c r="C80" i="6"/>
  <c r="E150" i="6"/>
  <c r="F61" i="43"/>
  <c r="H72" i="43"/>
  <c r="D69" i="6"/>
  <c r="D87" i="45"/>
  <c r="V31" i="45"/>
  <c r="G18" i="44"/>
  <c r="G100" i="45"/>
  <c r="D133" i="45"/>
  <c r="D91" i="44"/>
  <c r="C25" i="45"/>
  <c r="C26" i="6"/>
  <c r="C73" i="44"/>
  <c r="H140" i="45"/>
  <c r="W132" i="44"/>
  <c r="F140" i="44"/>
  <c r="E61" i="43"/>
  <c r="F30" i="43"/>
  <c r="G112" i="43"/>
  <c r="F37" i="44"/>
  <c r="E154" i="44"/>
  <c r="D26" i="44"/>
  <c r="G85" i="43"/>
  <c r="H89" i="45"/>
  <c r="E102" i="45"/>
  <c r="F64" i="45"/>
  <c r="E37" i="45"/>
  <c r="C177" i="45"/>
  <c r="F57" i="44"/>
  <c r="G23" i="44"/>
  <c r="H120" i="45"/>
  <c r="C105" i="44"/>
  <c r="H91" i="45"/>
  <c r="G151" i="43"/>
  <c r="F97" i="6"/>
  <c r="F27" i="44"/>
  <c r="D85" i="45"/>
  <c r="F108" i="44"/>
  <c r="G122" i="43"/>
  <c r="E94" i="45"/>
  <c r="H18" i="43"/>
  <c r="C35" i="6"/>
  <c r="H62" i="45"/>
  <c r="F132" i="45"/>
  <c r="G93" i="45"/>
  <c r="V35" i="44"/>
  <c r="AF21" i="44"/>
  <c r="G26" i="6"/>
  <c r="E130" i="45"/>
  <c r="C24" i="6"/>
  <c r="D67" i="43"/>
  <c r="G72" i="6"/>
  <c r="D132" i="43"/>
  <c r="E61" i="45"/>
  <c r="D79" i="6"/>
  <c r="H151" i="45"/>
  <c r="E18" i="43"/>
  <c r="AD20" i="45"/>
  <c r="D104" i="6"/>
  <c r="AD30" i="45"/>
  <c r="AD18" i="44"/>
  <c r="AF141" i="44"/>
  <c r="E30" i="45"/>
  <c r="D90" i="44"/>
  <c r="G162" i="44"/>
  <c r="F60" i="44"/>
  <c r="E150" i="43"/>
  <c r="AD29" i="44"/>
  <c r="G24" i="6"/>
  <c r="X121" i="45"/>
  <c r="X57" i="44"/>
  <c r="D79" i="44"/>
  <c r="G106" i="44"/>
  <c r="H25" i="45"/>
  <c r="D63" i="43"/>
  <c r="G158" i="6"/>
  <c r="C133" i="6"/>
  <c r="E113" i="45"/>
  <c r="D96" i="6"/>
  <c r="D37" i="45"/>
  <c r="C74" i="44"/>
  <c r="F31" i="44"/>
  <c r="C74" i="43"/>
  <c r="E28" i="44"/>
  <c r="H129" i="45"/>
  <c r="H96" i="44"/>
  <c r="H81" i="45"/>
  <c r="AF152" i="45"/>
  <c r="G126" i="45"/>
  <c r="AF26" i="44"/>
  <c r="D18" i="6"/>
  <c r="H98" i="44"/>
  <c r="G72" i="43"/>
  <c r="AG36" i="45"/>
  <c r="D24" i="43"/>
  <c r="D98" i="45"/>
  <c r="AD16" i="44"/>
  <c r="D161" i="44"/>
  <c r="D106" i="43"/>
  <c r="H65" i="45"/>
  <c r="H35" i="45"/>
  <c r="C122" i="45"/>
  <c r="G150" i="44"/>
  <c r="E133" i="45"/>
  <c r="V105" i="43"/>
  <c r="AF20" i="44"/>
  <c r="C108" i="44"/>
  <c r="AY35" i="6"/>
  <c r="AE27" i="45"/>
  <c r="AG156" i="45"/>
  <c r="G151" i="45"/>
  <c r="E101" i="6"/>
  <c r="D31" i="45"/>
  <c r="D132" i="45"/>
  <c r="C156" i="6"/>
  <c r="E158" i="45"/>
  <c r="F61" i="6"/>
  <c r="AG151" i="43"/>
  <c r="AF35" i="44"/>
  <c r="F133" i="44"/>
  <c r="C96" i="43"/>
  <c r="AD16" i="45"/>
  <c r="C77" i="45"/>
  <c r="E30" i="44"/>
  <c r="AF35" i="45"/>
  <c r="F123" i="6"/>
  <c r="AD154" i="6"/>
  <c r="E16" i="45"/>
  <c r="H32" i="45"/>
  <c r="C107" i="44"/>
  <c r="F152" i="6"/>
  <c r="H155" i="45"/>
  <c r="C96" i="45"/>
  <c r="G35" i="44"/>
  <c r="AG28" i="45"/>
  <c r="C59" i="6"/>
  <c r="E17" i="44"/>
  <c r="D33" i="6"/>
  <c r="F34" i="44"/>
  <c r="F98" i="6"/>
  <c r="AD150" i="43"/>
  <c r="F17" i="6"/>
  <c r="E34" i="45"/>
  <c r="F17" i="45"/>
  <c r="AD34" i="44"/>
  <c r="F113" i="45"/>
  <c r="V81" i="43"/>
  <c r="F18" i="6"/>
  <c r="D124" i="44"/>
  <c r="G37" i="44"/>
  <c r="E89" i="44"/>
  <c r="E169" i="6"/>
  <c r="AI150" i="45"/>
  <c r="D83" i="44"/>
  <c r="C33" i="45"/>
  <c r="E158" i="43"/>
  <c r="C16" i="43"/>
  <c r="H71" i="45"/>
  <c r="C152" i="43"/>
  <c r="H121" i="45"/>
  <c r="C17" i="6"/>
  <c r="G91" i="43"/>
  <c r="V91" i="45"/>
  <c r="AW22" i="6"/>
  <c r="G43" i="44"/>
  <c r="C17" i="44"/>
  <c r="H99" i="45"/>
  <c r="C113" i="45"/>
  <c r="F124" i="45"/>
  <c r="E131" i="45"/>
  <c r="F60" i="43"/>
  <c r="D121" i="43"/>
  <c r="AG141" i="45"/>
  <c r="F121" i="44"/>
  <c r="C21" i="43"/>
  <c r="X17" i="44"/>
  <c r="AH155" i="45"/>
  <c r="E113" i="6"/>
  <c r="C82" i="44"/>
  <c r="D92" i="44"/>
  <c r="W64" i="43"/>
  <c r="F66" i="43"/>
  <c r="AE149" i="44"/>
  <c r="G95" i="44"/>
  <c r="E112" i="45"/>
  <c r="C89" i="45"/>
  <c r="G85" i="44"/>
  <c r="C22" i="45"/>
  <c r="G21" i="43"/>
  <c r="C109" i="6"/>
  <c r="H33" i="45"/>
  <c r="F153" i="45"/>
  <c r="F97" i="44"/>
  <c r="F19" i="43"/>
  <c r="H66" i="6"/>
  <c r="AE29" i="44"/>
  <c r="G37" i="45"/>
  <c r="G112" i="44"/>
  <c r="C72" i="6"/>
  <c r="F107" i="6"/>
  <c r="G101" i="45"/>
  <c r="G104" i="45"/>
  <c r="AE41" i="45"/>
  <c r="G81" i="43"/>
  <c r="G26" i="45"/>
  <c r="AY37" i="44"/>
  <c r="C73" i="45"/>
  <c r="F104" i="44"/>
  <c r="D107" i="45"/>
  <c r="AG21" i="45"/>
  <c r="E69" i="45"/>
  <c r="AW37" i="44"/>
  <c r="D125" i="44"/>
  <c r="AE35" i="44"/>
  <c r="F93" i="43"/>
  <c r="AI158" i="44"/>
  <c r="G155" i="6"/>
  <c r="H84" i="43"/>
  <c r="D17" i="45"/>
  <c r="AY17" i="6"/>
  <c r="H77" i="44"/>
  <c r="E29" i="6"/>
  <c r="C75" i="6"/>
  <c r="E22" i="45"/>
  <c r="G37" i="43"/>
  <c r="AF43" i="44"/>
  <c r="V27" i="45"/>
  <c r="D22" i="6"/>
  <c r="AH155" i="43"/>
  <c r="C100" i="43"/>
  <c r="F34" i="45"/>
  <c r="G32" i="45"/>
  <c r="H125" i="45"/>
  <c r="F112" i="43"/>
  <c r="V22" i="44"/>
  <c r="F124" i="43"/>
  <c r="C49" i="6"/>
  <c r="C104" i="44"/>
  <c r="C72" i="45"/>
  <c r="H90" i="43"/>
  <c r="G62" i="6"/>
  <c r="W42" i="45"/>
  <c r="V122" i="44"/>
  <c r="C97" i="45"/>
  <c r="F62" i="44"/>
  <c r="G169" i="44"/>
  <c r="AD23" i="45"/>
  <c r="H109" i="45"/>
  <c r="G157" i="6"/>
  <c r="D31" i="43"/>
  <c r="D149" i="43"/>
  <c r="G63" i="6"/>
  <c r="F151" i="45"/>
  <c r="D131" i="44"/>
  <c r="D23" i="43"/>
  <c r="C125" i="44"/>
  <c r="G121" i="44"/>
  <c r="D89" i="45"/>
  <c r="G25" i="43"/>
  <c r="F26" i="6"/>
  <c r="G140" i="6"/>
  <c r="G84" i="45"/>
  <c r="AD156" i="45"/>
  <c r="F129" i="43"/>
  <c r="G80" i="43"/>
  <c r="AD40" i="6"/>
  <c r="H131" i="45"/>
  <c r="E68" i="44"/>
  <c r="D155" i="6"/>
  <c r="F34" i="6"/>
  <c r="C59" i="44"/>
  <c r="AF39" i="45"/>
  <c r="G66" i="44"/>
  <c r="AF43" i="45"/>
  <c r="H73" i="43"/>
  <c r="F177" i="44"/>
  <c r="AE19" i="44"/>
  <c r="C103" i="43"/>
  <c r="E121" i="43"/>
  <c r="AW30" i="44"/>
  <c r="H22" i="6"/>
  <c r="AG33" i="45"/>
  <c r="AD22" i="6"/>
  <c r="E79" i="44"/>
  <c r="E88" i="6"/>
  <c r="E31" i="45"/>
  <c r="D110" i="43"/>
  <c r="AG162" i="43"/>
  <c r="F77" i="43"/>
  <c r="G70" i="45"/>
  <c r="AD157" i="44"/>
  <c r="G21" i="45"/>
  <c r="AF33" i="45"/>
  <c r="E155" i="6"/>
  <c r="H83" i="43"/>
  <c r="H91" i="43"/>
  <c r="C65" i="45"/>
  <c r="AF40" i="44"/>
  <c r="G132" i="44"/>
  <c r="AG26" i="45"/>
  <c r="D129" i="6"/>
  <c r="D24" i="44"/>
  <c r="E127" i="6"/>
  <c r="F84" i="44"/>
  <c r="F86" i="43"/>
  <c r="AD32" i="45"/>
  <c r="C131" i="44"/>
  <c r="AH22" i="44"/>
  <c r="F154" i="44"/>
  <c r="D16" i="44"/>
  <c r="H161" i="45"/>
  <c r="H127" i="6"/>
  <c r="C101" i="43"/>
  <c r="AI30" i="44"/>
  <c r="G154" i="45"/>
  <c r="E62" i="44"/>
  <c r="F22" i="6"/>
  <c r="H69" i="6"/>
  <c r="G60" i="45"/>
  <c r="G157" i="43"/>
  <c r="V125" i="43"/>
  <c r="C67" i="44"/>
  <c r="H105" i="6"/>
  <c r="G28" i="43"/>
  <c r="C24" i="45"/>
  <c r="AW27" i="44"/>
  <c r="H83" i="44"/>
  <c r="G77" i="43"/>
  <c r="C101" i="44"/>
  <c r="E76" i="44"/>
  <c r="D19" i="44"/>
  <c r="E128" i="45"/>
  <c r="V107" i="44"/>
  <c r="D92" i="43"/>
  <c r="C74" i="6"/>
  <c r="AF19" i="44"/>
  <c r="H177" i="45"/>
  <c r="C72" i="44"/>
  <c r="F32" i="45"/>
  <c r="AD39" i="44"/>
  <c r="AG35" i="45"/>
  <c r="H20" i="6"/>
  <c r="AF29" i="44"/>
  <c r="G129" i="45"/>
  <c r="F70" i="45"/>
  <c r="AF156" i="44"/>
  <c r="AW41" i="44"/>
  <c r="H25" i="43"/>
  <c r="D133" i="44"/>
  <c r="G123" i="45"/>
  <c r="X113" i="43"/>
  <c r="F131" i="6"/>
  <c r="H87" i="45"/>
  <c r="C41" i="45"/>
  <c r="AF15" i="6"/>
  <c r="C28" i="45"/>
  <c r="H149" i="43"/>
  <c r="V95" i="45"/>
  <c r="AI21" i="44"/>
  <c r="H73" i="44"/>
  <c r="C81" i="43"/>
  <c r="H69" i="44"/>
  <c r="D151" i="45"/>
  <c r="X24" i="6"/>
  <c r="F123" i="44"/>
  <c r="AH42" i="45"/>
  <c r="X106" i="44"/>
  <c r="C131" i="6"/>
  <c r="X76" i="43"/>
  <c r="AF159" i="6"/>
  <c r="F72" i="6"/>
  <c r="D59" i="43"/>
  <c r="H64" i="43"/>
  <c r="V99" i="43"/>
  <c r="W98" i="45"/>
  <c r="E63" i="45"/>
  <c r="AE162" i="43"/>
  <c r="F120" i="44"/>
  <c r="G95" i="6"/>
  <c r="W40" i="45"/>
  <c r="E99" i="45"/>
  <c r="G82" i="45"/>
  <c r="C86" i="6"/>
  <c r="D34" i="45"/>
  <c r="H75" i="6"/>
  <c r="C105" i="6"/>
  <c r="AG24" i="43"/>
  <c r="AG156" i="44"/>
  <c r="AE38" i="43"/>
  <c r="G26" i="43"/>
  <c r="H19" i="6"/>
  <c r="V58" i="44"/>
  <c r="D78" i="6"/>
  <c r="D82" i="6"/>
  <c r="AD152" i="44"/>
  <c r="H102" i="45"/>
  <c r="E59" i="45"/>
  <c r="E152" i="6"/>
  <c r="AD31" i="43"/>
  <c r="C110" i="6"/>
  <c r="D95" i="45"/>
  <c r="AG16" i="45"/>
  <c r="H72" i="6"/>
  <c r="E36" i="44"/>
  <c r="H34" i="45"/>
  <c r="H104" i="45"/>
  <c r="H70" i="6"/>
  <c r="E151" i="43"/>
  <c r="G160" i="6"/>
  <c r="F36" i="44"/>
  <c r="F153" i="44"/>
  <c r="G128" i="6"/>
  <c r="AG38" i="45"/>
  <c r="C64" i="45"/>
  <c r="F79" i="44"/>
  <c r="AY25" i="6"/>
  <c r="AF26" i="45"/>
  <c r="E70" i="43"/>
  <c r="D25" i="43"/>
  <c r="X86" i="44"/>
  <c r="D156" i="44"/>
  <c r="AF16" i="44"/>
  <c r="W77" i="45"/>
  <c r="X130" i="43"/>
  <c r="D155" i="43"/>
  <c r="F19" i="45"/>
  <c r="AH40" i="43"/>
  <c r="AW43" i="43"/>
  <c r="AD20" i="44"/>
  <c r="F76" i="6"/>
  <c r="V121" i="43"/>
  <c r="F123" i="43"/>
  <c r="F101" i="6"/>
  <c r="F152" i="44"/>
  <c r="G111" i="6"/>
  <c r="E21" i="6"/>
  <c r="D37" i="44"/>
  <c r="W91" i="44"/>
  <c r="C87" i="43"/>
  <c r="E94" i="6"/>
  <c r="D66" i="43"/>
  <c r="AD19" i="44"/>
  <c r="AD159" i="44"/>
  <c r="W37" i="44"/>
  <c r="AE161" i="45"/>
  <c r="F83" i="43"/>
  <c r="V133" i="44"/>
  <c r="AE20" i="44"/>
  <c r="C58" i="45"/>
  <c r="C75" i="43"/>
  <c r="AH22" i="45"/>
  <c r="W39" i="44"/>
  <c r="H27" i="44"/>
  <c r="V79" i="45"/>
  <c r="AF33" i="44"/>
  <c r="G132" i="6"/>
  <c r="AH155" i="44"/>
  <c r="AW35" i="44"/>
  <c r="X40" i="43"/>
  <c r="H128" i="6"/>
  <c r="G67" i="45"/>
  <c r="D107" i="43"/>
  <c r="F95" i="43"/>
  <c r="C123" i="45"/>
  <c r="E98" i="6"/>
  <c r="W125" i="43"/>
  <c r="X20" i="6"/>
  <c r="H113" i="45"/>
  <c r="V77" i="45"/>
  <c r="W38" i="45"/>
  <c r="D169" i="6"/>
  <c r="F178" i="43"/>
  <c r="E169" i="43"/>
  <c r="C123" i="44"/>
  <c r="V129" i="44"/>
  <c r="C84" i="45"/>
  <c r="G95" i="45"/>
  <c r="D153" i="6"/>
  <c r="E30" i="43"/>
  <c r="F88" i="43"/>
  <c r="E15" i="45"/>
  <c r="D159" i="6"/>
  <c r="AH36" i="43"/>
  <c r="D83" i="45"/>
  <c r="G159" i="43"/>
  <c r="W113" i="6"/>
  <c r="C58" i="44"/>
  <c r="C98" i="6"/>
  <c r="X129" i="44"/>
  <c r="AE35" i="43"/>
  <c r="H68" i="6"/>
  <c r="W33" i="6"/>
  <c r="X124" i="6"/>
  <c r="H123" i="6"/>
  <c r="F67" i="43"/>
  <c r="F157" i="45"/>
  <c r="C58" i="6"/>
  <c r="W57" i="43"/>
  <c r="G68" i="43"/>
  <c r="AE156" i="44"/>
  <c r="AW35" i="45"/>
  <c r="D85" i="43"/>
  <c r="G96" i="6"/>
  <c r="H62" i="43"/>
  <c r="H28" i="6"/>
  <c r="W111" i="44"/>
  <c r="F57" i="45"/>
  <c r="E64" i="45"/>
  <c r="V97" i="44"/>
  <c r="X68" i="45"/>
  <c r="F28" i="45"/>
  <c r="V132" i="43"/>
  <c r="H124" i="6"/>
  <c r="G29" i="44"/>
  <c r="X127" i="6"/>
  <c r="V121" i="45"/>
  <c r="D99" i="43"/>
  <c r="X83" i="43"/>
  <c r="C109" i="44"/>
  <c r="AH29" i="43"/>
  <c r="X32" i="43"/>
  <c r="D127" i="44"/>
  <c r="AX24" i="44"/>
  <c r="C157" i="45"/>
  <c r="H79" i="44"/>
  <c r="AE150" i="43"/>
  <c r="F91" i="44"/>
  <c r="C49" i="43"/>
  <c r="E65" i="45"/>
  <c r="E150" i="44"/>
  <c r="H150" i="6"/>
  <c r="C49" i="45"/>
  <c r="E72" i="6"/>
  <c r="D106" i="44"/>
  <c r="AG37" i="45"/>
  <c r="D127" i="43"/>
  <c r="D90" i="43"/>
  <c r="C121" i="45"/>
  <c r="C31" i="45"/>
  <c r="H125" i="43"/>
  <c r="V33" i="43"/>
  <c r="D74" i="44"/>
  <c r="D73" i="44"/>
  <c r="D103" i="43"/>
  <c r="D153" i="45"/>
  <c r="X129" i="45"/>
  <c r="AM7" i="44"/>
  <c r="D89" i="43"/>
  <c r="H177" i="43"/>
  <c r="C99" i="6"/>
  <c r="F16" i="43"/>
  <c r="E90" i="45"/>
  <c r="E27" i="45"/>
  <c r="H153" i="43"/>
  <c r="G59" i="44"/>
  <c r="AD32" i="44"/>
  <c r="D112" i="6"/>
  <c r="AE19" i="43"/>
  <c r="E84" i="43"/>
  <c r="C35" i="43"/>
  <c r="E88" i="43"/>
  <c r="E162" i="6"/>
  <c r="C110" i="45"/>
  <c r="G34" i="6"/>
  <c r="E91" i="44"/>
  <c r="D105" i="44"/>
  <c r="AE23" i="44"/>
  <c r="E62" i="6"/>
  <c r="AG157" i="43"/>
  <c r="D70" i="44"/>
  <c r="X58" i="6"/>
  <c r="AD30" i="44"/>
  <c r="G120" i="43"/>
  <c r="E112" i="43"/>
  <c r="AI15" i="45"/>
  <c r="X90" i="6"/>
  <c r="D88" i="45"/>
  <c r="F89" i="6"/>
  <c r="E150" i="45"/>
  <c r="V132" i="44"/>
  <c r="H23" i="45"/>
  <c r="E57" i="44"/>
  <c r="H65" i="6"/>
  <c r="D18" i="43"/>
  <c r="D103" i="44"/>
  <c r="F129" i="44"/>
  <c r="AW30" i="43"/>
  <c r="D160" i="45"/>
  <c r="C85" i="44"/>
  <c r="G107" i="44"/>
  <c r="G158" i="45"/>
  <c r="AY30" i="45"/>
  <c r="F33" i="43"/>
  <c r="AE20" i="45"/>
  <c r="E70" i="45"/>
  <c r="C106" i="43"/>
  <c r="D28" i="43"/>
  <c r="D39" i="45"/>
  <c r="V57" i="6"/>
  <c r="W35" i="44"/>
  <c r="G28" i="45"/>
  <c r="AE17" i="44"/>
  <c r="F68" i="43"/>
  <c r="X95" i="6"/>
  <c r="C22" i="44"/>
  <c r="AF141" i="45"/>
  <c r="C40" i="6"/>
  <c r="G160" i="44"/>
  <c r="AI155" i="43"/>
  <c r="D110" i="6"/>
  <c r="D112" i="44"/>
  <c r="F88" i="44"/>
  <c r="E124" i="6"/>
  <c r="H32" i="44"/>
  <c r="H77" i="45"/>
  <c r="C40" i="43"/>
  <c r="C157" i="43"/>
  <c r="E109" i="43"/>
  <c r="AY27" i="45"/>
  <c r="G78" i="44"/>
  <c r="G16" i="43"/>
  <c r="V109" i="44"/>
  <c r="D97" i="6"/>
  <c r="H20" i="43"/>
  <c r="AY34" i="44"/>
  <c r="C151" i="44"/>
  <c r="G128" i="44"/>
  <c r="AI26" i="43"/>
  <c r="X79" i="44"/>
  <c r="W36" i="6"/>
  <c r="H79" i="45"/>
  <c r="C84" i="6"/>
  <c r="AI42" i="43"/>
  <c r="AD24" i="43"/>
  <c r="D67" i="6"/>
  <c r="D92" i="6"/>
  <c r="X89" i="6"/>
  <c r="X58" i="45"/>
  <c r="G153" i="44"/>
  <c r="AF155" i="6"/>
  <c r="C131" i="45"/>
  <c r="AI141" i="44"/>
  <c r="E81" i="45"/>
  <c r="G150" i="45"/>
  <c r="F105" i="45"/>
  <c r="AF49" i="45"/>
  <c r="H106" i="45"/>
  <c r="E18" i="45"/>
  <c r="AG39" i="45"/>
  <c r="E30" i="6"/>
  <c r="C71" i="45"/>
  <c r="H34" i="44"/>
  <c r="G131" i="45"/>
  <c r="C161" i="44"/>
  <c r="E29" i="45"/>
  <c r="F122" i="45"/>
  <c r="AI151" i="43"/>
  <c r="E75" i="45"/>
  <c r="H126" i="6"/>
  <c r="AE40" i="45"/>
  <c r="G60" i="43"/>
  <c r="AD141" i="43"/>
  <c r="D131" i="43"/>
  <c r="C110" i="44"/>
  <c r="C155" i="44"/>
  <c r="H16" i="43"/>
  <c r="F156" i="45"/>
  <c r="AF150" i="43"/>
  <c r="G159" i="44"/>
  <c r="G20" i="6"/>
  <c r="E157" i="43"/>
  <c r="AI37" i="44"/>
  <c r="D107" i="44"/>
  <c r="AF23" i="45"/>
  <c r="W131" i="45"/>
  <c r="D32" i="43"/>
  <c r="H131" i="43"/>
  <c r="D22" i="43"/>
  <c r="E153" i="45"/>
  <c r="E34" i="44"/>
  <c r="C22" i="43"/>
  <c r="D169" i="45"/>
  <c r="C25" i="43"/>
  <c r="G59" i="43"/>
  <c r="F61" i="45"/>
  <c r="X23" i="43"/>
  <c r="G108" i="44"/>
  <c r="G60" i="44"/>
  <c r="G140" i="45"/>
  <c r="V60" i="45"/>
  <c r="AE18" i="43"/>
  <c r="H31" i="45"/>
  <c r="E73" i="6"/>
  <c r="AH36" i="44"/>
  <c r="C159" i="44"/>
  <c r="W31" i="45"/>
  <c r="AE19" i="45"/>
  <c r="H162" i="45"/>
  <c r="C95" i="43"/>
  <c r="F155" i="45"/>
  <c r="G109" i="45"/>
  <c r="V59" i="44"/>
  <c r="E128" i="44"/>
  <c r="C61" i="44"/>
  <c r="AE24" i="44"/>
  <c r="AX29" i="44"/>
  <c r="H150" i="44"/>
  <c r="AX30" i="45"/>
  <c r="AY18" i="6"/>
  <c r="W74" i="44"/>
  <c r="G17" i="45"/>
  <c r="G93" i="6"/>
  <c r="W90" i="44"/>
  <c r="X128" i="6"/>
  <c r="F87" i="43"/>
  <c r="H67" i="45"/>
  <c r="AE152" i="6"/>
  <c r="E92" i="6"/>
  <c r="W31" i="6"/>
  <c r="G76" i="6"/>
  <c r="E56" i="45"/>
  <c r="C111" i="44"/>
  <c r="D19" i="43"/>
  <c r="H63" i="44"/>
  <c r="V94" i="43"/>
  <c r="AD23" i="43"/>
  <c r="AD141" i="45"/>
  <c r="E151" i="44"/>
  <c r="G68" i="6"/>
  <c r="C112" i="43"/>
  <c r="G94" i="6"/>
  <c r="F72" i="45"/>
  <c r="C128" i="43"/>
  <c r="D84" i="43"/>
  <c r="D153" i="43"/>
  <c r="V106" i="45"/>
  <c r="G84" i="44"/>
  <c r="X27" i="6"/>
  <c r="F107" i="45"/>
  <c r="H153" i="45"/>
  <c r="X84" i="6"/>
  <c r="F33" i="45"/>
  <c r="D126" i="45"/>
  <c r="C124" i="45"/>
  <c r="H132" i="45"/>
  <c r="D37" i="6"/>
  <c r="G86" i="44"/>
  <c r="V80" i="43"/>
  <c r="H97" i="6"/>
  <c r="X129" i="6"/>
  <c r="E152" i="45"/>
  <c r="G68" i="44"/>
  <c r="F18" i="43"/>
  <c r="D122" i="45"/>
  <c r="AF39" i="44"/>
  <c r="F74" i="6"/>
  <c r="G124" i="43"/>
  <c r="G124" i="45"/>
  <c r="H71" i="44"/>
  <c r="AD39" i="43"/>
  <c r="H77" i="6"/>
  <c r="AX18" i="44"/>
  <c r="X75" i="44"/>
  <c r="AD25" i="44"/>
  <c r="F26" i="43"/>
  <c r="V107" i="45"/>
  <c r="AE29" i="45"/>
  <c r="D124" i="6"/>
  <c r="AI25" i="44"/>
  <c r="F70" i="43"/>
  <c r="D74" i="6"/>
  <c r="AX18" i="45"/>
  <c r="E154" i="6"/>
  <c r="AD21" i="6"/>
  <c r="G22" i="45"/>
  <c r="AW36" i="44"/>
  <c r="X21" i="45"/>
  <c r="AF37" i="43"/>
  <c r="H110" i="44"/>
  <c r="D150" i="6"/>
  <c r="AD26" i="44"/>
  <c r="AF17" i="44"/>
  <c r="H84" i="45"/>
  <c r="D49" i="44"/>
  <c r="V34" i="43"/>
  <c r="H75" i="43"/>
  <c r="D104" i="44"/>
  <c r="AI158" i="43"/>
  <c r="H162" i="44"/>
  <c r="F124" i="44"/>
  <c r="AW24" i="45"/>
  <c r="D91" i="6"/>
  <c r="G27" i="43"/>
  <c r="H125" i="44"/>
  <c r="C20" i="43"/>
  <c r="C77" i="44"/>
  <c r="D128" i="44"/>
  <c r="AH157" i="6"/>
  <c r="AG162" i="44"/>
  <c r="C15" i="43"/>
  <c r="X72" i="44"/>
  <c r="H64" i="44"/>
  <c r="AF156" i="45"/>
  <c r="AE19" i="6"/>
  <c r="W27" i="44"/>
  <c r="C18" i="45"/>
  <c r="X104" i="44"/>
  <c r="AF162" i="44"/>
  <c r="X129" i="43"/>
  <c r="F149" i="6"/>
  <c r="G75" i="6"/>
  <c r="F72" i="44"/>
  <c r="F161" i="6"/>
  <c r="C103" i="6"/>
  <c r="C83" i="44"/>
  <c r="F58" i="43"/>
  <c r="D17" i="44"/>
  <c r="G133" i="43"/>
  <c r="H33" i="6"/>
  <c r="AG161" i="45"/>
  <c r="G156" i="43"/>
  <c r="E19" i="44"/>
  <c r="G99" i="43"/>
  <c r="W32" i="44"/>
  <c r="G25" i="45"/>
  <c r="V37" i="44"/>
  <c r="G111" i="43"/>
  <c r="X61" i="45"/>
  <c r="F35" i="45"/>
  <c r="X69" i="44"/>
  <c r="AD36" i="43"/>
  <c r="AW30" i="45"/>
  <c r="AE151" i="6"/>
  <c r="V93" i="43"/>
  <c r="X127" i="44"/>
  <c r="F157" i="6"/>
  <c r="C39" i="45"/>
  <c r="AI158" i="45"/>
  <c r="X110" i="43"/>
  <c r="X77" i="6"/>
  <c r="C49" i="44"/>
  <c r="H24" i="6"/>
  <c r="G106" i="6"/>
  <c r="E33" i="44"/>
  <c r="AG43" i="6"/>
  <c r="E26" i="6"/>
  <c r="V71" i="43"/>
  <c r="E57" i="45"/>
  <c r="X34" i="6"/>
  <c r="D140" i="45"/>
  <c r="X107" i="45"/>
  <c r="E108" i="44"/>
  <c r="F100" i="43"/>
  <c r="E78" i="6"/>
  <c r="C63" i="44"/>
  <c r="G32" i="43"/>
  <c r="G154" i="6"/>
  <c r="AG33" i="44"/>
  <c r="F29" i="44"/>
  <c r="W105" i="6"/>
  <c r="AD38" i="43"/>
  <c r="V57" i="44"/>
  <c r="C160" i="45"/>
  <c r="C84" i="43"/>
  <c r="G19" i="43"/>
  <c r="AE49" i="43"/>
  <c r="G123" i="6"/>
  <c r="W39" i="43"/>
  <c r="F157" i="43"/>
  <c r="D178" i="44"/>
  <c r="AD24" i="45"/>
  <c r="H56" i="44"/>
  <c r="AH33" i="43"/>
  <c r="D169" i="44"/>
  <c r="AD140" i="45"/>
  <c r="AX28" i="43"/>
  <c r="E73" i="44"/>
  <c r="G169" i="6"/>
  <c r="AG154" i="43"/>
  <c r="AH157" i="44"/>
  <c r="H109" i="6"/>
  <c r="W90" i="45"/>
  <c r="AX38" i="43"/>
  <c r="W107" i="43"/>
  <c r="H158" i="45"/>
  <c r="D112" i="45"/>
  <c r="AY31" i="45"/>
  <c r="D108" i="43"/>
  <c r="E37" i="43"/>
  <c r="E23" i="45"/>
  <c r="AM8" i="6"/>
  <c r="H92" i="45"/>
  <c r="AI25" i="43"/>
  <c r="E39" i="6"/>
  <c r="AF30" i="6"/>
  <c r="C33" i="6"/>
  <c r="G71" i="45"/>
  <c r="D77" i="45"/>
  <c r="C99" i="43"/>
  <c r="C89" i="43"/>
  <c r="C96" i="6"/>
  <c r="H155" i="44"/>
  <c r="E155" i="43"/>
  <c r="G57" i="43"/>
  <c r="C30" i="6"/>
  <c r="W124" i="44"/>
  <c r="C78" i="45"/>
  <c r="H83" i="45"/>
  <c r="F64" i="43"/>
  <c r="G66" i="43"/>
  <c r="AI154" i="43"/>
  <c r="X59" i="43"/>
  <c r="X81" i="6"/>
  <c r="AF32" i="45"/>
  <c r="X21" i="43"/>
  <c r="F159" i="43"/>
  <c r="AG18" i="44"/>
  <c r="AD140" i="44"/>
  <c r="AF42" i="44"/>
  <c r="AE28" i="43"/>
  <c r="X76" i="44"/>
  <c r="AG18" i="6"/>
  <c r="C61" i="6"/>
  <c r="AY25" i="44"/>
  <c r="F161" i="44"/>
  <c r="E16" i="44"/>
  <c r="V32" i="6"/>
  <c r="C57" i="43"/>
  <c r="E178" i="44"/>
  <c r="E127" i="44"/>
  <c r="V133" i="43"/>
  <c r="G34" i="43"/>
  <c r="G42" i="45"/>
  <c r="X24" i="44"/>
  <c r="V103" i="6"/>
  <c r="H81" i="6"/>
  <c r="V103" i="43"/>
  <c r="C94" i="43"/>
  <c r="E99" i="6"/>
  <c r="D106" i="45"/>
  <c r="E156" i="43"/>
  <c r="H70" i="44"/>
  <c r="D150" i="43"/>
  <c r="H149" i="45"/>
  <c r="E157" i="6"/>
  <c r="F57" i="43"/>
  <c r="C129" i="43"/>
  <c r="D109" i="6"/>
  <c r="E98" i="45"/>
  <c r="F122" i="43"/>
  <c r="F29" i="6"/>
  <c r="F92" i="6"/>
  <c r="C150" i="6"/>
  <c r="H30" i="43"/>
  <c r="F110" i="44"/>
  <c r="G65" i="6"/>
  <c r="C98" i="44"/>
  <c r="D154" i="6"/>
  <c r="D102" i="45"/>
  <c r="E160" i="43"/>
  <c r="D68" i="6"/>
  <c r="F140" i="43"/>
  <c r="AF41" i="44"/>
  <c r="D111" i="43"/>
  <c r="D160" i="6"/>
  <c r="F74" i="44"/>
  <c r="D77" i="44"/>
  <c r="H27" i="6"/>
  <c r="F128" i="45"/>
  <c r="D49" i="45"/>
  <c r="G89" i="44"/>
  <c r="D130" i="45"/>
  <c r="C130" i="44"/>
  <c r="H133" i="44"/>
  <c r="F81" i="44"/>
  <c r="C80" i="44"/>
  <c r="AE156" i="45"/>
  <c r="G30" i="6"/>
  <c r="G151" i="6"/>
  <c r="F96" i="44"/>
  <c r="AY36" i="6"/>
  <c r="AE33" i="45"/>
  <c r="AF37" i="45"/>
  <c r="C82" i="43"/>
  <c r="F65" i="45"/>
  <c r="AF16" i="45"/>
  <c r="E82" i="44"/>
  <c r="AW25" i="45"/>
  <c r="X84" i="43"/>
  <c r="H152" i="6"/>
  <c r="G132" i="43"/>
  <c r="H178" i="43"/>
  <c r="H128" i="44"/>
  <c r="G104" i="43"/>
  <c r="W94" i="45"/>
  <c r="F81" i="6"/>
  <c r="D99" i="6"/>
  <c r="E79" i="6"/>
  <c r="AY20" i="44"/>
  <c r="AW17" i="6"/>
  <c r="D124" i="45"/>
  <c r="G70" i="44"/>
  <c r="G121" i="6"/>
  <c r="G63" i="45"/>
  <c r="G20" i="43"/>
  <c r="C21" i="44"/>
  <c r="E17" i="43"/>
  <c r="AD22" i="43"/>
  <c r="C140" i="43"/>
  <c r="G64" i="6"/>
  <c r="G89" i="6"/>
  <c r="E101" i="43"/>
  <c r="AD17" i="43"/>
  <c r="F22" i="43"/>
  <c r="F56" i="6"/>
  <c r="D34" i="43"/>
  <c r="AD23" i="44"/>
  <c r="E85" i="45"/>
  <c r="F90" i="44"/>
  <c r="F127" i="43"/>
  <c r="F49" i="43"/>
  <c r="E149" i="43"/>
  <c r="AF24" i="43"/>
  <c r="D87" i="6"/>
  <c r="D122" i="43"/>
  <c r="AX19" i="45"/>
  <c r="W35" i="45"/>
  <c r="F140" i="6"/>
  <c r="X16" i="44"/>
  <c r="E19" i="45"/>
  <c r="E21" i="44"/>
  <c r="X80" i="45"/>
  <c r="C38" i="43"/>
  <c r="D86" i="43"/>
  <c r="V62" i="43"/>
  <c r="X96" i="43"/>
  <c r="V128" i="44"/>
  <c r="H58" i="43"/>
  <c r="V65" i="44"/>
  <c r="C178" i="43"/>
  <c r="AD27" i="44"/>
  <c r="C70" i="43"/>
  <c r="AE38" i="44"/>
  <c r="G49" i="45"/>
  <c r="AH151" i="6"/>
  <c r="G152" i="45"/>
  <c r="H29" i="6"/>
  <c r="AX20" i="6"/>
  <c r="E156" i="44"/>
  <c r="E24" i="6"/>
  <c r="F133" i="45"/>
  <c r="AW29" i="44"/>
  <c r="C154" i="45"/>
  <c r="C105" i="43"/>
  <c r="AE31" i="45"/>
  <c r="E97" i="6"/>
  <c r="AH36" i="6"/>
  <c r="H18" i="44"/>
  <c r="E109" i="45"/>
  <c r="W97" i="44"/>
  <c r="V33" i="44"/>
  <c r="H43" i="45"/>
  <c r="G77" i="44"/>
  <c r="E66" i="6"/>
  <c r="E74" i="44"/>
  <c r="D15" i="44"/>
  <c r="AE35" i="45"/>
  <c r="H162" i="43"/>
  <c r="W128" i="44"/>
  <c r="C154" i="44"/>
  <c r="V19" i="44"/>
  <c r="H17" i="6"/>
  <c r="H43" i="6"/>
  <c r="D42" i="43"/>
  <c r="AF149" i="45"/>
  <c r="E60" i="44"/>
  <c r="V69" i="6"/>
  <c r="V62" i="45"/>
  <c r="AX26" i="44"/>
  <c r="H120" i="6"/>
  <c r="C91" i="45"/>
  <c r="G96" i="44"/>
  <c r="W24" i="6"/>
  <c r="AF149" i="44"/>
  <c r="AI42" i="45"/>
  <c r="G155" i="45"/>
  <c r="V96" i="45"/>
  <c r="E160" i="45"/>
  <c r="F25" i="44"/>
  <c r="E153" i="6"/>
  <c r="AD158" i="45"/>
  <c r="F140" i="45"/>
  <c r="C140" i="44"/>
  <c r="C80" i="45"/>
  <c r="AD24" i="6"/>
  <c r="C29" i="43"/>
  <c r="F58" i="6"/>
  <c r="F24" i="6"/>
  <c r="D65" i="45"/>
  <c r="AD15" i="44"/>
  <c r="AE32" i="45"/>
  <c r="G41" i="45"/>
  <c r="H169" i="43"/>
  <c r="D155" i="45"/>
  <c r="V129" i="43"/>
  <c r="C42" i="43"/>
  <c r="W112" i="44"/>
  <c r="C29" i="44"/>
  <c r="D61" i="44"/>
  <c r="D81" i="45"/>
  <c r="AF20" i="6"/>
  <c r="X126" i="6"/>
  <c r="F65" i="44"/>
  <c r="D89" i="44"/>
  <c r="AI34" i="45"/>
  <c r="V85" i="44"/>
  <c r="W90" i="43"/>
  <c r="D86" i="6"/>
  <c r="W33" i="45"/>
  <c r="E16" i="43"/>
  <c r="V57" i="45"/>
  <c r="H33" i="44"/>
  <c r="AE158" i="43"/>
  <c r="V72" i="6"/>
  <c r="D40" i="6"/>
  <c r="AG42" i="6"/>
  <c r="X93" i="6"/>
  <c r="AH157" i="45"/>
  <c r="F31" i="43"/>
  <c r="G87" i="45"/>
  <c r="G58" i="45"/>
  <c r="C107" i="6"/>
  <c r="AH27" i="6"/>
  <c r="AH35" i="44"/>
  <c r="V131" i="45"/>
  <c r="X87" i="45"/>
  <c r="AW27" i="43"/>
  <c r="E73" i="43"/>
  <c r="G99" i="45"/>
  <c r="X70" i="45"/>
  <c r="C39" i="44"/>
  <c r="G28" i="44"/>
  <c r="AH24" i="43"/>
  <c r="AG38" i="6"/>
  <c r="X27" i="43"/>
  <c r="H64" i="45"/>
  <c r="F96" i="43"/>
  <c r="AE28" i="44"/>
  <c r="H158" i="6"/>
  <c r="H35" i="43"/>
  <c r="W22" i="6"/>
  <c r="AD34" i="45"/>
  <c r="AF22" i="44"/>
  <c r="C158" i="45"/>
  <c r="E133" i="43"/>
  <c r="AH32" i="6"/>
  <c r="W120" i="44"/>
  <c r="F38" i="45"/>
  <c r="W88" i="44"/>
  <c r="C169" i="43"/>
  <c r="AG153" i="43"/>
  <c r="D123" i="6"/>
  <c r="F90" i="43"/>
  <c r="F97" i="43"/>
  <c r="C27" i="44"/>
  <c r="AI43" i="44"/>
  <c r="AF141" i="6"/>
  <c r="F70" i="44"/>
  <c r="C26" i="43"/>
  <c r="W25" i="45"/>
  <c r="D88" i="6"/>
  <c r="AE162" i="45"/>
  <c r="AI38" i="6"/>
  <c r="AH26" i="43"/>
  <c r="AI35" i="44"/>
  <c r="H85" i="44"/>
  <c r="G107" i="6"/>
  <c r="E33" i="6"/>
  <c r="C67" i="45"/>
  <c r="AH141" i="44"/>
  <c r="AX17" i="45"/>
  <c r="H160" i="44"/>
  <c r="V79" i="6"/>
  <c r="V124" i="43"/>
  <c r="AD36" i="6"/>
  <c r="AE41" i="44"/>
  <c r="H140" i="43"/>
  <c r="V77" i="43"/>
  <c r="X74" i="44"/>
  <c r="AI157" i="43"/>
  <c r="F61" i="44"/>
  <c r="AG27" i="44"/>
  <c r="AW33" i="6"/>
  <c r="F121" i="6"/>
  <c r="AD15" i="6"/>
  <c r="G96" i="45"/>
  <c r="D86" i="44"/>
  <c r="E177" i="45"/>
  <c r="D81" i="43"/>
  <c r="D19" i="45"/>
  <c r="G16" i="6"/>
  <c r="E159" i="43"/>
  <c r="D104" i="43"/>
  <c r="H31" i="6"/>
  <c r="E157" i="44"/>
  <c r="C81" i="6"/>
  <c r="C80" i="43"/>
  <c r="G149" i="44"/>
  <c r="AE36" i="43"/>
  <c r="H24" i="43"/>
  <c r="E57" i="43"/>
  <c r="H66" i="44"/>
  <c r="C101" i="6"/>
  <c r="E104" i="45"/>
  <c r="D73" i="43"/>
  <c r="E156" i="45"/>
  <c r="AX18" i="6"/>
  <c r="G87" i="43"/>
  <c r="E67" i="45"/>
  <c r="V125" i="44"/>
  <c r="H87" i="44"/>
  <c r="AW17" i="44"/>
  <c r="AF151" i="45"/>
  <c r="E17" i="45"/>
  <c r="C61" i="45"/>
  <c r="F91" i="43"/>
  <c r="C122" i="6"/>
  <c r="E127" i="45"/>
  <c r="X32" i="44"/>
  <c r="F76" i="45"/>
  <c r="AF154" i="45"/>
  <c r="F129" i="6"/>
  <c r="W88" i="45"/>
  <c r="AD33" i="43"/>
  <c r="F121" i="45"/>
  <c r="H32" i="6"/>
  <c r="E110" i="6"/>
  <c r="X94" i="45"/>
  <c r="H95" i="6"/>
  <c r="H30" i="6"/>
  <c r="G82" i="43"/>
  <c r="AY19" i="45"/>
  <c r="V82" i="45"/>
  <c r="X22" i="43"/>
  <c r="AH157" i="43"/>
  <c r="E32" i="43"/>
  <c r="D69" i="45"/>
  <c r="E92" i="44"/>
  <c r="F95" i="45"/>
  <c r="H22" i="44"/>
  <c r="W31" i="44"/>
  <c r="E112" i="6"/>
  <c r="AX26" i="45"/>
  <c r="E25" i="45"/>
  <c r="H157" i="45"/>
  <c r="X25" i="45"/>
  <c r="E49" i="43"/>
  <c r="H177" i="6"/>
  <c r="AF30" i="43"/>
  <c r="D68" i="45"/>
  <c r="C33" i="44"/>
  <c r="F81" i="43"/>
  <c r="AG158" i="43"/>
  <c r="W70" i="43"/>
  <c r="F154" i="6"/>
  <c r="X67" i="43"/>
  <c r="D78" i="44"/>
  <c r="G17" i="43"/>
  <c r="C34" i="44"/>
  <c r="C99" i="44"/>
  <c r="H97" i="43"/>
  <c r="V110" i="43"/>
  <c r="AE151" i="45"/>
  <c r="AI159" i="43"/>
  <c r="E161" i="43"/>
  <c r="D33" i="43"/>
  <c r="C94" i="45"/>
  <c r="X94" i="6"/>
  <c r="E105" i="45"/>
  <c r="AY17" i="44"/>
  <c r="G157" i="44"/>
  <c r="AI152" i="6"/>
  <c r="AG34" i="6"/>
  <c r="F23" i="43"/>
  <c r="X123" i="6"/>
  <c r="AG38" i="43"/>
  <c r="W71" i="6"/>
  <c r="AI36" i="45"/>
  <c r="AH153" i="43"/>
  <c r="D122" i="6"/>
  <c r="L7" i="43"/>
  <c r="V110" i="45"/>
  <c r="E120" i="45"/>
  <c r="V99" i="44"/>
  <c r="E152" i="44"/>
  <c r="X91" i="6"/>
  <c r="AW21" i="45"/>
  <c r="C21" i="45"/>
  <c r="G43" i="6"/>
  <c r="V27" i="6"/>
  <c r="F151" i="6"/>
  <c r="AI27" i="44"/>
  <c r="W43" i="45"/>
  <c r="E68" i="6"/>
  <c r="D94" i="44"/>
  <c r="V64" i="45"/>
  <c r="W36" i="43"/>
  <c r="F107" i="43"/>
  <c r="G23" i="43"/>
  <c r="C88" i="43"/>
  <c r="AG150" i="45"/>
  <c r="X103" i="6"/>
  <c r="AF35" i="43"/>
  <c r="F71" i="44"/>
  <c r="G79" i="6"/>
  <c r="D77" i="43"/>
  <c r="E87" i="43"/>
  <c r="AI149" i="43"/>
  <c r="W92" i="44"/>
  <c r="AF49" i="44"/>
  <c r="F162" i="43"/>
  <c r="V110" i="44"/>
  <c r="E156" i="6"/>
  <c r="X29" i="45"/>
  <c r="V127" i="43"/>
  <c r="V33" i="45"/>
  <c r="G123" i="44"/>
  <c r="F149" i="45"/>
  <c r="AH156" i="43"/>
  <c r="W86" i="43"/>
  <c r="X77" i="45"/>
  <c r="C81" i="45"/>
  <c r="AD152" i="43"/>
  <c r="AE37" i="6"/>
  <c r="V123" i="43"/>
  <c r="H132" i="6"/>
  <c r="X61" i="44"/>
  <c r="X28" i="6"/>
  <c r="C65" i="43"/>
  <c r="H133" i="43"/>
  <c r="F21" i="44"/>
  <c r="W127" i="45"/>
  <c r="G69" i="44"/>
  <c r="AF158" i="6"/>
  <c r="AI21" i="6"/>
  <c r="F81" i="45"/>
  <c r="W73" i="45"/>
  <c r="D63" i="6"/>
  <c r="G62" i="44"/>
  <c r="H67" i="43"/>
  <c r="AD23" i="6"/>
  <c r="AD29" i="6"/>
  <c r="X94" i="44"/>
  <c r="F24" i="43"/>
  <c r="C19" i="45"/>
  <c r="C28" i="44"/>
  <c r="E133" i="6"/>
  <c r="G121" i="45"/>
  <c r="F90" i="6"/>
  <c r="D80" i="6"/>
  <c r="F65" i="43"/>
  <c r="E19" i="43"/>
  <c r="V58" i="45"/>
  <c r="E86" i="43"/>
  <c r="AF155" i="45"/>
  <c r="W32" i="6"/>
  <c r="W60" i="44"/>
  <c r="E26" i="44"/>
  <c r="H73" i="45"/>
  <c r="AH33" i="44"/>
  <c r="AD154" i="43"/>
  <c r="AH152" i="44"/>
  <c r="E106" i="45"/>
  <c r="W133" i="6"/>
  <c r="E153" i="43"/>
  <c r="C159" i="45"/>
  <c r="V88" i="45"/>
  <c r="F93" i="45"/>
  <c r="V69" i="44"/>
  <c r="C64" i="6"/>
  <c r="C133" i="44"/>
  <c r="H26" i="45"/>
  <c r="E177" i="44"/>
  <c r="V64" i="43"/>
  <c r="H99" i="43"/>
  <c r="X104" i="45"/>
  <c r="F22" i="45"/>
  <c r="F32" i="6"/>
  <c r="C91" i="44"/>
  <c r="C106" i="45"/>
  <c r="G102" i="43"/>
  <c r="AH152" i="45"/>
  <c r="V96" i="43"/>
  <c r="AH21" i="43"/>
  <c r="X17" i="45"/>
  <c r="V70" i="45"/>
  <c r="AD36" i="44"/>
  <c r="W41" i="45"/>
  <c r="W66" i="44"/>
  <c r="AG140" i="6"/>
  <c r="V28" i="43"/>
  <c r="W29" i="44"/>
  <c r="C43" i="44"/>
  <c r="D57" i="43"/>
  <c r="V20" i="45"/>
  <c r="E41" i="44"/>
  <c r="C59" i="45"/>
  <c r="AG40" i="45"/>
  <c r="L8" i="6"/>
  <c r="W58" i="6"/>
  <c r="W83" i="44"/>
  <c r="X80" i="44"/>
  <c r="X57" i="43"/>
  <c r="AY21" i="44"/>
  <c r="W36" i="44"/>
  <c r="V95" i="44"/>
  <c r="C130" i="45"/>
  <c r="AY32" i="43"/>
  <c r="D150" i="44"/>
  <c r="G76" i="43"/>
  <c r="D154" i="43"/>
  <c r="D39" i="44"/>
  <c r="E104" i="6"/>
  <c r="C69" i="44"/>
  <c r="AD25" i="43"/>
  <c r="E20" i="45"/>
  <c r="C16" i="45"/>
  <c r="D61" i="45"/>
  <c r="F150" i="6"/>
  <c r="G126" i="6"/>
  <c r="E169" i="44"/>
  <c r="AI154" i="44"/>
  <c r="D161" i="43"/>
  <c r="E161" i="45"/>
  <c r="AD42" i="6"/>
  <c r="W95" i="44"/>
  <c r="V75" i="44"/>
  <c r="AH30" i="6"/>
  <c r="H156" i="6"/>
  <c r="E68" i="43"/>
  <c r="AE141" i="43"/>
  <c r="AW36" i="43"/>
  <c r="V120" i="6"/>
  <c r="C20" i="45"/>
  <c r="AF42" i="43"/>
  <c r="X24" i="45"/>
  <c r="D87" i="44"/>
  <c r="V93" i="44"/>
  <c r="V38" i="44"/>
  <c r="V74" i="45"/>
  <c r="AW38" i="43"/>
  <c r="AE21" i="44"/>
  <c r="W28" i="45"/>
  <c r="V34" i="44"/>
  <c r="X125" i="43"/>
  <c r="W103" i="45"/>
  <c r="G63" i="44"/>
  <c r="V125" i="6"/>
  <c r="AF140" i="43"/>
  <c r="H76" i="44"/>
  <c r="X30" i="43"/>
  <c r="X95" i="45"/>
  <c r="C66" i="45"/>
  <c r="H69" i="43"/>
  <c r="AH24" i="6"/>
  <c r="F68" i="6"/>
  <c r="AH32" i="45"/>
  <c r="C113" i="43"/>
  <c r="X67" i="6"/>
  <c r="AD17" i="6"/>
  <c r="AI20" i="6"/>
  <c r="V41" i="45"/>
  <c r="E36" i="6"/>
  <c r="F85" i="44"/>
  <c r="AD17" i="44"/>
  <c r="AF157" i="44"/>
  <c r="AE42" i="43"/>
  <c r="F36" i="45"/>
  <c r="C104" i="45"/>
  <c r="D88" i="44"/>
  <c r="AG43" i="45"/>
  <c r="W29" i="45"/>
  <c r="AF33" i="43"/>
  <c r="F71" i="45"/>
  <c r="AD43" i="6"/>
  <c r="F60" i="6"/>
  <c r="E106" i="43"/>
  <c r="E99" i="44"/>
  <c r="G61" i="44"/>
  <c r="X35" i="45"/>
  <c r="V59" i="45"/>
  <c r="E177" i="43"/>
  <c r="W63" i="45"/>
  <c r="AH34" i="44"/>
  <c r="E34" i="43"/>
  <c r="G94" i="44"/>
  <c r="F36" i="6"/>
  <c r="D177" i="43"/>
  <c r="G29" i="45"/>
  <c r="C161" i="45"/>
  <c r="C16" i="6"/>
  <c r="AD38" i="45"/>
  <c r="G56" i="45"/>
  <c r="H59" i="43"/>
  <c r="AE29" i="43"/>
  <c r="C106" i="44"/>
  <c r="G57" i="6"/>
  <c r="G100" i="44"/>
  <c r="E111" i="6"/>
  <c r="H34" i="6"/>
  <c r="G99" i="44"/>
  <c r="H66" i="45"/>
  <c r="AX37" i="45"/>
  <c r="F162" i="45"/>
  <c r="AD149" i="43"/>
  <c r="G110" i="45"/>
  <c r="E38" i="44"/>
  <c r="H67" i="44"/>
  <c r="D112" i="43"/>
  <c r="AG140" i="45"/>
  <c r="E84" i="6"/>
  <c r="W132" i="43"/>
  <c r="D76" i="45"/>
  <c r="D125" i="45"/>
  <c r="E61" i="6"/>
  <c r="H90" i="6"/>
  <c r="E112" i="44"/>
  <c r="AI150" i="44"/>
  <c r="G22" i="6"/>
  <c r="AE141" i="44"/>
  <c r="G88" i="6"/>
  <c r="AE157" i="6"/>
  <c r="E109" i="44"/>
  <c r="AE16" i="45"/>
  <c r="C42" i="44"/>
  <c r="AF37" i="44"/>
  <c r="E122" i="43"/>
  <c r="X65" i="45"/>
  <c r="W79" i="45"/>
  <c r="X113" i="45"/>
  <c r="G130" i="44"/>
  <c r="G90" i="43"/>
  <c r="AF149" i="6"/>
  <c r="X68" i="43"/>
  <c r="AD37" i="45"/>
  <c r="C157" i="44"/>
  <c r="C120" i="6"/>
  <c r="AD41" i="6"/>
  <c r="C99" i="45"/>
  <c r="X75" i="6"/>
  <c r="C88" i="44"/>
  <c r="X30" i="45"/>
  <c r="AH31" i="45"/>
  <c r="AH20" i="6"/>
  <c r="E84" i="45"/>
  <c r="AH141" i="43"/>
  <c r="H21" i="6"/>
  <c r="W20" i="44"/>
  <c r="AW23" i="43"/>
  <c r="AX43" i="6"/>
  <c r="X101" i="6"/>
  <c r="H153" i="44"/>
  <c r="W126" i="6"/>
  <c r="E94" i="43"/>
  <c r="H90" i="45"/>
  <c r="G15" i="43"/>
  <c r="H59" i="6"/>
  <c r="AF23" i="6"/>
  <c r="AI161" i="45"/>
  <c r="D100" i="45"/>
  <c r="H80" i="45"/>
  <c r="V95" i="6"/>
  <c r="H93" i="6"/>
  <c r="H17" i="45"/>
  <c r="AG17" i="43"/>
  <c r="F127" i="45"/>
  <c r="H41" i="43"/>
  <c r="W26" i="45"/>
  <c r="W82" i="43"/>
  <c r="C128" i="45"/>
  <c r="X33" i="44"/>
  <c r="D123" i="43"/>
  <c r="X41" i="43"/>
  <c r="AH31" i="44"/>
  <c r="C75" i="45"/>
  <c r="AE162" i="6"/>
  <c r="E99" i="43"/>
  <c r="W91" i="45"/>
  <c r="H65" i="44"/>
  <c r="AG160" i="45"/>
  <c r="V41" i="44"/>
  <c r="H36" i="43"/>
  <c r="X18" i="45"/>
  <c r="D177" i="6"/>
  <c r="AH152" i="43"/>
  <c r="AD150" i="45"/>
  <c r="W57" i="6"/>
  <c r="H88" i="43"/>
  <c r="C121" i="43"/>
  <c r="C85" i="43"/>
  <c r="E97" i="45"/>
  <c r="AI26" i="6"/>
  <c r="AI37" i="45"/>
  <c r="AD156" i="44"/>
  <c r="AH151" i="43"/>
  <c r="E75" i="44"/>
  <c r="C112" i="45"/>
  <c r="E40" i="43"/>
  <c r="H108" i="43"/>
  <c r="AG30" i="44"/>
  <c r="C73" i="43"/>
  <c r="C95" i="6"/>
  <c r="X74" i="43"/>
  <c r="AX41" i="45"/>
  <c r="G15" i="44"/>
  <c r="AG37" i="43"/>
  <c r="AH26" i="45"/>
  <c r="V38" i="43"/>
  <c r="AW18" i="43"/>
  <c r="V109" i="45"/>
  <c r="V101" i="43"/>
  <c r="H109" i="44"/>
  <c r="W99" i="43"/>
  <c r="D133" i="6"/>
  <c r="F43" i="45"/>
  <c r="AI41" i="44"/>
  <c r="AE160" i="6"/>
  <c r="E93" i="43"/>
  <c r="D120" i="44"/>
  <c r="H103" i="43"/>
  <c r="V76" i="44"/>
  <c r="AH38" i="44"/>
  <c r="X62" i="43"/>
  <c r="AD37" i="44"/>
  <c r="AF19" i="45"/>
  <c r="E128" i="6"/>
  <c r="H128" i="43"/>
  <c r="F107" i="44"/>
  <c r="D16" i="43"/>
  <c r="G27" i="6"/>
  <c r="C68" i="44"/>
  <c r="E159" i="6"/>
  <c r="AF150" i="45"/>
  <c r="F120" i="6"/>
  <c r="X69" i="43"/>
  <c r="F101" i="44"/>
  <c r="D127" i="6"/>
  <c r="W57" i="45"/>
  <c r="D87" i="43"/>
  <c r="H38" i="44"/>
  <c r="H130" i="43"/>
  <c r="H75" i="44"/>
  <c r="X66" i="6"/>
  <c r="X39" i="44"/>
  <c r="E83" i="45"/>
  <c r="E29" i="44"/>
  <c r="AD20" i="43"/>
  <c r="H113" i="43"/>
  <c r="C25" i="6"/>
  <c r="W127" i="6"/>
  <c r="H68" i="45"/>
  <c r="V70" i="6"/>
  <c r="F41" i="43"/>
  <c r="G177" i="43"/>
  <c r="W93" i="45"/>
  <c r="E60" i="6"/>
  <c r="C149" i="45"/>
  <c r="AF18" i="6"/>
  <c r="AH150" i="45"/>
  <c r="V125" i="45"/>
  <c r="AF31" i="6"/>
  <c r="AI40" i="43"/>
  <c r="W79" i="43"/>
  <c r="V24" i="44"/>
  <c r="G38" i="6"/>
  <c r="AH26" i="44"/>
  <c r="G15" i="45"/>
  <c r="AG38" i="44"/>
  <c r="H154" i="44"/>
  <c r="H71" i="43"/>
  <c r="G93" i="44"/>
  <c r="D177" i="45"/>
  <c r="AG43" i="43"/>
  <c r="AF155" i="43"/>
  <c r="H151" i="44"/>
  <c r="D151" i="43"/>
  <c r="X40" i="44"/>
  <c r="H43" i="44"/>
  <c r="X18" i="6"/>
  <c r="W68" i="45"/>
  <c r="D75" i="43"/>
  <c r="V86" i="6"/>
  <c r="C56" i="45"/>
  <c r="H156" i="43"/>
  <c r="AE160" i="43"/>
  <c r="AF160" i="44"/>
  <c r="E100" i="45"/>
  <c r="H49" i="6"/>
  <c r="AI149" i="45"/>
  <c r="E124" i="43"/>
  <c r="AE17" i="43"/>
  <c r="W17" i="44"/>
  <c r="E70" i="44"/>
  <c r="H156" i="45"/>
  <c r="AX31" i="45"/>
  <c r="H131" i="44"/>
  <c r="AI16" i="6"/>
  <c r="AX21" i="45"/>
  <c r="G71" i="44"/>
  <c r="E58" i="6"/>
  <c r="G97" i="43"/>
  <c r="AI32" i="6"/>
  <c r="AX20" i="45"/>
  <c r="V19" i="45"/>
  <c r="AD31" i="45"/>
  <c r="AE150" i="44"/>
  <c r="AH158" i="44"/>
  <c r="C94" i="6"/>
  <c r="H26" i="43"/>
  <c r="AG42" i="43"/>
  <c r="E67" i="6"/>
  <c r="D39" i="43"/>
  <c r="AD162" i="6"/>
  <c r="AY21" i="6"/>
  <c r="AW32" i="6"/>
  <c r="D128" i="45"/>
  <c r="W126" i="43"/>
  <c r="AH160" i="43"/>
  <c r="D41" i="44"/>
  <c r="W96" i="43"/>
  <c r="AG31" i="45"/>
  <c r="F16" i="45"/>
  <c r="E154" i="45"/>
  <c r="F92" i="44"/>
  <c r="C169" i="6"/>
  <c r="AG158" i="45"/>
  <c r="W97" i="45"/>
  <c r="AY34" i="6"/>
  <c r="W25" i="6"/>
  <c r="AF26" i="6"/>
  <c r="AH27" i="45"/>
  <c r="X64" i="44"/>
  <c r="AE30" i="45"/>
  <c r="AG141" i="44"/>
  <c r="H106" i="6"/>
  <c r="AW19" i="44"/>
  <c r="V75" i="45"/>
  <c r="F169" i="45"/>
  <c r="E111" i="44"/>
  <c r="C15" i="6"/>
  <c r="AF154" i="43"/>
  <c r="H159" i="45"/>
  <c r="AF151" i="44"/>
  <c r="C140" i="45"/>
  <c r="AY42" i="43"/>
  <c r="C17" i="43"/>
  <c r="V86" i="44"/>
  <c r="W24" i="43"/>
  <c r="F15" i="6"/>
  <c r="H58" i="6"/>
  <c r="D74" i="43"/>
  <c r="AI15" i="6"/>
  <c r="AD30" i="6"/>
  <c r="F154" i="45"/>
  <c r="AI149" i="44"/>
  <c r="E15" i="44"/>
  <c r="H16" i="6"/>
  <c r="AX23" i="6"/>
  <c r="X71" i="43"/>
  <c r="AD49" i="45"/>
  <c r="F103" i="43"/>
  <c r="AF32" i="44"/>
  <c r="D104" i="45"/>
  <c r="H78" i="44"/>
  <c r="F152" i="43"/>
  <c r="V17" i="43"/>
  <c r="F32" i="43"/>
  <c r="V88" i="6"/>
  <c r="D79" i="43"/>
  <c r="G161" i="45"/>
  <c r="X91" i="43"/>
  <c r="W87" i="44"/>
  <c r="W123" i="44"/>
  <c r="X26" i="43"/>
  <c r="AG27" i="45"/>
  <c r="H101" i="44"/>
  <c r="AE34" i="45"/>
  <c r="AE149" i="43"/>
  <c r="C96" i="44"/>
  <c r="G128" i="45"/>
  <c r="F156" i="44"/>
  <c r="H111" i="44"/>
  <c r="G19" i="45"/>
  <c r="D153" i="44"/>
  <c r="H127" i="43"/>
  <c r="H157" i="44"/>
  <c r="AE26" i="44"/>
  <c r="V60" i="43"/>
  <c r="V113" i="45"/>
  <c r="H113" i="44"/>
  <c r="C120" i="45"/>
  <c r="H93" i="45"/>
  <c r="AE153" i="44"/>
  <c r="D111" i="45"/>
  <c r="F69" i="43"/>
  <c r="H110" i="43"/>
  <c r="F37" i="6"/>
  <c r="H94" i="45"/>
  <c r="AY20" i="6"/>
  <c r="W75" i="44"/>
  <c r="C151" i="6"/>
  <c r="W106" i="44"/>
  <c r="V90" i="44"/>
  <c r="C60" i="6"/>
  <c r="F89" i="45"/>
  <c r="H109" i="43"/>
  <c r="G93" i="43"/>
  <c r="F21" i="6"/>
  <c r="X112" i="6"/>
  <c r="H97" i="44"/>
  <c r="G103" i="45"/>
  <c r="AD31" i="44"/>
  <c r="F24" i="45"/>
  <c r="W40" i="44"/>
  <c r="H101" i="43"/>
  <c r="V36" i="43"/>
  <c r="C71" i="44"/>
  <c r="G71" i="43"/>
  <c r="C178" i="45"/>
  <c r="E81" i="43"/>
  <c r="AE49" i="44"/>
  <c r="AH158" i="45"/>
  <c r="E161" i="6"/>
  <c r="V17" i="44"/>
  <c r="W99" i="6"/>
  <c r="E25" i="6"/>
  <c r="H123" i="43"/>
  <c r="W19" i="45"/>
  <c r="H104" i="44"/>
  <c r="G153" i="45"/>
  <c r="G129" i="6"/>
  <c r="AG141" i="6"/>
  <c r="H62" i="6"/>
  <c r="F76" i="43"/>
  <c r="AH151" i="45"/>
  <c r="H61" i="6"/>
  <c r="AH160" i="45"/>
  <c r="G62" i="43"/>
  <c r="X74" i="6"/>
  <c r="AD33" i="45"/>
  <c r="AW26" i="6"/>
  <c r="X81" i="43"/>
  <c r="H66" i="43"/>
  <c r="E28" i="45"/>
  <c r="E85" i="44"/>
  <c r="H76" i="43"/>
  <c r="AG28" i="44"/>
  <c r="F83" i="45"/>
  <c r="C92" i="43"/>
  <c r="AD36" i="45"/>
  <c r="G157" i="45"/>
  <c r="D27" i="6"/>
  <c r="D34" i="44"/>
  <c r="V77" i="44"/>
  <c r="F82" i="44"/>
  <c r="E28" i="43"/>
  <c r="H49" i="43"/>
  <c r="V42" i="44"/>
  <c r="D133" i="43"/>
  <c r="X35" i="6"/>
  <c r="AI162" i="6"/>
  <c r="V132" i="45"/>
  <c r="C36" i="43"/>
  <c r="F102" i="44"/>
  <c r="AF29" i="45"/>
  <c r="X95" i="44"/>
  <c r="V19" i="43"/>
  <c r="AE39" i="44"/>
  <c r="E129" i="43"/>
  <c r="H86" i="44"/>
  <c r="AF28" i="45"/>
  <c r="W99" i="44"/>
  <c r="AD41" i="44"/>
  <c r="V24" i="45"/>
  <c r="E129" i="45"/>
  <c r="V57" i="43"/>
  <c r="E151" i="6"/>
  <c r="F89" i="44"/>
  <c r="X128" i="43"/>
  <c r="AI162" i="44"/>
  <c r="W101" i="43"/>
  <c r="G98" i="43"/>
  <c r="H105" i="45"/>
  <c r="AI21" i="45"/>
  <c r="H100" i="43"/>
  <c r="W99" i="45"/>
  <c r="W132" i="6"/>
  <c r="E122" i="6"/>
  <c r="V86" i="43"/>
  <c r="AD33" i="6"/>
  <c r="AH19" i="43"/>
  <c r="AH16" i="44"/>
  <c r="E24" i="44"/>
  <c r="AH140" i="45"/>
  <c r="G92" i="45"/>
  <c r="X36" i="43"/>
  <c r="AF36" i="43"/>
  <c r="AD160" i="45"/>
  <c r="E95" i="45"/>
  <c r="AH154" i="43"/>
  <c r="AG41" i="45"/>
  <c r="W61" i="45"/>
  <c r="C149" i="44"/>
  <c r="H79" i="6"/>
  <c r="D129" i="44"/>
  <c r="H87" i="43"/>
  <c r="G177" i="45"/>
  <c r="E132" i="45"/>
  <c r="AH17" i="6"/>
  <c r="F71" i="43"/>
  <c r="E110" i="45"/>
  <c r="F75" i="45"/>
  <c r="AH152" i="6"/>
  <c r="H158" i="44"/>
  <c r="E58" i="45"/>
  <c r="C77" i="43"/>
  <c r="G169" i="43"/>
  <c r="H31" i="44"/>
  <c r="D31" i="6"/>
  <c r="AX39" i="45"/>
  <c r="C76" i="6"/>
  <c r="E82" i="6"/>
  <c r="C111" i="45"/>
  <c r="AG36" i="43"/>
  <c r="G103" i="6"/>
  <c r="F30" i="45"/>
  <c r="G108" i="6"/>
  <c r="E62" i="45"/>
  <c r="AF41" i="43"/>
  <c r="AG155" i="44"/>
  <c r="D35" i="44"/>
  <c r="AH32" i="43"/>
  <c r="C69" i="43"/>
  <c r="AI160" i="44"/>
  <c r="V112" i="43"/>
  <c r="F177" i="6"/>
  <c r="AI24" i="45"/>
  <c r="X92" i="43"/>
  <c r="W43" i="44"/>
  <c r="C62" i="6"/>
  <c r="D59" i="6"/>
  <c r="AX24" i="6"/>
  <c r="X90" i="45"/>
  <c r="V64" i="44"/>
  <c r="X23" i="44"/>
  <c r="AH154" i="44"/>
  <c r="X23" i="6"/>
  <c r="AI31" i="45"/>
  <c r="AF25" i="43"/>
  <c r="F109" i="44"/>
  <c r="F40" i="44"/>
  <c r="D58" i="45"/>
  <c r="H84" i="6"/>
  <c r="D151" i="6"/>
  <c r="G65" i="45"/>
  <c r="AD26" i="45"/>
  <c r="W131" i="44"/>
  <c r="C27" i="6"/>
  <c r="C86" i="45"/>
  <c r="AI152" i="44"/>
  <c r="G67" i="43"/>
  <c r="G122" i="45"/>
  <c r="F159" i="6"/>
  <c r="H123" i="45"/>
  <c r="AE33" i="43"/>
  <c r="C41" i="6"/>
  <c r="E102" i="43"/>
  <c r="AF140" i="45"/>
  <c r="C62" i="44"/>
  <c r="F57" i="6"/>
  <c r="F22" i="44"/>
  <c r="G177" i="6"/>
  <c r="AG22" i="43"/>
  <c r="AX25" i="43"/>
  <c r="AE40" i="6"/>
  <c r="AI15" i="43"/>
  <c r="H132" i="43"/>
  <c r="E77" i="6"/>
  <c r="E35" i="45"/>
  <c r="D161" i="6"/>
  <c r="AX34" i="45"/>
  <c r="AY22" i="45"/>
  <c r="D98" i="6"/>
  <c r="W123" i="6"/>
  <c r="H15" i="44"/>
  <c r="AW25" i="44"/>
  <c r="W28" i="44"/>
  <c r="C127" i="45"/>
  <c r="AI15" i="44"/>
  <c r="AD32" i="6"/>
  <c r="X93" i="43"/>
  <c r="V63" i="45"/>
  <c r="AX37" i="43"/>
  <c r="AH41" i="45"/>
  <c r="W20" i="43"/>
  <c r="X86" i="45"/>
  <c r="X132" i="43"/>
  <c r="D88" i="43"/>
  <c r="AW27" i="45"/>
  <c r="W94" i="44"/>
  <c r="AW24" i="44"/>
  <c r="H71" i="6"/>
  <c r="V40" i="6"/>
  <c r="X39" i="43"/>
  <c r="AI150" i="6"/>
  <c r="X36" i="44"/>
  <c r="AG20" i="44"/>
  <c r="H39" i="6"/>
  <c r="X120" i="43"/>
  <c r="W105" i="44"/>
  <c r="G49" i="43"/>
  <c r="H57" i="6"/>
  <c r="AH15" i="44"/>
  <c r="E103" i="6"/>
  <c r="AH37" i="43"/>
  <c r="G15" i="6"/>
  <c r="W35" i="6"/>
  <c r="H56" i="6"/>
  <c r="X108" i="43"/>
  <c r="W73" i="44"/>
  <c r="AX42" i="6"/>
  <c r="AI30" i="45"/>
  <c r="AF24" i="45"/>
  <c r="G64" i="45"/>
  <c r="D58" i="6"/>
  <c r="E73" i="45"/>
  <c r="V42" i="45"/>
  <c r="AD38" i="6"/>
  <c r="V66" i="6"/>
  <c r="H25" i="44"/>
  <c r="E41" i="43"/>
  <c r="F35" i="6"/>
  <c r="AY19" i="6"/>
  <c r="D158" i="6"/>
  <c r="H39" i="45"/>
  <c r="AI29" i="6"/>
  <c r="W23" i="43"/>
  <c r="C177" i="43"/>
  <c r="W120" i="43"/>
  <c r="W130" i="45"/>
  <c r="G111" i="45"/>
  <c r="AE22" i="45"/>
  <c r="W68" i="6"/>
  <c r="X127" i="45"/>
  <c r="C124" i="44"/>
  <c r="E42" i="6"/>
  <c r="AI140" i="44"/>
  <c r="W28" i="6"/>
  <c r="D38" i="45"/>
  <c r="V23" i="45"/>
  <c r="F111" i="43"/>
  <c r="C152" i="45"/>
  <c r="V66" i="44"/>
  <c r="AX42" i="43"/>
  <c r="W34" i="44"/>
  <c r="H169" i="45"/>
  <c r="X42" i="43"/>
  <c r="X31" i="45"/>
  <c r="X102" i="6"/>
  <c r="X122" i="45"/>
  <c r="W72" i="43"/>
  <c r="E41" i="6"/>
  <c r="V63" i="6"/>
  <c r="G94" i="43"/>
  <c r="X69" i="45"/>
  <c r="V102" i="45"/>
  <c r="X43" i="6"/>
  <c r="W16" i="44"/>
  <c r="AH159" i="45"/>
  <c r="AY24" i="6"/>
  <c r="X40" i="6"/>
  <c r="W83" i="6"/>
  <c r="AH155" i="6"/>
  <c r="W129" i="45"/>
  <c r="F128" i="44"/>
  <c r="V121" i="6"/>
  <c r="X126" i="43"/>
  <c r="AE25" i="43"/>
  <c r="C28" i="6"/>
  <c r="AY40" i="45"/>
  <c r="V76" i="45"/>
  <c r="AI35" i="45"/>
  <c r="W111" i="6"/>
  <c r="AH40" i="45"/>
  <c r="F28" i="44"/>
  <c r="G80" i="44"/>
  <c r="AD162" i="45"/>
  <c r="AG162" i="6"/>
  <c r="D97" i="44"/>
  <c r="F84" i="43"/>
  <c r="D76" i="43"/>
  <c r="V26" i="6"/>
  <c r="G25" i="6"/>
  <c r="AE40" i="43"/>
  <c r="W59" i="44"/>
  <c r="D20" i="44"/>
  <c r="E123" i="45"/>
  <c r="F111" i="44"/>
  <c r="E76" i="43"/>
  <c r="D74" i="45"/>
  <c r="H58" i="44"/>
  <c r="D73" i="6"/>
  <c r="G107" i="45"/>
  <c r="X124" i="44"/>
  <c r="X128" i="44"/>
  <c r="V104" i="43"/>
  <c r="AF157" i="43"/>
  <c r="G28" i="6"/>
  <c r="AE15" i="45"/>
  <c r="V20" i="44"/>
  <c r="AG24" i="45"/>
  <c r="X65" i="6"/>
  <c r="AW16" i="43"/>
  <c r="X28" i="44"/>
  <c r="F100" i="45"/>
  <c r="AG152" i="45"/>
  <c r="W60" i="45"/>
  <c r="H74" i="43"/>
  <c r="AG140" i="43"/>
  <c r="X133" i="43"/>
  <c r="X81" i="44"/>
  <c r="AG32" i="6"/>
  <c r="D25" i="6"/>
  <c r="AH42" i="6"/>
  <c r="H68" i="43"/>
  <c r="X18" i="43"/>
  <c r="X113" i="44"/>
  <c r="E89" i="6"/>
  <c r="X62" i="44"/>
  <c r="V103" i="44"/>
  <c r="AW34" i="6"/>
  <c r="H111" i="43"/>
  <c r="AE151" i="44"/>
  <c r="F56" i="45"/>
  <c r="F67" i="44"/>
  <c r="AX30" i="44"/>
  <c r="X130" i="6"/>
  <c r="X124" i="45"/>
  <c r="AG15" i="45"/>
  <c r="E105" i="43"/>
  <c r="G19" i="44"/>
  <c r="X98" i="6"/>
  <c r="G102" i="44"/>
  <c r="X132" i="6"/>
  <c r="F178" i="6"/>
  <c r="AI17" i="6"/>
  <c r="E178" i="6"/>
  <c r="D42" i="44"/>
  <c r="W67" i="44"/>
  <c r="E42" i="44"/>
  <c r="X33" i="45"/>
  <c r="W59" i="43"/>
  <c r="C66" i="43"/>
  <c r="AX40" i="44"/>
  <c r="W18" i="45"/>
  <c r="W74" i="6"/>
  <c r="F132" i="43"/>
  <c r="X22" i="6"/>
  <c r="AE21" i="43"/>
  <c r="D126" i="43"/>
  <c r="AW34" i="43"/>
  <c r="D95" i="44"/>
  <c r="W63" i="44"/>
  <c r="E107" i="45"/>
  <c r="AD33" i="44"/>
  <c r="AW31" i="44"/>
  <c r="G161" i="43"/>
  <c r="H93" i="44"/>
  <c r="C140" i="6"/>
  <c r="W86" i="44"/>
  <c r="C123" i="43"/>
  <c r="D96" i="45"/>
  <c r="G132" i="45"/>
  <c r="X32" i="6"/>
  <c r="W27" i="43"/>
  <c r="X60" i="6"/>
  <c r="F169" i="43"/>
  <c r="E64" i="6"/>
  <c r="AH35" i="45"/>
  <c r="AG33" i="43"/>
  <c r="D101" i="44"/>
  <c r="H72" i="45"/>
  <c r="AI41" i="6"/>
  <c r="V42" i="6"/>
  <c r="AG49" i="44"/>
  <c r="V61" i="45"/>
  <c r="AG159" i="6"/>
  <c r="AX26" i="43"/>
  <c r="F82" i="45"/>
  <c r="V106" i="43"/>
  <c r="AI31" i="43"/>
  <c r="F111" i="45"/>
  <c r="V105" i="6"/>
  <c r="AF36" i="6"/>
  <c r="G92" i="44"/>
  <c r="W87" i="45"/>
  <c r="AW18" i="44"/>
  <c r="H101" i="45"/>
  <c r="AH49" i="43"/>
  <c r="H25" i="6"/>
  <c r="V23" i="6"/>
  <c r="D20" i="43"/>
  <c r="D152" i="45"/>
  <c r="F67" i="6"/>
  <c r="AW43" i="45"/>
  <c r="AF29" i="6"/>
  <c r="V60" i="6"/>
  <c r="AD153" i="45"/>
  <c r="E128" i="43"/>
  <c r="AE23" i="45"/>
  <c r="AI28" i="45"/>
  <c r="C123" i="6"/>
  <c r="AD15" i="45"/>
  <c r="AD149" i="44"/>
  <c r="F29" i="45"/>
  <c r="E132" i="43"/>
  <c r="E21" i="43"/>
  <c r="F21" i="43"/>
  <c r="D43" i="6"/>
  <c r="V39" i="43"/>
  <c r="AE17" i="6"/>
  <c r="W72" i="44"/>
  <c r="AW21" i="44"/>
  <c r="F83" i="6"/>
  <c r="W40" i="43"/>
  <c r="F153" i="6"/>
  <c r="D152" i="44"/>
  <c r="W70" i="6"/>
  <c r="X37" i="6"/>
  <c r="V25" i="44"/>
  <c r="E33" i="43"/>
  <c r="AH162" i="45"/>
  <c r="X120" i="45"/>
  <c r="E18" i="44"/>
  <c r="C110" i="43"/>
  <c r="H111" i="6"/>
  <c r="X57" i="45"/>
  <c r="E123" i="44"/>
  <c r="D26" i="43"/>
  <c r="W94" i="43"/>
  <c r="V92" i="45"/>
  <c r="AD151" i="6"/>
  <c r="D20" i="6"/>
  <c r="V127" i="45"/>
  <c r="D58" i="43"/>
  <c r="V89" i="43"/>
  <c r="X67" i="45"/>
  <c r="F155" i="43"/>
  <c r="F130" i="45"/>
  <c r="W41" i="43"/>
  <c r="W131" i="6"/>
  <c r="AX40" i="6"/>
  <c r="F155" i="6"/>
  <c r="AF160" i="43"/>
  <c r="AI35" i="6"/>
  <c r="E162" i="45"/>
  <c r="AH32" i="44"/>
  <c r="AY34" i="45"/>
  <c r="E85" i="6"/>
  <c r="AW42" i="43"/>
  <c r="E78" i="45"/>
  <c r="AE159" i="6"/>
  <c r="G127" i="43"/>
  <c r="C56" i="6"/>
  <c r="W42" i="43"/>
  <c r="G131" i="6"/>
  <c r="V131" i="44"/>
  <c r="AG23" i="43"/>
  <c r="D41" i="45"/>
  <c r="W89" i="44"/>
  <c r="E90" i="43"/>
  <c r="F41" i="44"/>
  <c r="D73" i="45"/>
  <c r="AG21" i="44"/>
  <c r="E104" i="43"/>
  <c r="E27" i="44"/>
  <c r="V90" i="6"/>
  <c r="D26" i="45"/>
  <c r="AG141" i="43"/>
  <c r="E38" i="43"/>
  <c r="AF19" i="6"/>
  <c r="V87" i="44"/>
  <c r="W22" i="45"/>
  <c r="D57" i="44"/>
  <c r="C178" i="44"/>
  <c r="AW18" i="45"/>
  <c r="D40" i="44"/>
  <c r="AX33" i="6"/>
  <c r="AE18" i="6"/>
  <c r="E93" i="45"/>
  <c r="W23" i="6"/>
  <c r="D178" i="43"/>
  <c r="AY18" i="43"/>
  <c r="AX16" i="45"/>
  <c r="V71" i="44"/>
  <c r="W109" i="44"/>
  <c r="E49" i="44"/>
  <c r="D125" i="6"/>
  <c r="AE156" i="6"/>
  <c r="X39" i="45"/>
  <c r="V61" i="43"/>
  <c r="X59" i="45"/>
  <c r="W107" i="44"/>
  <c r="AY27" i="44"/>
  <c r="V59" i="6"/>
  <c r="D100" i="6"/>
  <c r="V38" i="45"/>
  <c r="W107" i="45"/>
  <c r="AE25" i="6"/>
  <c r="AH49" i="6"/>
  <c r="X34" i="44"/>
  <c r="F88" i="6"/>
  <c r="AH29" i="45"/>
  <c r="H49" i="45"/>
  <c r="AY24" i="43"/>
  <c r="X77" i="44"/>
  <c r="H129" i="43"/>
  <c r="AG18" i="45"/>
  <c r="H80" i="43"/>
  <c r="H60" i="6"/>
  <c r="AH20" i="44"/>
  <c r="AX22" i="44"/>
  <c r="AW28" i="6"/>
  <c r="AE140" i="44"/>
  <c r="AE43" i="6"/>
  <c r="X33" i="6"/>
  <c r="X94" i="43"/>
  <c r="AF152" i="6"/>
  <c r="E103" i="43"/>
  <c r="C38" i="45"/>
  <c r="X42" i="6"/>
  <c r="H113" i="6"/>
  <c r="AI27" i="6"/>
  <c r="W21" i="45"/>
  <c r="AF31" i="45"/>
  <c r="D38" i="6"/>
  <c r="V61" i="44"/>
  <c r="V122" i="6"/>
  <c r="G113" i="6"/>
  <c r="E63" i="6"/>
  <c r="W111" i="45"/>
  <c r="C40" i="44"/>
  <c r="X126" i="45"/>
  <c r="C70" i="44"/>
  <c r="E127" i="43"/>
  <c r="AY20" i="43"/>
  <c r="D15" i="43"/>
  <c r="W102" i="45"/>
  <c r="E22" i="44"/>
  <c r="H74" i="44"/>
  <c r="AD35" i="44"/>
  <c r="C24" i="44"/>
  <c r="F92" i="45"/>
  <c r="X98" i="44"/>
  <c r="D31" i="44"/>
  <c r="W128" i="43"/>
  <c r="C36" i="44"/>
  <c r="F68" i="45"/>
  <c r="C57" i="6"/>
  <c r="F104" i="6"/>
  <c r="AG150" i="43"/>
  <c r="G105" i="6"/>
  <c r="E126" i="45"/>
  <c r="W96" i="44"/>
  <c r="H30" i="45"/>
  <c r="E67" i="44"/>
  <c r="W62" i="44"/>
  <c r="V121" i="44"/>
  <c r="C37" i="45"/>
  <c r="E34" i="6"/>
  <c r="AE154" i="6"/>
  <c r="E152" i="43"/>
  <c r="D78" i="45"/>
  <c r="AD34" i="43"/>
  <c r="D96" i="44"/>
  <c r="F59" i="45"/>
  <c r="D155" i="44"/>
  <c r="F102" i="45"/>
  <c r="D109" i="44"/>
  <c r="F16" i="6"/>
  <c r="AD150" i="6"/>
  <c r="G85" i="45"/>
  <c r="D29" i="6"/>
  <c r="F130" i="6"/>
  <c r="V84" i="44"/>
  <c r="C32" i="6"/>
  <c r="F177" i="43"/>
  <c r="V124" i="44"/>
  <c r="H99" i="44"/>
  <c r="X68" i="44"/>
  <c r="AH154" i="6"/>
  <c r="AI49" i="43"/>
  <c r="AE141" i="45"/>
  <c r="E86" i="45"/>
  <c r="D22" i="44"/>
  <c r="W108" i="45"/>
  <c r="AH35" i="43"/>
  <c r="C101" i="45"/>
  <c r="W62" i="6"/>
  <c r="D26" i="6"/>
  <c r="E20" i="44"/>
  <c r="G120" i="6"/>
  <c r="C74" i="45"/>
  <c r="C149" i="43"/>
  <c r="D157" i="43"/>
  <c r="V104" i="44"/>
  <c r="AI30" i="6"/>
  <c r="F158" i="44"/>
  <c r="V123" i="44"/>
  <c r="F95" i="6"/>
  <c r="AD154" i="45"/>
  <c r="AF41" i="45"/>
  <c r="AI40" i="44"/>
  <c r="D27" i="43"/>
  <c r="C102" i="45"/>
  <c r="E125" i="43"/>
  <c r="X22" i="45"/>
  <c r="W85" i="43"/>
  <c r="C151" i="43"/>
  <c r="AG27" i="43"/>
  <c r="W124" i="43"/>
  <c r="X16" i="45"/>
  <c r="H89" i="43"/>
  <c r="G91" i="6"/>
  <c r="F77" i="45"/>
  <c r="AH153" i="6"/>
  <c r="G35" i="43"/>
  <c r="AX32" i="44"/>
  <c r="G33" i="43"/>
  <c r="D42" i="45"/>
  <c r="G29" i="6"/>
  <c r="E98" i="44"/>
  <c r="C19" i="44"/>
  <c r="X123" i="43"/>
  <c r="E27" i="43"/>
  <c r="F94" i="43"/>
  <c r="V20" i="6"/>
  <c r="C37" i="43"/>
  <c r="AH39" i="6"/>
  <c r="AD43" i="45"/>
  <c r="H151" i="43"/>
  <c r="H74" i="45"/>
  <c r="G23" i="45"/>
  <c r="AH161" i="43"/>
  <c r="D24" i="45"/>
  <c r="W124" i="6"/>
  <c r="G121" i="43"/>
  <c r="F38" i="43"/>
  <c r="V29" i="45"/>
  <c r="W69" i="44"/>
  <c r="C32" i="45"/>
  <c r="W89" i="6"/>
  <c r="AW23" i="45"/>
  <c r="X88" i="44"/>
  <c r="G79" i="43"/>
  <c r="X26" i="44"/>
  <c r="W108" i="43"/>
  <c r="AE20" i="6"/>
  <c r="AX17" i="6"/>
  <c r="C39" i="6"/>
  <c r="C90" i="43"/>
  <c r="E15" i="6"/>
  <c r="F68" i="44"/>
  <c r="AH29" i="6"/>
  <c r="D23" i="44"/>
  <c r="V41" i="6"/>
  <c r="V108" i="6"/>
  <c r="H37" i="43"/>
  <c r="AW38" i="6"/>
  <c r="V16" i="6"/>
  <c r="AI155" i="45"/>
  <c r="AG15" i="43"/>
  <c r="G98" i="45"/>
  <c r="AY40" i="6"/>
  <c r="E125" i="45"/>
  <c r="C125" i="6"/>
  <c r="AI20" i="44"/>
  <c r="AW31" i="6"/>
  <c r="W129" i="43"/>
  <c r="V133" i="6"/>
  <c r="AG39" i="6"/>
  <c r="H67" i="6"/>
  <c r="AI140" i="43"/>
  <c r="E130" i="6"/>
  <c r="G85" i="6"/>
  <c r="G178" i="43"/>
  <c r="X122" i="43"/>
  <c r="F15" i="43"/>
  <c r="AX32" i="6"/>
  <c r="E103" i="44"/>
  <c r="V81" i="6"/>
  <c r="F85" i="45"/>
  <c r="AX36" i="44"/>
  <c r="F112" i="44"/>
  <c r="AF34" i="45"/>
  <c r="X82" i="6"/>
  <c r="AW41" i="45"/>
  <c r="W23" i="45"/>
  <c r="AF150" i="44"/>
  <c r="D82" i="43"/>
  <c r="C36" i="45"/>
  <c r="V23" i="43"/>
  <c r="X42" i="44"/>
  <c r="AI155" i="6"/>
  <c r="AX27" i="45"/>
  <c r="AF25" i="6"/>
  <c r="V16" i="45"/>
  <c r="V74" i="6"/>
  <c r="AH37" i="45"/>
  <c r="AH141" i="45"/>
  <c r="AY22" i="44"/>
  <c r="C84" i="44"/>
  <c r="AH34" i="45"/>
  <c r="D65" i="43"/>
  <c r="W61" i="6"/>
  <c r="C77" i="6"/>
  <c r="C124" i="6"/>
  <c r="AE40" i="44"/>
  <c r="AF162" i="45"/>
  <c r="C38" i="6"/>
  <c r="F49" i="6"/>
  <c r="W82" i="6"/>
  <c r="G113" i="44"/>
  <c r="AG36" i="6"/>
  <c r="AY39" i="44"/>
  <c r="X65" i="43"/>
  <c r="H15" i="45"/>
  <c r="G27" i="45"/>
  <c r="X110" i="6"/>
  <c r="W41" i="44"/>
  <c r="AF16" i="6"/>
  <c r="AD20" i="6"/>
  <c r="AE42" i="6"/>
  <c r="F34" i="43"/>
  <c r="W94" i="6"/>
  <c r="AD49" i="43"/>
  <c r="AY38" i="44"/>
  <c r="E153" i="44"/>
  <c r="L8" i="43"/>
  <c r="AW39" i="43"/>
  <c r="AG41" i="6"/>
  <c r="W122" i="6"/>
  <c r="AE160" i="44"/>
  <c r="V21" i="6"/>
  <c r="AY31" i="44"/>
  <c r="AY19" i="43"/>
  <c r="X64" i="45"/>
  <c r="AX27" i="44"/>
  <c r="V131" i="6"/>
  <c r="AY26" i="6"/>
  <c r="W82" i="45"/>
  <c r="V84" i="45"/>
  <c r="D126" i="6"/>
  <c r="H178" i="44"/>
  <c r="F39" i="6"/>
  <c r="AG155" i="45"/>
  <c r="AW16" i="44"/>
  <c r="F15" i="44"/>
  <c r="G39" i="44"/>
  <c r="F35" i="43"/>
  <c r="E68" i="45"/>
  <c r="C169" i="44"/>
  <c r="E38" i="45"/>
  <c r="C90" i="6"/>
  <c r="AG22" i="44"/>
  <c r="D105" i="45"/>
  <c r="G125" i="45"/>
  <c r="D99" i="45"/>
  <c r="H98" i="43"/>
  <c r="AG157" i="45"/>
  <c r="C153" i="6"/>
  <c r="AW28" i="44"/>
  <c r="AX37" i="44"/>
  <c r="AE153" i="6"/>
  <c r="AF154" i="44"/>
  <c r="D82" i="45"/>
  <c r="E120" i="6"/>
  <c r="V108" i="44"/>
  <c r="AH30" i="44"/>
  <c r="X96" i="45"/>
  <c r="F94" i="44"/>
  <c r="AF153" i="6"/>
  <c r="AI27" i="43"/>
  <c r="D94" i="45"/>
  <c r="C132" i="43"/>
  <c r="H35" i="44"/>
  <c r="H111" i="45"/>
  <c r="G21" i="6"/>
  <c r="F120" i="45"/>
  <c r="V24" i="43"/>
  <c r="AY28" i="45"/>
  <c r="AF38" i="6"/>
  <c r="AF154" i="6"/>
  <c r="G103" i="44"/>
  <c r="E83" i="43"/>
  <c r="AG156" i="6"/>
  <c r="G99" i="6"/>
  <c r="F70" i="6"/>
  <c r="X17" i="43"/>
  <c r="E133" i="44"/>
  <c r="G160" i="43"/>
  <c r="X97" i="45"/>
  <c r="G90" i="45"/>
  <c r="AG30" i="43"/>
  <c r="AG151" i="6"/>
  <c r="V99" i="6"/>
  <c r="AG31" i="44"/>
  <c r="X79" i="6"/>
  <c r="G102" i="6"/>
  <c r="AH43" i="45"/>
  <c r="E76" i="45"/>
  <c r="AD18" i="6"/>
  <c r="H74" i="6"/>
  <c r="F123" i="45"/>
  <c r="W67" i="45"/>
  <c r="AI140" i="45"/>
  <c r="E58" i="44"/>
  <c r="AE39" i="6"/>
  <c r="AH37" i="44"/>
  <c r="AF150" i="6"/>
  <c r="C16" i="44"/>
  <c r="AD28" i="43"/>
  <c r="V109" i="6"/>
  <c r="AW36" i="6"/>
  <c r="E39" i="44"/>
  <c r="E69" i="6"/>
  <c r="F24" i="44"/>
  <c r="AE155" i="6"/>
  <c r="F91" i="45"/>
  <c r="AI29" i="44"/>
  <c r="AE36" i="45"/>
  <c r="AY38" i="6"/>
  <c r="V43" i="45"/>
  <c r="G131" i="44"/>
  <c r="X85" i="43"/>
  <c r="AE21" i="6"/>
  <c r="W89" i="45"/>
  <c r="V132" i="6"/>
  <c r="G36" i="43"/>
  <c r="AX33" i="45"/>
  <c r="H19" i="44"/>
  <c r="C60" i="45"/>
  <c r="H49" i="44"/>
  <c r="V111" i="45"/>
  <c r="V96" i="6"/>
  <c r="C17" i="45"/>
  <c r="AG30" i="45"/>
  <c r="W65" i="44"/>
  <c r="AE26" i="6"/>
  <c r="W131" i="43"/>
  <c r="F109" i="43"/>
  <c r="X61" i="6"/>
  <c r="X35" i="43"/>
  <c r="AY36" i="44"/>
  <c r="V83" i="44"/>
  <c r="E79" i="43"/>
  <c r="W69" i="6"/>
  <c r="V101" i="6"/>
  <c r="G153" i="6"/>
  <c r="F111" i="6"/>
  <c r="H18" i="45"/>
  <c r="X121" i="6"/>
  <c r="AF40" i="43"/>
  <c r="AD35" i="6"/>
  <c r="V83" i="45"/>
  <c r="C158" i="6"/>
  <c r="F64" i="6"/>
  <c r="W27" i="6"/>
  <c r="AX19" i="6"/>
  <c r="H28" i="43"/>
  <c r="W95" i="45"/>
  <c r="X89" i="45"/>
  <c r="H58" i="45"/>
  <c r="W120" i="45"/>
  <c r="V68" i="44"/>
  <c r="V22" i="43"/>
  <c r="G56" i="6"/>
  <c r="D30" i="6"/>
  <c r="G40" i="43"/>
  <c r="AE159" i="44"/>
  <c r="V113" i="6"/>
  <c r="F177" i="45"/>
  <c r="AE36" i="44"/>
  <c r="X73" i="6"/>
  <c r="X64" i="43"/>
  <c r="D33" i="44"/>
  <c r="AD41" i="43"/>
  <c r="E149" i="44"/>
  <c r="V113" i="44"/>
  <c r="AG161" i="44"/>
  <c r="F20" i="43"/>
  <c r="AX35" i="6"/>
  <c r="AY23" i="43"/>
  <c r="C31" i="6"/>
  <c r="F78" i="44"/>
  <c r="F125" i="44"/>
  <c r="F122" i="6"/>
  <c r="C93" i="6"/>
  <c r="AE149" i="45"/>
  <c r="AD149" i="6"/>
  <c r="V123" i="45"/>
  <c r="E113" i="44"/>
  <c r="AF17" i="6"/>
  <c r="D64" i="45"/>
  <c r="X99" i="6"/>
  <c r="AI41" i="45"/>
  <c r="AF27" i="44"/>
  <c r="E121" i="44"/>
  <c r="AW18" i="6"/>
  <c r="V66" i="43"/>
  <c r="V102" i="6"/>
  <c r="F77" i="6"/>
  <c r="X109" i="43"/>
  <c r="G38" i="44"/>
  <c r="C71" i="43"/>
  <c r="F127" i="44"/>
  <c r="V65" i="6"/>
  <c r="V35" i="43"/>
  <c r="AG156" i="43"/>
  <c r="AH40" i="44"/>
  <c r="H22" i="43"/>
  <c r="V25" i="6"/>
  <c r="AH15" i="6"/>
  <c r="AI28" i="43"/>
  <c r="G49" i="6"/>
  <c r="D56" i="6"/>
  <c r="AG31" i="43"/>
  <c r="W91" i="43"/>
  <c r="C19" i="6"/>
  <c r="G104" i="44"/>
  <c r="V42" i="43"/>
  <c r="G39" i="43"/>
  <c r="E105" i="6"/>
  <c r="AW22" i="43"/>
  <c r="H121" i="44"/>
  <c r="AY35" i="44"/>
  <c r="W105" i="45"/>
  <c r="V102" i="43"/>
  <c r="D64" i="6"/>
  <c r="AH43" i="6"/>
  <c r="AI157" i="6"/>
  <c r="X105" i="6"/>
  <c r="AH22" i="6"/>
  <c r="V67" i="43"/>
  <c r="X87" i="6"/>
  <c r="E84" i="44"/>
  <c r="AI20" i="45"/>
  <c r="AW43" i="6"/>
  <c r="F42" i="45"/>
  <c r="E17" i="6"/>
  <c r="F87" i="45"/>
  <c r="AX22" i="43"/>
  <c r="AX29" i="6"/>
  <c r="AI141" i="45"/>
  <c r="G87" i="6"/>
  <c r="D36" i="6"/>
  <c r="AX22" i="6"/>
  <c r="C43" i="43"/>
  <c r="D38" i="43"/>
  <c r="W25" i="43"/>
  <c r="AX43" i="43"/>
  <c r="V32" i="45"/>
  <c r="E66" i="45"/>
  <c r="F109" i="6"/>
  <c r="H41" i="44"/>
  <c r="AD157" i="45"/>
  <c r="E105" i="44"/>
  <c r="H75" i="45"/>
  <c r="H94" i="44"/>
  <c r="G126" i="44"/>
  <c r="H151" i="6"/>
  <c r="C34" i="45"/>
  <c r="AW25" i="6"/>
  <c r="D80" i="43"/>
  <c r="E131" i="43"/>
  <c r="V69" i="45"/>
  <c r="H38" i="43"/>
  <c r="G73" i="6"/>
  <c r="X107" i="43"/>
  <c r="W80" i="6"/>
  <c r="F23" i="45"/>
  <c r="V101" i="45"/>
  <c r="AE161" i="6"/>
  <c r="C68" i="45"/>
  <c r="AI152" i="43"/>
  <c r="F41" i="45"/>
  <c r="H77" i="43"/>
  <c r="W20" i="45"/>
  <c r="V122" i="45"/>
  <c r="X70" i="44"/>
  <c r="V112" i="45"/>
  <c r="D132" i="44"/>
  <c r="X103" i="43"/>
  <c r="G75" i="43"/>
  <c r="D76" i="44"/>
  <c r="AD152" i="45"/>
  <c r="W111" i="43"/>
  <c r="AF32" i="43"/>
  <c r="F39" i="43"/>
  <c r="AH23" i="44"/>
  <c r="E60" i="43"/>
  <c r="H93" i="43"/>
  <c r="AW19" i="45"/>
  <c r="X43" i="45"/>
  <c r="X41" i="45"/>
  <c r="AI36" i="43"/>
  <c r="X88" i="6"/>
  <c r="AX23" i="43"/>
  <c r="V87" i="45"/>
  <c r="AE155" i="43"/>
  <c r="E75" i="6"/>
  <c r="AI156" i="44"/>
  <c r="V98" i="45"/>
  <c r="F19" i="6"/>
  <c r="AI153" i="43"/>
  <c r="AW20" i="44"/>
  <c r="AE34" i="44"/>
  <c r="C178" i="6"/>
  <c r="X19" i="43"/>
  <c r="G31" i="43"/>
  <c r="W60" i="6"/>
  <c r="F126" i="6"/>
  <c r="AW40" i="6"/>
  <c r="V30" i="44"/>
  <c r="H36" i="6"/>
  <c r="AG39" i="44"/>
  <c r="F78" i="45"/>
  <c r="X82" i="43"/>
  <c r="E23" i="44"/>
  <c r="AG152" i="6"/>
  <c r="E74" i="6"/>
  <c r="X42" i="45"/>
  <c r="X121" i="44"/>
  <c r="F121" i="43"/>
  <c r="F85" i="43"/>
  <c r="W71" i="43"/>
  <c r="G64" i="44"/>
  <c r="W106" i="43"/>
  <c r="AH22" i="43"/>
  <c r="H105" i="44"/>
  <c r="V112" i="44"/>
  <c r="AI43" i="43"/>
  <c r="AW16" i="6"/>
  <c r="V126" i="45"/>
  <c r="AE140" i="6"/>
  <c r="X133" i="6"/>
  <c r="AY40" i="44"/>
  <c r="AG25" i="43"/>
  <c r="AH33" i="6"/>
  <c r="G129" i="44"/>
  <c r="AH141" i="6"/>
  <c r="AG158" i="44"/>
  <c r="W19" i="44"/>
  <c r="V82" i="44"/>
  <c r="G101" i="44"/>
  <c r="AF159" i="43"/>
  <c r="W85" i="44"/>
  <c r="AG41" i="44"/>
  <c r="H28" i="45"/>
  <c r="AE154" i="45"/>
  <c r="C42" i="45"/>
  <c r="G16" i="44"/>
  <c r="D27" i="45"/>
  <c r="V70" i="44"/>
  <c r="D109" i="45"/>
  <c r="X126" i="44"/>
  <c r="AW34" i="45"/>
  <c r="V127" i="44"/>
  <c r="F39" i="45"/>
  <c r="AF29" i="43"/>
  <c r="AI161" i="43"/>
  <c r="W62" i="43"/>
  <c r="D125" i="43"/>
  <c r="F63" i="6"/>
  <c r="D103" i="6"/>
  <c r="D41" i="43"/>
  <c r="AE15" i="44"/>
  <c r="W132" i="45"/>
  <c r="AH37" i="6"/>
  <c r="AG37" i="6"/>
  <c r="E155" i="44"/>
  <c r="E75" i="43"/>
  <c r="C62" i="45"/>
  <c r="X112" i="43"/>
  <c r="AH19" i="45"/>
  <c r="AH159" i="6"/>
  <c r="G126" i="43"/>
  <c r="AH159" i="44"/>
  <c r="H154" i="43"/>
  <c r="AM7" i="45"/>
  <c r="AI25" i="45"/>
  <c r="D98" i="43"/>
  <c r="D60" i="45"/>
  <c r="X31" i="44"/>
  <c r="C133" i="45"/>
  <c r="F131" i="45"/>
  <c r="AX29" i="45"/>
  <c r="AY29" i="44"/>
  <c r="G161" i="6"/>
  <c r="AI38" i="45"/>
  <c r="H23" i="6"/>
  <c r="AH18" i="44"/>
  <c r="AH149" i="6"/>
  <c r="X110" i="45"/>
  <c r="AD43" i="43"/>
  <c r="G109" i="44"/>
  <c r="G56" i="44"/>
  <c r="G74" i="6"/>
  <c r="AY24" i="45"/>
  <c r="AH161" i="44"/>
  <c r="E82" i="43"/>
  <c r="X107" i="44"/>
  <c r="V91" i="43"/>
  <c r="AG39" i="43"/>
  <c r="H155" i="43"/>
  <c r="V104" i="45"/>
  <c r="AM8" i="45"/>
  <c r="AH19" i="6"/>
  <c r="W74" i="43"/>
  <c r="H107" i="45"/>
  <c r="F161" i="45"/>
  <c r="X40" i="45"/>
  <c r="AX41" i="6"/>
  <c r="E37" i="6"/>
  <c r="W24" i="45"/>
  <c r="D154" i="44"/>
  <c r="G153" i="43"/>
  <c r="V72" i="43"/>
  <c r="AW42" i="6"/>
  <c r="X20" i="45"/>
  <c r="V21" i="44"/>
  <c r="C160" i="43"/>
  <c r="AI42" i="44"/>
  <c r="V112" i="6"/>
  <c r="V87" i="43"/>
  <c r="V37" i="6"/>
  <c r="AE159" i="45"/>
  <c r="AD18" i="45"/>
  <c r="AD150" i="44"/>
  <c r="W61" i="44"/>
  <c r="V94" i="45"/>
  <c r="V71" i="6"/>
  <c r="X16" i="43"/>
  <c r="W104" i="44"/>
  <c r="AG37" i="44"/>
  <c r="X72" i="6"/>
  <c r="G61" i="6"/>
  <c r="V95" i="43"/>
  <c r="AH42" i="44"/>
  <c r="G133" i="6"/>
  <c r="X18" i="44"/>
  <c r="C66" i="6"/>
  <c r="AY37" i="45"/>
  <c r="H102" i="6"/>
  <c r="F80" i="45"/>
  <c r="W130" i="6"/>
  <c r="D29" i="44"/>
  <c r="AI25" i="6"/>
  <c r="V76" i="6"/>
  <c r="AI49" i="6"/>
  <c r="AW28" i="45"/>
  <c r="C162" i="43"/>
  <c r="E62" i="43"/>
  <c r="AF21" i="6"/>
  <c r="X68" i="6"/>
  <c r="H99" i="6"/>
  <c r="W34" i="6"/>
  <c r="X132" i="45"/>
  <c r="AY25" i="43"/>
  <c r="AI153" i="44"/>
  <c r="AX29" i="43"/>
  <c r="D63" i="44"/>
  <c r="AG160" i="43"/>
  <c r="W121" i="44"/>
  <c r="V34" i="45"/>
  <c r="V82" i="43"/>
  <c r="AY33" i="44"/>
  <c r="AX39" i="44"/>
  <c r="H82" i="44"/>
  <c r="AF161" i="6"/>
  <c r="C59" i="43"/>
  <c r="D25" i="45"/>
  <c r="W38" i="43"/>
  <c r="W92" i="45"/>
  <c r="AH160" i="6"/>
  <c r="D71" i="45"/>
  <c r="F71" i="6"/>
  <c r="C89" i="44"/>
  <c r="E37" i="44"/>
  <c r="X81" i="45"/>
  <c r="AH25" i="44"/>
  <c r="W42" i="6"/>
  <c r="V24" i="6"/>
  <c r="AX40" i="45"/>
  <c r="X99" i="44"/>
  <c r="AI24" i="44"/>
  <c r="W64" i="44"/>
  <c r="AH38" i="6"/>
  <c r="AE43" i="43"/>
  <c r="E38" i="6"/>
  <c r="AG150" i="44"/>
  <c r="AW19" i="43"/>
  <c r="F43" i="43"/>
  <c r="G154" i="44"/>
  <c r="C161" i="6"/>
  <c r="C32" i="43"/>
  <c r="D110" i="44"/>
  <c r="X105" i="44"/>
  <c r="V81" i="45"/>
  <c r="C132" i="44"/>
  <c r="AY18" i="45"/>
  <c r="AW42" i="44"/>
  <c r="C21" i="6"/>
  <c r="AH40" i="6"/>
  <c r="H126" i="43"/>
  <c r="E71" i="44"/>
  <c r="X96" i="44"/>
  <c r="G26" i="44"/>
  <c r="H152" i="44"/>
  <c r="E36" i="45"/>
  <c r="W95" i="6"/>
  <c r="AD160" i="44"/>
  <c r="E83" i="6"/>
  <c r="X75" i="43"/>
  <c r="X76" i="45"/>
  <c r="V35" i="45"/>
  <c r="V28" i="6"/>
  <c r="W82" i="44"/>
  <c r="D122" i="44"/>
  <c r="D33" i="45"/>
  <c r="F62" i="43"/>
  <c r="E120" i="43"/>
  <c r="H41" i="6"/>
  <c r="H88" i="6"/>
  <c r="F82" i="43"/>
  <c r="E77" i="44"/>
  <c r="AX43" i="44"/>
  <c r="X105" i="45"/>
  <c r="H29" i="44"/>
  <c r="AY26" i="43"/>
  <c r="F56" i="43"/>
  <c r="E77" i="45"/>
  <c r="D56" i="43"/>
  <c r="C154" i="43"/>
  <c r="X41" i="44"/>
  <c r="H42" i="6"/>
  <c r="C72" i="43"/>
  <c r="V127" i="6"/>
  <c r="D156" i="45"/>
  <c r="G42" i="43"/>
  <c r="W26" i="6"/>
  <c r="W40" i="6"/>
  <c r="W59" i="6"/>
  <c r="F25" i="6"/>
  <c r="E43" i="44"/>
  <c r="AI22" i="6"/>
  <c r="AX31" i="6"/>
  <c r="F108" i="6"/>
  <c r="W98" i="43"/>
  <c r="W113" i="43"/>
  <c r="AD22" i="44"/>
  <c r="H37" i="45"/>
  <c r="C35" i="44"/>
  <c r="F153" i="43"/>
  <c r="E35" i="44"/>
  <c r="AF49" i="43"/>
  <c r="AD49" i="44"/>
  <c r="C126" i="6"/>
  <c r="X112" i="44"/>
  <c r="C56" i="44"/>
  <c r="AH18" i="43"/>
  <c r="F30" i="44"/>
  <c r="E69" i="43"/>
  <c r="AF20" i="43"/>
  <c r="D123" i="44"/>
  <c r="E149" i="45"/>
  <c r="C125" i="43"/>
  <c r="C35" i="45"/>
  <c r="E151" i="45"/>
  <c r="C109" i="45"/>
  <c r="X66" i="45"/>
  <c r="AX26" i="6"/>
  <c r="AX43" i="45"/>
  <c r="AE30" i="6"/>
  <c r="C122" i="44"/>
  <c r="X19" i="45"/>
  <c r="H41" i="45"/>
  <c r="AF15" i="44"/>
  <c r="W37" i="43"/>
  <c r="H70" i="45"/>
  <c r="D128" i="6"/>
  <c r="AI32" i="43"/>
  <c r="C61" i="43"/>
  <c r="F20" i="45"/>
  <c r="C70" i="45"/>
  <c r="V30" i="43"/>
  <c r="V98" i="6"/>
  <c r="X101" i="45"/>
  <c r="H157" i="43"/>
  <c r="L8" i="44"/>
  <c r="F89" i="43"/>
  <c r="W123" i="43"/>
  <c r="W58" i="44"/>
  <c r="X80" i="6"/>
  <c r="AY29" i="45"/>
  <c r="W101" i="45"/>
  <c r="X75" i="45"/>
  <c r="X132" i="44"/>
  <c r="E63" i="43"/>
  <c r="D129" i="45"/>
  <c r="F132" i="44"/>
  <c r="H95" i="44"/>
  <c r="D157" i="45"/>
  <c r="H86" i="6"/>
  <c r="X88" i="43"/>
  <c r="W101" i="6"/>
  <c r="C25" i="44"/>
  <c r="AH156" i="6"/>
  <c r="E86" i="6"/>
  <c r="V40" i="43"/>
  <c r="V92" i="6"/>
  <c r="E96" i="45"/>
  <c r="G19" i="6"/>
  <c r="H130" i="6"/>
  <c r="W69" i="45"/>
  <c r="AG26" i="44"/>
  <c r="AE15" i="6"/>
  <c r="H59" i="44"/>
  <c r="AG159" i="44"/>
  <c r="W80" i="44"/>
  <c r="G105" i="43"/>
  <c r="AX24" i="45"/>
  <c r="AH159" i="43"/>
  <c r="AY43" i="44"/>
  <c r="F75" i="6"/>
  <c r="E40" i="45"/>
  <c r="AX20" i="43"/>
  <c r="AD152" i="6"/>
  <c r="AI39" i="44"/>
  <c r="X70" i="43"/>
  <c r="AI19" i="6"/>
  <c r="AW31" i="45"/>
  <c r="D65" i="6"/>
  <c r="W125" i="45"/>
  <c r="W16" i="45"/>
  <c r="E96" i="44"/>
  <c r="AD35" i="43"/>
  <c r="AY17" i="45"/>
  <c r="F60" i="45"/>
  <c r="X29" i="44"/>
  <c r="W112" i="6"/>
  <c r="H124" i="45"/>
  <c r="C112" i="44"/>
  <c r="AW31" i="43"/>
  <c r="W102" i="6"/>
  <c r="C177" i="44"/>
  <c r="AI159" i="6"/>
  <c r="W39" i="6"/>
  <c r="AY31" i="6"/>
  <c r="X90" i="44"/>
  <c r="AG26" i="6"/>
  <c r="F20" i="6"/>
  <c r="X63" i="6"/>
  <c r="W76" i="45"/>
  <c r="E129" i="6"/>
  <c r="W93" i="43"/>
  <c r="X34" i="45"/>
  <c r="AF151" i="6"/>
  <c r="W58" i="43"/>
  <c r="W87" i="43"/>
  <c r="C78" i="43"/>
  <c r="AG26" i="43"/>
  <c r="V61" i="6"/>
  <c r="AI141" i="43"/>
  <c r="C79" i="43"/>
  <c r="V107" i="6"/>
  <c r="E78" i="44"/>
  <c r="AX24" i="43"/>
  <c r="D17" i="6"/>
  <c r="AH16" i="43"/>
  <c r="AD27" i="43"/>
  <c r="V90" i="43"/>
  <c r="V106" i="6"/>
  <c r="AY20" i="45"/>
  <c r="X92" i="44"/>
  <c r="D67" i="44"/>
  <c r="V120" i="43"/>
  <c r="D66" i="6"/>
  <c r="X43" i="43"/>
  <c r="AI141" i="6"/>
  <c r="AF151" i="43"/>
  <c r="F112" i="45"/>
  <c r="AY21" i="43"/>
  <c r="G39" i="45"/>
  <c r="AW41" i="43"/>
  <c r="W26" i="43"/>
  <c r="D29" i="43"/>
  <c r="C92" i="44"/>
  <c r="D21" i="43"/>
  <c r="G150" i="6"/>
  <c r="AE161" i="43"/>
  <c r="AF25" i="44"/>
  <c r="W28" i="43"/>
  <c r="AH33" i="45"/>
  <c r="AG17" i="45"/>
  <c r="W23" i="44"/>
  <c r="D41" i="6"/>
  <c r="E178" i="45"/>
  <c r="D29" i="45"/>
  <c r="F151" i="44"/>
  <c r="C105" i="45"/>
  <c r="AE25" i="44"/>
  <c r="AH49" i="44"/>
  <c r="G72" i="45"/>
  <c r="H69" i="45"/>
  <c r="C38" i="44"/>
  <c r="F75" i="43"/>
  <c r="D24" i="6"/>
  <c r="W58" i="45"/>
  <c r="H149" i="6"/>
  <c r="W133" i="45"/>
  <c r="F36" i="43"/>
  <c r="E169" i="45"/>
  <c r="X26" i="45"/>
  <c r="V16" i="44"/>
  <c r="AW33" i="45"/>
  <c r="AM7" i="6"/>
  <c r="X71" i="45"/>
  <c r="W127" i="43"/>
  <c r="AH21" i="44"/>
  <c r="V29" i="6"/>
  <c r="AI34" i="43"/>
  <c r="H92" i="43"/>
  <c r="V63" i="43"/>
  <c r="AI29" i="45"/>
  <c r="AM8" i="44"/>
  <c r="AF26" i="43"/>
  <c r="G40" i="6"/>
  <c r="W25" i="44"/>
  <c r="AW19" i="6"/>
  <c r="C107" i="43"/>
  <c r="V18" i="44"/>
  <c r="E22" i="43"/>
  <c r="AE38" i="45"/>
  <c r="E162" i="43"/>
  <c r="F59" i="43"/>
  <c r="AX30" i="6"/>
  <c r="F130" i="43"/>
  <c r="AX38" i="45"/>
  <c r="E132" i="44"/>
  <c r="C102" i="44"/>
  <c r="X26" i="6"/>
  <c r="AD140" i="6"/>
  <c r="AW39" i="6"/>
  <c r="AG21" i="43"/>
  <c r="C76" i="45"/>
  <c r="X82" i="44"/>
  <c r="AH153" i="45"/>
  <c r="X21" i="44"/>
  <c r="G42" i="44"/>
  <c r="X71" i="6"/>
  <c r="V58" i="43"/>
  <c r="W108" i="6"/>
  <c r="G68" i="45"/>
  <c r="AG31" i="6"/>
  <c r="AG43" i="44"/>
  <c r="AW34" i="44"/>
  <c r="AY25" i="45"/>
  <c r="AG28" i="6"/>
  <c r="G159" i="45"/>
  <c r="AW40" i="45"/>
  <c r="W112" i="43"/>
  <c r="AX35" i="45"/>
  <c r="D131" i="6"/>
  <c r="V110" i="6"/>
  <c r="F99" i="43"/>
  <c r="AG17" i="44"/>
  <c r="V26" i="44"/>
  <c r="W67" i="6"/>
  <c r="X103" i="45"/>
  <c r="H61" i="44"/>
  <c r="AF141" i="43"/>
  <c r="H82" i="6"/>
  <c r="V98" i="44"/>
  <c r="D62" i="45"/>
  <c r="W130" i="44"/>
  <c r="D32" i="6"/>
  <c r="E31" i="44"/>
  <c r="X72" i="45"/>
  <c r="L7" i="6"/>
  <c r="AD43" i="44"/>
  <c r="X125" i="44"/>
  <c r="E92" i="45"/>
  <c r="H159" i="6"/>
  <c r="D75" i="6"/>
  <c r="H130" i="45"/>
  <c r="AW40" i="43"/>
  <c r="G97" i="44"/>
  <c r="D58" i="44"/>
  <c r="E31" i="6"/>
  <c r="AI18" i="6"/>
  <c r="H122" i="44"/>
  <c r="AG49" i="43"/>
  <c r="V35" i="6"/>
  <c r="E110" i="44"/>
  <c r="AY22" i="43"/>
  <c r="AX36" i="43"/>
  <c r="W126" i="44"/>
  <c r="W86" i="6"/>
  <c r="C100" i="44"/>
  <c r="X73" i="45"/>
  <c r="AD28" i="45"/>
  <c r="AD155" i="44"/>
  <c r="G82" i="6"/>
  <c r="C104" i="43"/>
  <c r="H153" i="6"/>
  <c r="AG153" i="44"/>
  <c r="G78" i="43"/>
  <c r="E40" i="6"/>
  <c r="AH15" i="43"/>
  <c r="G36" i="6"/>
  <c r="D39" i="6"/>
  <c r="G37" i="6"/>
  <c r="W30" i="45"/>
  <c r="AG22" i="6"/>
  <c r="AY35" i="43"/>
  <c r="H122" i="45"/>
  <c r="H169" i="44"/>
  <c r="F73" i="6"/>
  <c r="W75" i="43"/>
  <c r="W133" i="44"/>
  <c r="AF140" i="44"/>
  <c r="W126" i="45"/>
  <c r="X86" i="6"/>
  <c r="AY32" i="45"/>
  <c r="X128" i="45"/>
  <c r="W129" i="6"/>
  <c r="F108" i="45"/>
  <c r="D83" i="6"/>
  <c r="X109" i="6"/>
  <c r="X103" i="44"/>
  <c r="AG19" i="44"/>
  <c r="X19" i="6"/>
  <c r="W90" i="6"/>
  <c r="AE160" i="45"/>
  <c r="AI23" i="43"/>
  <c r="V31" i="43"/>
  <c r="AI39" i="45"/>
  <c r="V36" i="6"/>
  <c r="X91" i="45"/>
  <c r="G130" i="45"/>
  <c r="AD38" i="44"/>
  <c r="D106" i="6"/>
  <c r="V88" i="43"/>
  <c r="AX37" i="6"/>
  <c r="H29" i="45"/>
  <c r="X41" i="6"/>
  <c r="AY16" i="44"/>
  <c r="D152" i="43"/>
  <c r="V105" i="45"/>
  <c r="G106" i="43"/>
  <c r="X31" i="43"/>
  <c r="C149" i="6"/>
  <c r="V94" i="6"/>
  <c r="E26" i="43"/>
  <c r="W84" i="45"/>
  <c r="W121" i="6"/>
  <c r="X124" i="43"/>
  <c r="E140" i="43"/>
  <c r="G113" i="45"/>
  <c r="AW33" i="43"/>
  <c r="AY29" i="43"/>
  <c r="AY37" i="6"/>
  <c r="AW24" i="43"/>
  <c r="G127" i="44"/>
  <c r="AF156" i="6"/>
  <c r="D20" i="45"/>
  <c r="AX19" i="43"/>
  <c r="H161" i="6"/>
  <c r="H42" i="45"/>
  <c r="E24" i="45"/>
  <c r="F94" i="6"/>
  <c r="W96" i="45"/>
  <c r="W37" i="6"/>
  <c r="AY31" i="43"/>
  <c r="H56" i="43"/>
  <c r="V29" i="44"/>
  <c r="AF28" i="6"/>
  <c r="X99" i="43"/>
  <c r="AE41" i="6"/>
  <c r="G40" i="44"/>
  <c r="V28" i="44"/>
  <c r="W26" i="44"/>
  <c r="D107" i="6"/>
  <c r="AI22" i="45"/>
  <c r="V106" i="44"/>
  <c r="E82" i="45"/>
  <c r="C41" i="43"/>
  <c r="W110" i="6"/>
  <c r="C69" i="6"/>
  <c r="AI39" i="6"/>
  <c r="AY41" i="45"/>
  <c r="AF27" i="45"/>
  <c r="E95" i="44"/>
  <c r="D21" i="6"/>
  <c r="AF162" i="6"/>
  <c r="AG154" i="45"/>
  <c r="AE157" i="43"/>
  <c r="W30" i="43"/>
  <c r="C63" i="43"/>
  <c r="AG149" i="43"/>
  <c r="AD155" i="43"/>
  <c r="C85" i="6"/>
  <c r="E42" i="43"/>
  <c r="E101" i="45"/>
  <c r="C120" i="43"/>
  <c r="C83" i="45"/>
  <c r="W24" i="44"/>
  <c r="D69" i="44"/>
  <c r="E96" i="43"/>
  <c r="H178" i="6"/>
  <c r="D72" i="45"/>
  <c r="V71" i="45"/>
  <c r="H131" i="6"/>
  <c r="AH24" i="45"/>
  <c r="D80" i="45"/>
  <c r="V74" i="44"/>
  <c r="AF43" i="43"/>
  <c r="F103" i="6"/>
  <c r="C42" i="6"/>
  <c r="C65" i="6"/>
  <c r="F49" i="44"/>
  <c r="G81" i="45"/>
  <c r="W110" i="43"/>
  <c r="X97" i="44"/>
  <c r="E43" i="6"/>
  <c r="AD25" i="6"/>
  <c r="W104" i="45"/>
  <c r="C34" i="6"/>
  <c r="E160" i="44"/>
  <c r="V124" i="45"/>
  <c r="W93" i="6"/>
  <c r="AX16" i="43"/>
  <c r="X106" i="45"/>
  <c r="E111" i="45"/>
  <c r="V128" i="6"/>
  <c r="AD27" i="6"/>
  <c r="W133" i="43"/>
  <c r="D43" i="44"/>
  <c r="V97" i="45"/>
  <c r="AY42" i="6"/>
  <c r="E15" i="43"/>
  <c r="E42" i="45"/>
  <c r="C128" i="6"/>
  <c r="W70" i="45"/>
  <c r="W107" i="6"/>
  <c r="F86" i="45"/>
  <c r="AF159" i="45"/>
  <c r="AY23" i="45"/>
  <c r="AI32" i="45"/>
  <c r="F85" i="6"/>
  <c r="X27" i="44"/>
  <c r="X133" i="44"/>
  <c r="X25" i="44"/>
  <c r="H85" i="43"/>
  <c r="F76" i="44"/>
  <c r="AF32" i="6"/>
  <c r="V28" i="45"/>
  <c r="E155" i="45"/>
  <c r="H21" i="44"/>
  <c r="H16" i="45"/>
  <c r="AY16" i="45"/>
  <c r="C30" i="43"/>
  <c r="G62" i="45"/>
  <c r="E32" i="44"/>
  <c r="AG157" i="44"/>
  <c r="H127" i="45"/>
  <c r="X63" i="44"/>
  <c r="W65" i="43"/>
  <c r="F169" i="6"/>
  <c r="D105" i="6"/>
  <c r="E108" i="45"/>
  <c r="V126" i="6"/>
  <c r="E87" i="6"/>
  <c r="C169" i="45"/>
  <c r="F74" i="45"/>
  <c r="X92" i="45"/>
  <c r="AX36" i="6"/>
  <c r="W106" i="6"/>
  <c r="X85" i="6"/>
  <c r="G155" i="44"/>
  <c r="AG35" i="44"/>
  <c r="E74" i="45"/>
  <c r="AI17" i="43"/>
  <c r="AW21" i="6"/>
  <c r="V131" i="43"/>
  <c r="W80" i="45"/>
  <c r="V21" i="45"/>
  <c r="F127" i="6"/>
  <c r="E106" i="6"/>
  <c r="AY39" i="43"/>
  <c r="G16" i="45"/>
  <c r="E58" i="43"/>
  <c r="C87" i="6"/>
  <c r="AD151" i="43"/>
  <c r="X109" i="45"/>
  <c r="E32" i="45"/>
  <c r="AD157" i="6"/>
  <c r="F80" i="6"/>
  <c r="W18" i="43"/>
  <c r="AH23" i="6"/>
  <c r="AI151" i="44"/>
  <c r="AW43" i="44"/>
  <c r="AG161" i="43"/>
  <c r="V59" i="43"/>
  <c r="W130" i="43"/>
  <c r="V105" i="44"/>
  <c r="W35" i="43"/>
  <c r="V37" i="45"/>
  <c r="W109" i="43"/>
  <c r="W42" i="44"/>
  <c r="V80" i="6"/>
  <c r="AG23" i="44"/>
  <c r="D130" i="43"/>
  <c r="V83" i="6"/>
  <c r="G75" i="44"/>
  <c r="AY26" i="44"/>
  <c r="E91" i="6"/>
  <c r="G33" i="6"/>
  <c r="E93" i="6"/>
  <c r="W37" i="45"/>
  <c r="AH149" i="43"/>
  <c r="AF155" i="44"/>
  <c r="G80" i="6"/>
  <c r="E122" i="44"/>
  <c r="AH23" i="45"/>
  <c r="G67" i="6"/>
  <c r="AI19" i="44"/>
  <c r="G103" i="43"/>
  <c r="AY23" i="44"/>
  <c r="F133" i="43"/>
  <c r="AW23" i="44"/>
  <c r="AH154" i="45"/>
  <c r="X37" i="45"/>
  <c r="AG15" i="44"/>
  <c r="AH31" i="43"/>
  <c r="W17" i="45"/>
  <c r="E64" i="44"/>
  <c r="D113" i="43"/>
  <c r="F87" i="44"/>
  <c r="E57" i="6"/>
  <c r="AD16" i="43"/>
  <c r="AH140" i="44"/>
  <c r="AI156" i="45"/>
  <c r="C97" i="44"/>
  <c r="E27" i="6"/>
  <c r="AG32" i="43"/>
  <c r="AE150" i="45"/>
  <c r="W92" i="43"/>
  <c r="E97" i="43"/>
  <c r="G128" i="43"/>
  <c r="X127" i="43"/>
  <c r="AW36" i="45"/>
  <c r="F91" i="6"/>
  <c r="AG34" i="43"/>
  <c r="H133" i="6"/>
  <c r="AW25" i="43"/>
  <c r="V65" i="45"/>
  <c r="W110" i="44"/>
  <c r="AY38" i="45"/>
  <c r="AE141" i="6"/>
  <c r="V126" i="44"/>
  <c r="AH16" i="45"/>
  <c r="D159" i="45"/>
  <c r="C39" i="43"/>
  <c r="F93" i="44"/>
  <c r="H60" i="44"/>
  <c r="E43" i="45"/>
  <c r="H177" i="44"/>
  <c r="H95" i="45"/>
  <c r="AE152" i="44"/>
  <c r="AI157" i="45"/>
  <c r="V89" i="45"/>
  <c r="X38" i="6"/>
  <c r="AF15" i="45"/>
  <c r="D101" i="45"/>
  <c r="AE34" i="6"/>
  <c r="AH39" i="44"/>
  <c r="X79" i="45"/>
  <c r="AD140" i="43"/>
  <c r="AY29" i="6"/>
  <c r="AI150" i="43"/>
  <c r="X19" i="44"/>
  <c r="AG21" i="6"/>
  <c r="AX31" i="44"/>
  <c r="AW16" i="45"/>
  <c r="C15" i="45"/>
  <c r="F159" i="45"/>
  <c r="D93" i="6"/>
  <c r="AH20" i="45"/>
  <c r="C82" i="6"/>
  <c r="X131" i="6"/>
  <c r="X89" i="43"/>
  <c r="H126" i="45"/>
  <c r="E41" i="45"/>
  <c r="AH34" i="43"/>
  <c r="F66" i="6"/>
  <c r="X125" i="6"/>
  <c r="D102" i="6"/>
  <c r="X73" i="43"/>
  <c r="W39" i="45"/>
  <c r="C92" i="6"/>
  <c r="W128" i="6"/>
  <c r="D36" i="44"/>
  <c r="AX27" i="6"/>
  <c r="W97" i="6"/>
  <c r="H91" i="6"/>
  <c r="X36" i="45"/>
  <c r="AH41" i="6"/>
  <c r="AI161" i="44"/>
  <c r="C109" i="43"/>
  <c r="AG158" i="6"/>
  <c r="AE153" i="45"/>
  <c r="V73" i="44"/>
  <c r="F158" i="45"/>
  <c r="AI157" i="44"/>
  <c r="W103" i="6"/>
  <c r="E80" i="6"/>
  <c r="H70" i="43"/>
  <c r="C63" i="6"/>
  <c r="AD24" i="44"/>
  <c r="W27" i="45"/>
  <c r="D18" i="44"/>
  <c r="F72" i="43"/>
  <c r="C93" i="44"/>
  <c r="AG154" i="6"/>
  <c r="W17" i="43"/>
  <c r="AH42" i="43"/>
  <c r="AF21" i="43"/>
  <c r="AG27" i="6"/>
  <c r="H112" i="6"/>
  <c r="X38" i="45"/>
  <c r="F32" i="44"/>
  <c r="AH28" i="44"/>
  <c r="AI39" i="43"/>
  <c r="G22" i="43"/>
  <c r="W84" i="6"/>
  <c r="X108" i="44"/>
  <c r="W79" i="44"/>
  <c r="H178" i="45"/>
  <c r="AH35" i="6"/>
  <c r="V20" i="43"/>
  <c r="AW42" i="45"/>
  <c r="H22" i="45"/>
  <c r="AF33" i="6"/>
  <c r="C108" i="43"/>
  <c r="AY33" i="45"/>
  <c r="AY28" i="43"/>
  <c r="V83" i="43"/>
  <c r="AY23" i="6"/>
  <c r="AD160" i="43"/>
  <c r="V67" i="44"/>
  <c r="W91" i="6"/>
  <c r="AX25" i="6"/>
  <c r="G97" i="45"/>
  <c r="AF40" i="45"/>
  <c r="G104" i="6"/>
  <c r="AG29" i="45"/>
  <c r="C106" i="6"/>
  <c r="D97" i="43"/>
  <c r="D60" i="43"/>
  <c r="AE30" i="43"/>
  <c r="AI31" i="6"/>
  <c r="AY19" i="44"/>
  <c r="D17" i="43"/>
  <c r="AG19" i="45"/>
  <c r="G159" i="6"/>
  <c r="E140" i="6"/>
  <c r="D43" i="45"/>
  <c r="E120" i="44"/>
  <c r="G60" i="6"/>
  <c r="AG33" i="6"/>
  <c r="AD35" i="45"/>
  <c r="AE38" i="6"/>
  <c r="X60" i="44"/>
  <c r="F160" i="45"/>
  <c r="C95" i="44"/>
  <c r="E107" i="43"/>
  <c r="AF160" i="45"/>
  <c r="G71" i="6"/>
  <c r="G125" i="43"/>
  <c r="F40" i="6"/>
  <c r="X30" i="6"/>
  <c r="F124" i="6"/>
  <c r="V82" i="6"/>
  <c r="C152" i="44"/>
  <c r="W21" i="43"/>
  <c r="V38" i="6"/>
  <c r="C37" i="44"/>
  <c r="D102" i="44"/>
  <c r="F35" i="44"/>
  <c r="E65" i="44"/>
  <c r="W110" i="45"/>
  <c r="E178" i="43"/>
  <c r="G38" i="43"/>
  <c r="W61" i="43"/>
  <c r="V39" i="44"/>
  <c r="V94" i="44"/>
  <c r="AD26" i="6"/>
  <c r="F78" i="43"/>
  <c r="AW35" i="43"/>
  <c r="AW23" i="6"/>
  <c r="F29" i="43"/>
  <c r="AY22" i="6"/>
  <c r="AY43" i="6"/>
  <c r="D121" i="44"/>
  <c r="W81" i="43"/>
  <c r="AG20" i="6"/>
  <c r="W67" i="43"/>
  <c r="D59" i="45"/>
  <c r="F96" i="45"/>
  <c r="X77" i="43"/>
  <c r="W93" i="44"/>
  <c r="X97" i="43"/>
  <c r="X93" i="44"/>
  <c r="H108" i="44"/>
  <c r="V43" i="6"/>
  <c r="X64" i="6"/>
  <c r="AX25" i="45"/>
  <c r="X27" i="45"/>
  <c r="G39" i="6"/>
  <c r="X62" i="45"/>
  <c r="F92" i="43"/>
  <c r="E40" i="44"/>
  <c r="AI33" i="44"/>
  <c r="F86" i="44"/>
  <c r="H129" i="6"/>
  <c r="F38" i="44"/>
  <c r="AI38" i="44"/>
  <c r="X57" i="6"/>
  <c r="AW32" i="44"/>
  <c r="X63" i="45"/>
  <c r="F63" i="43"/>
  <c r="AI38" i="43"/>
  <c r="G56" i="43"/>
  <c r="C126" i="44"/>
  <c r="H105" i="43"/>
  <c r="W76" i="43"/>
  <c r="AX20" i="44"/>
  <c r="C40" i="45"/>
  <c r="V19" i="6"/>
  <c r="G65" i="43"/>
  <c r="D108" i="6"/>
  <c r="AX39" i="43"/>
  <c r="W68" i="43"/>
  <c r="AG49" i="6"/>
  <c r="V31" i="44"/>
  <c r="D156" i="6"/>
  <c r="X89" i="44"/>
  <c r="X38" i="44"/>
  <c r="D129" i="43"/>
  <c r="E33" i="45"/>
  <c r="C76" i="43"/>
  <c r="F26" i="44"/>
  <c r="AE37" i="45"/>
  <c r="H125" i="6"/>
  <c r="C133" i="43"/>
  <c r="AI16" i="43"/>
  <c r="AW26" i="43"/>
  <c r="H100" i="44"/>
  <c r="AG149" i="44"/>
  <c r="AE36" i="6"/>
  <c r="F156" i="43"/>
  <c r="V27" i="44"/>
  <c r="G149" i="43"/>
  <c r="AF22" i="6"/>
  <c r="V40" i="44"/>
  <c r="G178" i="44"/>
  <c r="AG22" i="45"/>
  <c r="F63" i="45"/>
  <c r="E80" i="44"/>
  <c r="G152" i="44"/>
  <c r="D84" i="44"/>
  <c r="G66" i="6"/>
  <c r="AE32" i="44"/>
  <c r="F17" i="44"/>
  <c r="C158" i="43"/>
  <c r="H152" i="45"/>
  <c r="D150" i="45"/>
  <c r="G156" i="44"/>
  <c r="V75" i="43"/>
  <c r="AF156" i="43"/>
  <c r="D100" i="43"/>
  <c r="X87" i="44"/>
  <c r="V73" i="45"/>
  <c r="AH30" i="45"/>
  <c r="F87" i="6"/>
  <c r="AG151" i="44"/>
  <c r="D30" i="43"/>
  <c r="C65" i="44"/>
  <c r="AE158" i="44"/>
  <c r="F37" i="45"/>
  <c r="G33" i="45"/>
  <c r="AX23" i="45"/>
  <c r="W85" i="6"/>
  <c r="G41" i="43"/>
  <c r="AD30" i="43"/>
  <c r="W77" i="6"/>
  <c r="AG29" i="44"/>
  <c r="AE24" i="6"/>
  <c r="G162" i="6"/>
  <c r="X66" i="44"/>
  <c r="F152" i="45"/>
  <c r="V17" i="45"/>
  <c r="AI18" i="44"/>
  <c r="AW39" i="44"/>
  <c r="AH150" i="6"/>
  <c r="AI33" i="6"/>
  <c r="AI26" i="45"/>
  <c r="AI18" i="45"/>
  <c r="V18" i="45"/>
  <c r="D140" i="44"/>
  <c r="X58" i="44"/>
  <c r="D95" i="43"/>
  <c r="AG15" i="6"/>
  <c r="H27" i="45"/>
  <c r="G74" i="45"/>
  <c r="D99" i="44"/>
  <c r="AH18" i="45"/>
  <c r="AI161" i="6"/>
  <c r="D169" i="43"/>
  <c r="AG152" i="44"/>
  <c r="AF149" i="43"/>
  <c r="AE140" i="43"/>
  <c r="W88" i="43"/>
  <c r="C162" i="44"/>
  <c r="AE151" i="43"/>
  <c r="AH17" i="44"/>
  <c r="E64" i="43"/>
  <c r="V23" i="44"/>
  <c r="E108" i="6"/>
  <c r="AX35" i="43"/>
  <c r="C70" i="6"/>
  <c r="AG159" i="43"/>
  <c r="D132" i="6"/>
  <c r="AD155" i="45"/>
  <c r="D70" i="45"/>
  <c r="AG16" i="44"/>
  <c r="X80" i="43"/>
  <c r="W72" i="45"/>
  <c r="G78" i="45"/>
  <c r="AE33" i="44"/>
  <c r="AY43" i="43"/>
  <c r="E140" i="44"/>
  <c r="H154" i="45"/>
  <c r="AE149" i="6"/>
  <c r="AW39" i="45"/>
  <c r="AY36" i="43"/>
  <c r="AI28" i="6"/>
  <c r="AD160" i="6"/>
  <c r="C127" i="44"/>
  <c r="W105" i="43"/>
  <c r="W103" i="44"/>
  <c r="AE22" i="6"/>
  <c r="C153" i="43"/>
  <c r="E159" i="44"/>
  <c r="V104" i="6"/>
  <c r="V90" i="45"/>
  <c r="H159" i="43"/>
  <c r="AF42" i="6"/>
  <c r="D102" i="43"/>
  <c r="G92" i="43"/>
  <c r="AD158" i="43"/>
  <c r="F78" i="6"/>
  <c r="X29" i="43"/>
  <c r="C78" i="44"/>
  <c r="F67" i="45"/>
  <c r="D56" i="45"/>
  <c r="AG40" i="6"/>
  <c r="AF22" i="43"/>
  <c r="D156" i="43"/>
  <c r="AI158" i="6"/>
  <c r="AG32" i="44"/>
  <c r="AH24" i="44"/>
  <c r="AY36" i="45"/>
  <c r="G156" i="6"/>
  <c r="H21" i="43"/>
  <c r="X60" i="45"/>
  <c r="H97" i="45"/>
  <c r="H78" i="43"/>
  <c r="AI154" i="45"/>
  <c r="H101" i="6"/>
  <c r="V93" i="45"/>
  <c r="AY33" i="6"/>
  <c r="X71" i="44"/>
  <c r="W16" i="6"/>
  <c r="H24" i="45"/>
  <c r="X102" i="44"/>
  <c r="H106" i="44"/>
  <c r="AF37" i="6"/>
  <c r="AI41" i="43"/>
  <c r="X59" i="6"/>
  <c r="E157" i="45"/>
  <c r="F158" i="43"/>
  <c r="H63" i="43"/>
  <c r="AD40" i="45"/>
  <c r="C97" i="6"/>
  <c r="AF18" i="44"/>
  <c r="W21" i="44"/>
  <c r="E56" i="6"/>
  <c r="C130" i="43"/>
  <c r="AI36" i="44"/>
  <c r="AE30" i="44"/>
  <c r="AY33" i="43"/>
  <c r="V68" i="43"/>
  <c r="E77" i="43"/>
  <c r="D94" i="6"/>
  <c r="AW24" i="6"/>
  <c r="C79" i="45"/>
  <c r="C60" i="43"/>
  <c r="V133" i="45"/>
  <c r="AD28" i="44"/>
  <c r="C160" i="6"/>
  <c r="G75" i="45"/>
  <c r="E56" i="43"/>
  <c r="AE155" i="45"/>
  <c r="X30" i="44"/>
  <c r="X87" i="43"/>
  <c r="AF39" i="6"/>
  <c r="D60" i="6"/>
  <c r="AI49" i="44"/>
  <c r="AY27" i="43"/>
  <c r="V63" i="44"/>
  <c r="V69" i="43"/>
  <c r="E107" i="44"/>
  <c r="AE22" i="44"/>
  <c r="AW20" i="43"/>
  <c r="G59" i="6"/>
  <c r="F27" i="6"/>
  <c r="V101" i="44"/>
  <c r="F84" i="45"/>
  <c r="C162" i="45"/>
  <c r="AF153" i="43"/>
  <c r="G72" i="44"/>
  <c r="H159" i="44"/>
  <c r="F113" i="44"/>
  <c r="X112" i="45"/>
  <c r="V92" i="43"/>
  <c r="AI140" i="6"/>
  <c r="W43" i="6"/>
  <c r="AH20" i="43"/>
  <c r="W33" i="43"/>
  <c r="X98" i="43"/>
  <c r="X16" i="6"/>
  <c r="AF43" i="6"/>
  <c r="AF157" i="6"/>
  <c r="X96" i="6"/>
  <c r="W29" i="6"/>
  <c r="F99" i="44"/>
  <c r="AY39" i="45"/>
  <c r="D130" i="6"/>
  <c r="H87" i="6"/>
  <c r="H126" i="44"/>
  <c r="W85" i="45"/>
  <c r="G91" i="44"/>
  <c r="D70" i="43"/>
  <c r="AY42" i="45"/>
  <c r="AG140" i="44"/>
  <c r="X83" i="44"/>
  <c r="E93" i="44"/>
  <c r="F93" i="6"/>
  <c r="V68" i="45"/>
  <c r="V93" i="6"/>
  <c r="AG20" i="43"/>
  <c r="X59" i="44"/>
  <c r="E100" i="6"/>
  <c r="D84" i="45"/>
  <c r="D130" i="44"/>
  <c r="W69" i="43"/>
  <c r="G169" i="45"/>
  <c r="AF140" i="6"/>
  <c r="AD21" i="44"/>
  <c r="AI37" i="6"/>
  <c r="AH26" i="6"/>
  <c r="H98" i="6"/>
  <c r="F23" i="44"/>
  <c r="W103" i="43"/>
  <c r="H94" i="6"/>
  <c r="AI26" i="44"/>
  <c r="AH34" i="6"/>
  <c r="AW26" i="45"/>
  <c r="V124" i="6"/>
  <c r="E101" i="44"/>
  <c r="E102" i="44"/>
  <c r="AX21" i="6"/>
  <c r="AE152" i="43"/>
  <c r="AE26" i="43"/>
  <c r="G32" i="6"/>
  <c r="AH25" i="45"/>
  <c r="X111" i="44"/>
  <c r="AF158" i="43"/>
  <c r="F62" i="45"/>
  <c r="AF152" i="44"/>
  <c r="X93" i="45"/>
  <c r="E88" i="44"/>
  <c r="W30" i="44"/>
  <c r="AI160" i="45"/>
  <c r="D101" i="43"/>
  <c r="D158" i="45"/>
  <c r="AI18" i="43"/>
  <c r="D160" i="43"/>
  <c r="W70" i="44"/>
  <c r="V39" i="6"/>
  <c r="AW20" i="6"/>
  <c r="X62" i="6"/>
  <c r="AX34" i="6"/>
  <c r="V89" i="6"/>
  <c r="AE28" i="6"/>
  <c r="W98" i="44"/>
  <c r="AD162" i="43"/>
  <c r="AH160" i="44"/>
  <c r="F42" i="43"/>
  <c r="AD153" i="6"/>
  <c r="AI23" i="44"/>
  <c r="AY16" i="43"/>
  <c r="F80" i="44"/>
  <c r="AW30" i="6"/>
  <c r="E39" i="45"/>
  <c r="W95" i="43"/>
  <c r="F162" i="44"/>
  <c r="F108" i="43"/>
  <c r="H81" i="44"/>
  <c r="G122" i="44"/>
  <c r="G24" i="43"/>
  <c r="V36" i="45"/>
  <c r="AG49" i="45"/>
  <c r="X73" i="44"/>
  <c r="D30" i="44"/>
  <c r="AF153" i="44"/>
  <c r="F156" i="6"/>
  <c r="X109" i="44"/>
  <c r="H122" i="6"/>
  <c r="C83" i="6"/>
  <c r="AG36" i="44"/>
  <c r="F73" i="44"/>
  <c r="AF39" i="43"/>
  <c r="AD159" i="6"/>
  <c r="W68" i="44"/>
  <c r="C111" i="43"/>
  <c r="G67" i="44"/>
  <c r="AI156" i="6"/>
  <c r="D100" i="44"/>
  <c r="AX31" i="43"/>
  <c r="D83" i="43"/>
  <c r="D27" i="44"/>
  <c r="G27" i="44"/>
  <c r="E159" i="45"/>
  <c r="AE28" i="45"/>
  <c r="C32" i="44"/>
  <c r="F58" i="44"/>
  <c r="AI24" i="6"/>
  <c r="F84" i="6"/>
  <c r="W16" i="43"/>
  <c r="AX33" i="43"/>
  <c r="AG42" i="44"/>
  <c r="G20" i="44"/>
  <c r="W60" i="43"/>
  <c r="W34" i="43"/>
  <c r="AY40" i="43"/>
  <c r="AH140" i="43"/>
  <c r="F37" i="43"/>
  <c r="AI32" i="44"/>
  <c r="AI21" i="43"/>
  <c r="C157" i="6"/>
  <c r="D96" i="43"/>
  <c r="E67" i="43"/>
  <c r="V108" i="43"/>
  <c r="AG28" i="43"/>
  <c r="C129" i="45"/>
  <c r="V97" i="6"/>
  <c r="AX21" i="43"/>
  <c r="V67" i="45"/>
  <c r="C86" i="43"/>
  <c r="AG154" i="44"/>
  <c r="AE42" i="44"/>
  <c r="E72" i="45"/>
  <c r="F106" i="6"/>
  <c r="W63" i="43"/>
  <c r="V126" i="43"/>
  <c r="X111" i="6"/>
  <c r="X70" i="6"/>
  <c r="AX17" i="44"/>
  <c r="V123" i="6"/>
  <c r="D42" i="6"/>
  <c r="X33" i="43"/>
  <c r="H80" i="6"/>
  <c r="AE35" i="6"/>
  <c r="AW29" i="45"/>
  <c r="AF159" i="44"/>
  <c r="AF30" i="44"/>
  <c r="AX32" i="43"/>
  <c r="AY32" i="6"/>
  <c r="D123" i="45"/>
  <c r="G96" i="43"/>
  <c r="E125" i="6"/>
  <c r="F98" i="44"/>
  <c r="C127" i="43"/>
  <c r="AH39" i="45"/>
  <c r="F128" i="43"/>
  <c r="X43" i="44"/>
  <c r="W104" i="6"/>
  <c r="W75" i="6"/>
  <c r="C155" i="6"/>
  <c r="AF152" i="43"/>
  <c r="F113" i="6"/>
  <c r="V85" i="45"/>
  <c r="E66" i="43"/>
  <c r="W121" i="45"/>
  <c r="AF41" i="6"/>
  <c r="AI20" i="43"/>
  <c r="H96" i="45"/>
  <c r="D108" i="45"/>
  <c r="G156" i="45"/>
  <c r="D178" i="6"/>
  <c r="F58" i="45"/>
  <c r="G40" i="45"/>
  <c r="C68" i="6"/>
  <c r="W59" i="45"/>
  <c r="F98" i="43"/>
  <c r="AI42" i="6"/>
  <c r="W123" i="45"/>
  <c r="W112" i="45"/>
  <c r="AH158" i="43"/>
  <c r="AX23" i="44"/>
  <c r="H91" i="44"/>
  <c r="AM8" i="43"/>
  <c r="X35" i="44"/>
  <c r="V77" i="6"/>
  <c r="X88" i="45"/>
  <c r="H68" i="44"/>
  <c r="AF157" i="45"/>
  <c r="AH43" i="44"/>
  <c r="D23" i="6"/>
  <c r="V40" i="45"/>
  <c r="H112" i="43"/>
  <c r="H36" i="44"/>
  <c r="X38" i="43"/>
  <c r="AY43" i="45"/>
  <c r="X39" i="6"/>
  <c r="V76" i="43"/>
  <c r="X36" i="6"/>
  <c r="V128" i="43"/>
  <c r="W122" i="44"/>
  <c r="AY42" i="44"/>
  <c r="H102" i="44"/>
  <c r="W92" i="6"/>
  <c r="X23" i="45"/>
  <c r="V120" i="45"/>
  <c r="F178" i="45"/>
  <c r="D60" i="44"/>
  <c r="X131" i="43"/>
  <c r="H120" i="44"/>
  <c r="AY41" i="43"/>
  <c r="AF40" i="6"/>
  <c r="H36" i="45"/>
  <c r="AF17" i="43"/>
  <c r="AD156" i="43"/>
  <c r="E100" i="44"/>
  <c r="W41" i="6"/>
  <c r="H108" i="6"/>
  <c r="AG157" i="6"/>
  <c r="AX19" i="44"/>
  <c r="H162" i="6"/>
  <c r="E130" i="44"/>
  <c r="AH31" i="6"/>
  <c r="D140" i="43"/>
  <c r="X34" i="43"/>
  <c r="AY30" i="6"/>
  <c r="W97" i="43"/>
  <c r="C79" i="6"/>
  <c r="E32" i="6"/>
  <c r="F101" i="43"/>
  <c r="AF24" i="6"/>
  <c r="X106" i="43"/>
  <c r="H88" i="44"/>
  <c r="H38" i="6"/>
  <c r="AG40" i="43"/>
  <c r="X31" i="6"/>
  <c r="AH17" i="45"/>
  <c r="AI159" i="45"/>
  <c r="V84" i="43"/>
  <c r="D71" i="44"/>
  <c r="W32" i="43"/>
  <c r="AG150" i="6"/>
  <c r="G120" i="45"/>
  <c r="F102" i="6"/>
  <c r="X83" i="6"/>
  <c r="X90" i="43"/>
  <c r="G58" i="44"/>
  <c r="F157" i="44"/>
  <c r="E92" i="43"/>
  <c r="H63" i="6"/>
  <c r="AF28" i="43"/>
  <c r="AY37" i="43"/>
  <c r="F149" i="43"/>
  <c r="AH149" i="45"/>
  <c r="V37" i="43"/>
  <c r="X67" i="44"/>
  <c r="AX28" i="44"/>
  <c r="F110" i="43"/>
  <c r="C177" i="6"/>
  <c r="F100" i="44"/>
  <c r="G49" i="44"/>
  <c r="AH30" i="43"/>
  <c r="X76" i="6"/>
  <c r="W84" i="43"/>
  <c r="X130" i="44"/>
  <c r="F150" i="44"/>
  <c r="W113" i="45"/>
  <c r="X79" i="43"/>
  <c r="V111" i="43"/>
  <c r="W22" i="43"/>
  <c r="V129" i="45"/>
  <c r="AH43" i="43"/>
  <c r="G77" i="45"/>
  <c r="H39" i="44"/>
  <c r="AW37" i="6"/>
  <c r="D40" i="45"/>
  <c r="AI19" i="45"/>
  <c r="AG25" i="44"/>
  <c r="G43" i="45"/>
  <c r="AH27" i="43"/>
  <c r="AH29" i="44"/>
  <c r="AD161" i="43"/>
  <c r="V98" i="43"/>
  <c r="D28" i="6"/>
  <c r="AG152" i="43"/>
  <c r="H149" i="44"/>
  <c r="D121" i="6"/>
  <c r="H42" i="43"/>
  <c r="G35" i="6"/>
  <c r="AF30" i="45"/>
  <c r="H123" i="44"/>
  <c r="V34" i="6"/>
  <c r="X74" i="45"/>
  <c r="C23" i="43"/>
  <c r="G17" i="6"/>
  <c r="G30" i="43"/>
  <c r="AI34" i="44"/>
  <c r="F65" i="6"/>
  <c r="C33" i="43"/>
  <c r="V92" i="44"/>
  <c r="G110" i="44"/>
  <c r="X123" i="45"/>
  <c r="X22" i="44"/>
  <c r="AD158" i="44"/>
  <c r="W72" i="6"/>
  <c r="AX42" i="44"/>
  <c r="C79" i="44"/>
  <c r="H85" i="6"/>
  <c r="AG159" i="45"/>
  <c r="AG16" i="43"/>
  <c r="AF16" i="43"/>
  <c r="X120" i="6"/>
  <c r="G127" i="45"/>
  <c r="X111" i="43"/>
  <c r="D36" i="43"/>
  <c r="AI162" i="43"/>
  <c r="D15" i="45"/>
  <c r="W121" i="43"/>
  <c r="D149" i="6"/>
  <c r="AG162" i="45"/>
  <c r="AF34" i="6"/>
  <c r="V22" i="45"/>
  <c r="AI40" i="6"/>
  <c r="AE159" i="43"/>
  <c r="W33" i="44"/>
  <c r="AY27" i="6"/>
  <c r="D23" i="45"/>
  <c r="AE18" i="45"/>
  <c r="C102" i="6"/>
  <c r="W21" i="6"/>
  <c r="AG153" i="45"/>
  <c r="H121" i="6"/>
  <c r="W66" i="43"/>
  <c r="F38" i="6"/>
  <c r="AI23" i="45"/>
  <c r="C124" i="43"/>
  <c r="C27" i="45"/>
  <c r="V73" i="43"/>
  <c r="V43" i="43"/>
  <c r="AG160" i="6"/>
  <c r="D160" i="44"/>
  <c r="E65" i="43"/>
  <c r="AI160" i="43"/>
  <c r="AI151" i="6"/>
  <c r="H43" i="43"/>
  <c r="W127" i="44"/>
  <c r="C131" i="43"/>
  <c r="AD42" i="44"/>
  <c r="AF31" i="43"/>
  <c r="H154" i="6"/>
  <c r="AF38" i="43"/>
  <c r="W83" i="43"/>
  <c r="H17" i="44"/>
  <c r="X121" i="43"/>
  <c r="AX38" i="44"/>
  <c r="C75" i="44"/>
  <c r="AF19" i="43"/>
  <c r="D158" i="43"/>
  <c r="AD19" i="6"/>
  <c r="D157" i="6"/>
  <c r="F18" i="45"/>
  <c r="AW17" i="43"/>
  <c r="AE49" i="6"/>
  <c r="AD161" i="44"/>
  <c r="V16" i="43"/>
  <c r="E59" i="43"/>
  <c r="X133" i="45"/>
  <c r="AD28" i="6"/>
  <c r="V67" i="6"/>
  <c r="W80" i="43"/>
  <c r="H107" i="6"/>
  <c r="AE16" i="43"/>
  <c r="AI153" i="45"/>
  <c r="AX18" i="43"/>
  <c r="AI160" i="6"/>
  <c r="G105" i="44"/>
  <c r="D76" i="6"/>
  <c r="AG24" i="44"/>
  <c r="AH162" i="44"/>
  <c r="V27" i="43"/>
  <c r="AD34" i="6"/>
  <c r="W122" i="43"/>
  <c r="H26" i="44"/>
  <c r="F42" i="44"/>
  <c r="W18" i="6"/>
  <c r="W57" i="44"/>
  <c r="C97" i="43"/>
  <c r="E123" i="6"/>
  <c r="E91" i="45"/>
  <c r="F62" i="6"/>
  <c r="AX28" i="6"/>
  <c r="W19" i="43"/>
  <c r="W30" i="6"/>
  <c r="F83" i="44"/>
  <c r="AH28" i="43"/>
  <c r="V79" i="43"/>
  <c r="AI35" i="43"/>
  <c r="AF38" i="45"/>
  <c r="E89" i="43"/>
  <c r="V79" i="44"/>
  <c r="E71" i="6"/>
  <c r="G90" i="6"/>
  <c r="G91" i="45"/>
  <c r="D40" i="43"/>
  <c r="H56" i="45"/>
  <c r="G74" i="44"/>
  <c r="AG24" i="6"/>
  <c r="F126" i="44"/>
  <c r="C112" i="6"/>
  <c r="X20" i="43"/>
  <c r="G149" i="6"/>
  <c r="AG35" i="43"/>
  <c r="D25" i="44"/>
  <c r="V62" i="6"/>
  <c r="AE32" i="43"/>
  <c r="X101" i="44"/>
  <c r="D120" i="43"/>
  <c r="C159" i="6"/>
  <c r="C89" i="6"/>
  <c r="D178" i="45"/>
  <c r="AY32" i="44"/>
  <c r="AY17" i="43"/>
  <c r="AD41" i="45"/>
  <c r="G42" i="6"/>
  <c r="D93" i="43"/>
  <c r="AF27" i="43"/>
  <c r="AX27" i="43"/>
  <c r="X97" i="6"/>
  <c r="D43" i="43"/>
  <c r="X37" i="43"/>
  <c r="H40" i="44"/>
  <c r="E25" i="43"/>
  <c r="AI23" i="6"/>
  <c r="V91" i="44"/>
  <c r="G162" i="43"/>
  <c r="AH41" i="43"/>
  <c r="E94" i="44"/>
  <c r="W73" i="6"/>
  <c r="X69" i="6"/>
  <c r="D28" i="44"/>
  <c r="C160" i="44"/>
  <c r="V36" i="44"/>
  <c r="AF34" i="43"/>
  <c r="AF35" i="6"/>
  <c r="AE154" i="43"/>
  <c r="V73" i="6"/>
  <c r="AH21" i="6"/>
  <c r="W81" i="44"/>
  <c r="G133" i="44"/>
  <c r="AH153" i="44"/>
  <c r="E60" i="45"/>
  <c r="F40" i="45"/>
  <c r="E124" i="45"/>
  <c r="X105" i="43"/>
  <c r="AW17" i="45"/>
  <c r="AI156" i="43"/>
  <c r="V18" i="6"/>
  <c r="X108" i="45"/>
  <c r="AX16" i="44"/>
  <c r="V70" i="43"/>
  <c r="AF15" i="43"/>
  <c r="X29" i="6"/>
  <c r="G98" i="44"/>
  <c r="AW37" i="43"/>
  <c r="L7" i="44"/>
  <c r="X104" i="6"/>
  <c r="E158" i="44"/>
  <c r="V96" i="44"/>
  <c r="G127" i="6"/>
  <c r="D111" i="44"/>
  <c r="G57" i="44"/>
  <c r="H160" i="43"/>
  <c r="H40" i="6"/>
  <c r="AI34" i="6"/>
  <c r="V99" i="45"/>
  <c r="E162" i="44"/>
  <c r="X123" i="44"/>
  <c r="X92" i="6"/>
  <c r="AW27" i="6"/>
  <c r="F69" i="45"/>
  <c r="W101" i="44"/>
  <c r="W63" i="6"/>
  <c r="AG29" i="6"/>
  <c r="AX28" i="45"/>
  <c r="D77" i="6"/>
  <c r="C150" i="45"/>
  <c r="H124" i="43"/>
  <c r="F151" i="43"/>
  <c r="W66" i="45"/>
  <c r="E126" i="43"/>
  <c r="AE32" i="6"/>
  <c r="V88" i="44"/>
  <c r="E39" i="43"/>
  <c r="C87" i="45"/>
  <c r="G110" i="43"/>
  <c r="D16" i="45"/>
  <c r="H15" i="6"/>
  <c r="V32" i="43"/>
  <c r="C30" i="45"/>
  <c r="AF17" i="45"/>
  <c r="AI19" i="43"/>
  <c r="H40" i="45"/>
  <c r="E78" i="43"/>
  <c r="AH15" i="45"/>
  <c r="D98" i="44"/>
  <c r="W120" i="6"/>
  <c r="AH16" i="6"/>
  <c r="V122" i="43"/>
  <c r="AG18" i="43"/>
  <c r="F160" i="43"/>
  <c r="W74" i="45"/>
  <c r="V30" i="6"/>
  <c r="AY24" i="44"/>
  <c r="AH156" i="44"/>
  <c r="F95" i="44"/>
  <c r="AI31" i="44"/>
  <c r="F27" i="43"/>
  <c r="G43" i="43"/>
  <c r="H100" i="6"/>
  <c r="AH41" i="44"/>
  <c r="X110" i="44"/>
  <c r="G23" i="6"/>
  <c r="W129" i="44"/>
  <c r="E35" i="43"/>
  <c r="AY35" i="45"/>
  <c r="AI17" i="45"/>
  <c r="AD151" i="45"/>
  <c r="AG153" i="6"/>
  <c r="AF31" i="44"/>
  <c r="AY41" i="6"/>
  <c r="E87" i="45"/>
  <c r="F43" i="6"/>
  <c r="C107" i="45"/>
  <c r="AX17" i="43"/>
  <c r="X125" i="45"/>
  <c r="W64" i="6"/>
  <c r="AH23" i="43"/>
  <c r="C15" i="44"/>
  <c r="AH28" i="6"/>
  <c r="G41" i="44"/>
  <c r="C161" i="43"/>
  <c r="W76" i="44"/>
  <c r="X86" i="43"/>
  <c r="W109" i="6"/>
  <c r="V120" i="44"/>
  <c r="C22" i="6"/>
  <c r="L8" i="45"/>
  <c r="H40" i="43"/>
  <c r="AI152" i="45"/>
  <c r="F125" i="6"/>
  <c r="V41" i="43"/>
  <c r="AH149" i="44"/>
  <c r="H28" i="44"/>
  <c r="C71" i="6"/>
  <c r="X32" i="45"/>
  <c r="AG17" i="6"/>
  <c r="H156" i="44"/>
  <c r="AD42" i="45"/>
  <c r="V130" i="43"/>
  <c r="H42" i="44"/>
  <c r="D162" i="45"/>
  <c r="D85" i="6"/>
  <c r="E59" i="6"/>
  <c r="W76" i="6"/>
  <c r="D127" i="45"/>
  <c r="H62" i="44"/>
  <c r="AE25" i="45"/>
  <c r="W86" i="45"/>
  <c r="G149" i="45"/>
  <c r="AH158" i="6"/>
  <c r="E29" i="43"/>
  <c r="AE37" i="44"/>
  <c r="AY28" i="6"/>
  <c r="AG29" i="43"/>
  <c r="D158" i="44"/>
  <c r="W38" i="44"/>
  <c r="X82" i="45"/>
  <c r="W96" i="6"/>
  <c r="V65" i="43"/>
  <c r="X85" i="45"/>
  <c r="D78" i="43"/>
  <c r="AD159" i="43"/>
  <c r="H23" i="44"/>
  <c r="AD151" i="44"/>
  <c r="V89" i="44"/>
  <c r="AY18" i="44"/>
  <c r="V86" i="45"/>
  <c r="AY30" i="44"/>
  <c r="AG155" i="43"/>
  <c r="H95" i="43"/>
  <c r="G80" i="45"/>
  <c r="W113" i="44"/>
  <c r="W62" i="45"/>
  <c r="G36" i="44"/>
  <c r="AD157" i="43"/>
  <c r="D34" i="6"/>
  <c r="D101" i="6"/>
  <c r="H33" i="43"/>
  <c r="G61" i="45"/>
  <c r="G31" i="45"/>
  <c r="D162" i="43"/>
  <c r="AH162" i="6"/>
  <c r="AE37" i="43"/>
  <c r="AF22" i="45"/>
  <c r="AF161" i="43"/>
  <c r="C43" i="6"/>
  <c r="AF158" i="44"/>
  <c r="W109" i="45"/>
  <c r="D113" i="44"/>
  <c r="E35" i="6"/>
  <c r="W29" i="43"/>
  <c r="AX34" i="43"/>
  <c r="W106" i="45"/>
  <c r="W87" i="6"/>
  <c r="AW20" i="45"/>
  <c r="AG23" i="6"/>
  <c r="G41" i="6"/>
  <c r="AH151" i="44"/>
  <c r="H72" i="44"/>
  <c r="AF160" i="6"/>
  <c r="D72" i="6"/>
  <c r="AI162" i="45"/>
  <c r="C156" i="44"/>
  <c r="W88" i="6"/>
  <c r="V32" i="44"/>
  <c r="W36" i="45"/>
  <c r="V30" i="45"/>
  <c r="E31" i="43"/>
  <c r="AW26" i="44"/>
  <c r="V64" i="6"/>
  <c r="C129" i="6"/>
  <c r="H18" i="6"/>
  <c r="AW22" i="44"/>
  <c r="AE140" i="45"/>
  <c r="X84" i="45"/>
  <c r="X20" i="44"/>
  <c r="G113" i="43"/>
  <c r="AW32" i="43"/>
  <c r="D140" i="6"/>
  <c r="G87" i="44"/>
  <c r="E109" i="6"/>
  <c r="X25" i="43"/>
  <c r="AI151" i="45"/>
  <c r="E107" i="6"/>
  <c r="D109" i="43"/>
  <c r="X108" i="6"/>
  <c r="D113" i="45"/>
  <c r="AY39" i="6"/>
  <c r="AE33" i="6"/>
  <c r="F33" i="44"/>
  <c r="E18" i="6"/>
  <c r="V84" i="6"/>
  <c r="X120" i="44"/>
  <c r="V33" i="6"/>
  <c r="AI36" i="6"/>
  <c r="W98" i="6"/>
  <c r="W73" i="43"/>
  <c r="H32" i="43"/>
  <c r="AD15" i="43"/>
  <c r="H78" i="45"/>
  <c r="AX39" i="6"/>
  <c r="X131" i="44"/>
  <c r="E59" i="44"/>
  <c r="AI30" i="43"/>
  <c r="V18" i="43"/>
  <c r="C82" i="45"/>
  <c r="C43" i="45"/>
  <c r="V85" i="43"/>
  <c r="X102" i="43"/>
  <c r="L7" i="45"/>
  <c r="AG19" i="43"/>
  <c r="V130" i="6"/>
  <c r="V72" i="44"/>
  <c r="AF161" i="45"/>
  <c r="C81" i="44"/>
  <c r="AE23" i="6"/>
  <c r="H128" i="45"/>
  <c r="AH25" i="6"/>
  <c r="AI149" i="6"/>
  <c r="AE16" i="6"/>
  <c r="D49" i="6"/>
  <c r="C57" i="44"/>
  <c r="W102" i="43"/>
  <c r="V87" i="6"/>
  <c r="X102" i="45"/>
  <c r="D71" i="6"/>
  <c r="AG41" i="43"/>
  <c r="AH150" i="44"/>
  <c r="E20" i="6"/>
  <c r="H79" i="43"/>
  <c r="D18" i="45"/>
  <c r="AI29" i="43"/>
  <c r="D120" i="45"/>
  <c r="AH21" i="45"/>
  <c r="AI155" i="44"/>
  <c r="AH28" i="45"/>
  <c r="D105" i="43"/>
  <c r="G22" i="44"/>
  <c r="V25" i="45"/>
  <c r="D68" i="44"/>
  <c r="AH18" i="6"/>
  <c r="G76" i="45"/>
  <c r="AW32" i="45"/>
  <c r="W79" i="6"/>
  <c r="C78" i="6"/>
  <c r="E49" i="45"/>
  <c r="AE154" i="44"/>
  <c r="D49" i="43"/>
  <c r="AH17" i="43"/>
  <c r="C87" i="44"/>
  <c r="AY41" i="44"/>
  <c r="E124" i="44"/>
  <c r="AF158" i="45"/>
  <c r="D90" i="6"/>
  <c r="X122" i="44"/>
  <c r="H102" i="43"/>
  <c r="H35" i="6"/>
  <c r="E56" i="44"/>
  <c r="G32" i="44"/>
  <c r="V129" i="6"/>
  <c r="X130" i="45"/>
  <c r="AE31" i="6"/>
  <c r="C158" i="44"/>
  <c r="G21" i="44"/>
  <c r="H84" i="44"/>
  <c r="V130" i="45"/>
  <c r="H61" i="45"/>
  <c r="C19" i="43"/>
  <c r="G24" i="45"/>
  <c r="V26" i="45"/>
  <c r="AD141" i="6"/>
  <c r="D15" i="6"/>
  <c r="AY38" i="43"/>
  <c r="E61" i="44"/>
  <c r="AI16" i="44"/>
  <c r="AX30" i="43"/>
  <c r="AH156" i="45"/>
  <c r="X25" i="6"/>
  <c r="V85" i="6"/>
  <c r="H57" i="43"/>
  <c r="W71" i="45"/>
  <c r="F104" i="43"/>
  <c r="V128" i="45"/>
  <c r="AE157" i="45"/>
  <c r="H39" i="43"/>
  <c r="E160" i="6"/>
  <c r="AG25" i="6"/>
  <c r="W38" i="6"/>
  <c r="AE158" i="6"/>
  <c r="H158" i="43"/>
  <c r="F79" i="43"/>
  <c r="AF23" i="43"/>
  <c r="G31" i="44"/>
  <c r="D81" i="6"/>
  <c r="X122" i="6"/>
  <c r="AI159" i="44"/>
  <c r="F110" i="45"/>
  <c r="F39" i="44"/>
  <c r="AE15" i="43"/>
  <c r="G89" i="43"/>
  <c r="AY30" i="43"/>
  <c r="AF42" i="45"/>
  <c r="V109" i="43"/>
  <c r="V102" i="44"/>
  <c r="G25" i="44"/>
  <c r="X85" i="44"/>
  <c r="AX41" i="44"/>
  <c r="C20" i="6"/>
  <c r="AI49" i="45"/>
  <c r="AF162" i="43"/>
  <c r="AI43" i="6"/>
  <c r="G131" i="43"/>
  <c r="W104" i="43"/>
  <c r="X113" i="6"/>
  <c r="G158" i="43"/>
  <c r="AI43" i="45"/>
  <c r="C98" i="45"/>
  <c r="G83" i="43"/>
  <c r="D152" i="6"/>
  <c r="F104" i="45"/>
  <c r="AD39" i="45"/>
  <c r="AD153" i="44"/>
  <c r="E149" i="6"/>
  <c r="AE27" i="6"/>
  <c r="F69" i="44"/>
  <c r="X17" i="6"/>
  <c r="C69" i="45"/>
  <c r="AD158" i="6"/>
  <c r="AW38" i="44"/>
  <c r="H20" i="44"/>
  <c r="H94" i="43"/>
  <c r="F102" i="43"/>
  <c r="G129" i="43"/>
  <c r="E79" i="45"/>
  <c r="X131" i="45"/>
  <c r="G38" i="45"/>
  <c r="W89" i="43"/>
  <c r="AX38" i="6"/>
  <c r="AH27" i="44"/>
  <c r="AX22" i="45"/>
  <c r="AD22" i="45"/>
  <c r="V91" i="6"/>
  <c r="X95" i="43"/>
  <c r="AM7" i="43"/>
  <c r="G82" i="44"/>
  <c r="AI27" i="45"/>
  <c r="X66" i="43"/>
  <c r="AY16" i="6"/>
  <c r="H96" i="43"/>
  <c r="F23" i="6"/>
  <c r="W83" i="45"/>
  <c r="AG35" i="6"/>
  <c r="V58" i="6"/>
  <c r="D84" i="6"/>
  <c r="V111" i="6"/>
  <c r="E24" i="43"/>
  <c r="H34" i="43"/>
  <c r="G122" i="6"/>
  <c r="D62" i="43"/>
  <c r="F150" i="43"/>
  <c r="H121" i="43"/>
  <c r="AY21" i="45"/>
  <c r="E36" i="43"/>
  <c r="AI22" i="44"/>
  <c r="W32" i="45"/>
  <c r="E110" i="43"/>
  <c r="AW38" i="45"/>
  <c r="F40" i="43"/>
  <c r="H104" i="6"/>
  <c r="G70" i="43"/>
  <c r="X101" i="43"/>
  <c r="F15" i="45"/>
  <c r="W84" i="44"/>
  <c r="C150" i="43"/>
  <c r="AY34" i="43"/>
  <c r="F42" i="6"/>
  <c r="V25" i="43"/>
  <c r="C162" i="6"/>
  <c r="D89" i="6"/>
  <c r="AD21" i="43"/>
  <c r="E161" i="44"/>
  <c r="AE27" i="44"/>
  <c r="W128" i="45"/>
  <c r="H23" i="43"/>
  <c r="AE43" i="44"/>
  <c r="F59" i="6"/>
  <c r="X107" i="6"/>
  <c r="G125" i="6"/>
  <c r="E80" i="45"/>
  <c r="X99" i="45"/>
  <c r="G109" i="6"/>
  <c r="X37" i="44"/>
  <c r="W108" i="44"/>
  <c r="H26" i="6"/>
  <c r="W65" i="6"/>
  <c r="X83" i="45"/>
  <c r="C64" i="43"/>
  <c r="X106" i="6"/>
  <c r="C56" i="43"/>
  <c r="H63" i="45"/>
  <c r="D103" i="45"/>
  <c r="F31" i="45"/>
  <c r="F100" i="6"/>
  <c r="V22" i="6"/>
  <c r="AI22" i="43"/>
  <c r="F90" i="45"/>
  <c r="G36" i="45"/>
  <c r="D70" i="6"/>
  <c r="AW28" i="43"/>
  <c r="W20" i="6"/>
  <c r="X28" i="45"/>
  <c r="W124" i="45"/>
  <c r="G70" i="6"/>
  <c r="AH161" i="45"/>
  <c r="AE162" i="44"/>
  <c r="AG155" i="6"/>
  <c r="G30" i="44"/>
  <c r="F41" i="6"/>
  <c r="X91" i="44"/>
  <c r="D85" i="44"/>
  <c r="G86" i="45"/>
  <c r="W125" i="44"/>
  <c r="X60" i="43"/>
  <c r="AE158" i="45"/>
  <c r="W18" i="44"/>
  <c r="X98" i="45"/>
  <c r="V60" i="44"/>
  <c r="D113" i="6"/>
  <c r="G29" i="43"/>
  <c r="H160" i="45"/>
  <c r="AX16" i="6"/>
  <c r="AX25" i="44"/>
  <c r="C76" i="44"/>
  <c r="AY28" i="44"/>
  <c r="AG19" i="6"/>
  <c r="W66" i="6"/>
  <c r="C100" i="45"/>
  <c r="AH161" i="6"/>
  <c r="G123" i="43"/>
  <c r="V62" i="44"/>
  <c r="AW33" i="44"/>
  <c r="D108" i="44"/>
  <c r="G88" i="43"/>
  <c r="C155" i="45"/>
  <c r="AX21" i="44"/>
  <c r="F120" i="43"/>
  <c r="W125" i="6"/>
  <c r="F105" i="6"/>
  <c r="H110" i="45"/>
  <c r="AW35" i="6"/>
  <c r="F103" i="44"/>
  <c r="G83" i="45"/>
  <c r="AG16" i="6"/>
  <c r="AD37" i="6"/>
  <c r="C91" i="43"/>
  <c r="AI33" i="45"/>
  <c r="D56" i="44"/>
  <c r="V130" i="44"/>
  <c r="AH140" i="6"/>
  <c r="G24" i="44"/>
  <c r="D16" i="6"/>
  <c r="E123" i="43"/>
  <c r="H100" i="45"/>
  <c r="AX42" i="45"/>
  <c r="V75" i="6"/>
  <c r="V66" i="45"/>
  <c r="F25" i="43"/>
  <c r="AE41" i="43"/>
  <c r="AY26" i="45"/>
  <c r="V80" i="44"/>
  <c r="AX32" i="45"/>
  <c r="E21" i="45"/>
  <c r="AH38" i="45"/>
  <c r="C130" i="6"/>
  <c r="W31" i="43"/>
  <c r="AE157" i="44"/>
  <c r="AD162" i="44"/>
  <c r="W65" i="45"/>
  <c r="H160" i="6"/>
  <c r="AF49" i="6"/>
  <c r="X24" i="43"/>
  <c r="X63" i="43"/>
  <c r="AD141" i="44"/>
  <c r="AD40" i="44"/>
  <c r="W17" i="6"/>
  <c r="D28" i="45"/>
  <c r="W64" i="45"/>
  <c r="E96" i="6"/>
  <c r="V39" i="45"/>
  <c r="D121" i="45"/>
  <c r="E43" i="43"/>
  <c r="X111" i="45"/>
  <c r="W81" i="45"/>
  <c r="F132" i="6"/>
  <c r="E86" i="44"/>
  <c r="E103" i="45"/>
  <c r="E65" i="6"/>
  <c r="E22" i="6"/>
  <c r="G112" i="6"/>
  <c r="AH162" i="43"/>
  <c r="D66" i="44"/>
  <c r="E81" i="44"/>
  <c r="G155" i="43"/>
  <c r="AE16" i="44"/>
  <c r="AW22" i="45"/>
  <c r="E131" i="6"/>
  <c r="D59" i="44"/>
  <c r="AH49" i="45"/>
  <c r="E100" i="43"/>
  <c r="E129" i="44"/>
  <c r="E158" i="6"/>
  <c r="AG34" i="44"/>
  <c r="G152" i="6"/>
  <c r="F63" i="44"/>
  <c r="AF18" i="43"/>
  <c r="AI17" i="44"/>
  <c r="AG160" i="44"/>
  <c r="H82" i="43"/>
  <c r="AE150" i="6"/>
  <c r="AI28" i="44"/>
  <c r="H169" i="6"/>
  <c r="X21" i="6"/>
  <c r="AE23" i="43"/>
  <c r="D61" i="6"/>
  <c r="D177" i="44"/>
  <c r="AG30" i="6"/>
  <c r="E91" i="43"/>
  <c r="H61" i="43"/>
  <c r="AX41" i="43"/>
  <c r="H92" i="6"/>
  <c r="AG161" i="6"/>
  <c r="D30" i="45"/>
  <c r="D38" i="44"/>
  <c r="AX40" i="43"/>
  <c r="AH19" i="44"/>
  <c r="AI40" i="45"/>
  <c r="X72" i="43"/>
  <c r="AI16" i="45"/>
  <c r="W19" i="6"/>
  <c r="AW29" i="6"/>
  <c r="C90" i="44"/>
  <c r="E97" i="44"/>
  <c r="C23" i="45"/>
  <c r="H64" i="6"/>
  <c r="W43" i="43"/>
  <c r="H78" i="6"/>
  <c r="H112" i="45"/>
  <c r="V26" i="43"/>
  <c r="F20" i="44"/>
  <c r="W34" i="45"/>
  <c r="W75" i="45"/>
  <c r="W81" i="6"/>
  <c r="C100" i="6"/>
  <c r="X104" i="43"/>
  <c r="F43" i="44"/>
  <c r="X28" i="43"/>
  <c r="W122" i="45"/>
  <c r="V31" i="6"/>
  <c r="V74" i="43"/>
  <c r="D97" i="45"/>
  <c r="E113" i="43"/>
  <c r="AE29" i="6"/>
  <c r="F129" i="45"/>
  <c r="AW21" i="43"/>
  <c r="AF27" i="6"/>
  <c r="C159" i="43"/>
  <c r="W77" i="43"/>
  <c r="C31" i="44"/>
  <c r="AH38" i="43"/>
  <c r="AX35" i="44"/>
  <c r="C41" i="44"/>
  <c r="X84" i="44"/>
  <c r="AW29" i="43"/>
  <c r="V21" i="43"/>
  <c r="H15" i="43"/>
  <c r="AI153" i="6"/>
  <c r="V29" i="43"/>
  <c r="AD29" i="43"/>
  <c r="F125" i="45"/>
  <c r="C103" i="44"/>
  <c r="H140" i="44"/>
  <c r="W22" i="44"/>
  <c r="AW40" i="44"/>
  <c r="AI33" i="43"/>
  <c r="C104" i="6"/>
  <c r="X65" i="44"/>
  <c r="X61" i="43"/>
  <c r="D159" i="43"/>
  <c r="G109" i="43"/>
  <c r="G83" i="6"/>
  <c r="W77" i="44"/>
  <c r="C156" i="43"/>
  <c r="V43" i="44"/>
  <c r="AW41" i="6"/>
  <c r="G65" i="44"/>
  <c r="D32" i="45"/>
  <c r="D162" i="44"/>
  <c r="V68" i="6"/>
  <c r="X58" i="43"/>
  <c r="AG149" i="6"/>
  <c r="AI154" i="6"/>
  <c r="AJ154" i="6" l="1"/>
  <c r="AK154" i="6" s="1"/>
  <c r="AZ41" i="6"/>
  <c r="BA41" i="6" s="1"/>
  <c r="Y43" i="44"/>
  <c r="Z43" i="44" s="1"/>
  <c r="AJ33" i="43"/>
  <c r="AK33" i="43" s="1"/>
  <c r="AZ40" i="44"/>
  <c r="BA40" i="44" s="1"/>
  <c r="I140" i="44"/>
  <c r="AC29" i="43"/>
  <c r="AM29" i="43"/>
  <c r="AN29" i="43" s="1"/>
  <c r="Y29" i="43"/>
  <c r="Z29" i="43" s="1"/>
  <c r="AJ153" i="6"/>
  <c r="AK153" i="6" s="1"/>
  <c r="I15" i="43"/>
  <c r="S15" i="43" s="1"/>
  <c r="AZ29" i="43"/>
  <c r="BA29" i="43" s="1"/>
  <c r="L41" i="44"/>
  <c r="M41" i="44" s="1"/>
  <c r="L31" i="44"/>
  <c r="M31" i="44" s="1"/>
  <c r="Y26" i="43"/>
  <c r="Z26" i="43" s="1"/>
  <c r="I112" i="45"/>
  <c r="I78" i="6"/>
  <c r="S78" i="6" s="1"/>
  <c r="I64" i="6"/>
  <c r="T64" i="6" s="1"/>
  <c r="U64" i="6" s="1"/>
  <c r="AZ29" i="6"/>
  <c r="BA29" i="6" s="1"/>
  <c r="AJ16" i="45"/>
  <c r="AK16" i="45" s="1"/>
  <c r="AJ40" i="45"/>
  <c r="AK40" i="45" s="1"/>
  <c r="I92" i="6"/>
  <c r="T92" i="6" s="1"/>
  <c r="U92" i="6" s="1"/>
  <c r="I61" i="43"/>
  <c r="J61" i="43" s="1"/>
  <c r="I169" i="6"/>
  <c r="J169" i="6" s="1"/>
  <c r="AJ28" i="44"/>
  <c r="AK28" i="44" s="1"/>
  <c r="I82" i="43"/>
  <c r="J82" i="43" s="1"/>
  <c r="AJ17" i="44"/>
  <c r="AK17" i="44" s="1"/>
  <c r="AZ22" i="45"/>
  <c r="BA22" i="45" s="1"/>
  <c r="Y39" i="45"/>
  <c r="Z39" i="45" s="1"/>
  <c r="AC40" i="44"/>
  <c r="AM40" i="44"/>
  <c r="AN40" i="44" s="1"/>
  <c r="I160" i="6"/>
  <c r="S160" i="6" s="1"/>
  <c r="L130" i="6"/>
  <c r="M130" i="6" s="1"/>
  <c r="Y80" i="44"/>
  <c r="Z80" i="44" s="1"/>
  <c r="Y66" i="45"/>
  <c r="Z66" i="45" s="1"/>
  <c r="Y75" i="6"/>
  <c r="Z75" i="6" s="1"/>
  <c r="I100" i="45"/>
  <c r="AH142" i="6"/>
  <c r="Y130" i="44"/>
  <c r="Z130" i="44" s="1"/>
  <c r="AJ33" i="45"/>
  <c r="AK33" i="45" s="1"/>
  <c r="AC37" i="6"/>
  <c r="AM37" i="6"/>
  <c r="AN37" i="6" s="1"/>
  <c r="AZ35" i="6"/>
  <c r="BA35" i="6" s="1"/>
  <c r="I110" i="45"/>
  <c r="AZ33" i="44"/>
  <c r="BA33" i="44" s="1"/>
  <c r="Y62" i="44"/>
  <c r="Z62" i="44" s="1"/>
  <c r="L76" i="44"/>
  <c r="I160" i="45"/>
  <c r="S160" i="45" s="1"/>
  <c r="Y60" i="44"/>
  <c r="Z60" i="44" s="1"/>
  <c r="AP158" i="45"/>
  <c r="AZ28" i="43"/>
  <c r="BA28" i="43" s="1"/>
  <c r="AJ22" i="43"/>
  <c r="AK22" i="43" s="1"/>
  <c r="I63" i="45"/>
  <c r="I26" i="6"/>
  <c r="I23" i="43"/>
  <c r="T23" i="43" s="1"/>
  <c r="U23" i="43" s="1"/>
  <c r="AC21" i="43"/>
  <c r="Y25" i="43"/>
  <c r="Z25" i="43" s="1"/>
  <c r="I104" i="6"/>
  <c r="J104" i="6" s="1"/>
  <c r="AZ38" i="45"/>
  <c r="BA38" i="45" s="1"/>
  <c r="AJ22" i="44"/>
  <c r="AK22" i="44" s="1"/>
  <c r="I121" i="43"/>
  <c r="T121" i="43" s="1"/>
  <c r="U121" i="43" s="1"/>
  <c r="I34" i="43"/>
  <c r="J34" i="43" s="1"/>
  <c r="Y111" i="6"/>
  <c r="Z111" i="6" s="1"/>
  <c r="Y58" i="6"/>
  <c r="Z58" i="6" s="1"/>
  <c r="I96" i="43"/>
  <c r="AJ27" i="45"/>
  <c r="AK27" i="45" s="1"/>
  <c r="Y91" i="6"/>
  <c r="Z91" i="6" s="1"/>
  <c r="AC22" i="45"/>
  <c r="I94" i="43"/>
  <c r="T94" i="43" s="1"/>
  <c r="U94" i="43" s="1"/>
  <c r="I20" i="44"/>
  <c r="AZ38" i="44"/>
  <c r="BA38" i="44" s="1"/>
  <c r="AC153" i="44"/>
  <c r="AC39" i="45"/>
  <c r="AM39" i="45"/>
  <c r="AN39" i="45" s="1"/>
  <c r="L98" i="45"/>
  <c r="AJ43" i="45"/>
  <c r="AJ43" i="6"/>
  <c r="AK43" i="6" s="1"/>
  <c r="AJ49" i="45"/>
  <c r="AK49" i="45" s="1"/>
  <c r="Y102" i="44"/>
  <c r="Z102" i="44" s="1"/>
  <c r="Y109" i="43"/>
  <c r="Z109" i="43" s="1"/>
  <c r="AJ159" i="44"/>
  <c r="I158" i="43"/>
  <c r="S158" i="43" s="1"/>
  <c r="I39" i="43"/>
  <c r="Y128" i="45"/>
  <c r="Z128" i="45" s="1"/>
  <c r="I57" i="43"/>
  <c r="J57" i="43" s="1"/>
  <c r="Y85" i="6"/>
  <c r="Z85" i="6" s="1"/>
  <c r="AJ16" i="44"/>
  <c r="AK16" i="44" s="1"/>
  <c r="Y26" i="45"/>
  <c r="Z26" i="45" s="1"/>
  <c r="I61" i="45"/>
  <c r="J61" i="45" s="1"/>
  <c r="Y130" i="45"/>
  <c r="Z130" i="45" s="1"/>
  <c r="I84" i="44"/>
  <c r="J84" i="44" s="1"/>
  <c r="Y129" i="6"/>
  <c r="Z129" i="6" s="1"/>
  <c r="I35" i="6"/>
  <c r="I102" i="43"/>
  <c r="J102" i="43" s="1"/>
  <c r="AZ32" i="45"/>
  <c r="BA32" i="45" s="1"/>
  <c r="Y25" i="45"/>
  <c r="Z25" i="45" s="1"/>
  <c r="AJ155" i="44"/>
  <c r="AK155" i="44" s="1"/>
  <c r="AJ29" i="43"/>
  <c r="AK29" i="43" s="1"/>
  <c r="I79" i="43"/>
  <c r="Y87" i="6"/>
  <c r="Z87" i="6" s="1"/>
  <c r="AJ149" i="6"/>
  <c r="AK149" i="6" s="1"/>
  <c r="I128" i="45"/>
  <c r="Y72" i="44"/>
  <c r="Z72" i="44" s="1"/>
  <c r="Y130" i="6"/>
  <c r="Z130" i="6" s="1"/>
  <c r="Y85" i="43"/>
  <c r="Z85" i="43" s="1"/>
  <c r="L43" i="45"/>
  <c r="M43" i="45" s="1"/>
  <c r="Y18" i="43"/>
  <c r="Z18" i="43" s="1"/>
  <c r="AJ30" i="43"/>
  <c r="AK30" i="43" s="1"/>
  <c r="I78" i="45"/>
  <c r="S78" i="45" s="1"/>
  <c r="AC15" i="43"/>
  <c r="I32" i="43"/>
  <c r="J32" i="43" s="1"/>
  <c r="AJ36" i="6"/>
  <c r="AK36" i="6" s="1"/>
  <c r="Y33" i="6"/>
  <c r="Z33" i="6" s="1"/>
  <c r="Y84" i="6"/>
  <c r="Z84" i="6" s="1"/>
  <c r="AJ151" i="45"/>
  <c r="AK151" i="45" s="1"/>
  <c r="AZ32" i="43"/>
  <c r="BA32" i="43" s="1"/>
  <c r="AE142" i="45"/>
  <c r="AZ22" i="44"/>
  <c r="BA22" i="44" s="1"/>
  <c r="I18" i="6"/>
  <c r="L129" i="6"/>
  <c r="Y64" i="6"/>
  <c r="Z64" i="6" s="1"/>
  <c r="AZ26" i="44"/>
  <c r="BA26" i="44" s="1"/>
  <c r="Y30" i="45"/>
  <c r="Z30" i="45" s="1"/>
  <c r="Y32" i="44"/>
  <c r="Z32" i="44" s="1"/>
  <c r="AJ162" i="45"/>
  <c r="AT162" i="45" s="1"/>
  <c r="I72" i="44"/>
  <c r="T72" i="44" s="1"/>
  <c r="U72" i="44" s="1"/>
  <c r="AZ20" i="45"/>
  <c r="BA20" i="45" s="1"/>
  <c r="L43" i="6"/>
  <c r="M43" i="6" s="1"/>
  <c r="I33" i="43"/>
  <c r="AC157" i="43"/>
  <c r="I95" i="43"/>
  <c r="J95" i="43" s="1"/>
  <c r="Y86" i="45"/>
  <c r="Z86" i="45" s="1"/>
  <c r="Y89" i="44"/>
  <c r="Z89" i="44" s="1"/>
  <c r="AC151" i="44"/>
  <c r="I23" i="44"/>
  <c r="I62" i="44"/>
  <c r="J62" i="44" s="1"/>
  <c r="O162" i="45"/>
  <c r="I42" i="44"/>
  <c r="J42" i="44" s="1"/>
  <c r="Y130" i="43"/>
  <c r="Z130" i="43" s="1"/>
  <c r="AC42" i="45"/>
  <c r="AM42" i="45"/>
  <c r="AN42" i="45" s="1"/>
  <c r="I156" i="44"/>
  <c r="J156" i="44" s="1"/>
  <c r="I28" i="44"/>
  <c r="Y41" i="43"/>
  <c r="Z41" i="43" s="1"/>
  <c r="AJ152" i="45"/>
  <c r="AK152" i="45" s="1"/>
  <c r="I40" i="43"/>
  <c r="T40" i="43" s="1"/>
  <c r="U40" i="43" s="1"/>
  <c r="Y120" i="44"/>
  <c r="Z120" i="44" s="1"/>
  <c r="AC151" i="45"/>
  <c r="AJ17" i="45"/>
  <c r="I100" i="6"/>
  <c r="AJ31" i="44"/>
  <c r="AK31" i="44" s="1"/>
  <c r="Y30" i="6"/>
  <c r="Z30" i="6" s="1"/>
  <c r="I40" i="45"/>
  <c r="J40" i="45" s="1"/>
  <c r="AJ19" i="43"/>
  <c r="AK19" i="43" s="1"/>
  <c r="L30" i="45"/>
  <c r="Y32" i="43"/>
  <c r="Z32" i="43" s="1"/>
  <c r="I15" i="6"/>
  <c r="S15" i="6" s="1"/>
  <c r="Y88" i="44"/>
  <c r="Z88" i="44" s="1"/>
  <c r="I124" i="43"/>
  <c r="J124" i="43" s="1"/>
  <c r="AZ27" i="6"/>
  <c r="BA27" i="6" s="1"/>
  <c r="Y99" i="45"/>
  <c r="Z99" i="45" s="1"/>
  <c r="AJ34" i="6"/>
  <c r="AK34" i="6" s="1"/>
  <c r="I40" i="6"/>
  <c r="J40" i="6" s="1"/>
  <c r="I160" i="43"/>
  <c r="Y96" i="44"/>
  <c r="Z96" i="44" s="1"/>
  <c r="AZ37" i="43"/>
  <c r="BA37" i="43" s="1"/>
  <c r="Y70" i="43"/>
  <c r="Z70" i="43" s="1"/>
  <c r="Y18" i="6"/>
  <c r="Z18" i="6" s="1"/>
  <c r="AJ156" i="43"/>
  <c r="AZ17" i="45"/>
  <c r="BA17" i="45" s="1"/>
  <c r="Y36" i="44"/>
  <c r="Z36" i="44" s="1"/>
  <c r="Y91" i="44"/>
  <c r="Z91" i="44" s="1"/>
  <c r="AJ23" i="6"/>
  <c r="AK23" i="6" s="1"/>
  <c r="I40" i="44"/>
  <c r="J40" i="44" s="1"/>
  <c r="AM41" i="45"/>
  <c r="AN41" i="45" s="1"/>
  <c r="AC41" i="45"/>
  <c r="L112" i="6"/>
  <c r="M112" i="6" s="1"/>
  <c r="I56" i="45"/>
  <c r="S56" i="45" s="1"/>
  <c r="Y79" i="44"/>
  <c r="Z79" i="44" s="1"/>
  <c r="AJ35" i="43"/>
  <c r="AK35" i="43" s="1"/>
  <c r="Y79" i="43"/>
  <c r="Z79" i="43" s="1"/>
  <c r="L97" i="43"/>
  <c r="I26" i="44"/>
  <c r="AC34" i="6"/>
  <c r="AM34" i="6"/>
  <c r="AN34" i="6" s="1"/>
  <c r="Y27" i="43"/>
  <c r="Z27" i="43" s="1"/>
  <c r="AJ160" i="6"/>
  <c r="AT160" i="6" s="1"/>
  <c r="AJ153" i="45"/>
  <c r="I107" i="6"/>
  <c r="Y67" i="6"/>
  <c r="Z67" i="6" s="1"/>
  <c r="AM28" i="6"/>
  <c r="AN28" i="6" s="1"/>
  <c r="AC28" i="6"/>
  <c r="AC161" i="44"/>
  <c r="AC19" i="6"/>
  <c r="O158" i="43"/>
  <c r="L75" i="44"/>
  <c r="I17" i="44"/>
  <c r="I154" i="6"/>
  <c r="J154" i="6" s="1"/>
  <c r="AM42" i="44"/>
  <c r="AN42" i="44" s="1"/>
  <c r="AC42" i="44"/>
  <c r="L131" i="43"/>
  <c r="M131" i="43" s="1"/>
  <c r="I43" i="43"/>
  <c r="T43" i="43" s="1"/>
  <c r="U43" i="43" s="1"/>
  <c r="AJ151" i="6"/>
  <c r="AJ160" i="43"/>
  <c r="AT160" i="43" s="1"/>
  <c r="Y43" i="43"/>
  <c r="Z43" i="43" s="1"/>
  <c r="L27" i="45"/>
  <c r="M27" i="45" s="1"/>
  <c r="L124" i="43"/>
  <c r="AJ23" i="45"/>
  <c r="AK23" i="45" s="1"/>
  <c r="I121" i="6"/>
  <c r="AJ40" i="6"/>
  <c r="AK40" i="6" s="1"/>
  <c r="Y22" i="45"/>
  <c r="Z22" i="45" s="1"/>
  <c r="O15" i="45"/>
  <c r="AJ162" i="43"/>
  <c r="AS162" i="43" s="1"/>
  <c r="I85" i="6"/>
  <c r="T85" i="6" s="1"/>
  <c r="U85" i="6" s="1"/>
  <c r="Y92" i="44"/>
  <c r="Z92" i="44" s="1"/>
  <c r="L33" i="43"/>
  <c r="M33" i="43" s="1"/>
  <c r="J33" i="43"/>
  <c r="T33" i="43"/>
  <c r="U33" i="43" s="1"/>
  <c r="AJ34" i="44"/>
  <c r="AK34" i="44" s="1"/>
  <c r="J23" i="43"/>
  <c r="Y34" i="6"/>
  <c r="Z34" i="6" s="1"/>
  <c r="I123" i="44"/>
  <c r="I42" i="43"/>
  <c r="I149" i="44"/>
  <c r="Y98" i="43"/>
  <c r="Z98" i="43" s="1"/>
  <c r="AC161" i="43"/>
  <c r="AJ19" i="45"/>
  <c r="AK19" i="45" s="1"/>
  <c r="AZ37" i="6"/>
  <c r="BA37" i="6" s="1"/>
  <c r="I39" i="44"/>
  <c r="J39" i="44" s="1"/>
  <c r="Y129" i="45"/>
  <c r="Z129" i="45" s="1"/>
  <c r="Y111" i="43"/>
  <c r="Z111" i="43" s="1"/>
  <c r="Y37" i="43"/>
  <c r="Z37" i="43" s="1"/>
  <c r="I63" i="6"/>
  <c r="J63" i="6" s="1"/>
  <c r="Y84" i="43"/>
  <c r="Z84" i="43" s="1"/>
  <c r="AJ159" i="45"/>
  <c r="I38" i="6"/>
  <c r="T38" i="6" s="1"/>
  <c r="U38" i="6" s="1"/>
  <c r="I88" i="44"/>
  <c r="J88" i="44" s="1"/>
  <c r="I162" i="6"/>
  <c r="S162" i="6" s="1"/>
  <c r="I108" i="6"/>
  <c r="J108" i="6" s="1"/>
  <c r="AC156" i="43"/>
  <c r="AK156" i="43"/>
  <c r="I36" i="45"/>
  <c r="J36" i="45" s="1"/>
  <c r="I120" i="44"/>
  <c r="J120" i="44" s="1"/>
  <c r="Y120" i="45"/>
  <c r="Z120" i="45" s="1"/>
  <c r="I102" i="44"/>
  <c r="T102" i="44" s="1"/>
  <c r="U102" i="44" s="1"/>
  <c r="Y128" i="43"/>
  <c r="Z128" i="43" s="1"/>
  <c r="Y76" i="43"/>
  <c r="Z76" i="43" s="1"/>
  <c r="I36" i="44"/>
  <c r="T36" i="44" s="1"/>
  <c r="U36" i="44" s="1"/>
  <c r="I112" i="43"/>
  <c r="T112" i="43" s="1"/>
  <c r="U112" i="43" s="1"/>
  <c r="Y40" i="45"/>
  <c r="Z40" i="45" s="1"/>
  <c r="I68" i="44"/>
  <c r="T68" i="44" s="1"/>
  <c r="U68" i="44" s="1"/>
  <c r="Y77" i="6"/>
  <c r="Z77" i="6" s="1"/>
  <c r="I91" i="44"/>
  <c r="J91" i="44" s="1"/>
  <c r="AJ42" i="6"/>
  <c r="AK42" i="6" s="1"/>
  <c r="I96" i="45"/>
  <c r="J96" i="45" s="1"/>
  <c r="AJ20" i="43"/>
  <c r="AK20" i="43" s="1"/>
  <c r="Y85" i="45"/>
  <c r="Z85" i="45" s="1"/>
  <c r="AB85" i="45" s="1"/>
  <c r="L127" i="43"/>
  <c r="M127" i="43" s="1"/>
  <c r="AZ29" i="45"/>
  <c r="BA29" i="45" s="1"/>
  <c r="I80" i="6"/>
  <c r="Y123" i="6"/>
  <c r="Z123" i="6" s="1"/>
  <c r="Y126" i="43"/>
  <c r="Z126" i="43" s="1"/>
  <c r="Y67" i="45"/>
  <c r="Z67" i="45" s="1"/>
  <c r="Y97" i="6"/>
  <c r="Z97" i="6" s="1"/>
  <c r="L129" i="45"/>
  <c r="Y108" i="43"/>
  <c r="Z108" i="43" s="1"/>
  <c r="AJ21" i="43"/>
  <c r="AK21" i="43" s="1"/>
  <c r="AJ32" i="44"/>
  <c r="AK32" i="44" s="1"/>
  <c r="AH142" i="43"/>
  <c r="AJ24" i="6"/>
  <c r="L32" i="44"/>
  <c r="M32" i="44" s="1"/>
  <c r="AJ156" i="6"/>
  <c r="AK156" i="6" s="1"/>
  <c r="L111" i="43"/>
  <c r="M111" i="43" s="1"/>
  <c r="I122" i="6"/>
  <c r="J122" i="6" s="1"/>
  <c r="Y36" i="45"/>
  <c r="Z36" i="45" s="1"/>
  <c r="I81" i="44"/>
  <c r="T81" i="44" s="1"/>
  <c r="U81" i="44" s="1"/>
  <c r="AZ30" i="6"/>
  <c r="BA30" i="6" s="1"/>
  <c r="AJ23" i="44"/>
  <c r="AK23" i="44" s="1"/>
  <c r="AC153" i="6"/>
  <c r="Y89" i="6"/>
  <c r="Z89" i="6" s="1"/>
  <c r="Y39" i="6"/>
  <c r="Z39" i="6" s="1"/>
  <c r="AJ18" i="43"/>
  <c r="AK18" i="43" s="1"/>
  <c r="O158" i="45"/>
  <c r="AJ160" i="45"/>
  <c r="AT160" i="45" s="1"/>
  <c r="Y124" i="6"/>
  <c r="Z124" i="6" s="1"/>
  <c r="AZ26" i="45"/>
  <c r="BA26" i="45" s="1"/>
  <c r="AJ26" i="44"/>
  <c r="AK26" i="44" s="1"/>
  <c r="I94" i="6"/>
  <c r="T94" i="6" s="1"/>
  <c r="U94" i="6" s="1"/>
  <c r="I98" i="6"/>
  <c r="T98" i="6" s="1"/>
  <c r="U98" i="6" s="1"/>
  <c r="AJ37" i="6"/>
  <c r="AK37" i="6" s="1"/>
  <c r="AC21" i="44"/>
  <c r="AF142" i="6"/>
  <c r="S170" i="45"/>
  <c r="P100" i="6"/>
  <c r="Y93" i="6"/>
  <c r="Z93" i="6" s="1"/>
  <c r="Y68" i="45"/>
  <c r="Z68" i="45" s="1"/>
  <c r="AG142" i="44"/>
  <c r="I126" i="44"/>
  <c r="I87" i="6"/>
  <c r="J87" i="6" s="1"/>
  <c r="AJ140" i="6"/>
  <c r="AI142" i="6"/>
  <c r="Y92" i="43"/>
  <c r="Z92" i="43" s="1"/>
  <c r="I159" i="44"/>
  <c r="S159" i="44" s="1"/>
  <c r="Y101" i="44"/>
  <c r="Z101" i="44" s="1"/>
  <c r="Y69" i="43"/>
  <c r="Z69" i="43" s="1"/>
  <c r="Y63" i="44"/>
  <c r="Z63" i="44" s="1"/>
  <c r="AJ49" i="44"/>
  <c r="AK49" i="44" s="1"/>
  <c r="AC28" i="44"/>
  <c r="AM28" i="44"/>
  <c r="AN28" i="44" s="1"/>
  <c r="Y133" i="45"/>
  <c r="Z133" i="45" s="1"/>
  <c r="AZ24" i="6"/>
  <c r="BA24" i="6" s="1"/>
  <c r="AJ36" i="44"/>
  <c r="AK36" i="44" s="1"/>
  <c r="L130" i="43"/>
  <c r="M130" i="43" s="1"/>
  <c r="L97" i="6"/>
  <c r="AC40" i="45"/>
  <c r="AM40" i="45"/>
  <c r="AN40" i="45" s="1"/>
  <c r="I63" i="43"/>
  <c r="J63" i="43" s="1"/>
  <c r="Q158" i="43"/>
  <c r="AJ41" i="43"/>
  <c r="AK41" i="43" s="1"/>
  <c r="I106" i="44"/>
  <c r="J106" i="44" s="1"/>
  <c r="I24" i="45"/>
  <c r="Y93" i="45"/>
  <c r="Z93" i="45" s="1"/>
  <c r="I101" i="6"/>
  <c r="J101" i="6" s="1"/>
  <c r="AJ154" i="45"/>
  <c r="AK154" i="45" s="1"/>
  <c r="I78" i="43"/>
  <c r="S78" i="43" s="1"/>
  <c r="I97" i="45"/>
  <c r="I21" i="43"/>
  <c r="AJ158" i="6"/>
  <c r="O56" i="45"/>
  <c r="I159" i="43"/>
  <c r="S159" i="43" s="1"/>
  <c r="Y90" i="45"/>
  <c r="Z90" i="45" s="1"/>
  <c r="L127" i="44"/>
  <c r="AJ28" i="6"/>
  <c r="AK28" i="6" s="1"/>
  <c r="AZ39" i="45"/>
  <c r="BA39" i="45" s="1"/>
  <c r="I154" i="45"/>
  <c r="R78" i="45"/>
  <c r="AC155" i="45"/>
  <c r="AR159" i="43"/>
  <c r="Y23" i="44"/>
  <c r="Z23" i="44" s="1"/>
  <c r="AE142" i="43"/>
  <c r="AJ161" i="6"/>
  <c r="AK161" i="6" s="1"/>
  <c r="I27" i="45"/>
  <c r="T27" i="45" s="1"/>
  <c r="U27" i="45" s="1"/>
  <c r="Y18" i="45"/>
  <c r="Z18" i="45" s="1"/>
  <c r="AJ18" i="45"/>
  <c r="AK18" i="45" s="1"/>
  <c r="AJ26" i="45"/>
  <c r="AK26" i="45" s="1"/>
  <c r="AJ33" i="6"/>
  <c r="AK33" i="6" s="1"/>
  <c r="AZ39" i="44"/>
  <c r="BA39" i="44" s="1"/>
  <c r="AJ18" i="44"/>
  <c r="AK18" i="44" s="1"/>
  <c r="Y17" i="45"/>
  <c r="Z17" i="45" s="1"/>
  <c r="R162" i="6"/>
  <c r="AM30" i="43"/>
  <c r="AN30" i="43" s="1"/>
  <c r="AC30" i="43"/>
  <c r="Y73" i="45"/>
  <c r="Z73" i="45" s="1"/>
  <c r="Y75" i="43"/>
  <c r="Z75" i="43" s="1"/>
  <c r="I152" i="45"/>
  <c r="Y40" i="44"/>
  <c r="Z40" i="44" s="1"/>
  <c r="Y27" i="44"/>
  <c r="Z27" i="44" s="1"/>
  <c r="I100" i="44"/>
  <c r="O100" i="44" s="1"/>
  <c r="AZ26" i="43"/>
  <c r="BA26" i="43" s="1"/>
  <c r="AJ16" i="43"/>
  <c r="AK16" i="43" s="1"/>
  <c r="L133" i="43"/>
  <c r="M133" i="43" s="1"/>
  <c r="I125" i="6"/>
  <c r="J125" i="6" s="1"/>
  <c r="L76" i="43"/>
  <c r="Y31" i="44"/>
  <c r="Z31" i="44" s="1"/>
  <c r="Y19" i="6"/>
  <c r="Z19" i="6" s="1"/>
  <c r="T40" i="45"/>
  <c r="U40" i="45" s="1"/>
  <c r="L40" i="45"/>
  <c r="I105" i="43"/>
  <c r="J105" i="43" s="1"/>
  <c r="L126" i="44"/>
  <c r="T126" i="44"/>
  <c r="U126" i="44" s="1"/>
  <c r="J126" i="44"/>
  <c r="AJ38" i="43"/>
  <c r="AK38" i="43" s="1"/>
  <c r="AZ32" i="44"/>
  <c r="BA32" i="44" s="1"/>
  <c r="AJ38" i="44"/>
  <c r="AK38" i="44" s="1"/>
  <c r="I129" i="6"/>
  <c r="J129" i="6" s="1"/>
  <c r="AJ33" i="44"/>
  <c r="AK33" i="44" s="1"/>
  <c r="Y43" i="6"/>
  <c r="Z43" i="6" s="1"/>
  <c r="I108" i="44"/>
  <c r="AZ23" i="6"/>
  <c r="BA23" i="6" s="1"/>
  <c r="AZ35" i="43"/>
  <c r="BA35" i="43" s="1"/>
  <c r="Q78" i="43"/>
  <c r="AC26" i="6"/>
  <c r="AM26" i="6"/>
  <c r="AN26" i="6" s="1"/>
  <c r="Y94" i="44"/>
  <c r="Z94" i="44" s="1"/>
  <c r="Y39" i="44"/>
  <c r="Z39" i="44" s="1"/>
  <c r="L37" i="44"/>
  <c r="M37" i="44" s="1"/>
  <c r="Y38" i="6"/>
  <c r="Z38" i="6" s="1"/>
  <c r="Y82" i="6"/>
  <c r="Z82" i="6" s="1"/>
  <c r="AQ160" i="45"/>
  <c r="L95" i="44"/>
  <c r="M95" i="44" s="1"/>
  <c r="Q160" i="45"/>
  <c r="AM35" i="45"/>
  <c r="AN35" i="45" s="1"/>
  <c r="AC35" i="45"/>
  <c r="AJ31" i="6"/>
  <c r="AK31" i="6" s="1"/>
  <c r="Y67" i="44"/>
  <c r="Z67" i="44" s="1"/>
  <c r="Y83" i="43"/>
  <c r="Z83" i="43" s="1"/>
  <c r="I22" i="45"/>
  <c r="AZ42" i="45"/>
  <c r="BA42" i="45" s="1"/>
  <c r="I178" i="45"/>
  <c r="J178" i="45" s="1"/>
  <c r="AJ39" i="43"/>
  <c r="I112" i="6"/>
  <c r="T112" i="6" s="1"/>
  <c r="U112" i="6" s="1"/>
  <c r="AC24" i="44"/>
  <c r="AM24" i="44"/>
  <c r="AN24" i="44" s="1"/>
  <c r="I70" i="43"/>
  <c r="T70" i="43" s="1"/>
  <c r="U70" i="43" s="1"/>
  <c r="AJ157" i="44"/>
  <c r="AK157" i="44" s="1"/>
  <c r="Y73" i="44"/>
  <c r="Z73" i="44" s="1"/>
  <c r="AR158" i="6"/>
  <c r="AJ161" i="44"/>
  <c r="AK161" i="44" s="1"/>
  <c r="I91" i="6"/>
  <c r="J92" i="6"/>
  <c r="I126" i="45"/>
  <c r="AZ16" i="45"/>
  <c r="BA16" i="45" s="1"/>
  <c r="AJ150" i="43"/>
  <c r="AK150" i="43" s="1"/>
  <c r="AD142" i="43"/>
  <c r="AM142" i="43" s="1"/>
  <c r="AC140" i="43"/>
  <c r="Y89" i="45"/>
  <c r="Z89" i="45" s="1"/>
  <c r="AJ157" i="45"/>
  <c r="AK157" i="45" s="1"/>
  <c r="I95" i="45"/>
  <c r="J95" i="45" s="1"/>
  <c r="I177" i="44"/>
  <c r="T177" i="44" s="1"/>
  <c r="Y177" i="44" s="1"/>
  <c r="I60" i="44"/>
  <c r="J60" i="44" s="1"/>
  <c r="L39" i="43"/>
  <c r="M39" i="43" s="1"/>
  <c r="J39" i="43"/>
  <c r="T39" i="43"/>
  <c r="U39" i="43" s="1"/>
  <c r="O159" i="45"/>
  <c r="Y126" i="44"/>
  <c r="Z126" i="44" s="1"/>
  <c r="Y65" i="45"/>
  <c r="Z65" i="45" s="1"/>
  <c r="AZ25" i="43"/>
  <c r="BA25" i="43" s="1"/>
  <c r="I133" i="6"/>
  <c r="AZ36" i="45"/>
  <c r="BA36" i="45" s="1"/>
  <c r="L97" i="44"/>
  <c r="M97" i="44" s="1"/>
  <c r="AJ156" i="45"/>
  <c r="AK156" i="45" s="1"/>
  <c r="AH142" i="44"/>
  <c r="AC16" i="43"/>
  <c r="AZ23" i="44"/>
  <c r="BA23" i="44" s="1"/>
  <c r="AJ19" i="44"/>
  <c r="AK19" i="44" s="1"/>
  <c r="Y83" i="6"/>
  <c r="Z83" i="6" s="1"/>
  <c r="Y80" i="6"/>
  <c r="Z80" i="6" s="1"/>
  <c r="Y37" i="45"/>
  <c r="Z37" i="45" s="1"/>
  <c r="Y105" i="44"/>
  <c r="Z105" i="44" s="1"/>
  <c r="Y59" i="43"/>
  <c r="Z59" i="43" s="1"/>
  <c r="AZ43" i="44"/>
  <c r="BA43" i="44" s="1"/>
  <c r="AJ151" i="44"/>
  <c r="AK151" i="44" s="1"/>
  <c r="AC157" i="6"/>
  <c r="AC151" i="43"/>
  <c r="Y21" i="45"/>
  <c r="Z21" i="45" s="1"/>
  <c r="Y131" i="43"/>
  <c r="Z131" i="43" s="1"/>
  <c r="AZ21" i="6"/>
  <c r="BA21" i="6" s="1"/>
  <c r="AJ17" i="43"/>
  <c r="AK17" i="43" s="1"/>
  <c r="Y126" i="6"/>
  <c r="Z126" i="6" s="1"/>
  <c r="I127" i="45"/>
  <c r="L30" i="43"/>
  <c r="M30" i="43" s="1"/>
  <c r="I16" i="45"/>
  <c r="J16" i="45" s="1"/>
  <c r="I21" i="44"/>
  <c r="J21" i="44" s="1"/>
  <c r="Y28" i="45"/>
  <c r="Z28" i="45" s="1"/>
  <c r="I85" i="43"/>
  <c r="AJ32" i="45"/>
  <c r="AQ159" i="45"/>
  <c r="L128" i="6"/>
  <c r="M128" i="6" s="1"/>
  <c r="P15" i="43"/>
  <c r="Y97" i="45"/>
  <c r="Z97" i="45" s="1"/>
  <c r="AC27" i="6"/>
  <c r="AM27" i="6"/>
  <c r="AN27" i="6" s="1"/>
  <c r="Y128" i="6"/>
  <c r="Z128" i="6" s="1"/>
  <c r="Y124" i="45"/>
  <c r="Z124" i="45" s="1"/>
  <c r="L34" i="6"/>
  <c r="AC25" i="6"/>
  <c r="AM25" i="6"/>
  <c r="AN25" i="6" s="1"/>
  <c r="L42" i="6"/>
  <c r="M42" i="6" s="1"/>
  <c r="Y74" i="44"/>
  <c r="Z74" i="44" s="1"/>
  <c r="I131" i="6"/>
  <c r="Y71" i="45"/>
  <c r="Z71" i="45" s="1"/>
  <c r="I178" i="6"/>
  <c r="J178" i="6" s="1"/>
  <c r="L120" i="43"/>
  <c r="M120" i="43" s="1"/>
  <c r="J85" i="6"/>
  <c r="AC155" i="43"/>
  <c r="AJ39" i="6"/>
  <c r="AK39" i="6" s="1"/>
  <c r="L41" i="43"/>
  <c r="Y106" i="44"/>
  <c r="Z106" i="44" s="1"/>
  <c r="AB106" i="44" s="1"/>
  <c r="AJ22" i="45"/>
  <c r="AK22" i="45" s="1"/>
  <c r="Y28" i="44"/>
  <c r="Z28" i="44" s="1"/>
  <c r="Y29" i="44"/>
  <c r="Z29" i="44" s="1"/>
  <c r="I56" i="43"/>
  <c r="S56" i="43" s="1"/>
  <c r="I42" i="45"/>
  <c r="J42" i="45" s="1"/>
  <c r="I161" i="6"/>
  <c r="J161" i="6" s="1"/>
  <c r="AZ24" i="43"/>
  <c r="BA24" i="43" s="1"/>
  <c r="AZ33" i="43"/>
  <c r="BA33" i="43" s="1"/>
  <c r="Y94" i="6"/>
  <c r="Z94" i="6" s="1"/>
  <c r="Y105" i="45"/>
  <c r="Z105" i="45" s="1"/>
  <c r="I29" i="45"/>
  <c r="Y88" i="43"/>
  <c r="Z88" i="43" s="1"/>
  <c r="AM38" i="44"/>
  <c r="AN38" i="44" s="1"/>
  <c r="AC38" i="44"/>
  <c r="Y36" i="6"/>
  <c r="Z36" i="6" s="1"/>
  <c r="AJ39" i="45"/>
  <c r="AK39" i="45" s="1"/>
  <c r="AJ23" i="43"/>
  <c r="AP160" i="45"/>
  <c r="AF142" i="44"/>
  <c r="I169" i="44"/>
  <c r="J169" i="44" s="1"/>
  <c r="I122" i="45"/>
  <c r="J122" i="45" s="1"/>
  <c r="R78" i="43"/>
  <c r="I153" i="6"/>
  <c r="AC155" i="44"/>
  <c r="AC28" i="45"/>
  <c r="AM28" i="45"/>
  <c r="AN28" i="45" s="1"/>
  <c r="Y35" i="6"/>
  <c r="Z35" i="6" s="1"/>
  <c r="I122" i="44"/>
  <c r="J122" i="44" s="1"/>
  <c r="AJ18" i="6"/>
  <c r="AK18" i="6" s="1"/>
  <c r="AZ40" i="43"/>
  <c r="BA40" i="43" s="1"/>
  <c r="I130" i="45"/>
  <c r="I159" i="6"/>
  <c r="S159" i="6" s="1"/>
  <c r="AC43" i="44"/>
  <c r="AM43" i="44"/>
  <c r="AN43" i="44" s="1"/>
  <c r="Y98" i="44"/>
  <c r="Z98" i="44" s="1"/>
  <c r="I82" i="6"/>
  <c r="T82" i="6" s="1"/>
  <c r="U82" i="6" s="1"/>
  <c r="I61" i="44"/>
  <c r="Y26" i="44"/>
  <c r="Z26" i="44" s="1"/>
  <c r="Y110" i="6"/>
  <c r="Z110" i="6" s="1"/>
  <c r="AZ40" i="45"/>
  <c r="BA40" i="45" s="1"/>
  <c r="AZ34" i="44"/>
  <c r="BA34" i="44" s="1"/>
  <c r="Y58" i="43"/>
  <c r="Z58" i="43" s="1"/>
  <c r="L76" i="45"/>
  <c r="AZ39" i="6"/>
  <c r="BA39" i="6" s="1"/>
  <c r="AD142" i="6"/>
  <c r="AK140" i="6"/>
  <c r="AC140" i="6"/>
  <c r="J102" i="44"/>
  <c r="Y18" i="44"/>
  <c r="Z18" i="44" s="1"/>
  <c r="AZ19" i="6"/>
  <c r="BA19" i="6" s="1"/>
  <c r="AJ29" i="45"/>
  <c r="AK29" i="45" s="1"/>
  <c r="I92" i="43"/>
  <c r="AJ34" i="43"/>
  <c r="AK34" i="43" s="1"/>
  <c r="Y29" i="6"/>
  <c r="Z29" i="6" s="1"/>
  <c r="AZ33" i="45"/>
  <c r="BA33" i="45" s="1"/>
  <c r="Y16" i="44"/>
  <c r="Z16" i="44" s="1"/>
  <c r="I149" i="6"/>
  <c r="J149" i="6" s="1"/>
  <c r="L38" i="44"/>
  <c r="M38" i="44" s="1"/>
  <c r="I69" i="45"/>
  <c r="J69" i="45" s="1"/>
  <c r="AZ41" i="43"/>
  <c r="BA41" i="43" s="1"/>
  <c r="AJ141" i="6"/>
  <c r="AK141" i="6" s="1"/>
  <c r="Y106" i="6"/>
  <c r="Z106" i="6" s="1"/>
  <c r="AM27" i="43"/>
  <c r="AN27" i="43" s="1"/>
  <c r="AC27" i="43"/>
  <c r="Y107" i="6"/>
  <c r="Z107" i="6" s="1"/>
  <c r="J79" i="43"/>
  <c r="T79" i="43"/>
  <c r="U79" i="43" s="1"/>
  <c r="AJ141" i="43"/>
  <c r="AJ159" i="6"/>
  <c r="AT159" i="6" s="1"/>
  <c r="AZ31" i="43"/>
  <c r="BA31" i="43" s="1"/>
  <c r="L112" i="44"/>
  <c r="I124" i="45"/>
  <c r="J124" i="45" s="1"/>
  <c r="AM35" i="43"/>
  <c r="AN35" i="43" s="1"/>
  <c r="AC35" i="43"/>
  <c r="AZ31" i="45"/>
  <c r="BA31" i="45" s="1"/>
  <c r="AJ19" i="6"/>
  <c r="AK19" i="6" s="1"/>
  <c r="AJ39" i="44"/>
  <c r="AK39" i="44" s="1"/>
  <c r="AC152" i="6"/>
  <c r="I59" i="44"/>
  <c r="T59" i="44" s="1"/>
  <c r="U59" i="44" s="1"/>
  <c r="I130" i="6"/>
  <c r="T130" i="6" s="1"/>
  <c r="U130" i="6" s="1"/>
  <c r="Y92" i="6"/>
  <c r="Z92" i="6" s="1"/>
  <c r="AB92" i="6" s="1"/>
  <c r="Y40" i="43"/>
  <c r="Z40" i="43" s="1"/>
  <c r="L25" i="44"/>
  <c r="I86" i="6"/>
  <c r="I95" i="44"/>
  <c r="T95" i="44" s="1"/>
  <c r="U95" i="44" s="1"/>
  <c r="I157" i="43"/>
  <c r="Y98" i="6"/>
  <c r="Z98" i="6" s="1"/>
  <c r="Y30" i="43"/>
  <c r="Z30" i="43" s="1"/>
  <c r="AJ32" i="43"/>
  <c r="AK32" i="43" s="1"/>
  <c r="I70" i="45"/>
  <c r="T70" i="45" s="1"/>
  <c r="U70" i="45" s="1"/>
  <c r="I41" i="45"/>
  <c r="J41" i="45" s="1"/>
  <c r="T122" i="44"/>
  <c r="U122" i="44" s="1"/>
  <c r="L122" i="44"/>
  <c r="L35" i="45"/>
  <c r="M35" i="45" s="1"/>
  <c r="L125" i="43"/>
  <c r="M125" i="43" s="1"/>
  <c r="L126" i="6"/>
  <c r="M126" i="6" s="1"/>
  <c r="AC49" i="44"/>
  <c r="L35" i="44"/>
  <c r="I37" i="45"/>
  <c r="AC22" i="44"/>
  <c r="BC22" i="44" s="1"/>
  <c r="AJ22" i="6"/>
  <c r="Y127" i="6"/>
  <c r="Z127" i="6" s="1"/>
  <c r="I42" i="6"/>
  <c r="T42" i="6" s="1"/>
  <c r="U42" i="6" s="1"/>
  <c r="O56" i="43"/>
  <c r="Q56" i="43"/>
  <c r="I29" i="44"/>
  <c r="I88" i="6"/>
  <c r="J88" i="6" s="1"/>
  <c r="I41" i="6"/>
  <c r="Y28" i="6"/>
  <c r="Z28" i="6" s="1"/>
  <c r="Y35" i="45"/>
  <c r="Z35" i="45" s="1"/>
  <c r="I152" i="44"/>
  <c r="I126" i="43"/>
  <c r="AZ42" i="44"/>
  <c r="BA42" i="44" s="1"/>
  <c r="L132" i="44"/>
  <c r="Y81" i="45"/>
  <c r="Z81" i="45" s="1"/>
  <c r="AB81" i="45" s="1"/>
  <c r="L32" i="43"/>
  <c r="M32" i="43" s="1"/>
  <c r="AZ19" i="43"/>
  <c r="BA19" i="43" s="1"/>
  <c r="AJ24" i="44"/>
  <c r="AK24" i="44" s="1"/>
  <c r="AS160" i="6"/>
  <c r="I82" i="44"/>
  <c r="Y82" i="43"/>
  <c r="Z82" i="43" s="1"/>
  <c r="AB82" i="43" s="1"/>
  <c r="Y34" i="45"/>
  <c r="Z34" i="45" s="1"/>
  <c r="AR160" i="43"/>
  <c r="AJ153" i="44"/>
  <c r="AK153" i="44" s="1"/>
  <c r="I99" i="6"/>
  <c r="J99" i="6" s="1"/>
  <c r="AZ28" i="45"/>
  <c r="BA28" i="45" s="1"/>
  <c r="AJ49" i="6"/>
  <c r="AK49" i="6" s="1"/>
  <c r="Y76" i="6"/>
  <c r="Z76" i="6" s="1"/>
  <c r="AJ25" i="6"/>
  <c r="AK25" i="6" s="1"/>
  <c r="I102" i="6"/>
  <c r="J102" i="6" s="1"/>
  <c r="Y95" i="43"/>
  <c r="Z95" i="43" s="1"/>
  <c r="Y71" i="6"/>
  <c r="Z71" i="6" s="1"/>
  <c r="Y94" i="45"/>
  <c r="Z94" i="45" s="1"/>
  <c r="AC150" i="44"/>
  <c r="AC18" i="45"/>
  <c r="AP159" i="45"/>
  <c r="Y37" i="6"/>
  <c r="Z37" i="6" s="1"/>
  <c r="Y87" i="43"/>
  <c r="Z87" i="43" s="1"/>
  <c r="Y112" i="6"/>
  <c r="Z112" i="6" s="1"/>
  <c r="AJ42" i="44"/>
  <c r="AK42" i="44" s="1"/>
  <c r="Y21" i="44"/>
  <c r="Z21" i="44" s="1"/>
  <c r="AB21" i="44" s="1"/>
  <c r="AZ42" i="6"/>
  <c r="BA42" i="6" s="1"/>
  <c r="Y72" i="43"/>
  <c r="Z72" i="43" s="1"/>
  <c r="I107" i="45"/>
  <c r="T107" i="45" s="1"/>
  <c r="U107" i="45" s="1"/>
  <c r="Y104" i="45"/>
  <c r="Z104" i="45" s="1"/>
  <c r="I155" i="43"/>
  <c r="J155" i="43" s="1"/>
  <c r="Y91" i="43"/>
  <c r="Z91" i="43" s="1"/>
  <c r="AM43" i="43"/>
  <c r="AN43" i="43" s="1"/>
  <c r="AC43" i="43"/>
  <c r="I23" i="6"/>
  <c r="T23" i="6" s="1"/>
  <c r="U23" i="6" s="1"/>
  <c r="AJ38" i="45"/>
  <c r="AK38" i="45" s="1"/>
  <c r="L133" i="45"/>
  <c r="AJ25" i="45"/>
  <c r="AK25" i="45" s="1"/>
  <c r="I154" i="43"/>
  <c r="J154" i="43" s="1"/>
  <c r="AS159" i="44"/>
  <c r="AS159" i="6"/>
  <c r="AJ161" i="43"/>
  <c r="AK161" i="43" s="1"/>
  <c r="Y127" i="44"/>
  <c r="Z127" i="44" s="1"/>
  <c r="AZ34" i="45"/>
  <c r="BA34" i="45" s="1"/>
  <c r="Y70" i="44"/>
  <c r="Z70" i="44" s="1"/>
  <c r="L42" i="45"/>
  <c r="I28" i="45"/>
  <c r="Y82" i="44"/>
  <c r="Z82" i="44" s="1"/>
  <c r="AE142" i="6"/>
  <c r="Y126" i="45"/>
  <c r="Z126" i="45" s="1"/>
  <c r="AJ43" i="43"/>
  <c r="AK43" i="43" s="1"/>
  <c r="Y112" i="44"/>
  <c r="Z112" i="44" s="1"/>
  <c r="I105" i="44"/>
  <c r="J105" i="44" s="1"/>
  <c r="Q78" i="45"/>
  <c r="I36" i="6"/>
  <c r="Y30" i="44"/>
  <c r="Z30" i="44" s="1"/>
  <c r="AZ40" i="6"/>
  <c r="BA40" i="6" s="1"/>
  <c r="L178" i="6"/>
  <c r="AB178" i="6" s="1"/>
  <c r="AZ20" i="44"/>
  <c r="BA20" i="44" s="1"/>
  <c r="AJ153" i="43"/>
  <c r="Y98" i="45"/>
  <c r="Z98" i="45" s="1"/>
  <c r="AJ156" i="44"/>
  <c r="AK156" i="44" s="1"/>
  <c r="Y87" i="45"/>
  <c r="Z87" i="45" s="1"/>
  <c r="AB87" i="45" s="1"/>
  <c r="AJ36" i="43"/>
  <c r="AK36" i="43" s="1"/>
  <c r="AZ19" i="45"/>
  <c r="BA19" i="45" s="1"/>
  <c r="I93" i="43"/>
  <c r="AZ152" i="45"/>
  <c r="BA152" i="45" s="1"/>
  <c r="AC152" i="45"/>
  <c r="Y112" i="45"/>
  <c r="Z112" i="45" s="1"/>
  <c r="Y122" i="45"/>
  <c r="Z122" i="45" s="1"/>
  <c r="I77" i="43"/>
  <c r="T77" i="43" s="1"/>
  <c r="U77" i="43" s="1"/>
  <c r="AJ152" i="43"/>
  <c r="AK152" i="43" s="1"/>
  <c r="Y101" i="45"/>
  <c r="Z101" i="45" s="1"/>
  <c r="I38" i="43"/>
  <c r="J38" i="43" s="1"/>
  <c r="Y69" i="45"/>
  <c r="Z69" i="45" s="1"/>
  <c r="AZ25" i="6"/>
  <c r="BA25" i="6" s="1"/>
  <c r="L34" i="45"/>
  <c r="I151" i="6"/>
  <c r="J151" i="6" s="1"/>
  <c r="I94" i="44"/>
  <c r="I75" i="45"/>
  <c r="AC157" i="45"/>
  <c r="I41" i="44"/>
  <c r="T41" i="44" s="1"/>
  <c r="U41" i="44" s="1"/>
  <c r="Y32" i="45"/>
  <c r="Z32" i="45" s="1"/>
  <c r="J43" i="43"/>
  <c r="L43" i="43"/>
  <c r="AJ141" i="45"/>
  <c r="AZ43" i="6"/>
  <c r="BA43" i="6" s="1"/>
  <c r="AJ20" i="45"/>
  <c r="AK20" i="45" s="1"/>
  <c r="Y67" i="43"/>
  <c r="Z67" i="43" s="1"/>
  <c r="AJ157" i="6"/>
  <c r="AK157" i="6" s="1"/>
  <c r="I121" i="44"/>
  <c r="AZ22" i="43"/>
  <c r="BA22" i="43" s="1"/>
  <c r="Y42" i="43"/>
  <c r="Z42" i="43" s="1"/>
  <c r="AJ28" i="43"/>
  <c r="AK28" i="43" s="1"/>
  <c r="Y25" i="6"/>
  <c r="Z25" i="6" s="1"/>
  <c r="I22" i="43"/>
  <c r="J22" i="43" s="1"/>
  <c r="Y35" i="43"/>
  <c r="Z35" i="43" s="1"/>
  <c r="Y66" i="43"/>
  <c r="Z66" i="43" s="1"/>
  <c r="AZ18" i="6"/>
  <c r="BA18" i="6" s="1"/>
  <c r="AJ41" i="45"/>
  <c r="AK41" i="45" s="1"/>
  <c r="Y123" i="45"/>
  <c r="Z123" i="45" s="1"/>
  <c r="AC149" i="6"/>
  <c r="L31" i="6"/>
  <c r="M31" i="6" s="1"/>
  <c r="Y113" i="44"/>
  <c r="Z113" i="44" s="1"/>
  <c r="AM41" i="43"/>
  <c r="AN41" i="43" s="1"/>
  <c r="AC41" i="43"/>
  <c r="Y113" i="6"/>
  <c r="Z113" i="6" s="1"/>
  <c r="AP159" i="44"/>
  <c r="Y68" i="44"/>
  <c r="Z68" i="44" s="1"/>
  <c r="I58" i="45"/>
  <c r="I28" i="43"/>
  <c r="Y83" i="45"/>
  <c r="Z83" i="45" s="1"/>
  <c r="AB83" i="45" s="1"/>
  <c r="AM35" i="6"/>
  <c r="AN35" i="6" s="1"/>
  <c r="AC35" i="6"/>
  <c r="I18" i="45"/>
  <c r="Y83" i="44"/>
  <c r="Z83" i="44" s="1"/>
  <c r="Y96" i="6"/>
  <c r="Z96" i="6" s="1"/>
  <c r="Y111" i="45"/>
  <c r="Z111" i="45" s="1"/>
  <c r="I49" i="44"/>
  <c r="I19" i="44"/>
  <c r="J19" i="44" s="1"/>
  <c r="Y132" i="6"/>
  <c r="Z132" i="6" s="1"/>
  <c r="Y43" i="45"/>
  <c r="Z43" i="45" s="1"/>
  <c r="AJ29" i="44"/>
  <c r="AK29" i="44" s="1"/>
  <c r="AZ36" i="6"/>
  <c r="BA36" i="6" s="1"/>
  <c r="Y109" i="6"/>
  <c r="Z109" i="6" s="1"/>
  <c r="AC28" i="43"/>
  <c r="AM28" i="43"/>
  <c r="AN28" i="43" s="1"/>
  <c r="AJ140" i="45"/>
  <c r="AI142" i="45"/>
  <c r="I74" i="6"/>
  <c r="J74" i="6" s="1"/>
  <c r="AC18" i="6"/>
  <c r="Y99" i="6"/>
  <c r="Z99" i="6" s="1"/>
  <c r="R160" i="43"/>
  <c r="I111" i="45"/>
  <c r="J111" i="45" s="1"/>
  <c r="I35" i="44"/>
  <c r="J35" i="44" s="1"/>
  <c r="L132" i="43"/>
  <c r="AJ27" i="43"/>
  <c r="AK27" i="43" s="1"/>
  <c r="Y108" i="44"/>
  <c r="Z108" i="44" s="1"/>
  <c r="AZ28" i="44"/>
  <c r="BA28" i="44" s="1"/>
  <c r="J153" i="6"/>
  <c r="T153" i="6"/>
  <c r="U153" i="6" s="1"/>
  <c r="Y153" i="6"/>
  <c r="Z153" i="6" s="1"/>
  <c r="I98" i="43"/>
  <c r="J98" i="43" s="1"/>
  <c r="T169" i="44"/>
  <c r="Y169" i="44" s="1"/>
  <c r="AB169" i="44" s="1"/>
  <c r="AZ16" i="44"/>
  <c r="BA16" i="44" s="1"/>
  <c r="I178" i="44"/>
  <c r="J178" i="44" s="1"/>
  <c r="Y84" i="45"/>
  <c r="Z84" i="45" s="1"/>
  <c r="AB84" i="45" s="1"/>
  <c r="Y131" i="6"/>
  <c r="Z131" i="6" s="1"/>
  <c r="AZ39" i="43"/>
  <c r="BA39" i="43" s="1"/>
  <c r="AC49" i="43"/>
  <c r="AC20" i="6"/>
  <c r="I15" i="45"/>
  <c r="S15" i="45" s="1"/>
  <c r="L38" i="6"/>
  <c r="M38" i="6" s="1"/>
  <c r="J38" i="6"/>
  <c r="AQ162" i="45"/>
  <c r="L124" i="6"/>
  <c r="M124" i="6" s="1"/>
  <c r="L77" i="6"/>
  <c r="T84" i="44"/>
  <c r="U84" i="44" s="1"/>
  <c r="Y16" i="45"/>
  <c r="Z16" i="45" s="1"/>
  <c r="AB16" i="45" s="1"/>
  <c r="AJ155" i="6"/>
  <c r="AK155" i="6" s="1"/>
  <c r="Y23" i="43"/>
  <c r="Z23" i="43" s="1"/>
  <c r="AB23" i="43" s="1"/>
  <c r="L36" i="45"/>
  <c r="T36" i="45"/>
  <c r="U36" i="45" s="1"/>
  <c r="AZ41" i="45"/>
  <c r="BA41" i="45" s="1"/>
  <c r="Y81" i="6"/>
  <c r="Z81" i="6" s="1"/>
  <c r="Q15" i="43"/>
  <c r="AI142" i="43"/>
  <c r="AJ140" i="43"/>
  <c r="I67" i="6"/>
  <c r="J67" i="6" s="1"/>
  <c r="Y133" i="6"/>
  <c r="Z133" i="6" s="1"/>
  <c r="AZ31" i="6"/>
  <c r="BA31" i="6" s="1"/>
  <c r="AJ20" i="44"/>
  <c r="AK20" i="44" s="1"/>
  <c r="L125" i="6"/>
  <c r="T125" i="6"/>
  <c r="U125" i="6" s="1"/>
  <c r="AJ155" i="45"/>
  <c r="AK155" i="45" s="1"/>
  <c r="AZ38" i="6"/>
  <c r="BA38" i="6" s="1"/>
  <c r="I37" i="43"/>
  <c r="T37" i="43" s="1"/>
  <c r="U37" i="43" s="1"/>
  <c r="Y108" i="6"/>
  <c r="Z108" i="6" s="1"/>
  <c r="AB108" i="6" s="1"/>
  <c r="Y41" i="6"/>
  <c r="Z41" i="6" s="1"/>
  <c r="P15" i="6"/>
  <c r="L39" i="6"/>
  <c r="M39" i="6" s="1"/>
  <c r="AZ23" i="45"/>
  <c r="BA23" i="45" s="1"/>
  <c r="L32" i="45"/>
  <c r="Y29" i="45"/>
  <c r="Z29" i="45" s="1"/>
  <c r="I74" i="45"/>
  <c r="I151" i="43"/>
  <c r="J151" i="43" s="1"/>
  <c r="AK43" i="45"/>
  <c r="AC43" i="45"/>
  <c r="AM43" i="45"/>
  <c r="AN43" i="45" s="1"/>
  <c r="L37" i="43"/>
  <c r="M37" i="43" s="1"/>
  <c r="I89" i="43"/>
  <c r="AJ40" i="44"/>
  <c r="AK40" i="44" s="1"/>
  <c r="AC154" i="45"/>
  <c r="Y123" i="44"/>
  <c r="Z123" i="44" s="1"/>
  <c r="AJ30" i="6"/>
  <c r="AK30" i="6" s="1"/>
  <c r="Y104" i="44"/>
  <c r="Z104" i="44" s="1"/>
  <c r="J74" i="45"/>
  <c r="T74" i="45"/>
  <c r="U74" i="45" s="1"/>
  <c r="L74" i="45"/>
  <c r="M74" i="45" s="1"/>
  <c r="AJ49" i="43"/>
  <c r="AK49" i="43" s="1"/>
  <c r="I99" i="44"/>
  <c r="Y124" i="44"/>
  <c r="Z124" i="44" s="1"/>
  <c r="L32" i="6"/>
  <c r="Y84" i="44"/>
  <c r="Z84" i="44" s="1"/>
  <c r="AB84" i="44" s="1"/>
  <c r="AC150" i="6"/>
  <c r="AM34" i="43"/>
  <c r="AN34" i="43" s="1"/>
  <c r="AC34" i="43"/>
  <c r="O78" i="45"/>
  <c r="L37" i="45"/>
  <c r="T37" i="45"/>
  <c r="U37" i="45" s="1"/>
  <c r="J37" i="45"/>
  <c r="P37" i="45" s="1"/>
  <c r="Y121" i="44"/>
  <c r="Z121" i="44" s="1"/>
  <c r="I30" i="45"/>
  <c r="T30" i="45" s="1"/>
  <c r="U30" i="45" s="1"/>
  <c r="L36" i="44"/>
  <c r="J36" i="44"/>
  <c r="L24" i="44"/>
  <c r="AC35" i="44"/>
  <c r="AM35" i="44"/>
  <c r="AN35" i="44" s="1"/>
  <c r="I74" i="44"/>
  <c r="T74" i="44" s="1"/>
  <c r="U74" i="44" s="1"/>
  <c r="O15" i="43"/>
  <c r="L40" i="44"/>
  <c r="T40" i="44"/>
  <c r="U40" i="44" s="1"/>
  <c r="Y61" i="44"/>
  <c r="Z61" i="44" s="1"/>
  <c r="AJ27" i="6"/>
  <c r="AK27" i="6" s="1"/>
  <c r="I113" i="6"/>
  <c r="L38" i="45"/>
  <c r="M38" i="45" s="1"/>
  <c r="AE142" i="44"/>
  <c r="AZ28" i="6"/>
  <c r="BA28" i="6" s="1"/>
  <c r="I60" i="6"/>
  <c r="J60" i="6" s="1"/>
  <c r="I80" i="43"/>
  <c r="I129" i="43"/>
  <c r="I49" i="45"/>
  <c r="J49" i="45" s="1"/>
  <c r="Y38" i="45"/>
  <c r="Z38" i="45" s="1"/>
  <c r="O100" i="6"/>
  <c r="Y59" i="6"/>
  <c r="Z59" i="6" s="1"/>
  <c r="Y71" i="44"/>
  <c r="Z71" i="44" s="1"/>
  <c r="AZ18" i="45"/>
  <c r="BA18" i="45" s="1"/>
  <c r="L178" i="44"/>
  <c r="AB178" i="44" s="1"/>
  <c r="Y87" i="44"/>
  <c r="Z87" i="44" s="1"/>
  <c r="Y131" i="44"/>
  <c r="Z131" i="44" s="1"/>
  <c r="AP159" i="6"/>
  <c r="P78" i="45"/>
  <c r="AZ42" i="43"/>
  <c r="BA42" i="43" s="1"/>
  <c r="AJ35" i="6"/>
  <c r="AK35" i="6" s="1"/>
  <c r="AQ160" i="43"/>
  <c r="Y89" i="43"/>
  <c r="Z89" i="43" s="1"/>
  <c r="Y127" i="45"/>
  <c r="Z127" i="45" s="1"/>
  <c r="AC151" i="6"/>
  <c r="AK151" i="6"/>
  <c r="Y92" i="45"/>
  <c r="Z92" i="45" s="1"/>
  <c r="I111" i="6"/>
  <c r="J111" i="6" s="1"/>
  <c r="AS162" i="45"/>
  <c r="Y25" i="44"/>
  <c r="Z25" i="44" s="1"/>
  <c r="AZ21" i="44"/>
  <c r="BA21" i="44" s="1"/>
  <c r="Y39" i="43"/>
  <c r="Z39" i="43" s="1"/>
  <c r="AC149" i="44"/>
  <c r="AC15" i="45"/>
  <c r="L123" i="6"/>
  <c r="AJ28" i="45"/>
  <c r="AK28" i="45" s="1"/>
  <c r="AR28" i="45" s="1"/>
  <c r="AZ153" i="45"/>
  <c r="BA153" i="45" s="1"/>
  <c r="AC153" i="45"/>
  <c r="AK153" i="45"/>
  <c r="Y60" i="6"/>
  <c r="Z60" i="6" s="1"/>
  <c r="AZ43" i="45"/>
  <c r="BA43" i="45" s="1"/>
  <c r="Y23" i="6"/>
  <c r="Z23" i="6" s="1"/>
  <c r="I25" i="6"/>
  <c r="J25" i="6" s="1"/>
  <c r="I101" i="45"/>
  <c r="T101" i="45" s="1"/>
  <c r="U101" i="45" s="1"/>
  <c r="AZ18" i="44"/>
  <c r="BA18" i="44" s="1"/>
  <c r="AJ31" i="43"/>
  <c r="AK31" i="43" s="1"/>
  <c r="Y106" i="43"/>
  <c r="Z106" i="43" s="1"/>
  <c r="AR159" i="6"/>
  <c r="Y61" i="45"/>
  <c r="Z61" i="45" s="1"/>
  <c r="AB61" i="45" s="1"/>
  <c r="Y42" i="6"/>
  <c r="Z42" i="6" s="1"/>
  <c r="AJ41" i="6"/>
  <c r="AK41" i="6" s="1"/>
  <c r="I72" i="45"/>
  <c r="J72" i="45" s="1"/>
  <c r="L123" i="43"/>
  <c r="I93" i="44"/>
  <c r="J93" i="44" s="1"/>
  <c r="AZ31" i="44"/>
  <c r="BA31" i="44" s="1"/>
  <c r="AC33" i="44"/>
  <c r="AM33" i="44"/>
  <c r="AN33" i="44" s="1"/>
  <c r="AZ34" i="43"/>
  <c r="BA34" i="43" s="1"/>
  <c r="AJ17" i="6"/>
  <c r="AK17" i="6" s="1"/>
  <c r="Q56" i="45"/>
  <c r="I111" i="43"/>
  <c r="J111" i="43" s="1"/>
  <c r="AZ34" i="6"/>
  <c r="BA34" i="6" s="1"/>
  <c r="Y103" i="44"/>
  <c r="Z103" i="44" s="1"/>
  <c r="I68" i="43"/>
  <c r="J68" i="43" s="1"/>
  <c r="AG142" i="43"/>
  <c r="I74" i="43"/>
  <c r="J74" i="43" s="1"/>
  <c r="Y20" i="44"/>
  <c r="Z20" i="44" s="1"/>
  <c r="AP15" i="45"/>
  <c r="I58" i="44"/>
  <c r="T58" i="44" s="1"/>
  <c r="U58" i="44" s="1"/>
  <c r="Y26" i="6"/>
  <c r="Z26" i="6" s="1"/>
  <c r="AJ35" i="45"/>
  <c r="AK35" i="45" s="1"/>
  <c r="Y76" i="45"/>
  <c r="Z76" i="45" s="1"/>
  <c r="L28" i="6"/>
  <c r="Y121" i="6"/>
  <c r="Z121" i="6" s="1"/>
  <c r="Y102" i="45"/>
  <c r="Z102" i="45" s="1"/>
  <c r="I169" i="45"/>
  <c r="T169" i="45" s="1"/>
  <c r="Y169" i="45" s="1"/>
  <c r="Y66" i="44"/>
  <c r="Z66" i="44" s="1"/>
  <c r="J152" i="45"/>
  <c r="T152" i="45"/>
  <c r="U152" i="45" s="1"/>
  <c r="Y23" i="45"/>
  <c r="Z23" i="45" s="1"/>
  <c r="AI142" i="44"/>
  <c r="AJ140" i="44"/>
  <c r="L124" i="44"/>
  <c r="AJ29" i="6"/>
  <c r="AK29" i="6" s="1"/>
  <c r="I39" i="45"/>
  <c r="I25" i="44"/>
  <c r="J25" i="44" s="1"/>
  <c r="Y66" i="6"/>
  <c r="Z66" i="6" s="1"/>
  <c r="AC38" i="6"/>
  <c r="AM38" i="6"/>
  <c r="AN38" i="6" s="1"/>
  <c r="Y42" i="45"/>
  <c r="Z42" i="45" s="1"/>
  <c r="AJ30" i="45"/>
  <c r="AK30" i="45" s="1"/>
  <c r="I56" i="6"/>
  <c r="S56" i="6" s="1"/>
  <c r="R15" i="6"/>
  <c r="I57" i="6"/>
  <c r="J57" i="6" s="1"/>
  <c r="I39" i="6"/>
  <c r="T39" i="6" s="1"/>
  <c r="U39" i="6" s="1"/>
  <c r="AJ150" i="6"/>
  <c r="AK150" i="6" s="1"/>
  <c r="Y40" i="6"/>
  <c r="Z40" i="6" s="1"/>
  <c r="I71" i="6"/>
  <c r="J71" i="6" s="1"/>
  <c r="AZ24" i="44"/>
  <c r="BA24" i="44" s="1"/>
  <c r="AZ27" i="45"/>
  <c r="BA27" i="45" s="1"/>
  <c r="Y63" i="45"/>
  <c r="Z63" i="45" s="1"/>
  <c r="AM32" i="6"/>
  <c r="AN32" i="6" s="1"/>
  <c r="AC32" i="6"/>
  <c r="AJ15" i="44"/>
  <c r="AT15" i="44" s="1"/>
  <c r="L127" i="45"/>
  <c r="J127" i="45"/>
  <c r="T127" i="45"/>
  <c r="U127" i="45" s="1"/>
  <c r="AZ25" i="44"/>
  <c r="BA25" i="44" s="1"/>
  <c r="I15" i="44"/>
  <c r="S15" i="44" s="1"/>
  <c r="I132" i="43"/>
  <c r="J132" i="43" s="1"/>
  <c r="AJ15" i="43"/>
  <c r="AT15" i="43" s="1"/>
  <c r="T62" i="44"/>
  <c r="U62" i="44" s="1"/>
  <c r="AF142" i="45"/>
  <c r="L41" i="6"/>
  <c r="T41" i="6"/>
  <c r="U41" i="6" s="1"/>
  <c r="J41" i="6"/>
  <c r="I123" i="45"/>
  <c r="T123" i="45" s="1"/>
  <c r="U123" i="45" s="1"/>
  <c r="Q159" i="6"/>
  <c r="AJ152" i="44"/>
  <c r="AZ152" i="44" s="1"/>
  <c r="BA152" i="44" s="1"/>
  <c r="BC152" i="44" s="1"/>
  <c r="L27" i="6"/>
  <c r="M27" i="6" s="1"/>
  <c r="AM26" i="45"/>
  <c r="AN26" i="45" s="1"/>
  <c r="AC26" i="45"/>
  <c r="I84" i="6"/>
  <c r="J84" i="6" s="1"/>
  <c r="AJ31" i="45"/>
  <c r="AK31" i="45" s="1"/>
  <c r="Y64" i="44"/>
  <c r="Z64" i="44" s="1"/>
  <c r="AJ24" i="45"/>
  <c r="AK24" i="45" s="1"/>
  <c r="Y112" i="43"/>
  <c r="Z112" i="43" s="1"/>
  <c r="AJ160" i="44"/>
  <c r="AT160" i="44" s="1"/>
  <c r="L111" i="45"/>
  <c r="T111" i="45"/>
  <c r="U111" i="45" s="1"/>
  <c r="L76" i="6"/>
  <c r="M76" i="6" s="1"/>
  <c r="I31" i="44"/>
  <c r="T31" i="44" s="1"/>
  <c r="U31" i="44" s="1"/>
  <c r="S170" i="43"/>
  <c r="L77" i="43"/>
  <c r="M77" i="43" s="1"/>
  <c r="J77" i="43"/>
  <c r="I158" i="44"/>
  <c r="S158" i="44" s="1"/>
  <c r="I87" i="43"/>
  <c r="T87" i="43" s="1"/>
  <c r="U87" i="43" s="1"/>
  <c r="I79" i="6"/>
  <c r="J79" i="6" s="1"/>
  <c r="J149" i="44"/>
  <c r="T149" i="44"/>
  <c r="U149" i="44" s="1"/>
  <c r="AH142" i="45"/>
  <c r="AM33" i="6"/>
  <c r="AN33" i="6" s="1"/>
  <c r="AC33" i="6"/>
  <c r="Y86" i="43"/>
  <c r="Z86" i="43" s="1"/>
  <c r="I100" i="43"/>
  <c r="AJ21" i="45"/>
  <c r="AK21" i="45" s="1"/>
  <c r="I105" i="45"/>
  <c r="T105" i="45" s="1"/>
  <c r="U105" i="45" s="1"/>
  <c r="AJ162" i="44"/>
  <c r="AT162" i="44" s="1"/>
  <c r="Y24" i="45"/>
  <c r="Z24" i="45" s="1"/>
  <c r="AC41" i="44"/>
  <c r="AM41" i="44"/>
  <c r="AN41" i="44" s="1"/>
  <c r="I86" i="44"/>
  <c r="Y19" i="43"/>
  <c r="Z19" i="43" s="1"/>
  <c r="L36" i="43"/>
  <c r="M36" i="43" s="1"/>
  <c r="Y132" i="45"/>
  <c r="Z132" i="45" s="1"/>
  <c r="AJ162" i="6"/>
  <c r="AR162" i="6" s="1"/>
  <c r="Y42" i="44"/>
  <c r="Z42" i="44" s="1"/>
  <c r="I49" i="43"/>
  <c r="J49" i="43" s="1"/>
  <c r="Y77" i="44"/>
  <c r="Z77" i="44" s="1"/>
  <c r="AM36" i="45"/>
  <c r="AN36" i="45" s="1"/>
  <c r="AC36" i="45"/>
  <c r="T92" i="43"/>
  <c r="U92" i="43" s="1"/>
  <c r="J92" i="43"/>
  <c r="I76" i="43"/>
  <c r="J76" i="43" s="1"/>
  <c r="I66" i="43"/>
  <c r="T66" i="43" s="1"/>
  <c r="U66" i="43" s="1"/>
  <c r="AZ26" i="6"/>
  <c r="BA26" i="6" s="1"/>
  <c r="AC33" i="45"/>
  <c r="AM33" i="45"/>
  <c r="AN33" i="45" s="1"/>
  <c r="AS160" i="45"/>
  <c r="I61" i="6"/>
  <c r="J61" i="6" s="1"/>
  <c r="I62" i="6"/>
  <c r="J62" i="6" s="1"/>
  <c r="I104" i="44"/>
  <c r="J104" i="44" s="1"/>
  <c r="I123" i="43"/>
  <c r="T123" i="43" s="1"/>
  <c r="U123" i="43" s="1"/>
  <c r="Y17" i="44"/>
  <c r="Z17" i="44" s="1"/>
  <c r="L178" i="45"/>
  <c r="AB178" i="45" s="1"/>
  <c r="Y36" i="43"/>
  <c r="Z36" i="43" s="1"/>
  <c r="I101" i="43"/>
  <c r="J101" i="43" s="1"/>
  <c r="AM31" i="44"/>
  <c r="AN31" i="44" s="1"/>
  <c r="AC31" i="44"/>
  <c r="I97" i="44"/>
  <c r="J97" i="44" s="1"/>
  <c r="I109" i="43"/>
  <c r="T109" i="43" s="1"/>
  <c r="U109" i="43" s="1"/>
  <c r="T60" i="6"/>
  <c r="U60" i="6" s="1"/>
  <c r="Y90" i="44"/>
  <c r="Z90" i="44" s="1"/>
  <c r="I94" i="45"/>
  <c r="T94" i="45" s="1"/>
  <c r="U94" i="45" s="1"/>
  <c r="I110" i="43"/>
  <c r="T110" i="43" s="1"/>
  <c r="U110" i="43" s="1"/>
  <c r="I93" i="45"/>
  <c r="T93" i="45" s="1"/>
  <c r="U93" i="45" s="1"/>
  <c r="L120" i="45"/>
  <c r="M120" i="45" s="1"/>
  <c r="I113" i="44"/>
  <c r="T113" i="44" s="1"/>
  <c r="U113" i="44" s="1"/>
  <c r="Y113" i="45"/>
  <c r="Z113" i="45" s="1"/>
  <c r="Y60" i="43"/>
  <c r="Z60" i="43" s="1"/>
  <c r="I157" i="44"/>
  <c r="T157" i="44" s="1"/>
  <c r="U157" i="44" s="1"/>
  <c r="I127" i="43"/>
  <c r="T127" i="43" s="1"/>
  <c r="U127" i="43" s="1"/>
  <c r="I111" i="44"/>
  <c r="J111" i="44" s="1"/>
  <c r="L96" i="44"/>
  <c r="M96" i="44" s="1"/>
  <c r="I101" i="44"/>
  <c r="J101" i="44" s="1"/>
  <c r="Y88" i="6"/>
  <c r="Z88" i="6" s="1"/>
  <c r="AB88" i="6" s="1"/>
  <c r="I78" i="44"/>
  <c r="S78" i="44" s="1"/>
  <c r="AC49" i="45"/>
  <c r="I16" i="6"/>
  <c r="J16" i="6" s="1"/>
  <c r="P15" i="44"/>
  <c r="AJ149" i="44"/>
  <c r="AK149" i="44" s="1"/>
  <c r="AC30" i="6"/>
  <c r="AM30" i="6"/>
  <c r="AN30" i="6" s="1"/>
  <c r="AJ15" i="6"/>
  <c r="AS15" i="6" s="1"/>
  <c r="I58" i="6"/>
  <c r="Q15" i="6"/>
  <c r="Y86" i="44"/>
  <c r="Z86" i="44" s="1"/>
  <c r="I159" i="45"/>
  <c r="S159" i="45" s="1"/>
  <c r="Y75" i="45"/>
  <c r="Z75" i="45" s="1"/>
  <c r="AZ19" i="44"/>
  <c r="BA19" i="44" s="1"/>
  <c r="I106" i="6"/>
  <c r="T106" i="6" s="1"/>
  <c r="U106" i="6" s="1"/>
  <c r="AS160" i="43"/>
  <c r="AZ32" i="6"/>
  <c r="BA32" i="6" s="1"/>
  <c r="I26" i="43"/>
  <c r="T26" i="43" s="1"/>
  <c r="U26" i="43" s="1"/>
  <c r="J94" i="6"/>
  <c r="AM31" i="45"/>
  <c r="AN31" i="45" s="1"/>
  <c r="AC31" i="45"/>
  <c r="Y19" i="45"/>
  <c r="Z19" i="45" s="1"/>
  <c r="AJ32" i="6"/>
  <c r="AK32" i="6" s="1"/>
  <c r="AJ16" i="6"/>
  <c r="AK16" i="6" s="1"/>
  <c r="I131" i="44"/>
  <c r="I156" i="45"/>
  <c r="T156" i="45" s="1"/>
  <c r="U156" i="45" s="1"/>
  <c r="AJ149" i="45"/>
  <c r="AK149" i="45" s="1"/>
  <c r="I49" i="6"/>
  <c r="T49" i="6" s="1"/>
  <c r="U49" i="6" s="1"/>
  <c r="P100" i="45"/>
  <c r="AP160" i="43"/>
  <c r="I156" i="43"/>
  <c r="J156" i="43" s="1"/>
  <c r="Y86" i="6"/>
  <c r="Z86" i="6" s="1"/>
  <c r="I43" i="44"/>
  <c r="J43" i="44" s="1"/>
  <c r="I151" i="44"/>
  <c r="T151" i="44" s="1"/>
  <c r="U151" i="44" s="1"/>
  <c r="I71" i="43"/>
  <c r="J71" i="43" s="1"/>
  <c r="I154" i="44"/>
  <c r="Y24" i="44"/>
  <c r="Z24" i="44" s="1"/>
  <c r="AJ40" i="43"/>
  <c r="AK40" i="43" s="1"/>
  <c r="Y125" i="45"/>
  <c r="Z125" i="45" s="1"/>
  <c r="Y70" i="6"/>
  <c r="Z70" i="6" s="1"/>
  <c r="I68" i="45"/>
  <c r="T68" i="45" s="1"/>
  <c r="U68" i="45" s="1"/>
  <c r="L25" i="6"/>
  <c r="M25" i="6" s="1"/>
  <c r="I113" i="43"/>
  <c r="T113" i="43" s="1"/>
  <c r="U113" i="43" s="1"/>
  <c r="AC20" i="43"/>
  <c r="I75" i="44"/>
  <c r="J75" i="44" s="1"/>
  <c r="I130" i="43"/>
  <c r="T130" i="43" s="1"/>
  <c r="U130" i="43" s="1"/>
  <c r="I38" i="44"/>
  <c r="T38" i="44" s="1"/>
  <c r="U38" i="44" s="1"/>
  <c r="P159" i="6"/>
  <c r="J68" i="44"/>
  <c r="I128" i="43"/>
  <c r="T128" i="43" s="1"/>
  <c r="U128" i="43" s="1"/>
  <c r="AM37" i="44"/>
  <c r="AN37" i="44" s="1"/>
  <c r="AC37" i="44"/>
  <c r="Y76" i="44"/>
  <c r="Z76" i="44" s="1"/>
  <c r="I103" i="43"/>
  <c r="T103" i="43" s="1"/>
  <c r="U103" i="43" s="1"/>
  <c r="AP160" i="6"/>
  <c r="AJ41" i="44"/>
  <c r="AK41" i="44" s="1"/>
  <c r="I109" i="44"/>
  <c r="T109" i="44" s="1"/>
  <c r="U109" i="44" s="1"/>
  <c r="Y109" i="45"/>
  <c r="Z109" i="45" s="1"/>
  <c r="AZ18" i="43"/>
  <c r="BA18" i="43" s="1"/>
  <c r="Y38" i="43"/>
  <c r="Z38" i="43" s="1"/>
  <c r="R15" i="44"/>
  <c r="L95" i="6"/>
  <c r="M95" i="6" s="1"/>
  <c r="L73" i="43"/>
  <c r="M73" i="43" s="1"/>
  <c r="I108" i="43"/>
  <c r="J108" i="43" s="1"/>
  <c r="L112" i="45"/>
  <c r="M112" i="45" s="1"/>
  <c r="J112" i="45"/>
  <c r="T112" i="45"/>
  <c r="U112" i="45" s="1"/>
  <c r="AC156" i="44"/>
  <c r="AZ156" i="44"/>
  <c r="BA156" i="44" s="1"/>
  <c r="AJ37" i="45"/>
  <c r="AK37" i="45" s="1"/>
  <c r="AJ26" i="6"/>
  <c r="AK26" i="6" s="1"/>
  <c r="T85" i="43"/>
  <c r="U85" i="43" s="1"/>
  <c r="J85" i="43"/>
  <c r="L121" i="43"/>
  <c r="M121" i="43" s="1"/>
  <c r="J121" i="43"/>
  <c r="I88" i="43"/>
  <c r="J88" i="43" s="1"/>
  <c r="AC150" i="45"/>
  <c r="I36" i="43"/>
  <c r="J36" i="43" s="1"/>
  <c r="Y41" i="44"/>
  <c r="Z41" i="44" s="1"/>
  <c r="AR160" i="45"/>
  <c r="I65" i="44"/>
  <c r="J65" i="44" s="1"/>
  <c r="L75" i="45"/>
  <c r="J75" i="45"/>
  <c r="T75" i="45"/>
  <c r="U75" i="45" s="1"/>
  <c r="L128" i="45"/>
  <c r="J128" i="45"/>
  <c r="T128" i="45"/>
  <c r="U128" i="45" s="1"/>
  <c r="I41" i="43"/>
  <c r="J41" i="43" s="1"/>
  <c r="I17" i="45"/>
  <c r="J17" i="45" s="1"/>
  <c r="I93" i="6"/>
  <c r="J93" i="6" s="1"/>
  <c r="Y95" i="6"/>
  <c r="Z95" i="6" s="1"/>
  <c r="I80" i="45"/>
  <c r="J80" i="45" s="1"/>
  <c r="O100" i="45"/>
  <c r="AJ161" i="45"/>
  <c r="AK161" i="45" s="1"/>
  <c r="I59" i="6"/>
  <c r="J59" i="6" s="1"/>
  <c r="R15" i="43"/>
  <c r="I90" i="45"/>
  <c r="J90" i="45" s="1"/>
  <c r="I153" i="44"/>
  <c r="AZ23" i="43"/>
  <c r="BA23" i="43" s="1"/>
  <c r="I21" i="6"/>
  <c r="J21" i="6" s="1"/>
  <c r="T88" i="44"/>
  <c r="U88" i="44" s="1"/>
  <c r="L99" i="45"/>
  <c r="AM41" i="6"/>
  <c r="AN41" i="6" s="1"/>
  <c r="AC41" i="6"/>
  <c r="L120" i="6"/>
  <c r="M120" i="6" s="1"/>
  <c r="J157" i="44"/>
  <c r="AC37" i="45"/>
  <c r="AM37" i="45"/>
  <c r="AN37" i="45" s="1"/>
  <c r="T42" i="44"/>
  <c r="U42" i="44" s="1"/>
  <c r="L42" i="44"/>
  <c r="AJ150" i="44"/>
  <c r="AK150" i="44" s="1"/>
  <c r="I90" i="6"/>
  <c r="J90" i="6" s="1"/>
  <c r="AG142" i="45"/>
  <c r="I67" i="44"/>
  <c r="T67" i="44" s="1"/>
  <c r="U67" i="44" s="1"/>
  <c r="AC149" i="43"/>
  <c r="I66" i="45"/>
  <c r="I34" i="6"/>
  <c r="T34" i="6" s="1"/>
  <c r="U34" i="6" s="1"/>
  <c r="R100" i="44"/>
  <c r="T106" i="44"/>
  <c r="U106" i="44" s="1"/>
  <c r="I59" i="43"/>
  <c r="T59" i="43" s="1"/>
  <c r="U59" i="43" s="1"/>
  <c r="R56" i="45"/>
  <c r="AC38" i="45"/>
  <c r="AM38" i="45"/>
  <c r="AN38" i="45" s="1"/>
  <c r="Y59" i="45"/>
  <c r="Z59" i="45" s="1"/>
  <c r="AC43" i="6"/>
  <c r="BC43" i="6" s="1"/>
  <c r="AM43" i="6"/>
  <c r="AN43" i="6" s="1"/>
  <c r="AC17" i="44"/>
  <c r="Y41" i="45"/>
  <c r="Z41" i="45" s="1"/>
  <c r="AJ20" i="6"/>
  <c r="AK20" i="6" s="1"/>
  <c r="AC17" i="6"/>
  <c r="L113" i="43"/>
  <c r="I69" i="43"/>
  <c r="J69" i="43" s="1"/>
  <c r="T66" i="45"/>
  <c r="U66" i="45" s="1"/>
  <c r="J66" i="45"/>
  <c r="I76" i="44"/>
  <c r="J76" i="44" s="1"/>
  <c r="AF142" i="43"/>
  <c r="Y125" i="6"/>
  <c r="Z125" i="6" s="1"/>
  <c r="Y34" i="44"/>
  <c r="Z34" i="44" s="1"/>
  <c r="AZ38" i="43"/>
  <c r="BA38" i="43" s="1"/>
  <c r="Y74" i="45"/>
  <c r="Z74" i="45" s="1"/>
  <c r="Y38" i="44"/>
  <c r="Z38" i="44" s="1"/>
  <c r="Y93" i="44"/>
  <c r="Z93" i="44" s="1"/>
  <c r="AB93" i="44" s="1"/>
  <c r="AZ36" i="43"/>
  <c r="BA36" i="43" s="1"/>
  <c r="I156" i="6"/>
  <c r="Y156" i="6" s="1"/>
  <c r="Z156" i="6" s="1"/>
  <c r="AB156" i="6" s="1"/>
  <c r="Y75" i="44"/>
  <c r="Z75" i="44" s="1"/>
  <c r="AM42" i="6"/>
  <c r="AN42" i="6" s="1"/>
  <c r="AC42" i="6"/>
  <c r="AJ154" i="44"/>
  <c r="AK154" i="44" s="1"/>
  <c r="T16" i="45"/>
  <c r="U16" i="45" s="1"/>
  <c r="AC25" i="43"/>
  <c r="AM25" i="43"/>
  <c r="AN25" i="43" s="1"/>
  <c r="L130" i="45"/>
  <c r="T130" i="45"/>
  <c r="U130" i="45" s="1"/>
  <c r="J130" i="45"/>
  <c r="Y95" i="44"/>
  <c r="Z95" i="44" s="1"/>
  <c r="Y20" i="45"/>
  <c r="Z20" i="45" s="1"/>
  <c r="L43" i="44"/>
  <c r="T43" i="44"/>
  <c r="U43" i="44" s="1"/>
  <c r="Y28" i="43"/>
  <c r="Z28" i="43" s="1"/>
  <c r="AG142" i="6"/>
  <c r="AC36" i="44"/>
  <c r="AM36" i="44"/>
  <c r="AN36" i="44" s="1"/>
  <c r="Y70" i="45"/>
  <c r="Z70" i="45" s="1"/>
  <c r="Y96" i="43"/>
  <c r="Z96" i="43" s="1"/>
  <c r="T91" i="44"/>
  <c r="U91" i="44" s="1"/>
  <c r="I99" i="43"/>
  <c r="J99" i="43" s="1"/>
  <c r="Y64" i="43"/>
  <c r="Z64" i="43" s="1"/>
  <c r="I26" i="45"/>
  <c r="J26" i="45" s="1"/>
  <c r="L133" i="44"/>
  <c r="M133" i="44" s="1"/>
  <c r="J64" i="6"/>
  <c r="Y69" i="44"/>
  <c r="Z69" i="44" s="1"/>
  <c r="Y88" i="45"/>
  <c r="Z88" i="45" s="1"/>
  <c r="AB88" i="45" s="1"/>
  <c r="AC154" i="43"/>
  <c r="I73" i="45"/>
  <c r="J73" i="45" s="1"/>
  <c r="Y58" i="45"/>
  <c r="Z58" i="45" s="1"/>
  <c r="L28" i="44"/>
  <c r="M28" i="44" s="1"/>
  <c r="T28" i="44"/>
  <c r="U28" i="44" s="1"/>
  <c r="J28" i="44"/>
  <c r="AC29" i="6"/>
  <c r="AM29" i="6"/>
  <c r="AN29" i="6" s="1"/>
  <c r="AC23" i="6"/>
  <c r="BC23" i="6" s="1"/>
  <c r="I67" i="43"/>
  <c r="AJ21" i="6"/>
  <c r="AK21" i="6" s="1"/>
  <c r="AQ158" i="6"/>
  <c r="I133" i="43"/>
  <c r="T133" i="43" s="1"/>
  <c r="U133" i="43" s="1"/>
  <c r="I132" i="6"/>
  <c r="J132" i="6" s="1"/>
  <c r="Y123" i="43"/>
  <c r="Z123" i="43" s="1"/>
  <c r="AC152" i="43"/>
  <c r="AZ152" i="43"/>
  <c r="BA152" i="43" s="1"/>
  <c r="Y33" i="45"/>
  <c r="Z33" i="45" s="1"/>
  <c r="Y127" i="43"/>
  <c r="Z127" i="43" s="1"/>
  <c r="Y110" i="44"/>
  <c r="Z110" i="44" s="1"/>
  <c r="AJ149" i="43"/>
  <c r="AK149" i="43" s="1"/>
  <c r="Y64" i="45"/>
  <c r="Z64" i="45" s="1"/>
  <c r="AJ27" i="44"/>
  <c r="AK27" i="44" s="1"/>
  <c r="Y27" i="6"/>
  <c r="Z27" i="6" s="1"/>
  <c r="AZ21" i="45"/>
  <c r="BA21" i="45" s="1"/>
  <c r="Y99" i="44"/>
  <c r="Z99" i="44" s="1"/>
  <c r="Y110" i="45"/>
  <c r="Z110" i="45" s="1"/>
  <c r="AJ36" i="45"/>
  <c r="AK36" i="45" s="1"/>
  <c r="AJ152" i="6"/>
  <c r="AK152" i="6" s="1"/>
  <c r="AJ159" i="43"/>
  <c r="AT159" i="43" s="1"/>
  <c r="Y110" i="43"/>
  <c r="Z110" i="43" s="1"/>
  <c r="I97" i="43"/>
  <c r="J97" i="43" s="1"/>
  <c r="L99" i="44"/>
  <c r="M99" i="44" s="1"/>
  <c r="J99" i="44"/>
  <c r="T99" i="44"/>
  <c r="U99" i="44" s="1"/>
  <c r="L34" i="44"/>
  <c r="O78" i="44"/>
  <c r="L33" i="44"/>
  <c r="I177" i="6"/>
  <c r="J177" i="6" s="1"/>
  <c r="I157" i="45"/>
  <c r="T157" i="45" s="1"/>
  <c r="U157" i="45" s="1"/>
  <c r="I22" i="44"/>
  <c r="J22" i="44" s="1"/>
  <c r="Y82" i="45"/>
  <c r="Z82" i="45" s="1"/>
  <c r="I30" i="6"/>
  <c r="T30" i="6" s="1"/>
  <c r="U30" i="6" s="1"/>
  <c r="I95" i="6"/>
  <c r="J95" i="6" s="1"/>
  <c r="I32" i="6"/>
  <c r="J32" i="6" s="1"/>
  <c r="AM33" i="43"/>
  <c r="AN33" i="43" s="1"/>
  <c r="AC33" i="43"/>
  <c r="L122" i="6"/>
  <c r="M122" i="6" s="1"/>
  <c r="T61" i="45"/>
  <c r="U61" i="45" s="1"/>
  <c r="AZ17" i="44"/>
  <c r="BA17" i="44" s="1"/>
  <c r="I87" i="44"/>
  <c r="J87" i="44" s="1"/>
  <c r="Y125" i="44"/>
  <c r="Z125" i="44" s="1"/>
  <c r="I66" i="44"/>
  <c r="J66" i="44" s="1"/>
  <c r="I24" i="43"/>
  <c r="J24" i="43" s="1"/>
  <c r="T80" i="43"/>
  <c r="U80" i="43" s="1"/>
  <c r="J80" i="43"/>
  <c r="I31" i="6"/>
  <c r="J31" i="6" s="1"/>
  <c r="P159" i="43"/>
  <c r="AC15" i="6"/>
  <c r="AZ33" i="6"/>
  <c r="BA33" i="6" s="1"/>
  <c r="AJ157" i="43"/>
  <c r="AZ157" i="43" s="1"/>
  <c r="BA157" i="43" s="1"/>
  <c r="Y77" i="43"/>
  <c r="Z77" i="43" s="1"/>
  <c r="I140" i="43"/>
  <c r="J140" i="43" s="1"/>
  <c r="AC36" i="6"/>
  <c r="AM36" i="6"/>
  <c r="AN36" i="6" s="1"/>
  <c r="Y124" i="43"/>
  <c r="Z124" i="43" s="1"/>
  <c r="Y79" i="6"/>
  <c r="Z79" i="6" s="1"/>
  <c r="I160" i="44"/>
  <c r="S160" i="44" s="1"/>
  <c r="I85" i="44"/>
  <c r="T85" i="44" s="1"/>
  <c r="U85" i="44" s="1"/>
  <c r="AJ35" i="44"/>
  <c r="AK35" i="44" s="1"/>
  <c r="AJ38" i="6"/>
  <c r="AK38" i="6" s="1"/>
  <c r="AP162" i="45"/>
  <c r="L26" i="43"/>
  <c r="M26" i="43" s="1"/>
  <c r="AJ43" i="44"/>
  <c r="AK43" i="44" s="1"/>
  <c r="L27" i="44"/>
  <c r="AC34" i="45"/>
  <c r="AM34" i="45"/>
  <c r="AN34" i="45" s="1"/>
  <c r="I35" i="43"/>
  <c r="T35" i="43" s="1"/>
  <c r="U35" i="43" s="1"/>
  <c r="I158" i="6"/>
  <c r="I64" i="45"/>
  <c r="J64" i="45" s="1"/>
  <c r="T39" i="44"/>
  <c r="U39" i="44" s="1"/>
  <c r="L39" i="44"/>
  <c r="AZ27" i="43"/>
  <c r="BA27" i="43" s="1"/>
  <c r="Y131" i="45"/>
  <c r="Z131" i="45" s="1"/>
  <c r="T107" i="6"/>
  <c r="U107" i="6" s="1"/>
  <c r="J107" i="6"/>
  <c r="Y72" i="6"/>
  <c r="Z72" i="6" s="1"/>
  <c r="I33" i="44"/>
  <c r="T33" i="44" s="1"/>
  <c r="U33" i="44" s="1"/>
  <c r="Y57" i="45"/>
  <c r="Z57" i="45" s="1"/>
  <c r="Y85" i="44"/>
  <c r="Z85" i="44" s="1"/>
  <c r="AJ34" i="45"/>
  <c r="AK34" i="45" s="1"/>
  <c r="L29" i="44"/>
  <c r="M29" i="44" s="1"/>
  <c r="J29" i="44"/>
  <c r="T29" i="44"/>
  <c r="U29" i="44" s="1"/>
  <c r="J42" i="43"/>
  <c r="T42" i="43"/>
  <c r="U42" i="43" s="1"/>
  <c r="L42" i="43"/>
  <c r="Y129" i="43"/>
  <c r="Z129" i="43" s="1"/>
  <c r="I169" i="43"/>
  <c r="J169" i="43" s="1"/>
  <c r="AC15" i="44"/>
  <c r="L29" i="43"/>
  <c r="M29" i="43" s="1"/>
  <c r="AM24" i="6"/>
  <c r="AN24" i="6" s="1"/>
  <c r="AK24" i="6"/>
  <c r="AC24" i="6"/>
  <c r="T140" i="44"/>
  <c r="Y140" i="44" s="1"/>
  <c r="J140" i="44"/>
  <c r="P160" i="45"/>
  <c r="Y96" i="45"/>
  <c r="Z96" i="45" s="1"/>
  <c r="AJ42" i="45"/>
  <c r="AK42" i="45" s="1"/>
  <c r="I120" i="6"/>
  <c r="J120" i="6" s="1"/>
  <c r="Y62" i="45"/>
  <c r="Z62" i="45" s="1"/>
  <c r="Y69" i="6"/>
  <c r="Z69" i="6" s="1"/>
  <c r="I43" i="6"/>
  <c r="J43" i="6" s="1"/>
  <c r="I17" i="6"/>
  <c r="J17" i="6" s="1"/>
  <c r="Y19" i="44"/>
  <c r="Z19" i="44" s="1"/>
  <c r="T154" i="44"/>
  <c r="J154" i="44"/>
  <c r="I162" i="43"/>
  <c r="S162" i="43" s="1"/>
  <c r="O15" i="44"/>
  <c r="I43" i="45"/>
  <c r="T43" i="45" s="1"/>
  <c r="U43" i="45" s="1"/>
  <c r="Y33" i="44"/>
  <c r="Z33" i="44" s="1"/>
  <c r="I18" i="44"/>
  <c r="J18" i="44" s="1"/>
  <c r="J154" i="45"/>
  <c r="T154" i="45"/>
  <c r="U154" i="45" s="1"/>
  <c r="AZ29" i="44"/>
  <c r="BA29" i="44" s="1"/>
  <c r="I29" i="6"/>
  <c r="T29" i="6" s="1"/>
  <c r="U29" i="6" s="1"/>
  <c r="J70" i="43"/>
  <c r="AC27" i="44"/>
  <c r="AM27" i="44"/>
  <c r="AN27" i="44" s="1"/>
  <c r="L178" i="43"/>
  <c r="AB178" i="43" s="1"/>
  <c r="Y65" i="44"/>
  <c r="Z65" i="44" s="1"/>
  <c r="I58" i="43"/>
  <c r="T58" i="43" s="1"/>
  <c r="U58" i="43" s="1"/>
  <c r="Y128" i="44"/>
  <c r="Z128" i="44" s="1"/>
  <c r="L38" i="43"/>
  <c r="T38" i="43"/>
  <c r="U38" i="43" s="1"/>
  <c r="AC23" i="44"/>
  <c r="BC23" i="44" s="1"/>
  <c r="Q56" i="6"/>
  <c r="AC17" i="43"/>
  <c r="AC22" i="43"/>
  <c r="BC22" i="43" s="1"/>
  <c r="T21" i="44"/>
  <c r="U21" i="44" s="1"/>
  <c r="I128" i="44"/>
  <c r="T128" i="44" s="1"/>
  <c r="U128" i="44" s="1"/>
  <c r="I178" i="43"/>
  <c r="J178" i="43" s="1"/>
  <c r="I152" i="6"/>
  <c r="AZ25" i="45"/>
  <c r="BA25" i="45" s="1"/>
  <c r="T82" i="43"/>
  <c r="U82" i="43" s="1"/>
  <c r="I133" i="44"/>
  <c r="T133" i="44" s="1"/>
  <c r="U133" i="44" s="1"/>
  <c r="L130" i="44"/>
  <c r="M130" i="44" s="1"/>
  <c r="I27" i="6"/>
  <c r="J27" i="6" s="1"/>
  <c r="O160" i="6"/>
  <c r="P160" i="43"/>
  <c r="L98" i="44"/>
  <c r="M98" i="44" s="1"/>
  <c r="I30" i="43"/>
  <c r="J30" i="43" s="1"/>
  <c r="L129" i="43"/>
  <c r="M129" i="43" s="1"/>
  <c r="J129" i="43"/>
  <c r="T129" i="43"/>
  <c r="U129" i="43" s="1"/>
  <c r="I149" i="45"/>
  <c r="I70" i="44"/>
  <c r="J70" i="44" s="1"/>
  <c r="J94" i="43"/>
  <c r="AB94" i="43" s="1"/>
  <c r="Y103" i="43"/>
  <c r="Z103" i="43" s="1"/>
  <c r="I81" i="6"/>
  <c r="J81" i="6" s="1"/>
  <c r="Y103" i="6"/>
  <c r="Z103" i="6" s="1"/>
  <c r="Y133" i="43"/>
  <c r="Z133" i="43" s="1"/>
  <c r="Y32" i="6"/>
  <c r="Z32" i="6" s="1"/>
  <c r="AC140" i="44"/>
  <c r="AD142" i="44"/>
  <c r="AM142" i="44" s="1"/>
  <c r="AK140" i="44"/>
  <c r="Q159" i="43"/>
  <c r="AJ154" i="43"/>
  <c r="AK154" i="43" s="1"/>
  <c r="I83" i="45"/>
  <c r="T83" i="45" s="1"/>
  <c r="U83" i="45" s="1"/>
  <c r="L30" i="6"/>
  <c r="M30" i="6" s="1"/>
  <c r="J30" i="6"/>
  <c r="I155" i="44"/>
  <c r="J155" i="44" s="1"/>
  <c r="L96" i="6"/>
  <c r="M96" i="6" s="1"/>
  <c r="J89" i="43"/>
  <c r="T89" i="43"/>
  <c r="U89" i="43" s="1"/>
  <c r="L99" i="43"/>
  <c r="L33" i="6"/>
  <c r="J33" i="6"/>
  <c r="AJ25" i="43"/>
  <c r="AK25" i="43" s="1"/>
  <c r="I92" i="45"/>
  <c r="T92" i="45" s="1"/>
  <c r="U92" i="45" s="1"/>
  <c r="I158" i="45"/>
  <c r="S158" i="45" s="1"/>
  <c r="I109" i="6"/>
  <c r="J109" i="6" s="1"/>
  <c r="S170" i="6"/>
  <c r="AC140" i="45"/>
  <c r="AD142" i="45"/>
  <c r="I56" i="44"/>
  <c r="O56" i="44" s="1"/>
  <c r="AM24" i="45"/>
  <c r="AN24" i="45" s="1"/>
  <c r="AC24" i="45"/>
  <c r="Y57" i="44"/>
  <c r="Z57" i="44" s="1"/>
  <c r="AM38" i="43"/>
  <c r="AN38" i="43" s="1"/>
  <c r="AC38" i="43"/>
  <c r="P78" i="6"/>
  <c r="Q100" i="43"/>
  <c r="Y71" i="43"/>
  <c r="Z71" i="43" s="1"/>
  <c r="AB71" i="43" s="1"/>
  <c r="I24" i="6"/>
  <c r="J24" i="6" s="1"/>
  <c r="J49" i="44"/>
  <c r="T49" i="44"/>
  <c r="U49" i="44" s="1"/>
  <c r="Y49" i="44"/>
  <c r="Z49" i="44" s="1"/>
  <c r="AJ158" i="45"/>
  <c r="AT158" i="45" s="1"/>
  <c r="L39" i="45"/>
  <c r="T39" i="45"/>
  <c r="U39" i="45" s="1"/>
  <c r="J39" i="45"/>
  <c r="Y93" i="43"/>
  <c r="Z93" i="43" s="1"/>
  <c r="AZ30" i="45"/>
  <c r="BA30" i="45" s="1"/>
  <c r="AC36" i="43"/>
  <c r="AM36" i="43"/>
  <c r="AN36" i="43" s="1"/>
  <c r="Y37" i="44"/>
  <c r="Z37" i="44" s="1"/>
  <c r="I33" i="6"/>
  <c r="T33" i="6" s="1"/>
  <c r="U33" i="6" s="1"/>
  <c r="AQ162" i="44"/>
  <c r="J18" i="45"/>
  <c r="T18" i="45"/>
  <c r="U18" i="45" s="1"/>
  <c r="I64" i="44"/>
  <c r="J64" i="44" s="1"/>
  <c r="AR162" i="44"/>
  <c r="L77" i="44"/>
  <c r="M77" i="44" s="1"/>
  <c r="I125" i="44"/>
  <c r="J125" i="44" s="1"/>
  <c r="AZ24" i="45"/>
  <c r="BA24" i="45" s="1"/>
  <c r="I162" i="44"/>
  <c r="O162" i="44" s="1"/>
  <c r="AJ158" i="43"/>
  <c r="AT158" i="43" s="1"/>
  <c r="I75" i="43"/>
  <c r="J75" i="43" s="1"/>
  <c r="Y34" i="43"/>
  <c r="Z34" i="43" s="1"/>
  <c r="I84" i="45"/>
  <c r="J84" i="45" s="1"/>
  <c r="AC26" i="44"/>
  <c r="AM26" i="44"/>
  <c r="AN26" i="44" s="1"/>
  <c r="I110" i="44"/>
  <c r="J110" i="44" s="1"/>
  <c r="AZ36" i="44"/>
  <c r="BA36" i="44" s="1"/>
  <c r="AC21" i="6"/>
  <c r="BC21" i="6" s="1"/>
  <c r="AJ25" i="44"/>
  <c r="AK25" i="44" s="1"/>
  <c r="Y107" i="45"/>
  <c r="Z107" i="45" s="1"/>
  <c r="AM25" i="44"/>
  <c r="AN25" i="44" s="1"/>
  <c r="AC25" i="44"/>
  <c r="I77" i="6"/>
  <c r="T77" i="6" s="1"/>
  <c r="U77" i="6" s="1"/>
  <c r="AM39" i="43"/>
  <c r="AN39" i="43" s="1"/>
  <c r="AC39" i="43"/>
  <c r="AK39" i="43"/>
  <c r="I71" i="44"/>
  <c r="T71" i="44" s="1"/>
  <c r="U71" i="44" s="1"/>
  <c r="I97" i="6"/>
  <c r="J97" i="6" s="1"/>
  <c r="Y80" i="43"/>
  <c r="Z80" i="43" s="1"/>
  <c r="I132" i="45"/>
  <c r="J132" i="45" s="1"/>
  <c r="T124" i="45"/>
  <c r="U124" i="45" s="1"/>
  <c r="L124" i="45"/>
  <c r="I153" i="45"/>
  <c r="J153" i="45" s="1"/>
  <c r="Y106" i="45"/>
  <c r="Z106" i="45" s="1"/>
  <c r="L128" i="43"/>
  <c r="J128" i="43"/>
  <c r="L112" i="43"/>
  <c r="J112" i="43"/>
  <c r="AK141" i="45"/>
  <c r="AK23" i="43"/>
  <c r="AC23" i="43"/>
  <c r="Y94" i="43"/>
  <c r="Z94" i="43" s="1"/>
  <c r="I63" i="44"/>
  <c r="T63" i="44" s="1"/>
  <c r="U63" i="44" s="1"/>
  <c r="L111" i="44"/>
  <c r="M111" i="44" s="1"/>
  <c r="P56" i="45"/>
  <c r="I67" i="45"/>
  <c r="T67" i="45" s="1"/>
  <c r="U67" i="45" s="1"/>
  <c r="I150" i="44"/>
  <c r="J150" i="44" s="1"/>
  <c r="T61" i="44"/>
  <c r="U61" i="44" s="1"/>
  <c r="J61" i="44"/>
  <c r="Y59" i="44"/>
  <c r="Z59" i="44" s="1"/>
  <c r="L95" i="43"/>
  <c r="T95" i="43"/>
  <c r="U95" i="43" s="1"/>
  <c r="I162" i="45"/>
  <c r="I31" i="45"/>
  <c r="T31" i="45" s="1"/>
  <c r="U31" i="45" s="1"/>
  <c r="Y60" i="45"/>
  <c r="Z60" i="45" s="1"/>
  <c r="L25" i="43"/>
  <c r="M25" i="43" s="1"/>
  <c r="I131" i="43"/>
  <c r="J131" i="43" s="1"/>
  <c r="AJ37" i="44"/>
  <c r="AK37" i="44" s="1"/>
  <c r="R159" i="44"/>
  <c r="I16" i="43"/>
  <c r="J16" i="43" s="1"/>
  <c r="AK141" i="43"/>
  <c r="I126" i="6"/>
  <c r="J126" i="6" s="1"/>
  <c r="AJ151" i="43"/>
  <c r="AK151" i="43" s="1"/>
  <c r="I34" i="44"/>
  <c r="J34" i="44" s="1"/>
  <c r="I106" i="45"/>
  <c r="T106" i="45" s="1"/>
  <c r="U106" i="45" s="1"/>
  <c r="AJ141" i="44"/>
  <c r="AK141" i="44" s="1"/>
  <c r="L131" i="45"/>
  <c r="AC24" i="43"/>
  <c r="AM24" i="43"/>
  <c r="AN24" i="43" s="1"/>
  <c r="AJ42" i="43"/>
  <c r="AK42" i="43" s="1"/>
  <c r="I79" i="45"/>
  <c r="J79" i="45" s="1"/>
  <c r="AJ26" i="43"/>
  <c r="AK26" i="43" s="1"/>
  <c r="I20" i="43"/>
  <c r="J20" i="43" s="1"/>
  <c r="Y109" i="44"/>
  <c r="Z109" i="44" s="1"/>
  <c r="R78" i="44"/>
  <c r="T157" i="43"/>
  <c r="U157" i="43" s="1"/>
  <c r="J157" i="43"/>
  <c r="L40" i="43"/>
  <c r="M40" i="43" s="1"/>
  <c r="J40" i="43"/>
  <c r="I77" i="45"/>
  <c r="T77" i="45" s="1"/>
  <c r="U77" i="45" s="1"/>
  <c r="I32" i="44"/>
  <c r="T32" i="44" s="1"/>
  <c r="U32" i="44" s="1"/>
  <c r="AJ155" i="43"/>
  <c r="AK155" i="43" s="1"/>
  <c r="R160" i="44"/>
  <c r="L40" i="6"/>
  <c r="T40" i="6"/>
  <c r="U40" i="6" s="1"/>
  <c r="T22" i="44"/>
  <c r="U22" i="44" s="1"/>
  <c r="R158" i="45"/>
  <c r="J85" i="44"/>
  <c r="O160" i="45"/>
  <c r="AZ30" i="43"/>
  <c r="BA30" i="43" s="1"/>
  <c r="I65" i="6"/>
  <c r="J65" i="6" s="1"/>
  <c r="I23" i="45"/>
  <c r="J23" i="45" s="1"/>
  <c r="Y132" i="44"/>
  <c r="Z132" i="44" s="1"/>
  <c r="AJ15" i="45"/>
  <c r="AT15" i="45" s="1"/>
  <c r="AM30" i="44"/>
  <c r="AN30" i="44" s="1"/>
  <c r="AC30" i="44"/>
  <c r="J110" i="45"/>
  <c r="T110" i="45"/>
  <c r="U110" i="45" s="1"/>
  <c r="P162" i="6"/>
  <c r="J35" i="43"/>
  <c r="S35" i="43" s="1"/>
  <c r="L35" i="43"/>
  <c r="AM32" i="44"/>
  <c r="AN32" i="44" s="1"/>
  <c r="AC32" i="44"/>
  <c r="I153" i="43"/>
  <c r="T153" i="43" s="1"/>
  <c r="U153" i="43" s="1"/>
  <c r="T99" i="6"/>
  <c r="U99" i="6" s="1"/>
  <c r="L99" i="6"/>
  <c r="I177" i="43"/>
  <c r="J177" i="43" s="1"/>
  <c r="Y33" i="43"/>
  <c r="Z33" i="43" s="1"/>
  <c r="I125" i="43"/>
  <c r="T125" i="43" s="1"/>
  <c r="U125" i="43" s="1"/>
  <c r="L31" i="45"/>
  <c r="L121" i="45"/>
  <c r="M121" i="45" s="1"/>
  <c r="T49" i="45"/>
  <c r="U49" i="45" s="1"/>
  <c r="Y49" i="45"/>
  <c r="Z49" i="45" s="1"/>
  <c r="AB49" i="45" s="1"/>
  <c r="I150" i="6"/>
  <c r="J150" i="6" s="1"/>
  <c r="Y49" i="43"/>
  <c r="Z49" i="43" s="1"/>
  <c r="AB49" i="43" s="1"/>
  <c r="I79" i="44"/>
  <c r="J79" i="44" s="1"/>
  <c r="Y121" i="45"/>
  <c r="Z121" i="45" s="1"/>
  <c r="I124" i="6"/>
  <c r="T124" i="6" s="1"/>
  <c r="U124" i="6" s="1"/>
  <c r="Y132" i="43"/>
  <c r="Z132" i="43" s="1"/>
  <c r="Y97" i="44"/>
  <c r="Z97" i="44" s="1"/>
  <c r="I28" i="6"/>
  <c r="J28" i="6" s="1"/>
  <c r="Q28" i="6" s="1"/>
  <c r="I62" i="43"/>
  <c r="J62" i="43" s="1"/>
  <c r="AZ35" i="45"/>
  <c r="BA35" i="45" s="1"/>
  <c r="T58" i="6"/>
  <c r="U58" i="6" s="1"/>
  <c r="J58" i="6"/>
  <c r="S58" i="6" s="1"/>
  <c r="I123" i="6"/>
  <c r="T123" i="6" s="1"/>
  <c r="U123" i="6" s="1"/>
  <c r="I68" i="6"/>
  <c r="J68" i="6" s="1"/>
  <c r="L98" i="6"/>
  <c r="M98" i="6" s="1"/>
  <c r="J98" i="6"/>
  <c r="J58" i="44"/>
  <c r="R159" i="43"/>
  <c r="O159" i="6"/>
  <c r="P15" i="45"/>
  <c r="T84" i="45"/>
  <c r="U84" i="45" s="1"/>
  <c r="Y129" i="44"/>
  <c r="Z129" i="44" s="1"/>
  <c r="L123" i="44"/>
  <c r="T123" i="44"/>
  <c r="U123" i="44" s="1"/>
  <c r="J123" i="44"/>
  <c r="Y77" i="45"/>
  <c r="Z77" i="45" s="1"/>
  <c r="I113" i="45"/>
  <c r="J113" i="45" s="1"/>
  <c r="L123" i="45"/>
  <c r="J123" i="45"/>
  <c r="I128" i="6"/>
  <c r="T128" i="6" s="1"/>
  <c r="U128" i="6" s="1"/>
  <c r="AZ35" i="44"/>
  <c r="BA35" i="44" s="1"/>
  <c r="Y79" i="45"/>
  <c r="Z79" i="45" s="1"/>
  <c r="AB79" i="45" s="1"/>
  <c r="I27" i="44"/>
  <c r="J27" i="44" s="1"/>
  <c r="L75" i="43"/>
  <c r="M75" i="43" s="1"/>
  <c r="T75" i="43"/>
  <c r="U75" i="43" s="1"/>
  <c r="T58" i="45"/>
  <c r="U58" i="45" s="1"/>
  <c r="J58" i="45"/>
  <c r="Y133" i="44"/>
  <c r="Z133" i="44" s="1"/>
  <c r="AC19" i="44"/>
  <c r="Y121" i="43"/>
  <c r="Z121" i="43" s="1"/>
  <c r="AC20" i="44"/>
  <c r="BC20" i="44" s="1"/>
  <c r="AZ43" i="43"/>
  <c r="BA43" i="43" s="1"/>
  <c r="T64" i="45"/>
  <c r="U64" i="45" s="1"/>
  <c r="R160" i="6"/>
  <c r="I70" i="6"/>
  <c r="T70" i="6" s="1"/>
  <c r="U70" i="6" s="1"/>
  <c r="I104" i="45"/>
  <c r="J104" i="45" s="1"/>
  <c r="I34" i="45"/>
  <c r="J34" i="45" s="1"/>
  <c r="I72" i="6"/>
  <c r="J72" i="6" s="1"/>
  <c r="AM31" i="43"/>
  <c r="AN31" i="43" s="1"/>
  <c r="AC31" i="43"/>
  <c r="I102" i="45"/>
  <c r="T102" i="45" s="1"/>
  <c r="U102" i="45" s="1"/>
  <c r="AC152" i="44"/>
  <c r="AK152" i="44"/>
  <c r="O78" i="6"/>
  <c r="Y58" i="44"/>
  <c r="Z58" i="44" s="1"/>
  <c r="I19" i="6"/>
  <c r="J19" i="6" s="1"/>
  <c r="I75" i="6"/>
  <c r="T75" i="6" s="1"/>
  <c r="U75" i="6" s="1"/>
  <c r="J86" i="6"/>
  <c r="T86" i="6"/>
  <c r="U86" i="6" s="1"/>
  <c r="Y99" i="43"/>
  <c r="Z99" i="43" s="1"/>
  <c r="I64" i="43"/>
  <c r="T64" i="43" s="1"/>
  <c r="U64" i="43" s="1"/>
  <c r="AQ159" i="6"/>
  <c r="T131" i="6"/>
  <c r="U131" i="6" s="1"/>
  <c r="J131" i="6"/>
  <c r="L131" i="6"/>
  <c r="I69" i="44"/>
  <c r="T69" i="44" s="1"/>
  <c r="U69" i="44" s="1"/>
  <c r="I73" i="44"/>
  <c r="J73" i="44" s="1"/>
  <c r="P73" i="44" s="1"/>
  <c r="AJ21" i="44"/>
  <c r="AK21" i="44" s="1"/>
  <c r="Y95" i="45"/>
  <c r="Z95" i="45" s="1"/>
  <c r="I149" i="43"/>
  <c r="J149" i="43" s="1"/>
  <c r="T28" i="45"/>
  <c r="U28" i="45" s="1"/>
  <c r="L28" i="45"/>
  <c r="M28" i="45" s="1"/>
  <c r="J28" i="45"/>
  <c r="AQ15" i="6"/>
  <c r="L41" i="45"/>
  <c r="T41" i="45"/>
  <c r="U41" i="45" s="1"/>
  <c r="I87" i="45"/>
  <c r="T87" i="45" s="1"/>
  <c r="U87" i="45" s="1"/>
  <c r="I25" i="43"/>
  <c r="J25" i="43" s="1"/>
  <c r="AZ41" i="44"/>
  <c r="BA41" i="44" s="1"/>
  <c r="BC41" i="44" s="1"/>
  <c r="I20" i="6"/>
  <c r="J20" i="6" s="1"/>
  <c r="AM39" i="44"/>
  <c r="AN39" i="44" s="1"/>
  <c r="AC39" i="44"/>
  <c r="J72" i="44"/>
  <c r="I177" i="45"/>
  <c r="T177" i="45" s="1"/>
  <c r="Y177" i="45" s="1"/>
  <c r="L74" i="6"/>
  <c r="M74" i="6" s="1"/>
  <c r="Y107" i="44"/>
  <c r="Z107" i="44" s="1"/>
  <c r="T101" i="44"/>
  <c r="U101" i="44" s="1"/>
  <c r="I83" i="44"/>
  <c r="T83" i="44" s="1"/>
  <c r="U83" i="44" s="1"/>
  <c r="AZ27" i="44"/>
  <c r="BA27" i="44" s="1"/>
  <c r="T24" i="45"/>
  <c r="U24" i="45" s="1"/>
  <c r="L24" i="45"/>
  <c r="M24" i="45" s="1"/>
  <c r="J24" i="45"/>
  <c r="I105" i="6"/>
  <c r="J105" i="6" s="1"/>
  <c r="J67" i="44"/>
  <c r="Y125" i="43"/>
  <c r="Z125" i="43" s="1"/>
  <c r="I69" i="6"/>
  <c r="T69" i="6" s="1"/>
  <c r="U69" i="6" s="1"/>
  <c r="AJ30" i="44"/>
  <c r="AK30" i="44" s="1"/>
  <c r="I127" i="6"/>
  <c r="T127" i="6" s="1"/>
  <c r="U127" i="6" s="1"/>
  <c r="I161" i="45"/>
  <c r="J161" i="45" s="1"/>
  <c r="S161" i="45" s="1"/>
  <c r="L131" i="44"/>
  <c r="M131" i="44" s="1"/>
  <c r="J131" i="44"/>
  <c r="T131" i="44"/>
  <c r="U131" i="44" s="1"/>
  <c r="AC32" i="45"/>
  <c r="AM32" i="45"/>
  <c r="AN32" i="45" s="1"/>
  <c r="AK32" i="45"/>
  <c r="I91" i="43"/>
  <c r="J91" i="43" s="1"/>
  <c r="O91" i="43" s="1"/>
  <c r="I83" i="43"/>
  <c r="J83" i="43" s="1"/>
  <c r="AZ157" i="44"/>
  <c r="BA157" i="44" s="1"/>
  <c r="AC157" i="44"/>
  <c r="AR162" i="43"/>
  <c r="AK22" i="6"/>
  <c r="AC22" i="6"/>
  <c r="I22" i="6"/>
  <c r="J22" i="6" s="1"/>
  <c r="AZ30" i="44"/>
  <c r="BA30" i="44" s="1"/>
  <c r="J103" i="43"/>
  <c r="I73" i="43"/>
  <c r="J73" i="43" s="1"/>
  <c r="J59" i="44"/>
  <c r="I131" i="45"/>
  <c r="T131" i="45" s="1"/>
  <c r="U131" i="45" s="1"/>
  <c r="AC40" i="6"/>
  <c r="AM40" i="6"/>
  <c r="AN40" i="6" s="1"/>
  <c r="AC156" i="45"/>
  <c r="AZ156" i="45"/>
  <c r="BA156" i="45" s="1"/>
  <c r="T125" i="44"/>
  <c r="U125" i="44" s="1"/>
  <c r="L125" i="44"/>
  <c r="I109" i="45"/>
  <c r="T109" i="45" s="1"/>
  <c r="U109" i="45" s="1"/>
  <c r="AC23" i="45"/>
  <c r="BC23" i="45" s="1"/>
  <c r="S170" i="44"/>
  <c r="L97" i="45"/>
  <c r="M97" i="45" s="1"/>
  <c r="J97" i="45"/>
  <c r="T97" i="45"/>
  <c r="U97" i="45" s="1"/>
  <c r="Y122" i="44"/>
  <c r="Z122" i="44" s="1"/>
  <c r="I90" i="43"/>
  <c r="J90" i="43" s="1"/>
  <c r="T72" i="45"/>
  <c r="U72" i="45" s="1"/>
  <c r="T104" i="44"/>
  <c r="U104" i="44" s="1"/>
  <c r="J49" i="6"/>
  <c r="Y49" i="6"/>
  <c r="Z49" i="6" s="1"/>
  <c r="Y22" i="44"/>
  <c r="Z22" i="44" s="1"/>
  <c r="AB22" i="44" s="1"/>
  <c r="I125" i="45"/>
  <c r="J125" i="45" s="1"/>
  <c r="Y27" i="45"/>
  <c r="Z27" i="45" s="1"/>
  <c r="L75" i="6"/>
  <c r="I77" i="44"/>
  <c r="T77" i="44" s="1"/>
  <c r="U77" i="44" s="1"/>
  <c r="I84" i="43"/>
  <c r="T84" i="43" s="1"/>
  <c r="U84" i="43" s="1"/>
  <c r="AJ158" i="44"/>
  <c r="AT158" i="44" s="1"/>
  <c r="AZ37" i="44"/>
  <c r="BA37" i="44" s="1"/>
  <c r="L73" i="45"/>
  <c r="T73" i="45"/>
  <c r="U73" i="45" s="1"/>
  <c r="I66" i="6"/>
  <c r="J66" i="6" s="1"/>
  <c r="I33" i="45"/>
  <c r="T109" i="6"/>
  <c r="U109" i="6" s="1"/>
  <c r="J22" i="45"/>
  <c r="AB22" i="45" s="1"/>
  <c r="T22" i="45"/>
  <c r="U22" i="45" s="1"/>
  <c r="T82" i="44"/>
  <c r="U82" i="44" s="1"/>
  <c r="J82" i="44"/>
  <c r="J21" i="43"/>
  <c r="T113" i="45"/>
  <c r="U113" i="45" s="1"/>
  <c r="L113" i="45"/>
  <c r="I99" i="45"/>
  <c r="T99" i="45" s="1"/>
  <c r="U99" i="45" s="1"/>
  <c r="J17" i="44"/>
  <c r="T17" i="44"/>
  <c r="U17" i="44" s="1"/>
  <c r="AZ22" i="6"/>
  <c r="BA22" i="6" s="1"/>
  <c r="Y91" i="45"/>
  <c r="Z91" i="45" s="1"/>
  <c r="I121" i="45"/>
  <c r="T121" i="45" s="1"/>
  <c r="U121" i="45" s="1"/>
  <c r="I71" i="45"/>
  <c r="T71" i="45" s="1"/>
  <c r="U71" i="45" s="1"/>
  <c r="P158" i="43"/>
  <c r="L33" i="45"/>
  <c r="M33" i="45" s="1"/>
  <c r="T33" i="45"/>
  <c r="U33" i="45" s="1"/>
  <c r="J33" i="45"/>
  <c r="AJ150" i="45"/>
  <c r="AK150" i="45" s="1"/>
  <c r="Y81" i="43"/>
  <c r="Z81" i="43" s="1"/>
  <c r="AC34" i="44"/>
  <c r="AM34" i="44"/>
  <c r="AN34" i="44" s="1"/>
  <c r="AC150" i="43"/>
  <c r="T59" i="6"/>
  <c r="U59" i="6" s="1"/>
  <c r="T96" i="45"/>
  <c r="U96" i="45" s="1"/>
  <c r="L96" i="45"/>
  <c r="I155" i="45"/>
  <c r="J155" i="45" s="1"/>
  <c r="I32" i="45"/>
  <c r="T32" i="45" s="1"/>
  <c r="U32" i="45" s="1"/>
  <c r="AC154" i="6"/>
  <c r="L77" i="45"/>
  <c r="M77" i="45" s="1"/>
  <c r="AC16" i="45"/>
  <c r="BC16" i="45" s="1"/>
  <c r="L96" i="43"/>
  <c r="M96" i="43" s="1"/>
  <c r="T96" i="43"/>
  <c r="U96" i="43" s="1"/>
  <c r="J96" i="43"/>
  <c r="P158" i="45"/>
  <c r="T156" i="6"/>
  <c r="U156" i="6" s="1"/>
  <c r="J156" i="6"/>
  <c r="J108" i="44"/>
  <c r="T108" i="44"/>
  <c r="U108" i="44" s="1"/>
  <c r="T122" i="45"/>
  <c r="U122" i="45" s="1"/>
  <c r="L122" i="45"/>
  <c r="I35" i="45"/>
  <c r="J35" i="45" s="1"/>
  <c r="I65" i="45"/>
  <c r="J65" i="45" s="1"/>
  <c r="AC16" i="44"/>
  <c r="BC16" i="44" s="1"/>
  <c r="I98" i="44"/>
  <c r="J98" i="44" s="1"/>
  <c r="I81" i="45"/>
  <c r="T81" i="45" s="1"/>
  <c r="U81" i="45" s="1"/>
  <c r="I96" i="44"/>
  <c r="J96" i="44" s="1"/>
  <c r="P96" i="44" s="1"/>
  <c r="I129" i="45"/>
  <c r="J129" i="45" s="1"/>
  <c r="L74" i="43"/>
  <c r="M74" i="43" s="1"/>
  <c r="L74" i="44"/>
  <c r="M74" i="44" s="1"/>
  <c r="J74" i="44"/>
  <c r="P74" i="44" s="1"/>
  <c r="L133" i="6"/>
  <c r="M133" i="6" s="1"/>
  <c r="J133" i="6"/>
  <c r="T133" i="6"/>
  <c r="U133" i="6" s="1"/>
  <c r="R158" i="6"/>
  <c r="I25" i="45"/>
  <c r="T25" i="45" s="1"/>
  <c r="U25" i="45" s="1"/>
  <c r="AM29" i="44"/>
  <c r="AN29" i="44" s="1"/>
  <c r="AC29" i="44"/>
  <c r="R162" i="44"/>
  <c r="AC18" i="44"/>
  <c r="BC18" i="44" s="1"/>
  <c r="AM30" i="45"/>
  <c r="AN30" i="45" s="1"/>
  <c r="AC30" i="45"/>
  <c r="AC20" i="45"/>
  <c r="BC20" i="45" s="1"/>
  <c r="I151" i="45"/>
  <c r="J151" i="45" s="1"/>
  <c r="L24" i="6"/>
  <c r="M24" i="6" s="1"/>
  <c r="Y35" i="44"/>
  <c r="Z35" i="44" s="1"/>
  <c r="I62" i="45"/>
  <c r="T62" i="45" s="1"/>
  <c r="U62" i="45" s="1"/>
  <c r="L35" i="6"/>
  <c r="M35" i="6" s="1"/>
  <c r="T35" i="6"/>
  <c r="U35" i="6" s="1"/>
  <c r="J35" i="6"/>
  <c r="I18" i="43"/>
  <c r="T18" i="43" s="1"/>
  <c r="U18" i="43" s="1"/>
  <c r="I91" i="45"/>
  <c r="J91" i="45" s="1"/>
  <c r="T105" i="44"/>
  <c r="U105" i="44" s="1"/>
  <c r="I120" i="45"/>
  <c r="T120" i="45" s="1"/>
  <c r="U120" i="45" s="1"/>
  <c r="I89" i="45"/>
  <c r="J89" i="45" s="1"/>
  <c r="Q89" i="45" s="1"/>
  <c r="I140" i="45"/>
  <c r="J140" i="45" s="1"/>
  <c r="L73" i="44"/>
  <c r="L26" i="6"/>
  <c r="M26" i="6" s="1"/>
  <c r="T26" i="6"/>
  <c r="U26" i="6" s="1"/>
  <c r="J26" i="6"/>
  <c r="L25" i="45"/>
  <c r="M25" i="45" s="1"/>
  <c r="J25" i="45"/>
  <c r="R25" i="45" s="1"/>
  <c r="R100" i="45"/>
  <c r="Y31" i="45"/>
  <c r="Z31" i="45" s="1"/>
  <c r="I72" i="43"/>
  <c r="J72" i="43" s="1"/>
  <c r="J80" i="6"/>
  <c r="T80" i="6"/>
  <c r="U80" i="6" s="1"/>
  <c r="AJ37" i="43"/>
  <c r="AK37" i="43" s="1"/>
  <c r="T36" i="6"/>
  <c r="U36" i="6" s="1"/>
  <c r="J36" i="6"/>
  <c r="L36" i="6"/>
  <c r="Y103" i="45"/>
  <c r="Z103" i="45" s="1"/>
  <c r="AB103" i="45" s="1"/>
  <c r="AM39" i="6"/>
  <c r="AN39" i="6" s="1"/>
  <c r="AC39" i="6"/>
  <c r="BC39" i="6" s="1"/>
  <c r="I31" i="43"/>
  <c r="J31" i="43" s="1"/>
  <c r="L34" i="43"/>
  <c r="T34" i="43"/>
  <c r="U34" i="43" s="1"/>
  <c r="I73" i="6"/>
  <c r="J73" i="6" s="1"/>
  <c r="P73" i="6" s="1"/>
  <c r="L113" i="6"/>
  <c r="T113" i="6"/>
  <c r="U113" i="6" s="1"/>
  <c r="J113" i="6"/>
  <c r="I76" i="6"/>
  <c r="T76" i="6" s="1"/>
  <c r="U76" i="6" s="1"/>
  <c r="AM26" i="43"/>
  <c r="AN26" i="43" s="1"/>
  <c r="AC26" i="43"/>
  <c r="BC26" i="43" s="1"/>
  <c r="AM42" i="43"/>
  <c r="AN42" i="43" s="1"/>
  <c r="AC42" i="43"/>
  <c r="BC42" i="43" s="1"/>
  <c r="I150" i="43"/>
  <c r="J150" i="43" s="1"/>
  <c r="I130" i="44"/>
  <c r="T130" i="44" s="1"/>
  <c r="U130" i="44" s="1"/>
  <c r="I86" i="45"/>
  <c r="J86" i="45" s="1"/>
  <c r="T64" i="44"/>
  <c r="U64" i="44" s="1"/>
  <c r="I19" i="45"/>
  <c r="J19" i="45" s="1"/>
  <c r="R100" i="43"/>
  <c r="I161" i="44"/>
  <c r="J161" i="44" s="1"/>
  <c r="AJ24" i="43"/>
  <c r="AK24" i="43" s="1"/>
  <c r="T126" i="45"/>
  <c r="U126" i="45" s="1"/>
  <c r="J126" i="45"/>
  <c r="L126" i="45"/>
  <c r="L27" i="43"/>
  <c r="T150" i="44"/>
  <c r="U150" i="44" s="1"/>
  <c r="I37" i="6"/>
  <c r="J37" i="6" s="1"/>
  <c r="I29" i="43"/>
  <c r="T29" i="43" s="1"/>
  <c r="U29" i="43" s="1"/>
  <c r="J156" i="45"/>
  <c r="I107" i="43"/>
  <c r="J107" i="43" s="1"/>
  <c r="L30" i="44"/>
  <c r="I17" i="43"/>
  <c r="J17" i="43" s="1"/>
  <c r="Q160" i="44"/>
  <c r="L120" i="44"/>
  <c r="T120" i="44"/>
  <c r="U120" i="44" s="1"/>
  <c r="AC17" i="45"/>
  <c r="AK17" i="45"/>
  <c r="I155" i="6"/>
  <c r="J155" i="6" s="1"/>
  <c r="L98" i="43"/>
  <c r="T98" i="43"/>
  <c r="U98" i="43" s="1"/>
  <c r="Y80" i="45"/>
  <c r="Z80" i="45" s="1"/>
  <c r="AB80" i="45" s="1"/>
  <c r="L111" i="6"/>
  <c r="M111" i="6" s="1"/>
  <c r="T111" i="6"/>
  <c r="U111" i="6" s="1"/>
  <c r="I82" i="45"/>
  <c r="J82" i="45" s="1"/>
  <c r="L29" i="6"/>
  <c r="M29" i="6" s="1"/>
  <c r="J29" i="6"/>
  <c r="Q160" i="6"/>
  <c r="AM25" i="45"/>
  <c r="AN25" i="45" s="1"/>
  <c r="AC25" i="45"/>
  <c r="AM40" i="43"/>
  <c r="AN40" i="43" s="1"/>
  <c r="AC40" i="43"/>
  <c r="Y97" i="43"/>
  <c r="Z97" i="43" s="1"/>
  <c r="L95" i="45"/>
  <c r="T95" i="45"/>
  <c r="U95" i="45" s="1"/>
  <c r="AC19" i="43"/>
  <c r="BC19" i="43" s="1"/>
  <c r="I132" i="44"/>
  <c r="J132" i="44" s="1"/>
  <c r="J127" i="6"/>
  <c r="L127" i="6"/>
  <c r="I83" i="6"/>
  <c r="T83" i="6" s="1"/>
  <c r="U83" i="6" s="1"/>
  <c r="I38" i="45"/>
  <c r="T38" i="45" s="1"/>
  <c r="U38" i="45" s="1"/>
  <c r="J108" i="45"/>
  <c r="I103" i="45"/>
  <c r="J103" i="45" s="1"/>
  <c r="I80" i="44"/>
  <c r="T80" i="44" s="1"/>
  <c r="U80" i="44" s="1"/>
  <c r="I59" i="45"/>
  <c r="J59" i="45" s="1"/>
  <c r="L24" i="43"/>
  <c r="M24" i="43" s="1"/>
  <c r="AC29" i="45"/>
  <c r="AM29" i="45"/>
  <c r="AN29" i="45" s="1"/>
  <c r="I120" i="43"/>
  <c r="J120" i="43" s="1"/>
  <c r="T132" i="6"/>
  <c r="U132" i="6" s="1"/>
  <c r="L132" i="6"/>
  <c r="M132" i="6" s="1"/>
  <c r="O159" i="44"/>
  <c r="J26" i="44"/>
  <c r="L26" i="44"/>
  <c r="M26" i="44" s="1"/>
  <c r="T26" i="44"/>
  <c r="U26" i="44" s="1"/>
  <c r="I112" i="44"/>
  <c r="T112" i="44" s="1"/>
  <c r="U112" i="44" s="1"/>
  <c r="I108" i="45"/>
  <c r="T108" i="45" s="1"/>
  <c r="U108" i="45" s="1"/>
  <c r="J93" i="45"/>
  <c r="T88" i="6"/>
  <c r="U88" i="6" s="1"/>
  <c r="R78" i="6"/>
  <c r="L122" i="43"/>
  <c r="M122" i="43" s="1"/>
  <c r="I88" i="45"/>
  <c r="T88" i="45" s="1"/>
  <c r="U88" i="45" s="1"/>
  <c r="I140" i="6"/>
  <c r="J140" i="6" s="1"/>
  <c r="AZ37" i="45"/>
  <c r="BA37" i="45" s="1"/>
  <c r="I110" i="6"/>
  <c r="T110" i="6" s="1"/>
  <c r="U110" i="6" s="1"/>
  <c r="I65" i="43"/>
  <c r="J65" i="43" s="1"/>
  <c r="T67" i="43"/>
  <c r="U67" i="43" s="1"/>
  <c r="J67" i="43"/>
  <c r="Q67" i="43" s="1"/>
  <c r="AC21" i="45"/>
  <c r="BC21" i="45" s="1"/>
  <c r="L29" i="45"/>
  <c r="T29" i="45"/>
  <c r="U29" i="45" s="1"/>
  <c r="J29" i="45"/>
  <c r="R29" i="45" s="1"/>
  <c r="AC155" i="6"/>
  <c r="L73" i="6"/>
  <c r="M73" i="6" s="1"/>
  <c r="I161" i="43"/>
  <c r="J161" i="43" s="1"/>
  <c r="P161" i="43" s="1"/>
  <c r="I157" i="6"/>
  <c r="J157" i="6" s="1"/>
  <c r="AC161" i="6"/>
  <c r="L37" i="6"/>
  <c r="J23" i="6"/>
  <c r="AC18" i="43"/>
  <c r="BC18" i="43" s="1"/>
  <c r="I57" i="44"/>
  <c r="T57" i="44" s="1"/>
  <c r="U57" i="44" s="1"/>
  <c r="AC19" i="45"/>
  <c r="BC19" i="45" s="1"/>
  <c r="L129" i="44"/>
  <c r="M129" i="44" s="1"/>
  <c r="Q159" i="44"/>
  <c r="AC154" i="44"/>
  <c r="Y81" i="44"/>
  <c r="Z81" i="44" s="1"/>
  <c r="L31" i="43"/>
  <c r="M31" i="43" s="1"/>
  <c r="I21" i="45"/>
  <c r="T21" i="45" s="1"/>
  <c r="U21" i="45" s="1"/>
  <c r="T60" i="44"/>
  <c r="U60" i="44" s="1"/>
  <c r="I103" i="6"/>
  <c r="J103" i="6" s="1"/>
  <c r="AB103" i="6" s="1"/>
  <c r="T28" i="43"/>
  <c r="U28" i="43" s="1"/>
  <c r="J28" i="43"/>
  <c r="P28" i="43" s="1"/>
  <c r="L28" i="43"/>
  <c r="M28" i="43" s="1"/>
  <c r="AM32" i="43"/>
  <c r="AN32" i="43" s="1"/>
  <c r="AC32" i="43"/>
  <c r="I60" i="43"/>
  <c r="J60" i="43" s="1"/>
  <c r="P60" i="43" s="1"/>
  <c r="L113" i="44"/>
  <c r="J113" i="44"/>
  <c r="AC156" i="6"/>
  <c r="AZ156" i="6"/>
  <c r="BA156" i="6" s="1"/>
  <c r="BC156" i="6" s="1"/>
  <c r="AC49" i="6"/>
  <c r="J58" i="43"/>
  <c r="S58" i="43" s="1"/>
  <c r="L128" i="44"/>
  <c r="J128" i="44"/>
  <c r="I27" i="43"/>
  <c r="J27" i="43" s="1"/>
  <c r="T94" i="44"/>
  <c r="U94" i="44" s="1"/>
  <c r="J94" i="44"/>
  <c r="J121" i="6"/>
  <c r="T121" i="6"/>
  <c r="U121" i="6" s="1"/>
  <c r="L121" i="6"/>
  <c r="M121" i="6" s="1"/>
  <c r="T90" i="45"/>
  <c r="U90" i="45" s="1"/>
  <c r="L126" i="43"/>
  <c r="J126" i="43"/>
  <c r="T126" i="43"/>
  <c r="U126" i="43" s="1"/>
  <c r="I122" i="43"/>
  <c r="J122" i="43" s="1"/>
  <c r="I81" i="43"/>
  <c r="T81" i="43" s="1"/>
  <c r="U81" i="43" s="1"/>
  <c r="I24" i="44"/>
  <c r="J24" i="44" s="1"/>
  <c r="R160" i="45"/>
  <c r="L125" i="45"/>
  <c r="M125" i="45" s="1"/>
  <c r="J20" i="44"/>
  <c r="AB20" i="44" s="1"/>
  <c r="T20" i="44"/>
  <c r="U20" i="44" s="1"/>
  <c r="AM37" i="43"/>
  <c r="AN37" i="43" s="1"/>
  <c r="AC37" i="43"/>
  <c r="I103" i="44"/>
  <c r="T103" i="44" s="1"/>
  <c r="U103" i="44" s="1"/>
  <c r="Y152" i="6"/>
  <c r="Z152" i="6" s="1"/>
  <c r="T152" i="6"/>
  <c r="U152" i="6" s="1"/>
  <c r="J152" i="6"/>
  <c r="I133" i="45"/>
  <c r="J133" i="45" s="1"/>
  <c r="R133" i="45" s="1"/>
  <c r="T23" i="44"/>
  <c r="U23" i="44" s="1"/>
  <c r="J23" i="44"/>
  <c r="AB23" i="44" s="1"/>
  <c r="I30" i="44"/>
  <c r="J30" i="44" s="1"/>
  <c r="L132" i="45"/>
  <c r="J93" i="43"/>
  <c r="T93" i="43"/>
  <c r="U93" i="43" s="1"/>
  <c r="T103" i="45"/>
  <c r="U103" i="45" s="1"/>
  <c r="L26" i="45"/>
  <c r="AB26" i="45" s="1"/>
  <c r="T26" i="45"/>
  <c r="U26" i="45" s="1"/>
  <c r="Y107" i="43"/>
  <c r="Z107" i="43" s="1"/>
  <c r="I124" i="44"/>
  <c r="J124" i="44" s="1"/>
  <c r="S124" i="44" s="1"/>
  <c r="Y72" i="45"/>
  <c r="Z72" i="45" s="1"/>
  <c r="AB72" i="45" s="1"/>
  <c r="I89" i="6"/>
  <c r="J89" i="6" s="1"/>
  <c r="T86" i="44"/>
  <c r="U86" i="44" s="1"/>
  <c r="J86" i="44"/>
  <c r="AB86" i="44" s="1"/>
  <c r="I90" i="44"/>
  <c r="J90" i="44" s="1"/>
  <c r="I96" i="6"/>
  <c r="T96" i="6" s="1"/>
  <c r="U96" i="6" s="1"/>
  <c r="L121" i="44"/>
  <c r="M121" i="44" s="1"/>
  <c r="T121" i="44"/>
  <c r="U121" i="44" s="1"/>
  <c r="J121" i="44"/>
  <c r="Y108" i="45"/>
  <c r="Z108" i="45" s="1"/>
  <c r="AB108" i="45" s="1"/>
  <c r="R158" i="44"/>
  <c r="I107" i="44"/>
  <c r="J107" i="44" s="1"/>
  <c r="I150" i="45"/>
  <c r="J150" i="45" s="1"/>
  <c r="AM27" i="45"/>
  <c r="AN27" i="45" s="1"/>
  <c r="AC27" i="45"/>
  <c r="I16" i="44"/>
  <c r="T16" i="44" s="1"/>
  <c r="U16" i="44" s="1"/>
  <c r="AC153" i="43"/>
  <c r="AK153" i="43"/>
  <c r="AZ153" i="43"/>
  <c r="BA153" i="43" s="1"/>
  <c r="Y153" i="44"/>
  <c r="Z153" i="44" s="1"/>
  <c r="J153" i="44"/>
  <c r="T153" i="44"/>
  <c r="U153" i="44" s="1"/>
  <c r="I76" i="45"/>
  <c r="T76" i="45" s="1"/>
  <c r="U76" i="45" s="1"/>
  <c r="I60" i="45"/>
  <c r="J60" i="45" s="1"/>
  <c r="Y113" i="43"/>
  <c r="Z113" i="43" s="1"/>
  <c r="I127" i="44"/>
  <c r="J127" i="44" s="1"/>
  <c r="Y111" i="44"/>
  <c r="Z111" i="44" s="1"/>
  <c r="AB111" i="44" s="1"/>
  <c r="I86" i="43"/>
  <c r="T86" i="43" s="1"/>
  <c r="U86" i="43" s="1"/>
  <c r="Q158" i="6"/>
  <c r="I20" i="45"/>
  <c r="J20" i="45" s="1"/>
  <c r="AC16" i="6"/>
  <c r="R100" i="6"/>
  <c r="T67" i="6"/>
  <c r="U67" i="6" s="1"/>
  <c r="Q162" i="6"/>
  <c r="Y153" i="45"/>
  <c r="Z153" i="45" s="1"/>
  <c r="AB153" i="45" s="1"/>
  <c r="J63" i="45"/>
  <c r="T63" i="45"/>
  <c r="U63" i="45" s="1"/>
  <c r="I85" i="45"/>
  <c r="J85" i="45" s="1"/>
  <c r="AC161" i="45"/>
  <c r="AM31" i="6"/>
  <c r="AN31" i="6" s="1"/>
  <c r="AC31" i="6"/>
  <c r="BC31" i="6" s="1"/>
  <c r="I152" i="43"/>
  <c r="J152" i="43" s="1"/>
  <c r="I92" i="44"/>
  <c r="T92" i="44" s="1"/>
  <c r="U92" i="44" s="1"/>
  <c r="J91" i="6"/>
  <c r="T91" i="6"/>
  <c r="U91" i="6" s="1"/>
  <c r="I19" i="43"/>
  <c r="J19" i="43" s="1"/>
  <c r="I98" i="45"/>
  <c r="J98" i="45" s="1"/>
  <c r="O162" i="6"/>
  <c r="I57" i="45"/>
  <c r="J57" i="45" s="1"/>
  <c r="O57" i="45" s="1"/>
  <c r="AC149" i="45"/>
  <c r="I37" i="44"/>
  <c r="T37" i="44" s="1"/>
  <c r="U37" i="44" s="1"/>
  <c r="I129" i="44"/>
  <c r="T129" i="44" s="1"/>
  <c r="U129" i="44" s="1"/>
  <c r="I106" i="43"/>
  <c r="J106" i="43" s="1"/>
  <c r="AB106" i="43" s="1"/>
  <c r="T85" i="45"/>
  <c r="U85" i="45" s="1"/>
  <c r="T108" i="6"/>
  <c r="U108" i="6" s="1"/>
  <c r="J92" i="45"/>
  <c r="I89" i="44"/>
  <c r="J89" i="44" s="1"/>
  <c r="I104" i="43"/>
  <c r="J104" i="43" s="1"/>
  <c r="T18" i="6"/>
  <c r="U18" i="6" s="1"/>
  <c r="J18" i="6"/>
  <c r="Q85" i="45"/>
  <c r="R85" i="45"/>
  <c r="AB97" i="45"/>
  <c r="P97" i="45"/>
  <c r="O97" i="45"/>
  <c r="Q97" i="45"/>
  <c r="P77" i="43"/>
  <c r="Q19" i="43"/>
  <c r="Q59" i="44"/>
  <c r="P59" i="44"/>
  <c r="Y152" i="43"/>
  <c r="Z152" i="43" s="1"/>
  <c r="AB152" i="43" s="1"/>
  <c r="M26" i="45"/>
  <c r="BC32" i="45"/>
  <c r="AB132" i="6"/>
  <c r="AB92" i="45"/>
  <c r="S157" i="6"/>
  <c r="J70" i="6"/>
  <c r="AB25" i="45"/>
  <c r="S83" i="43"/>
  <c r="P157" i="6"/>
  <c r="J125" i="43"/>
  <c r="Y149" i="44"/>
  <c r="Z149" i="44" s="1"/>
  <c r="T153" i="45"/>
  <c r="U153" i="45" s="1"/>
  <c r="AB79" i="6"/>
  <c r="T25" i="6"/>
  <c r="U25" i="6" s="1"/>
  <c r="O19" i="43"/>
  <c r="AB59" i="44"/>
  <c r="S30" i="43"/>
  <c r="T57" i="45"/>
  <c r="U57" i="45" s="1"/>
  <c r="T161" i="45"/>
  <c r="U161" i="45" s="1"/>
  <c r="Q30" i="43"/>
  <c r="AB98" i="44"/>
  <c r="AB111" i="6"/>
  <c r="J120" i="45"/>
  <c r="Q110" i="45"/>
  <c r="AB40" i="43"/>
  <c r="P110" i="45"/>
  <c r="T152" i="43"/>
  <c r="U152" i="43" s="1"/>
  <c r="Q157" i="6"/>
  <c r="J121" i="45"/>
  <c r="T66" i="44"/>
  <c r="U66" i="44" s="1"/>
  <c r="T49" i="43"/>
  <c r="U49" i="43" s="1"/>
  <c r="T88" i="43"/>
  <c r="U88" i="43" s="1"/>
  <c r="J177" i="45"/>
  <c r="AP43" i="43"/>
  <c r="AS43" i="43"/>
  <c r="AQ43" i="43"/>
  <c r="AR43" i="43"/>
  <c r="AT43" i="43"/>
  <c r="BC43" i="43"/>
  <c r="S87" i="6"/>
  <c r="AB87" i="6"/>
  <c r="Q87" i="6"/>
  <c r="O87" i="6"/>
  <c r="R87" i="6"/>
  <c r="P87" i="6"/>
  <c r="Q108" i="43"/>
  <c r="AB108" i="43"/>
  <c r="S108" i="43"/>
  <c r="O108" i="43"/>
  <c r="P108" i="43"/>
  <c r="R108" i="43"/>
  <c r="AQ41" i="45"/>
  <c r="AR41" i="45"/>
  <c r="BC41" i="45"/>
  <c r="AS41" i="45"/>
  <c r="AT41" i="45"/>
  <c r="AP41" i="45"/>
  <c r="O111" i="44"/>
  <c r="R111" i="44"/>
  <c r="P111" i="44"/>
  <c r="S111" i="44"/>
  <c r="Q111" i="44"/>
  <c r="AB35" i="45"/>
  <c r="P35" i="45"/>
  <c r="R35" i="45"/>
  <c r="Q35" i="45"/>
  <c r="O35" i="45"/>
  <c r="S35" i="45"/>
  <c r="AB25" i="6"/>
  <c r="S25" i="6"/>
  <c r="R25" i="6"/>
  <c r="O25" i="6"/>
  <c r="Q25" i="6"/>
  <c r="P25" i="6"/>
  <c r="AB72" i="43"/>
  <c r="R72" i="43"/>
  <c r="O72" i="43"/>
  <c r="S72" i="43"/>
  <c r="P72" i="43"/>
  <c r="Q72" i="43"/>
  <c r="Q95" i="6"/>
  <c r="O95" i="6"/>
  <c r="S95" i="6"/>
  <c r="AB95" i="6"/>
  <c r="P95" i="6"/>
  <c r="R95" i="6"/>
  <c r="AB43" i="6"/>
  <c r="S43" i="6"/>
  <c r="R43" i="6"/>
  <c r="P43" i="6"/>
  <c r="Q43" i="6"/>
  <c r="O43" i="6"/>
  <c r="AR153" i="6"/>
  <c r="AP153" i="6"/>
  <c r="AQ153" i="6"/>
  <c r="AS153" i="6"/>
  <c r="AT153" i="6"/>
  <c r="O122" i="43"/>
  <c r="AB77" i="45"/>
  <c r="Q122" i="43"/>
  <c r="T150" i="45"/>
  <c r="P89" i="45"/>
  <c r="O91" i="45"/>
  <c r="R91" i="45"/>
  <c r="S161" i="43"/>
  <c r="R161" i="43"/>
  <c r="Q161" i="43"/>
  <c r="Q60" i="43"/>
  <c r="O140" i="6"/>
  <c r="P140" i="6"/>
  <c r="S140" i="6"/>
  <c r="S151" i="45"/>
  <c r="P151" i="45"/>
  <c r="Q151" i="45"/>
  <c r="R151" i="45"/>
  <c r="O151" i="45"/>
  <c r="M113" i="45"/>
  <c r="AB113" i="45"/>
  <c r="O73" i="6"/>
  <c r="O31" i="43"/>
  <c r="R31" i="43"/>
  <c r="P31" i="43"/>
  <c r="Q31" i="43"/>
  <c r="S31" i="43"/>
  <c r="R82" i="44"/>
  <c r="S82" i="44"/>
  <c r="M99" i="6"/>
  <c r="AB99" i="6"/>
  <c r="Q98" i="44"/>
  <c r="P98" i="44"/>
  <c r="R98" i="44"/>
  <c r="AR32" i="45"/>
  <c r="AP32" i="45"/>
  <c r="J130" i="44"/>
  <c r="O87" i="44"/>
  <c r="Q87" i="44"/>
  <c r="S87" i="44"/>
  <c r="R87" i="44"/>
  <c r="P87" i="44"/>
  <c r="AP42" i="43"/>
  <c r="AS42" i="43"/>
  <c r="AT42" i="43"/>
  <c r="AQ42" i="43"/>
  <c r="AR42" i="43"/>
  <c r="R150" i="44"/>
  <c r="S150" i="44"/>
  <c r="O150" i="44"/>
  <c r="P150" i="44"/>
  <c r="Q150" i="44"/>
  <c r="R104" i="44"/>
  <c r="O104" i="44"/>
  <c r="S104" i="44"/>
  <c r="P104" i="44"/>
  <c r="Q104" i="44"/>
  <c r="Q97" i="43"/>
  <c r="O97" i="43"/>
  <c r="R97" i="43"/>
  <c r="P97" i="43"/>
  <c r="S97" i="43"/>
  <c r="T80" i="45"/>
  <c r="U80" i="45" s="1"/>
  <c r="AT43" i="44"/>
  <c r="AQ43" i="44"/>
  <c r="AP43" i="44"/>
  <c r="AP24" i="45"/>
  <c r="AS24" i="45"/>
  <c r="AQ24" i="45"/>
  <c r="AT24" i="45"/>
  <c r="AR24" i="45"/>
  <c r="J81" i="45"/>
  <c r="AB19" i="44"/>
  <c r="Q75" i="44"/>
  <c r="P75" i="44"/>
  <c r="R75" i="44"/>
  <c r="R71" i="43"/>
  <c r="S71" i="43"/>
  <c r="O71" i="43"/>
  <c r="P71" i="43"/>
  <c r="Q71" i="43"/>
  <c r="T59" i="45"/>
  <c r="U59" i="45" s="1"/>
  <c r="R43" i="44"/>
  <c r="Q43" i="44"/>
  <c r="O43" i="44"/>
  <c r="S43" i="44"/>
  <c r="P43" i="44"/>
  <c r="AP149" i="45"/>
  <c r="AS149" i="45"/>
  <c r="AR149" i="45"/>
  <c r="AS16" i="6"/>
  <c r="AR16" i="6"/>
  <c r="AT16" i="6"/>
  <c r="AP35" i="6"/>
  <c r="AT35" i="6"/>
  <c r="AR35" i="6"/>
  <c r="AQ35" i="6"/>
  <c r="AS35" i="6"/>
  <c r="AB125" i="6"/>
  <c r="M125" i="6"/>
  <c r="AT20" i="44"/>
  <c r="AP20" i="44"/>
  <c r="AQ20" i="44"/>
  <c r="AS20" i="44"/>
  <c r="AR20" i="44"/>
  <c r="T140" i="45"/>
  <c r="Y140" i="45" s="1"/>
  <c r="AB140" i="45" s="1"/>
  <c r="J70" i="45"/>
  <c r="J124" i="6"/>
  <c r="AJ142" i="44"/>
  <c r="AK142" i="44" s="1"/>
  <c r="J38" i="45"/>
  <c r="T28" i="6"/>
  <c r="U28" i="6" s="1"/>
  <c r="R178" i="44"/>
  <c r="S178" i="44"/>
  <c r="P178" i="44"/>
  <c r="Q178" i="44"/>
  <c r="O178" i="44"/>
  <c r="AQ27" i="43"/>
  <c r="AR27" i="43"/>
  <c r="AR157" i="45"/>
  <c r="AS157" i="45"/>
  <c r="AT157" i="45"/>
  <c r="AR43" i="6"/>
  <c r="AT43" i="6"/>
  <c r="AS43" i="6"/>
  <c r="AR17" i="6"/>
  <c r="AP17" i="6"/>
  <c r="AT17" i="6"/>
  <c r="AQ17" i="6"/>
  <c r="AS17" i="6"/>
  <c r="J32" i="44"/>
  <c r="R22" i="43"/>
  <c r="Q22" i="43"/>
  <c r="S22" i="43"/>
  <c r="P22" i="43"/>
  <c r="O22" i="43"/>
  <c r="P158" i="44"/>
  <c r="AS32" i="44"/>
  <c r="AQ32" i="44"/>
  <c r="AB83" i="43"/>
  <c r="BC35" i="45"/>
  <c r="AS34" i="43"/>
  <c r="AQ34" i="43"/>
  <c r="P162" i="43"/>
  <c r="J76" i="45"/>
  <c r="O124" i="43"/>
  <c r="Q124" i="43"/>
  <c r="P124" i="43"/>
  <c r="R124" i="43"/>
  <c r="S124" i="43"/>
  <c r="M40" i="45"/>
  <c r="AB40" i="45"/>
  <c r="AR158" i="44"/>
  <c r="O125" i="6"/>
  <c r="S125" i="6"/>
  <c r="Q125" i="6"/>
  <c r="P125" i="6"/>
  <c r="R125" i="6"/>
  <c r="AP18" i="6"/>
  <c r="AS18" i="6"/>
  <c r="AQ18" i="6"/>
  <c r="AS25" i="45"/>
  <c r="AQ25" i="45"/>
  <c r="AP25" i="45"/>
  <c r="AR25" i="45"/>
  <c r="AT25" i="45"/>
  <c r="AR22" i="44"/>
  <c r="AT22" i="44"/>
  <c r="AP22" i="44"/>
  <c r="AS22" i="44"/>
  <c r="AQ22" i="44"/>
  <c r="AS26" i="45"/>
  <c r="AP26" i="45"/>
  <c r="AR26" i="45"/>
  <c r="AT26" i="45"/>
  <c r="AQ26" i="45"/>
  <c r="AR18" i="45"/>
  <c r="AT18" i="45"/>
  <c r="AP18" i="45"/>
  <c r="AQ18" i="45"/>
  <c r="AS18" i="45"/>
  <c r="O96" i="45"/>
  <c r="Q96" i="45"/>
  <c r="J107" i="45"/>
  <c r="BC28" i="44"/>
  <c r="AS49" i="44"/>
  <c r="AP49" i="44"/>
  <c r="AR49" i="44"/>
  <c r="O88" i="6"/>
  <c r="R88" i="6"/>
  <c r="S88" i="6"/>
  <c r="Q88" i="6"/>
  <c r="P88" i="6"/>
  <c r="P21" i="44"/>
  <c r="Q21" i="44"/>
  <c r="R21" i="44"/>
  <c r="T87" i="6"/>
  <c r="U87" i="6" s="1"/>
  <c r="AQ158" i="45"/>
  <c r="J31" i="44"/>
  <c r="P56" i="44"/>
  <c r="AS160" i="44"/>
  <c r="AS159" i="45"/>
  <c r="AT159" i="45"/>
  <c r="AS33" i="45"/>
  <c r="AT33" i="45"/>
  <c r="AP33" i="45"/>
  <c r="AQ33" i="45"/>
  <c r="AR33" i="45"/>
  <c r="P61" i="45"/>
  <c r="Q61" i="45"/>
  <c r="O15" i="6"/>
  <c r="AT33" i="43"/>
  <c r="AS33" i="43"/>
  <c r="AP33" i="43"/>
  <c r="AR33" i="43"/>
  <c r="AQ33" i="43"/>
  <c r="AQ19" i="45"/>
  <c r="AR19" i="45"/>
  <c r="AT19" i="45"/>
  <c r="AS19" i="45"/>
  <c r="AP19" i="45"/>
  <c r="T156" i="43"/>
  <c r="AS23" i="45"/>
  <c r="AT23" i="45"/>
  <c r="AQ23" i="45"/>
  <c r="T124" i="43"/>
  <c r="U124" i="43" s="1"/>
  <c r="R169" i="6"/>
  <c r="S169" i="6"/>
  <c r="AR162" i="45"/>
  <c r="AQ23" i="6"/>
  <c r="AT23" i="6"/>
  <c r="AS23" i="6"/>
  <c r="AR23" i="6"/>
  <c r="AP23" i="6"/>
  <c r="AP159" i="43"/>
  <c r="R162" i="43"/>
  <c r="J43" i="45"/>
  <c r="J37" i="44"/>
  <c r="S57" i="45"/>
  <c r="AB91" i="6"/>
  <c r="Q91" i="6"/>
  <c r="R91" i="6"/>
  <c r="S91" i="6"/>
  <c r="P91" i="6"/>
  <c r="O91" i="6"/>
  <c r="P152" i="43"/>
  <c r="O152" i="43"/>
  <c r="S133" i="45"/>
  <c r="O133" i="45"/>
  <c r="AS37" i="43"/>
  <c r="AR37" i="43"/>
  <c r="S96" i="44"/>
  <c r="Q161" i="45"/>
  <c r="AB24" i="45"/>
  <c r="Q85" i="44"/>
  <c r="R85" i="44"/>
  <c r="R64" i="44"/>
  <c r="P64" i="44"/>
  <c r="AP141" i="44"/>
  <c r="AS141" i="44"/>
  <c r="AR141" i="44"/>
  <c r="AQ141" i="44"/>
  <c r="AT141" i="44"/>
  <c r="AP37" i="44"/>
  <c r="AR37" i="44"/>
  <c r="AQ37" i="44"/>
  <c r="AS37" i="44"/>
  <c r="AT37" i="44"/>
  <c r="J87" i="43"/>
  <c r="Q27" i="44"/>
  <c r="O27" i="44"/>
  <c r="AS158" i="45"/>
  <c r="T111" i="44"/>
  <c r="U111" i="44" s="1"/>
  <c r="R113" i="45"/>
  <c r="S113" i="45"/>
  <c r="O113" i="45"/>
  <c r="O58" i="6"/>
  <c r="Q58" i="6"/>
  <c r="P18" i="44"/>
  <c r="R18" i="44"/>
  <c r="S18" i="44"/>
  <c r="O18" i="44"/>
  <c r="Q18" i="44"/>
  <c r="P76" i="43"/>
  <c r="O76" i="43"/>
  <c r="BC41" i="6"/>
  <c r="Q42" i="43"/>
  <c r="O42" i="43"/>
  <c r="R42" i="43"/>
  <c r="S42" i="43"/>
  <c r="P42" i="43"/>
  <c r="AT149" i="43"/>
  <c r="AQ149" i="43"/>
  <c r="AP149" i="43"/>
  <c r="AS149" i="43"/>
  <c r="AR149" i="43"/>
  <c r="Q162" i="43"/>
  <c r="Q158" i="44"/>
  <c r="AB112" i="45"/>
  <c r="Q122" i="6"/>
  <c r="O122" i="6"/>
  <c r="R122" i="6"/>
  <c r="S122" i="6"/>
  <c r="P122" i="6"/>
  <c r="T95" i="6"/>
  <c r="U95" i="6" s="1"/>
  <c r="AT41" i="44"/>
  <c r="AQ41" i="44"/>
  <c r="AP41" i="44"/>
  <c r="AS153" i="45"/>
  <c r="AQ153" i="45"/>
  <c r="AP153" i="45"/>
  <c r="AQ28" i="45"/>
  <c r="AP28" i="45"/>
  <c r="AS28" i="45"/>
  <c r="AT28" i="45"/>
  <c r="J37" i="43"/>
  <c r="T17" i="45"/>
  <c r="U17" i="45" s="1"/>
  <c r="R132" i="43"/>
  <c r="O132" i="43"/>
  <c r="O111" i="6"/>
  <c r="P111" i="6"/>
  <c r="R111" i="6"/>
  <c r="Q111" i="6"/>
  <c r="S111" i="6"/>
  <c r="S130" i="45"/>
  <c r="Q130" i="45"/>
  <c r="O130" i="45"/>
  <c r="R130" i="45"/>
  <c r="P130" i="45"/>
  <c r="Q57" i="6"/>
  <c r="O57" i="6"/>
  <c r="P57" i="6"/>
  <c r="Q16" i="6"/>
  <c r="P16" i="6"/>
  <c r="O16" i="6"/>
  <c r="R16" i="6"/>
  <c r="S16" i="6"/>
  <c r="P25" i="44"/>
  <c r="S25" i="44"/>
  <c r="R25" i="44"/>
  <c r="O25" i="44"/>
  <c r="Q25" i="44"/>
  <c r="AQ29" i="6"/>
  <c r="AP29" i="6"/>
  <c r="AR29" i="6"/>
  <c r="AT29" i="6"/>
  <c r="AS29" i="6"/>
  <c r="M28" i="6"/>
  <c r="S111" i="45"/>
  <c r="R111" i="45"/>
  <c r="O111" i="45"/>
  <c r="Q74" i="43"/>
  <c r="S74" i="43"/>
  <c r="T25" i="44"/>
  <c r="U25" i="44" s="1"/>
  <c r="O74" i="6"/>
  <c r="R74" i="6"/>
  <c r="Q74" i="6"/>
  <c r="S74" i="6"/>
  <c r="P74" i="6"/>
  <c r="P124" i="45"/>
  <c r="Q124" i="45"/>
  <c r="O124" i="45"/>
  <c r="S124" i="45"/>
  <c r="R124" i="45"/>
  <c r="AS28" i="43"/>
  <c r="AP28" i="43"/>
  <c r="AP157" i="44"/>
  <c r="AT157" i="44"/>
  <c r="AQ149" i="6"/>
  <c r="AP149" i="6"/>
  <c r="S43" i="43"/>
  <c r="R43" i="43"/>
  <c r="P43" i="43"/>
  <c r="Q43" i="43"/>
  <c r="O43" i="43"/>
  <c r="T90" i="44"/>
  <c r="U90" i="44" s="1"/>
  <c r="AZ157" i="45"/>
  <c r="BA157" i="45" s="1"/>
  <c r="BC157" i="45" s="1"/>
  <c r="J106" i="6"/>
  <c r="AT34" i="6"/>
  <c r="AP34" i="6"/>
  <c r="AR34" i="6"/>
  <c r="AQ34" i="6"/>
  <c r="AS34" i="6"/>
  <c r="AR156" i="44"/>
  <c r="AT156" i="44"/>
  <c r="AP156" i="44"/>
  <c r="AQ156" i="44"/>
  <c r="AS156" i="44"/>
  <c r="AP27" i="45"/>
  <c r="AR27" i="45"/>
  <c r="AT33" i="44"/>
  <c r="AS33" i="44"/>
  <c r="AQ159" i="43"/>
  <c r="AS161" i="43"/>
  <c r="AQ161" i="43"/>
  <c r="AR161" i="43"/>
  <c r="AT161" i="43"/>
  <c r="AP161" i="43"/>
  <c r="O122" i="45"/>
  <c r="R122" i="45"/>
  <c r="Q122" i="45"/>
  <c r="S122" i="45"/>
  <c r="P122" i="45"/>
  <c r="AP38" i="45"/>
  <c r="AS38" i="45"/>
  <c r="AR18" i="44"/>
  <c r="AS18" i="44"/>
  <c r="AP18" i="44"/>
  <c r="AQ18" i="44"/>
  <c r="AT18" i="44"/>
  <c r="P102" i="6"/>
  <c r="O102" i="6"/>
  <c r="R102" i="6"/>
  <c r="O99" i="6"/>
  <c r="R99" i="6"/>
  <c r="Q99" i="6"/>
  <c r="S99" i="6"/>
  <c r="P99" i="6"/>
  <c r="AR153" i="44"/>
  <c r="AS153" i="44"/>
  <c r="AT153" i="44"/>
  <c r="AQ153" i="44"/>
  <c r="AP153" i="44"/>
  <c r="AB32" i="43"/>
  <c r="T72" i="43"/>
  <c r="U72" i="43" s="1"/>
  <c r="T71" i="6"/>
  <c r="U71" i="6" s="1"/>
  <c r="AQ37" i="6"/>
  <c r="AT37" i="6"/>
  <c r="AR37" i="6"/>
  <c r="AP37" i="6"/>
  <c r="AS37" i="6"/>
  <c r="O158" i="44"/>
  <c r="O162" i="43"/>
  <c r="Q100" i="44"/>
  <c r="O159" i="43"/>
  <c r="AR160" i="44"/>
  <c r="AB124" i="43"/>
  <c r="M124" i="43"/>
  <c r="AB91" i="44"/>
  <c r="AT30" i="43"/>
  <c r="AQ30" i="43"/>
  <c r="AS30" i="43"/>
  <c r="AP30" i="43"/>
  <c r="AR30" i="43"/>
  <c r="AB149" i="44"/>
  <c r="R127" i="44"/>
  <c r="O127" i="44"/>
  <c r="P27" i="43"/>
  <c r="S27" i="43"/>
  <c r="R58" i="43"/>
  <c r="R65" i="43"/>
  <c r="P65" i="43"/>
  <c r="O65" i="43"/>
  <c r="S91" i="43"/>
  <c r="R91" i="43"/>
  <c r="O35" i="43"/>
  <c r="R35" i="43"/>
  <c r="M122" i="45"/>
  <c r="AB122" i="45"/>
  <c r="AP30" i="44"/>
  <c r="AR30" i="44"/>
  <c r="P66" i="44"/>
  <c r="S66" i="44"/>
  <c r="O66" i="44"/>
  <c r="Q66" i="44"/>
  <c r="R66" i="44"/>
  <c r="AS155" i="43"/>
  <c r="AP155" i="43"/>
  <c r="S178" i="43"/>
  <c r="Q178" i="43"/>
  <c r="P178" i="43"/>
  <c r="O178" i="43"/>
  <c r="R178" i="43"/>
  <c r="S79" i="45"/>
  <c r="O79" i="45"/>
  <c r="P34" i="44"/>
  <c r="S34" i="44"/>
  <c r="R34" i="44"/>
  <c r="O34" i="44"/>
  <c r="Q34" i="44"/>
  <c r="AR151" i="43"/>
  <c r="AS151" i="43"/>
  <c r="AP151" i="43"/>
  <c r="P39" i="45"/>
  <c r="R39" i="45"/>
  <c r="M42" i="44"/>
  <c r="AB42" i="44"/>
  <c r="AQ49" i="43"/>
  <c r="AS49" i="43"/>
  <c r="Q169" i="43"/>
  <c r="R169" i="43"/>
  <c r="AB72" i="6"/>
  <c r="P59" i="6"/>
  <c r="S59" i="6"/>
  <c r="R59" i="6"/>
  <c r="O59" i="6"/>
  <c r="Q59" i="6"/>
  <c r="O80" i="45"/>
  <c r="S80" i="45"/>
  <c r="P80" i="45"/>
  <c r="Q17" i="45"/>
  <c r="P17" i="45"/>
  <c r="O17" i="45"/>
  <c r="R64" i="45"/>
  <c r="Q64" i="45"/>
  <c r="P64" i="45"/>
  <c r="S64" i="45"/>
  <c r="O64" i="45"/>
  <c r="O88" i="43"/>
  <c r="R88" i="43"/>
  <c r="S88" i="43"/>
  <c r="P88" i="43"/>
  <c r="Q88" i="43"/>
  <c r="AR35" i="44"/>
  <c r="AT35" i="44"/>
  <c r="AR30" i="6"/>
  <c r="AP30" i="6"/>
  <c r="AB64" i="44"/>
  <c r="AR31" i="45"/>
  <c r="AT31" i="45"/>
  <c r="T19" i="45"/>
  <c r="U19" i="45" s="1"/>
  <c r="J133" i="44"/>
  <c r="Q99" i="43"/>
  <c r="P99" i="43"/>
  <c r="S99" i="43"/>
  <c r="O99" i="43"/>
  <c r="R99" i="43"/>
  <c r="BC43" i="45"/>
  <c r="T35" i="45"/>
  <c r="U35" i="45" s="1"/>
  <c r="AQ160" i="44"/>
  <c r="AP151" i="6"/>
  <c r="AT151" i="6"/>
  <c r="AP32" i="6"/>
  <c r="AT32" i="6"/>
  <c r="AS32" i="6"/>
  <c r="AR32" i="6"/>
  <c r="AQ32" i="6"/>
  <c r="S154" i="6"/>
  <c r="R154" i="6"/>
  <c r="Q154" i="6"/>
  <c r="P154" i="6"/>
  <c r="O154" i="6"/>
  <c r="AR158" i="45"/>
  <c r="AT150" i="6"/>
  <c r="AP150" i="6"/>
  <c r="AP156" i="45"/>
  <c r="AT156" i="45"/>
  <c r="S41" i="45"/>
  <c r="P41" i="45"/>
  <c r="Q41" i="45"/>
  <c r="O41" i="45"/>
  <c r="R41" i="45"/>
  <c r="AK140" i="43"/>
  <c r="AJ142" i="43"/>
  <c r="AK142" i="43" s="1"/>
  <c r="AT142" i="43" s="1"/>
  <c r="AS32" i="43"/>
  <c r="AQ32" i="43"/>
  <c r="AR32" i="43"/>
  <c r="AP32" i="43"/>
  <c r="AU32" i="43" s="1"/>
  <c r="AV32" i="43" s="1"/>
  <c r="AT32" i="43"/>
  <c r="AP160" i="44"/>
  <c r="AR35" i="45"/>
  <c r="AT35" i="45"/>
  <c r="T70" i="44"/>
  <c r="U70" i="44" s="1"/>
  <c r="T132" i="43"/>
  <c r="U132" i="43" s="1"/>
  <c r="AT150" i="43"/>
  <c r="AP150" i="43"/>
  <c r="AS150" i="43"/>
  <c r="AQ150" i="43"/>
  <c r="AR150" i="43"/>
  <c r="Q78" i="44"/>
  <c r="P159" i="45"/>
  <c r="AS159" i="43"/>
  <c r="AQ39" i="44"/>
  <c r="AS39" i="44"/>
  <c r="AR39" i="44"/>
  <c r="AP39" i="44"/>
  <c r="AT39" i="44"/>
  <c r="AS16" i="45"/>
  <c r="AR16" i="45"/>
  <c r="AQ16" i="45"/>
  <c r="AQ161" i="44"/>
  <c r="AT161" i="44"/>
  <c r="AS161" i="44"/>
  <c r="AR161" i="44"/>
  <c r="AP161" i="44"/>
  <c r="T108" i="43"/>
  <c r="U108" i="43" s="1"/>
  <c r="M43" i="43"/>
  <c r="AB43" i="43"/>
  <c r="AP21" i="43"/>
  <c r="AQ21" i="43"/>
  <c r="AR21" i="43"/>
  <c r="AS21" i="43"/>
  <c r="AT21" i="43"/>
  <c r="J105" i="45"/>
  <c r="AS152" i="43"/>
  <c r="AQ152" i="43"/>
  <c r="P129" i="6"/>
  <c r="S129" i="6"/>
  <c r="R129" i="6"/>
  <c r="Q129" i="6"/>
  <c r="O129" i="6"/>
  <c r="AB58" i="6"/>
  <c r="T76" i="43"/>
  <c r="U76" i="43" s="1"/>
  <c r="J133" i="43"/>
  <c r="AS16" i="43"/>
  <c r="AT16" i="43"/>
  <c r="AR19" i="43"/>
  <c r="AP19" i="43"/>
  <c r="AQ19" i="43"/>
  <c r="AS19" i="43"/>
  <c r="AT19" i="43"/>
  <c r="Q154" i="43"/>
  <c r="O154" i="43"/>
  <c r="AB88" i="43"/>
  <c r="AT161" i="6"/>
  <c r="AP161" i="6"/>
  <c r="AS161" i="6"/>
  <c r="AQ161" i="6"/>
  <c r="AR161" i="6"/>
  <c r="AB71" i="6"/>
  <c r="AP31" i="44"/>
  <c r="AS31" i="44"/>
  <c r="AT20" i="43"/>
  <c r="AR20" i="43"/>
  <c r="AP28" i="6"/>
  <c r="AT28" i="6"/>
  <c r="AQ28" i="6"/>
  <c r="AR28" i="6"/>
  <c r="AS28" i="6"/>
  <c r="T41" i="43"/>
  <c r="U41" i="43" s="1"/>
  <c r="BC34" i="6"/>
  <c r="AQ42" i="6"/>
  <c r="AS42" i="6"/>
  <c r="AP42" i="6"/>
  <c r="AR42" i="6"/>
  <c r="AT42" i="6"/>
  <c r="AR154" i="45"/>
  <c r="AT154" i="45"/>
  <c r="AQ154" i="45"/>
  <c r="AP154" i="45"/>
  <c r="AS154" i="45"/>
  <c r="Q106" i="44"/>
  <c r="O106" i="44"/>
  <c r="P106" i="44"/>
  <c r="S106" i="44"/>
  <c r="R106" i="44"/>
  <c r="P160" i="44"/>
  <c r="AP36" i="44"/>
  <c r="AQ36" i="44"/>
  <c r="AR36" i="44"/>
  <c r="AS36" i="44"/>
  <c r="AT36" i="44"/>
  <c r="J128" i="6"/>
  <c r="J64" i="43"/>
  <c r="AS152" i="45"/>
  <c r="AP152" i="45"/>
  <c r="AR152" i="45"/>
  <c r="AT152" i="45"/>
  <c r="AQ152" i="45"/>
  <c r="AS26" i="44"/>
  <c r="AT26" i="44"/>
  <c r="Q42" i="44"/>
  <c r="O42" i="44"/>
  <c r="P42" i="44"/>
  <c r="S42" i="44"/>
  <c r="R42" i="44"/>
  <c r="T76" i="44"/>
  <c r="U76" i="44" s="1"/>
  <c r="Q88" i="44"/>
  <c r="S88" i="44"/>
  <c r="O88" i="44"/>
  <c r="P88" i="44"/>
  <c r="R88" i="44"/>
  <c r="J112" i="6"/>
  <c r="T43" i="6"/>
  <c r="U43" i="6" s="1"/>
  <c r="AQ158" i="44"/>
  <c r="T129" i="6"/>
  <c r="U129" i="6" s="1"/>
  <c r="P160" i="6"/>
  <c r="AQ17" i="44"/>
  <c r="AP17" i="44"/>
  <c r="AR36" i="6"/>
  <c r="AS36" i="6"/>
  <c r="AT28" i="44"/>
  <c r="AP28" i="44"/>
  <c r="AR28" i="44"/>
  <c r="AS28" i="44"/>
  <c r="AQ28" i="44"/>
  <c r="P40" i="44"/>
  <c r="R40" i="44"/>
  <c r="O40" i="44"/>
  <c r="Q40" i="44"/>
  <c r="S40" i="44"/>
  <c r="S61" i="43"/>
  <c r="Q61" i="43"/>
  <c r="Q121" i="6"/>
  <c r="S121" i="6"/>
  <c r="R121" i="6"/>
  <c r="P121" i="6"/>
  <c r="O121" i="6"/>
  <c r="Q103" i="43"/>
  <c r="P103" i="43"/>
  <c r="S103" i="43"/>
  <c r="R103" i="43"/>
  <c r="O103" i="43"/>
  <c r="Q150" i="43"/>
  <c r="O150" i="43"/>
  <c r="AR25" i="44"/>
  <c r="AQ25" i="44"/>
  <c r="O105" i="6"/>
  <c r="R105" i="6"/>
  <c r="S105" i="6"/>
  <c r="P65" i="6"/>
  <c r="Q65" i="6"/>
  <c r="R20" i="6"/>
  <c r="S20" i="6"/>
  <c r="P20" i="6"/>
  <c r="O20" i="6"/>
  <c r="Q20" i="6"/>
  <c r="R73" i="44"/>
  <c r="Q73" i="44"/>
  <c r="S73" i="44"/>
  <c r="S34" i="45"/>
  <c r="Q34" i="45"/>
  <c r="AT141" i="43"/>
  <c r="AP141" i="43"/>
  <c r="AS141" i="43"/>
  <c r="R16" i="43"/>
  <c r="P16" i="43"/>
  <c r="O16" i="43"/>
  <c r="S16" i="43"/>
  <c r="Q16" i="43"/>
  <c r="S24" i="6"/>
  <c r="O24" i="6"/>
  <c r="P24" i="6"/>
  <c r="R24" i="6"/>
  <c r="Q24" i="6"/>
  <c r="AP141" i="45"/>
  <c r="AQ141" i="45"/>
  <c r="Q90" i="6"/>
  <c r="S90" i="6"/>
  <c r="S28" i="6"/>
  <c r="P28" i="6"/>
  <c r="O28" i="6"/>
  <c r="R61" i="6"/>
  <c r="O61" i="6"/>
  <c r="P61" i="6"/>
  <c r="Q17" i="6"/>
  <c r="R17" i="6"/>
  <c r="O17" i="6"/>
  <c r="P17" i="6"/>
  <c r="S17" i="6"/>
  <c r="AQ24" i="6"/>
  <c r="AP24" i="6"/>
  <c r="AR24" i="6"/>
  <c r="AT24" i="6"/>
  <c r="AS24" i="6"/>
  <c r="AQ154" i="43"/>
  <c r="AP154" i="43"/>
  <c r="AS154" i="43"/>
  <c r="AT154" i="43"/>
  <c r="AR154" i="43"/>
  <c r="J94" i="45"/>
  <c r="M42" i="43"/>
  <c r="AB42" i="43"/>
  <c r="AB81" i="6"/>
  <c r="R81" i="6"/>
  <c r="P81" i="6"/>
  <c r="O81" i="6"/>
  <c r="Q81" i="6"/>
  <c r="S81" i="6"/>
  <c r="AT41" i="6"/>
  <c r="AP41" i="6"/>
  <c r="AR41" i="6"/>
  <c r="AQ41" i="6"/>
  <c r="AS41" i="6"/>
  <c r="S41" i="43"/>
  <c r="Q41" i="43"/>
  <c r="P41" i="43"/>
  <c r="R41" i="43"/>
  <c r="O41" i="43"/>
  <c r="AS38" i="6"/>
  <c r="AP38" i="6"/>
  <c r="AR38" i="6"/>
  <c r="AQ38" i="6"/>
  <c r="AT38" i="6"/>
  <c r="AP21" i="6"/>
  <c r="AR21" i="6"/>
  <c r="AT21" i="6"/>
  <c r="AQ21" i="6"/>
  <c r="AS21" i="6"/>
  <c r="Q73" i="45"/>
  <c r="P73" i="45"/>
  <c r="S26" i="45"/>
  <c r="O26" i="45"/>
  <c r="AS40" i="43"/>
  <c r="AT40" i="43"/>
  <c r="AP40" i="43"/>
  <c r="AQ40" i="43"/>
  <c r="AR40" i="43"/>
  <c r="P71" i="6"/>
  <c r="R71" i="6"/>
  <c r="Q71" i="6"/>
  <c r="S71" i="6"/>
  <c r="O71" i="6"/>
  <c r="AB87" i="44"/>
  <c r="R60" i="6"/>
  <c r="S60" i="6"/>
  <c r="P60" i="6"/>
  <c r="O60" i="6"/>
  <c r="Q60" i="6"/>
  <c r="AP156" i="6"/>
  <c r="AS156" i="6"/>
  <c r="AQ156" i="6"/>
  <c r="AT156" i="6"/>
  <c r="AR156" i="6"/>
  <c r="S36" i="44"/>
  <c r="Q36" i="44"/>
  <c r="P36" i="44"/>
  <c r="O36" i="44"/>
  <c r="R36" i="44"/>
  <c r="M132" i="43"/>
  <c r="AB132" i="43"/>
  <c r="AB89" i="45"/>
  <c r="Q68" i="43"/>
  <c r="S68" i="43"/>
  <c r="O68" i="43"/>
  <c r="R68" i="43"/>
  <c r="P68" i="43"/>
  <c r="Q159" i="45"/>
  <c r="P78" i="44"/>
  <c r="Q178" i="45"/>
  <c r="O178" i="45"/>
  <c r="S178" i="45"/>
  <c r="R178" i="45"/>
  <c r="P178" i="45"/>
  <c r="AP141" i="6"/>
  <c r="AS141" i="6"/>
  <c r="AQ31" i="6"/>
  <c r="AS31" i="6"/>
  <c r="AT31" i="6"/>
  <c r="AP31" i="6"/>
  <c r="AR31" i="6"/>
  <c r="AB129" i="45"/>
  <c r="M129" i="45"/>
  <c r="M76" i="45"/>
  <c r="AB76" i="45"/>
  <c r="R159" i="45"/>
  <c r="AQ159" i="44"/>
  <c r="Q40" i="45"/>
  <c r="O40" i="45"/>
  <c r="R40" i="45"/>
  <c r="P40" i="45"/>
  <c r="S40" i="45"/>
  <c r="P169" i="44"/>
  <c r="O169" i="44"/>
  <c r="Q169" i="44"/>
  <c r="R169" i="44"/>
  <c r="S169" i="44"/>
  <c r="R104" i="6"/>
  <c r="S104" i="6"/>
  <c r="P104" i="6"/>
  <c r="Q104" i="6"/>
  <c r="O104" i="6"/>
  <c r="T66" i="6"/>
  <c r="U66" i="6" s="1"/>
  <c r="AR49" i="6"/>
  <c r="AP49" i="6"/>
  <c r="AS49" i="6"/>
  <c r="AT49" i="6"/>
  <c r="AQ49" i="6"/>
  <c r="AS22" i="45"/>
  <c r="AR22" i="45"/>
  <c r="M41" i="43"/>
  <c r="AB41" i="43"/>
  <c r="Q78" i="6"/>
  <c r="AP41" i="43"/>
  <c r="AQ41" i="43"/>
  <c r="AR41" i="43"/>
  <c r="AS41" i="43"/>
  <c r="AT41" i="43"/>
  <c r="J130" i="43"/>
  <c r="AT22" i="43"/>
  <c r="AR22" i="43"/>
  <c r="AP22" i="43"/>
  <c r="AS22" i="43"/>
  <c r="AQ22" i="43"/>
  <c r="O108" i="6"/>
  <c r="S108" i="6"/>
  <c r="Q108" i="6"/>
  <c r="P108" i="6"/>
  <c r="R108" i="6"/>
  <c r="M76" i="44"/>
  <c r="AB76" i="44"/>
  <c r="T79" i="6"/>
  <c r="U79" i="6" s="1"/>
  <c r="BC29" i="43"/>
  <c r="Q57" i="43"/>
  <c r="R57" i="43"/>
  <c r="AR159" i="45"/>
  <c r="R82" i="43"/>
  <c r="P82" i="43"/>
  <c r="S82" i="43"/>
  <c r="Q82" i="43"/>
  <c r="O82" i="43"/>
  <c r="O160" i="44"/>
  <c r="AP154" i="6"/>
  <c r="AT154" i="6"/>
  <c r="AQ154" i="6"/>
  <c r="AR154" i="6"/>
  <c r="AS154" i="6"/>
  <c r="P125" i="43"/>
  <c r="S125" i="43"/>
  <c r="Q125" i="43"/>
  <c r="P128" i="45"/>
  <c r="Q25" i="45"/>
  <c r="P25" i="45"/>
  <c r="AB152" i="6"/>
  <c r="O77" i="43"/>
  <c r="S77" i="43"/>
  <c r="Q74" i="44"/>
  <c r="S49" i="6"/>
  <c r="P49" i="6"/>
  <c r="R49" i="6"/>
  <c r="AB49" i="6"/>
  <c r="O49" i="6"/>
  <c r="Q49" i="6"/>
  <c r="R98" i="6"/>
  <c r="P98" i="6"/>
  <c r="Q98" i="6"/>
  <c r="S98" i="6"/>
  <c r="O98" i="6"/>
  <c r="AB98" i="6"/>
  <c r="AB85" i="6"/>
  <c r="Q85" i="6"/>
  <c r="P85" i="6"/>
  <c r="O85" i="6"/>
  <c r="R85" i="6"/>
  <c r="S85" i="6"/>
  <c r="R67" i="44"/>
  <c r="AB67" i="44"/>
  <c r="S67" i="44"/>
  <c r="P67" i="44"/>
  <c r="O157" i="44"/>
  <c r="P157" i="44"/>
  <c r="S157" i="44"/>
  <c r="R157" i="44"/>
  <c r="Q157" i="44"/>
  <c r="AB153" i="44"/>
  <c r="Q38" i="6"/>
  <c r="AB38" i="6"/>
  <c r="S38" i="6"/>
  <c r="P94" i="43"/>
  <c r="R94" i="43"/>
  <c r="O94" i="43"/>
  <c r="AU153" i="6"/>
  <c r="AV153" i="6" s="1"/>
  <c r="AU41" i="45"/>
  <c r="AV41" i="45" s="1"/>
  <c r="Y161" i="45"/>
  <c r="Z161" i="45" s="1"/>
  <c r="AB161" i="45" s="1"/>
  <c r="S29" i="6"/>
  <c r="R29" i="6"/>
  <c r="P29" i="6"/>
  <c r="O29" i="6"/>
  <c r="Q29" i="6"/>
  <c r="AB29" i="6"/>
  <c r="O26" i="6"/>
  <c r="R28" i="45"/>
  <c r="S28" i="45"/>
  <c r="O28" i="45"/>
  <c r="Q28" i="45"/>
  <c r="P28" i="45"/>
  <c r="O157" i="43"/>
  <c r="R157" i="43"/>
  <c r="P157" i="43"/>
  <c r="Q157" i="43"/>
  <c r="S157" i="43"/>
  <c r="BC153" i="43"/>
  <c r="Q22" i="45"/>
  <c r="P22" i="45"/>
  <c r="O22" i="45"/>
  <c r="S22" i="45"/>
  <c r="R22" i="45"/>
  <c r="R61" i="44"/>
  <c r="P61" i="44"/>
  <c r="Q61" i="44"/>
  <c r="S61" i="44"/>
  <c r="O61" i="44"/>
  <c r="S154" i="45"/>
  <c r="Q154" i="45"/>
  <c r="P154" i="45"/>
  <c r="O154" i="45"/>
  <c r="R154" i="45"/>
  <c r="AS142" i="43"/>
  <c r="Q18" i="6"/>
  <c r="O18" i="6"/>
  <c r="S18" i="6"/>
  <c r="P18" i="6"/>
  <c r="R18" i="6"/>
  <c r="AB18" i="6"/>
  <c r="S154" i="44"/>
  <c r="P154" i="44"/>
  <c r="R154" i="44"/>
  <c r="Q154" i="44"/>
  <c r="O154" i="44"/>
  <c r="AT153" i="43"/>
  <c r="AQ153" i="43"/>
  <c r="AS153" i="43"/>
  <c r="AP153" i="43"/>
  <c r="AR153" i="43"/>
  <c r="P103" i="6"/>
  <c r="R103" i="6"/>
  <c r="S103" i="6"/>
  <c r="Q58" i="44"/>
  <c r="R58" i="44"/>
  <c r="AB58" i="44"/>
  <c r="P58" i="44"/>
  <c r="O58" i="44"/>
  <c r="S58" i="44"/>
  <c r="P121" i="43"/>
  <c r="AB121" i="43"/>
  <c r="Q121" i="43"/>
  <c r="S121" i="43"/>
  <c r="O121" i="43"/>
  <c r="R121" i="43"/>
  <c r="AB28" i="45"/>
  <c r="Q133" i="6"/>
  <c r="R133" i="6"/>
  <c r="S133" i="6"/>
  <c r="O133" i="6"/>
  <c r="P133" i="6"/>
  <c r="AB92" i="43"/>
  <c r="P92" i="43"/>
  <c r="S92" i="43"/>
  <c r="O92" i="43"/>
  <c r="Q92" i="43"/>
  <c r="R92" i="43"/>
  <c r="U154" i="44"/>
  <c r="Y154" i="44"/>
  <c r="Z154" i="44" s="1"/>
  <c r="AB154" i="44" s="1"/>
  <c r="O30" i="6"/>
  <c r="S30" i="6"/>
  <c r="P30" i="6"/>
  <c r="R30" i="6"/>
  <c r="Q30" i="6"/>
  <c r="AB30" i="6"/>
  <c r="S33" i="45"/>
  <c r="O33" i="45"/>
  <c r="R33" i="45"/>
  <c r="P33" i="45"/>
  <c r="Q33" i="45"/>
  <c r="AB33" i="45"/>
  <c r="AB39" i="43"/>
  <c r="S39" i="43"/>
  <c r="P39" i="43"/>
  <c r="R39" i="43"/>
  <c r="O39" i="43"/>
  <c r="Q39" i="43"/>
  <c r="P99" i="44"/>
  <c r="R99" i="44"/>
  <c r="Q99" i="44"/>
  <c r="O99" i="44"/>
  <c r="S99" i="44"/>
  <c r="AB99" i="44"/>
  <c r="Q121" i="44"/>
  <c r="R121" i="44"/>
  <c r="P121" i="44"/>
  <c r="S121" i="44"/>
  <c r="O121" i="44"/>
  <c r="AB121" i="44"/>
  <c r="S17" i="44"/>
  <c r="Q17" i="44"/>
  <c r="P17" i="44"/>
  <c r="AB17" i="44"/>
  <c r="R17" i="44"/>
  <c r="O17" i="44"/>
  <c r="P21" i="43"/>
  <c r="Q21" i="43"/>
  <c r="R21" i="43"/>
  <c r="S21" i="43"/>
  <c r="O21" i="43"/>
  <c r="S93" i="43"/>
  <c r="O93" i="43"/>
  <c r="Q93" i="43"/>
  <c r="AB93" i="43"/>
  <c r="R93" i="43"/>
  <c r="P93" i="43"/>
  <c r="S74" i="45"/>
  <c r="R74" i="45"/>
  <c r="AB74" i="45"/>
  <c r="O74" i="45"/>
  <c r="Q74" i="45"/>
  <c r="P74" i="45"/>
  <c r="S156" i="6"/>
  <c r="P156" i="6"/>
  <c r="R26" i="6"/>
  <c r="O63" i="45"/>
  <c r="S63" i="45"/>
  <c r="Q63" i="45"/>
  <c r="R63" i="45"/>
  <c r="P63" i="45"/>
  <c r="Q129" i="43"/>
  <c r="S129" i="43"/>
  <c r="R129" i="43"/>
  <c r="P129" i="43"/>
  <c r="O129" i="43"/>
  <c r="P85" i="43"/>
  <c r="R85" i="43"/>
  <c r="Q85" i="43"/>
  <c r="O85" i="43"/>
  <c r="S85" i="43"/>
  <c r="O113" i="6"/>
  <c r="R113" i="6"/>
  <c r="S113" i="6"/>
  <c r="P113" i="6"/>
  <c r="Q113" i="6"/>
  <c r="O96" i="43"/>
  <c r="R96" i="43"/>
  <c r="Q96" i="43"/>
  <c r="S96" i="43"/>
  <c r="P96" i="43"/>
  <c r="R33" i="43"/>
  <c r="Q33" i="43"/>
  <c r="S33" i="43"/>
  <c r="O33" i="43"/>
  <c r="P33" i="43"/>
  <c r="O20" i="44"/>
  <c r="Q20" i="44"/>
  <c r="S20" i="44"/>
  <c r="AB66" i="45"/>
  <c r="R66" i="45"/>
  <c r="S66" i="45"/>
  <c r="O66" i="45"/>
  <c r="P66" i="45"/>
  <c r="Q66" i="45"/>
  <c r="AB153" i="6"/>
  <c r="P29" i="45"/>
  <c r="S29" i="45"/>
  <c r="R127" i="45"/>
  <c r="S127" i="45"/>
  <c r="O127" i="45"/>
  <c r="P127" i="45"/>
  <c r="Q127" i="45"/>
  <c r="O89" i="43"/>
  <c r="AB89" i="43"/>
  <c r="Q89" i="43"/>
  <c r="S89" i="43"/>
  <c r="R89" i="43"/>
  <c r="P89" i="43"/>
  <c r="AT152" i="44"/>
  <c r="AS152" i="44"/>
  <c r="AR152" i="44"/>
  <c r="AQ152" i="44"/>
  <c r="AP152" i="44"/>
  <c r="R37" i="45"/>
  <c r="S37" i="45"/>
  <c r="O28" i="43"/>
  <c r="Q28" i="43"/>
  <c r="O37" i="45"/>
  <c r="P26" i="6"/>
  <c r="AP142" i="43"/>
  <c r="S28" i="43"/>
  <c r="R35" i="6"/>
  <c r="S35" i="6"/>
  <c r="AB35" i="6"/>
  <c r="Q35" i="6"/>
  <c r="O35" i="6"/>
  <c r="P35" i="6"/>
  <c r="O153" i="44"/>
  <c r="R153" i="44"/>
  <c r="P153" i="44"/>
  <c r="Q153" i="44"/>
  <c r="S153" i="44"/>
  <c r="Q152" i="6"/>
  <c r="P152" i="6"/>
  <c r="O152" i="6"/>
  <c r="S152" i="6"/>
  <c r="R152" i="6"/>
  <c r="AB108" i="44"/>
  <c r="O108" i="44"/>
  <c r="R108" i="44"/>
  <c r="P108" i="44"/>
  <c r="S108" i="44"/>
  <c r="Q108" i="44"/>
  <c r="Y154" i="45"/>
  <c r="Z154" i="45" s="1"/>
  <c r="AB154" i="45" s="1"/>
  <c r="S85" i="45"/>
  <c r="P85" i="45"/>
  <c r="O85" i="45"/>
  <c r="AB28" i="43"/>
  <c r="Q37" i="45"/>
  <c r="Q26" i="6"/>
  <c r="R28" i="43"/>
  <c r="S23" i="44"/>
  <c r="O23" i="44"/>
  <c r="R23" i="44"/>
  <c r="P23" i="44"/>
  <c r="Q23" i="44"/>
  <c r="AB63" i="45"/>
  <c r="P28" i="44"/>
  <c r="R28" i="44"/>
  <c r="O28" i="44"/>
  <c r="S28" i="44"/>
  <c r="AB28" i="44"/>
  <c r="Q28" i="44"/>
  <c r="O131" i="44"/>
  <c r="Q131" i="44"/>
  <c r="P131" i="44"/>
  <c r="R131" i="44"/>
  <c r="AB131" i="44"/>
  <c r="S131" i="44"/>
  <c r="AB85" i="43"/>
  <c r="O80" i="43"/>
  <c r="R80" i="43"/>
  <c r="Q80" i="43"/>
  <c r="S80" i="43"/>
  <c r="P80" i="43"/>
  <c r="AB80" i="43"/>
  <c r="R26" i="44"/>
  <c r="Q26" i="44"/>
  <c r="O26" i="44"/>
  <c r="P26" i="44"/>
  <c r="S26" i="44"/>
  <c r="O153" i="6"/>
  <c r="Q153" i="6"/>
  <c r="P153" i="6"/>
  <c r="S153" i="6"/>
  <c r="R153" i="6"/>
  <c r="AB129" i="43"/>
  <c r="AB29" i="44"/>
  <c r="P29" i="44"/>
  <c r="S29" i="44"/>
  <c r="R29" i="44"/>
  <c r="Q29" i="44"/>
  <c r="O29" i="44"/>
  <c r="S94" i="44"/>
  <c r="O94" i="44"/>
  <c r="Q94" i="44"/>
  <c r="P94" i="44"/>
  <c r="R94" i="44"/>
  <c r="AB94" i="44"/>
  <c r="B3" i="45"/>
  <c r="C3" i="45"/>
  <c r="R125" i="45" l="1"/>
  <c r="O125" i="45"/>
  <c r="Q125" i="45"/>
  <c r="P125" i="45"/>
  <c r="S125" i="45"/>
  <c r="AB125" i="45"/>
  <c r="AB109" i="6"/>
  <c r="O109" i="6"/>
  <c r="R109" i="6"/>
  <c r="S109" i="6"/>
  <c r="P109" i="6"/>
  <c r="Q109" i="6"/>
  <c r="Q29" i="45"/>
  <c r="P20" i="44"/>
  <c r="Q103" i="6"/>
  <c r="AR142" i="43"/>
  <c r="R28" i="6"/>
  <c r="O73" i="44"/>
  <c r="Q35" i="43"/>
  <c r="P35" i="43"/>
  <c r="Q91" i="43"/>
  <c r="P58" i="43"/>
  <c r="O58" i="43"/>
  <c r="AB67" i="43"/>
  <c r="AB28" i="6"/>
  <c r="R58" i="6"/>
  <c r="P133" i="45"/>
  <c r="O60" i="43"/>
  <c r="O67" i="43"/>
  <c r="S89" i="45"/>
  <c r="J81" i="43"/>
  <c r="S74" i="44"/>
  <c r="T18" i="44"/>
  <c r="U18" i="44" s="1"/>
  <c r="T132" i="45"/>
  <c r="U132" i="45" s="1"/>
  <c r="J129" i="44"/>
  <c r="Q56" i="44"/>
  <c r="T27" i="43"/>
  <c r="U27" i="43" s="1"/>
  <c r="J77" i="45"/>
  <c r="BC40" i="6"/>
  <c r="Y157" i="43"/>
  <c r="Z157" i="43" s="1"/>
  <c r="AB157" i="43" s="1"/>
  <c r="BC36" i="6"/>
  <c r="T81" i="6"/>
  <c r="U81" i="6" s="1"/>
  <c r="BC31" i="44"/>
  <c r="BC33" i="45"/>
  <c r="J177" i="44"/>
  <c r="T89" i="45"/>
  <c r="U89" i="45" s="1"/>
  <c r="AB85" i="44"/>
  <c r="O29" i="45"/>
  <c r="R20" i="44"/>
  <c r="O103" i="6"/>
  <c r="AQ142" i="43"/>
  <c r="O74" i="44"/>
  <c r="P91" i="43"/>
  <c r="Q58" i="43"/>
  <c r="P58" i="6"/>
  <c r="Q133" i="45"/>
  <c r="R60" i="43"/>
  <c r="O89" i="45"/>
  <c r="R89" i="45"/>
  <c r="J18" i="43"/>
  <c r="Q86" i="44"/>
  <c r="J77" i="44"/>
  <c r="J88" i="45"/>
  <c r="T125" i="45"/>
  <c r="U125" i="45" s="1"/>
  <c r="T37" i="6"/>
  <c r="U37" i="6" s="1"/>
  <c r="T30" i="44"/>
  <c r="U30" i="44" s="1"/>
  <c r="Y150" i="44"/>
  <c r="Z150" i="44" s="1"/>
  <c r="AB150" i="44" s="1"/>
  <c r="BC30" i="45"/>
  <c r="BC29" i="44"/>
  <c r="J75" i="6"/>
  <c r="BC156" i="45"/>
  <c r="T65" i="45"/>
  <c r="U65" i="45" s="1"/>
  <c r="BC39" i="44"/>
  <c r="BC19" i="44"/>
  <c r="J109" i="44"/>
  <c r="AB109" i="44" s="1"/>
  <c r="J31" i="45"/>
  <c r="BC32" i="44"/>
  <c r="Y151" i="44"/>
  <c r="Z151" i="44" s="1"/>
  <c r="T84" i="6"/>
  <c r="U84" i="6" s="1"/>
  <c r="J131" i="45"/>
  <c r="T110" i="44"/>
  <c r="U110" i="44" s="1"/>
  <c r="Y157" i="45"/>
  <c r="Z157" i="45" s="1"/>
  <c r="AB157" i="45" s="1"/>
  <c r="BC23" i="43"/>
  <c r="BC39" i="43"/>
  <c r="BC36" i="43"/>
  <c r="AB140" i="44"/>
  <c r="J26" i="43"/>
  <c r="O26" i="43" s="1"/>
  <c r="BC33" i="43"/>
  <c r="BC42" i="6"/>
  <c r="J113" i="43"/>
  <c r="R15" i="45"/>
  <c r="BC36" i="45"/>
  <c r="BC26" i="45"/>
  <c r="T19" i="44"/>
  <c r="U19" i="44" s="1"/>
  <c r="BC18" i="6"/>
  <c r="AB69" i="45"/>
  <c r="Y152" i="44"/>
  <c r="Z152" i="44" s="1"/>
  <c r="AU153" i="44"/>
  <c r="AV153" i="44" s="1"/>
  <c r="AU28" i="45"/>
  <c r="AV28" i="45" s="1"/>
  <c r="AU18" i="45"/>
  <c r="AV18" i="45" s="1"/>
  <c r="AB91" i="43"/>
  <c r="AU25" i="45"/>
  <c r="AV25" i="45" s="1"/>
  <c r="R67" i="43"/>
  <c r="T96" i="44"/>
  <c r="U96" i="44" s="1"/>
  <c r="R86" i="44"/>
  <c r="T73" i="44"/>
  <c r="U73" i="44" s="1"/>
  <c r="AB96" i="43"/>
  <c r="J157" i="45"/>
  <c r="J151" i="44"/>
  <c r="BC24" i="45"/>
  <c r="AB64" i="45"/>
  <c r="T69" i="43"/>
  <c r="U69" i="43" s="1"/>
  <c r="T42" i="45"/>
  <c r="U42" i="45" s="1"/>
  <c r="R97" i="44"/>
  <c r="Q97" i="44"/>
  <c r="P97" i="44"/>
  <c r="AB97" i="44"/>
  <c r="O97" i="44"/>
  <c r="S97" i="44"/>
  <c r="P155" i="45"/>
  <c r="Q155" i="45"/>
  <c r="S155" i="45"/>
  <c r="O155" i="45"/>
  <c r="R155" i="45"/>
  <c r="O126" i="6"/>
  <c r="R126" i="6"/>
  <c r="Q126" i="6"/>
  <c r="P126" i="6"/>
  <c r="S126" i="6"/>
  <c r="AB126" i="6"/>
  <c r="R75" i="43"/>
  <c r="P75" i="43"/>
  <c r="AB75" i="43"/>
  <c r="Q75" i="43"/>
  <c r="S75" i="43"/>
  <c r="O75" i="43"/>
  <c r="R93" i="6"/>
  <c r="S93" i="6"/>
  <c r="P93" i="6"/>
  <c r="AB93" i="6"/>
  <c r="Q93" i="6"/>
  <c r="O93" i="6"/>
  <c r="O36" i="43"/>
  <c r="R36" i="43"/>
  <c r="Q36" i="43"/>
  <c r="P36" i="43"/>
  <c r="S36" i="43"/>
  <c r="AB36" i="43"/>
  <c r="AR37" i="45"/>
  <c r="AP37" i="45"/>
  <c r="AS37" i="45"/>
  <c r="AQ37" i="45"/>
  <c r="AT37" i="45"/>
  <c r="R111" i="43"/>
  <c r="P111" i="43"/>
  <c r="O111" i="43"/>
  <c r="S111" i="43"/>
  <c r="Q111" i="43"/>
  <c r="AB111" i="43"/>
  <c r="P27" i="6"/>
  <c r="S27" i="6"/>
  <c r="O27" i="6"/>
  <c r="R27" i="6"/>
  <c r="Q27" i="6"/>
  <c r="AB27" i="6"/>
  <c r="O69" i="43"/>
  <c r="S69" i="43"/>
  <c r="P69" i="43"/>
  <c r="R69" i="43"/>
  <c r="Q69" i="43"/>
  <c r="Q65" i="44"/>
  <c r="P65" i="44"/>
  <c r="R65" i="44"/>
  <c r="AB65" i="44"/>
  <c r="O65" i="44"/>
  <c r="S65" i="44"/>
  <c r="AR42" i="44"/>
  <c r="AQ42" i="44"/>
  <c r="AT42" i="44"/>
  <c r="AS42" i="44"/>
  <c r="AP42" i="44"/>
  <c r="AB107" i="43"/>
  <c r="S107" i="43"/>
  <c r="R107" i="43"/>
  <c r="P107" i="43"/>
  <c r="Q107" i="43"/>
  <c r="O107" i="43"/>
  <c r="AB23" i="45"/>
  <c r="R23" i="45"/>
  <c r="O23" i="45"/>
  <c r="Q23" i="45"/>
  <c r="P23" i="45"/>
  <c r="S23" i="45"/>
  <c r="R20" i="45"/>
  <c r="Q20" i="45"/>
  <c r="O20" i="45"/>
  <c r="S20" i="45"/>
  <c r="P20" i="45"/>
  <c r="AB20" i="45"/>
  <c r="O30" i="44"/>
  <c r="S30" i="44"/>
  <c r="R30" i="44"/>
  <c r="P30" i="44"/>
  <c r="Q30" i="44"/>
  <c r="Q161" i="44"/>
  <c r="R161" i="44"/>
  <c r="S161" i="44"/>
  <c r="O161" i="44"/>
  <c r="P161" i="44"/>
  <c r="Q25" i="43"/>
  <c r="AB25" i="43"/>
  <c r="S25" i="43"/>
  <c r="R25" i="43"/>
  <c r="O25" i="43"/>
  <c r="P25" i="43"/>
  <c r="AB131" i="43"/>
  <c r="P131" i="43"/>
  <c r="S131" i="43"/>
  <c r="R131" i="43"/>
  <c r="Q131" i="43"/>
  <c r="O131" i="43"/>
  <c r="S84" i="45"/>
  <c r="R84" i="45"/>
  <c r="Q84" i="45"/>
  <c r="O84" i="45"/>
  <c r="P84" i="45"/>
  <c r="AR155" i="45"/>
  <c r="AP155" i="45"/>
  <c r="AQ155" i="45"/>
  <c r="AT155" i="45"/>
  <c r="AS155" i="45"/>
  <c r="R156" i="44"/>
  <c r="S156" i="44"/>
  <c r="O156" i="44"/>
  <c r="P156" i="44"/>
  <c r="Q156" i="44"/>
  <c r="AR157" i="6"/>
  <c r="AP157" i="6"/>
  <c r="AS157" i="6"/>
  <c r="AQ157" i="6"/>
  <c r="AT157" i="6"/>
  <c r="S60" i="43"/>
  <c r="P67" i="43"/>
  <c r="S67" i="43"/>
  <c r="O161" i="43"/>
  <c r="AB121" i="6"/>
  <c r="T133" i="45"/>
  <c r="U133" i="45" s="1"/>
  <c r="O104" i="43"/>
  <c r="Q104" i="43"/>
  <c r="P104" i="43"/>
  <c r="S104" i="43"/>
  <c r="R104" i="43"/>
  <c r="P92" i="45"/>
  <c r="Q92" i="45"/>
  <c r="O92" i="45"/>
  <c r="S92" i="45"/>
  <c r="R92" i="45"/>
  <c r="R19" i="43"/>
  <c r="P19" i="43"/>
  <c r="S19" i="43"/>
  <c r="R152" i="43"/>
  <c r="Q152" i="43"/>
  <c r="S152" i="43"/>
  <c r="Q127" i="44"/>
  <c r="P127" i="44"/>
  <c r="S127" i="44"/>
  <c r="BC27" i="45"/>
  <c r="BC37" i="43"/>
  <c r="P24" i="44"/>
  <c r="R24" i="44"/>
  <c r="Q24" i="44"/>
  <c r="S24" i="44"/>
  <c r="O24" i="44"/>
  <c r="S126" i="43"/>
  <c r="P126" i="43"/>
  <c r="O126" i="43"/>
  <c r="R126" i="43"/>
  <c r="Q126" i="43"/>
  <c r="O27" i="43"/>
  <c r="R27" i="43"/>
  <c r="Q27" i="43"/>
  <c r="M113" i="44"/>
  <c r="AB113" i="44"/>
  <c r="S23" i="6"/>
  <c r="O23" i="6"/>
  <c r="Q23" i="6"/>
  <c r="P23" i="6"/>
  <c r="R23" i="6"/>
  <c r="O157" i="6"/>
  <c r="R157" i="6"/>
  <c r="AB26" i="44"/>
  <c r="P120" i="43"/>
  <c r="S120" i="43"/>
  <c r="R120" i="43"/>
  <c r="O120" i="43"/>
  <c r="Q120" i="43"/>
  <c r="R59" i="45"/>
  <c r="S59" i="45"/>
  <c r="P59" i="45"/>
  <c r="O59" i="45"/>
  <c r="Q59" i="45"/>
  <c r="AB95" i="45"/>
  <c r="M95" i="45"/>
  <c r="BC25" i="45"/>
  <c r="P155" i="6"/>
  <c r="O155" i="6"/>
  <c r="S155" i="6"/>
  <c r="R155" i="6"/>
  <c r="Q155" i="6"/>
  <c r="M120" i="44"/>
  <c r="AB120" i="44"/>
  <c r="Y156" i="45"/>
  <c r="Z156" i="45" s="1"/>
  <c r="AB156" i="45" s="1"/>
  <c r="P37" i="6"/>
  <c r="Q37" i="6"/>
  <c r="O37" i="6"/>
  <c r="S37" i="6"/>
  <c r="R37" i="6"/>
  <c r="M27" i="43"/>
  <c r="AB27" i="43"/>
  <c r="AR24" i="43"/>
  <c r="AP24" i="43"/>
  <c r="AQ24" i="43"/>
  <c r="AT24" i="43"/>
  <c r="AS24" i="43"/>
  <c r="R150" i="43"/>
  <c r="S150" i="43"/>
  <c r="P150" i="43"/>
  <c r="AB113" i="6"/>
  <c r="M113" i="6"/>
  <c r="M36" i="6"/>
  <c r="AB36" i="6"/>
  <c r="AB26" i="6"/>
  <c r="S26" i="6"/>
  <c r="AB133" i="6"/>
  <c r="O98" i="44"/>
  <c r="S98" i="44"/>
  <c r="O156" i="6"/>
  <c r="R156" i="6"/>
  <c r="Q156" i="6"/>
  <c r="BC34" i="44"/>
  <c r="M73" i="45"/>
  <c r="AB73" i="45"/>
  <c r="R161" i="45"/>
  <c r="O161" i="45"/>
  <c r="P161" i="45"/>
  <c r="S72" i="44"/>
  <c r="P72" i="44"/>
  <c r="O72" i="44"/>
  <c r="Q72" i="44"/>
  <c r="R72" i="44"/>
  <c r="AB41" i="45"/>
  <c r="M41" i="45"/>
  <c r="J110" i="6"/>
  <c r="R58" i="45"/>
  <c r="Q58" i="45"/>
  <c r="O58" i="45"/>
  <c r="S58" i="45"/>
  <c r="P58" i="45"/>
  <c r="P109" i="44"/>
  <c r="BC30" i="44"/>
  <c r="P85" i="44"/>
  <c r="O85" i="44"/>
  <c r="S85" i="44"/>
  <c r="M40" i="6"/>
  <c r="AB40" i="6"/>
  <c r="O20" i="43"/>
  <c r="Q20" i="43"/>
  <c r="P20" i="43"/>
  <c r="R20" i="43"/>
  <c r="S20" i="43"/>
  <c r="R79" i="45"/>
  <c r="Q79" i="45"/>
  <c r="P79" i="45"/>
  <c r="BC24" i="43"/>
  <c r="T161" i="44"/>
  <c r="T155" i="44"/>
  <c r="AR23" i="43"/>
  <c r="AP23" i="43"/>
  <c r="AT23" i="43"/>
  <c r="AS23" i="43"/>
  <c r="AQ23" i="43"/>
  <c r="P128" i="43"/>
  <c r="R128" i="43"/>
  <c r="O128" i="43"/>
  <c r="Q128" i="43"/>
  <c r="S128" i="43"/>
  <c r="M124" i="45"/>
  <c r="AB124" i="45"/>
  <c r="O97" i="6"/>
  <c r="S97" i="6"/>
  <c r="R97" i="6"/>
  <c r="P97" i="6"/>
  <c r="Q97" i="6"/>
  <c r="P110" i="44"/>
  <c r="S110" i="44"/>
  <c r="R110" i="44"/>
  <c r="Q110" i="44"/>
  <c r="O110" i="44"/>
  <c r="M39" i="45"/>
  <c r="AB39" i="45"/>
  <c r="R49" i="44"/>
  <c r="O49" i="44"/>
  <c r="Q49" i="44"/>
  <c r="P49" i="44"/>
  <c r="S49" i="44"/>
  <c r="AP25" i="43"/>
  <c r="AQ25" i="43"/>
  <c r="AT25" i="43"/>
  <c r="AR25" i="43"/>
  <c r="AS25" i="43"/>
  <c r="T99" i="43"/>
  <c r="U99" i="43" s="1"/>
  <c r="AQ140" i="44"/>
  <c r="AP140" i="44"/>
  <c r="AT140" i="44"/>
  <c r="AR140" i="44"/>
  <c r="AS140" i="44"/>
  <c r="Q94" i="43"/>
  <c r="S94" i="43"/>
  <c r="BC27" i="44"/>
  <c r="T91" i="45"/>
  <c r="U91" i="45" s="1"/>
  <c r="O140" i="44"/>
  <c r="P140" i="44"/>
  <c r="R140" i="44"/>
  <c r="S140" i="44"/>
  <c r="Q140" i="44"/>
  <c r="O169" i="43"/>
  <c r="S169" i="43"/>
  <c r="P169" i="43"/>
  <c r="AR34" i="45"/>
  <c r="AT34" i="45"/>
  <c r="AP34" i="45"/>
  <c r="AS34" i="45"/>
  <c r="AQ34" i="45"/>
  <c r="AP158" i="43"/>
  <c r="BC34" i="45"/>
  <c r="P26" i="43"/>
  <c r="S26" i="43"/>
  <c r="AP35" i="44"/>
  <c r="AQ35" i="44"/>
  <c r="AS35" i="44"/>
  <c r="S140" i="43"/>
  <c r="R140" i="43"/>
  <c r="O140" i="43"/>
  <c r="P140" i="43"/>
  <c r="Q140" i="43"/>
  <c r="AR158" i="43"/>
  <c r="AB110" i="45"/>
  <c r="J21" i="45"/>
  <c r="BC152" i="43"/>
  <c r="J69" i="44"/>
  <c r="AR154" i="44"/>
  <c r="AT154" i="44"/>
  <c r="AQ154" i="44"/>
  <c r="AP154" i="44"/>
  <c r="AS154" i="44"/>
  <c r="AB113" i="43"/>
  <c r="M113" i="43"/>
  <c r="BC17" i="44"/>
  <c r="AB59" i="45"/>
  <c r="Y157" i="44"/>
  <c r="Z157" i="44" s="1"/>
  <c r="AB157" i="44" s="1"/>
  <c r="P90" i="45"/>
  <c r="R90" i="45"/>
  <c r="Q90" i="45"/>
  <c r="O90" i="45"/>
  <c r="S90" i="45"/>
  <c r="R17" i="45"/>
  <c r="S17" i="45"/>
  <c r="M128" i="45"/>
  <c r="AB128" i="45"/>
  <c r="BC156" i="44"/>
  <c r="R68" i="44"/>
  <c r="Q68" i="44"/>
  <c r="S68" i="44"/>
  <c r="O68" i="44"/>
  <c r="P68" i="44"/>
  <c r="O75" i="44"/>
  <c r="S75" i="44"/>
  <c r="J149" i="45"/>
  <c r="BC31" i="45"/>
  <c r="BC30" i="6"/>
  <c r="AB60" i="43"/>
  <c r="J71" i="44"/>
  <c r="R76" i="43"/>
  <c r="S76" i="43"/>
  <c r="Q76" i="43"/>
  <c r="AP162" i="6"/>
  <c r="AT162" i="6"/>
  <c r="T36" i="43"/>
  <c r="U36" i="43" s="1"/>
  <c r="AR21" i="45"/>
  <c r="AT21" i="45"/>
  <c r="AP21" i="45"/>
  <c r="AS21" i="45"/>
  <c r="AQ21" i="45"/>
  <c r="S79" i="6"/>
  <c r="R79" i="6"/>
  <c r="P79" i="6"/>
  <c r="Q79" i="6"/>
  <c r="O79" i="6"/>
  <c r="J76" i="6"/>
  <c r="BC32" i="6"/>
  <c r="BC38" i="6"/>
  <c r="O152" i="45"/>
  <c r="S152" i="45"/>
  <c r="Q152" i="45"/>
  <c r="R152" i="45"/>
  <c r="P152" i="45"/>
  <c r="AQ35" i="45"/>
  <c r="AP35" i="45"/>
  <c r="AS35" i="45"/>
  <c r="R93" i="44"/>
  <c r="Q93" i="44"/>
  <c r="P93" i="44"/>
  <c r="S93" i="44"/>
  <c r="O93" i="44"/>
  <c r="R72" i="45"/>
  <c r="P72" i="45"/>
  <c r="Q72" i="45"/>
  <c r="S72" i="45"/>
  <c r="O72" i="45"/>
  <c r="AB60" i="6"/>
  <c r="P162" i="45"/>
  <c r="O49" i="45"/>
  <c r="S49" i="45"/>
  <c r="P49" i="45"/>
  <c r="Q49" i="45"/>
  <c r="R49" i="45"/>
  <c r="AP27" i="6"/>
  <c r="AT27" i="6"/>
  <c r="AR27" i="6"/>
  <c r="AQ27" i="6"/>
  <c r="AS27" i="6"/>
  <c r="M24" i="44"/>
  <c r="AB24" i="44"/>
  <c r="AB37" i="45"/>
  <c r="M37" i="45"/>
  <c r="J102" i="45"/>
  <c r="AB102" i="45" s="1"/>
  <c r="AP155" i="6"/>
  <c r="AU155" i="6" s="1"/>
  <c r="AS155" i="6"/>
  <c r="AT155" i="6"/>
  <c r="AQ155" i="6"/>
  <c r="AR155" i="6"/>
  <c r="J77" i="6"/>
  <c r="Q111" i="45"/>
  <c r="P111" i="45"/>
  <c r="J16" i="44"/>
  <c r="P19" i="44"/>
  <c r="R19" i="44"/>
  <c r="O19" i="44"/>
  <c r="S19" i="44"/>
  <c r="Q19" i="44"/>
  <c r="AB68" i="44"/>
  <c r="BC41" i="43"/>
  <c r="T71" i="43"/>
  <c r="U71" i="43" s="1"/>
  <c r="T34" i="45"/>
  <c r="U34" i="45" s="1"/>
  <c r="S38" i="43"/>
  <c r="O38" i="43"/>
  <c r="R38" i="43"/>
  <c r="Q38" i="43"/>
  <c r="P38" i="43"/>
  <c r="AT152" i="43"/>
  <c r="AR152" i="43"/>
  <c r="AP152" i="43"/>
  <c r="BC152" i="45"/>
  <c r="AS36" i="43"/>
  <c r="AT36" i="43"/>
  <c r="AP36" i="43"/>
  <c r="AQ36" i="43"/>
  <c r="AR36" i="43"/>
  <c r="AB82" i="44"/>
  <c r="AB70" i="44"/>
  <c r="AP15" i="44"/>
  <c r="R154" i="43"/>
  <c r="S154" i="43"/>
  <c r="P154" i="43"/>
  <c r="O155" i="43"/>
  <c r="R155" i="43"/>
  <c r="P155" i="43"/>
  <c r="S155" i="43"/>
  <c r="Q155" i="43"/>
  <c r="S102" i="6"/>
  <c r="Q102" i="6"/>
  <c r="T35" i="44"/>
  <c r="U35" i="44" s="1"/>
  <c r="M122" i="44"/>
  <c r="AB122" i="44"/>
  <c r="AZ152" i="6"/>
  <c r="BA152" i="6" s="1"/>
  <c r="BC152" i="6" s="1"/>
  <c r="J112" i="44"/>
  <c r="AB107" i="6"/>
  <c r="AT141" i="6"/>
  <c r="AU141" i="6" s="1"/>
  <c r="AZ141" i="6" s="1"/>
  <c r="BC141" i="6" s="1"/>
  <c r="AR141" i="6"/>
  <c r="AQ141" i="6"/>
  <c r="J38" i="44"/>
  <c r="AQ29" i="45"/>
  <c r="AT29" i="45"/>
  <c r="AS29" i="45"/>
  <c r="AR29" i="45"/>
  <c r="AP29" i="45"/>
  <c r="AB18" i="44"/>
  <c r="AM142" i="6"/>
  <c r="BC43" i="44"/>
  <c r="AR18" i="6"/>
  <c r="AT18" i="6"/>
  <c r="BC28" i="45"/>
  <c r="AS15" i="43"/>
  <c r="BC38" i="44"/>
  <c r="R161" i="6"/>
  <c r="Q161" i="6"/>
  <c r="O161" i="6"/>
  <c r="P161" i="6"/>
  <c r="S161" i="6"/>
  <c r="J69" i="6"/>
  <c r="Q178" i="6"/>
  <c r="S178" i="6"/>
  <c r="O178" i="6"/>
  <c r="P178" i="6"/>
  <c r="R178" i="6"/>
  <c r="J42" i="6"/>
  <c r="J34" i="6"/>
  <c r="T30" i="43"/>
  <c r="U30" i="43" s="1"/>
  <c r="J169" i="45"/>
  <c r="AB105" i="44"/>
  <c r="AQ19" i="44"/>
  <c r="AT19" i="44"/>
  <c r="AR19" i="44"/>
  <c r="AP19" i="44"/>
  <c r="AS19" i="44"/>
  <c r="AB65" i="45"/>
  <c r="O95" i="45"/>
  <c r="P95" i="45"/>
  <c r="R95" i="45"/>
  <c r="Q95" i="45"/>
  <c r="S95" i="45"/>
  <c r="J82" i="6"/>
  <c r="AB82" i="6" s="1"/>
  <c r="R159" i="6"/>
  <c r="J95" i="44"/>
  <c r="R56" i="43"/>
  <c r="P105" i="43"/>
  <c r="Q105" i="43"/>
  <c r="R105" i="43"/>
  <c r="S105" i="43"/>
  <c r="O105" i="43"/>
  <c r="AQ16" i="43"/>
  <c r="AR16" i="43"/>
  <c r="AP16" i="43"/>
  <c r="BC30" i="43"/>
  <c r="AZ155" i="45"/>
  <c r="BA155" i="45" s="1"/>
  <c r="BC155" i="45" s="1"/>
  <c r="M127" i="44"/>
  <c r="AB127" i="44"/>
  <c r="P159" i="44"/>
  <c r="AP158" i="6"/>
  <c r="AT158" i="6"/>
  <c r="P56" i="6"/>
  <c r="T79" i="45"/>
  <c r="U79" i="45" s="1"/>
  <c r="AB69" i="43"/>
  <c r="AS18" i="43"/>
  <c r="AT18" i="43"/>
  <c r="AP18" i="43"/>
  <c r="AR18" i="43"/>
  <c r="AQ18" i="43"/>
  <c r="J83" i="6"/>
  <c r="T157" i="6"/>
  <c r="U157" i="6" s="1"/>
  <c r="J127" i="43"/>
  <c r="AP20" i="43"/>
  <c r="AS20" i="43"/>
  <c r="AQ20" i="43"/>
  <c r="P91" i="44"/>
  <c r="O91" i="44"/>
  <c r="R91" i="44"/>
  <c r="Q91" i="44"/>
  <c r="S91" i="44"/>
  <c r="AZ156" i="43"/>
  <c r="BA156" i="43" s="1"/>
  <c r="BC156" i="43" s="1"/>
  <c r="T79" i="44"/>
  <c r="U79" i="44" s="1"/>
  <c r="AR160" i="6"/>
  <c r="T131" i="43"/>
  <c r="U131" i="43" s="1"/>
  <c r="T75" i="44"/>
  <c r="U75" i="44" s="1"/>
  <c r="T97" i="43"/>
  <c r="U97" i="43" s="1"/>
  <c r="AB79" i="44"/>
  <c r="J87" i="45"/>
  <c r="J30" i="45"/>
  <c r="P78" i="43"/>
  <c r="AT31" i="44"/>
  <c r="AU31" i="44" s="1"/>
  <c r="AV31" i="44" s="1"/>
  <c r="AR31" i="44"/>
  <c r="AQ31" i="44"/>
  <c r="AS158" i="6"/>
  <c r="AB89" i="44"/>
  <c r="AK157" i="43"/>
  <c r="AQ151" i="45"/>
  <c r="AR151" i="45"/>
  <c r="AS151" i="45"/>
  <c r="AP151" i="45"/>
  <c r="AT151" i="45"/>
  <c r="R32" i="43"/>
  <c r="Q32" i="43"/>
  <c r="O32" i="43"/>
  <c r="P32" i="43"/>
  <c r="S32" i="43"/>
  <c r="AS149" i="6"/>
  <c r="AR149" i="6"/>
  <c r="AT149" i="6"/>
  <c r="AR29" i="43"/>
  <c r="AP29" i="43"/>
  <c r="AT29" i="43"/>
  <c r="AQ29" i="43"/>
  <c r="AS29" i="43"/>
  <c r="T87" i="44"/>
  <c r="U87" i="44" s="1"/>
  <c r="P84" i="44"/>
  <c r="Q84" i="44"/>
  <c r="S84" i="44"/>
  <c r="R84" i="44"/>
  <c r="O84" i="44"/>
  <c r="AP15" i="43"/>
  <c r="AQ162" i="43"/>
  <c r="T98" i="45"/>
  <c r="U98" i="45" s="1"/>
  <c r="AZ153" i="44"/>
  <c r="BA153" i="44" s="1"/>
  <c r="BC153" i="44" s="1"/>
  <c r="AS27" i="45"/>
  <c r="AQ27" i="45"/>
  <c r="AT27" i="45"/>
  <c r="O34" i="43"/>
  <c r="S34" i="43"/>
  <c r="Q34" i="43"/>
  <c r="R34" i="43"/>
  <c r="P34" i="43"/>
  <c r="T155" i="45"/>
  <c r="T23" i="45"/>
  <c r="U23" i="45" s="1"/>
  <c r="J41" i="44"/>
  <c r="J103" i="44"/>
  <c r="T169" i="43"/>
  <c r="Y169" i="43" s="1"/>
  <c r="AB169" i="43" s="1"/>
  <c r="B5" i="43" s="1"/>
  <c r="R57" i="45"/>
  <c r="P57" i="45"/>
  <c r="Q57" i="45"/>
  <c r="AB89" i="6"/>
  <c r="R89" i="6"/>
  <c r="Q89" i="6"/>
  <c r="S89" i="6"/>
  <c r="O89" i="6"/>
  <c r="P89" i="6"/>
  <c r="M126" i="43"/>
  <c r="AB126" i="43"/>
  <c r="R128" i="44"/>
  <c r="Q128" i="44"/>
  <c r="S128" i="44"/>
  <c r="P128" i="44"/>
  <c r="O128" i="44"/>
  <c r="S132" i="44"/>
  <c r="R132" i="44"/>
  <c r="P132" i="44"/>
  <c r="Q132" i="44"/>
  <c r="O132" i="44"/>
  <c r="AS17" i="45"/>
  <c r="AT17" i="45"/>
  <c r="AR17" i="45"/>
  <c r="AQ17" i="45"/>
  <c r="AP17" i="45"/>
  <c r="M30" i="44"/>
  <c r="AB30" i="44"/>
  <c r="M126" i="45"/>
  <c r="AB126" i="45"/>
  <c r="R86" i="45"/>
  <c r="Q86" i="45"/>
  <c r="O86" i="45"/>
  <c r="P86" i="45"/>
  <c r="S86" i="45"/>
  <c r="R73" i="6"/>
  <c r="S73" i="6"/>
  <c r="Q73" i="6"/>
  <c r="T73" i="6" s="1"/>
  <c r="S36" i="6"/>
  <c r="Q36" i="6"/>
  <c r="P36" i="6"/>
  <c r="O36" i="6"/>
  <c r="R36" i="6"/>
  <c r="O80" i="6"/>
  <c r="Q80" i="6"/>
  <c r="P80" i="6"/>
  <c r="R80" i="6"/>
  <c r="S80" i="6"/>
  <c r="O25" i="45"/>
  <c r="S25" i="45"/>
  <c r="U140" i="45"/>
  <c r="R140" i="45"/>
  <c r="S140" i="45"/>
  <c r="P140" i="45"/>
  <c r="Q140" i="45"/>
  <c r="O140" i="45"/>
  <c r="P91" i="45"/>
  <c r="S91" i="45"/>
  <c r="Q91" i="45"/>
  <c r="P129" i="45"/>
  <c r="O129" i="45"/>
  <c r="S129" i="45"/>
  <c r="R129" i="45"/>
  <c r="Q129" i="45"/>
  <c r="T107" i="44"/>
  <c r="U107" i="44" s="1"/>
  <c r="AB91" i="45"/>
  <c r="O82" i="44"/>
  <c r="Q82" i="44"/>
  <c r="P82" i="44"/>
  <c r="P66" i="6"/>
  <c r="Q66" i="6"/>
  <c r="R66" i="6"/>
  <c r="O66" i="6"/>
  <c r="S66" i="6"/>
  <c r="R75" i="6"/>
  <c r="O75" i="6"/>
  <c r="S97" i="45"/>
  <c r="R97" i="45"/>
  <c r="S59" i="44"/>
  <c r="O59" i="44"/>
  <c r="R59" i="44"/>
  <c r="R22" i="6"/>
  <c r="S22" i="6"/>
  <c r="P22" i="6"/>
  <c r="Q22" i="6"/>
  <c r="O22" i="6"/>
  <c r="Q67" i="44"/>
  <c r="O67" i="44"/>
  <c r="AB107" i="44"/>
  <c r="O149" i="43"/>
  <c r="P149" i="43"/>
  <c r="R149" i="43"/>
  <c r="Q149" i="43"/>
  <c r="S149" i="43"/>
  <c r="R86" i="6"/>
  <c r="Q86" i="6"/>
  <c r="O86" i="6"/>
  <c r="S86" i="6"/>
  <c r="P86" i="6"/>
  <c r="P72" i="6"/>
  <c r="Q72" i="6"/>
  <c r="R72" i="6"/>
  <c r="S72" i="6"/>
  <c r="O72" i="6"/>
  <c r="P27" i="44"/>
  <c r="S27" i="44"/>
  <c r="R27" i="44"/>
  <c r="O123" i="45"/>
  <c r="S123" i="45"/>
  <c r="P123" i="45"/>
  <c r="R123" i="45"/>
  <c r="Q123" i="45"/>
  <c r="R123" i="44"/>
  <c r="S123" i="44"/>
  <c r="O123" i="44"/>
  <c r="P123" i="44"/>
  <c r="Q123" i="44"/>
  <c r="P68" i="6"/>
  <c r="Q68" i="6"/>
  <c r="R68" i="6"/>
  <c r="S68" i="6"/>
  <c r="O68" i="6"/>
  <c r="P150" i="6"/>
  <c r="Q150" i="6"/>
  <c r="O150" i="6"/>
  <c r="S150" i="6"/>
  <c r="R150" i="6"/>
  <c r="S31" i="45"/>
  <c r="O31" i="45"/>
  <c r="Q31" i="45"/>
  <c r="R31" i="45"/>
  <c r="P31" i="45"/>
  <c r="O177" i="43"/>
  <c r="Q177" i="43"/>
  <c r="R177" i="43"/>
  <c r="S177" i="43"/>
  <c r="P177" i="43"/>
  <c r="S65" i="6"/>
  <c r="T65" i="6" s="1"/>
  <c r="R65" i="6"/>
  <c r="O65" i="6"/>
  <c r="R40" i="43"/>
  <c r="S40" i="43"/>
  <c r="Q40" i="43"/>
  <c r="O40" i="43"/>
  <c r="P40" i="43"/>
  <c r="AR141" i="43"/>
  <c r="AQ141" i="43"/>
  <c r="AB60" i="45"/>
  <c r="M95" i="43"/>
  <c r="AB95" i="43"/>
  <c r="AT141" i="45"/>
  <c r="AR141" i="45"/>
  <c r="AS141" i="45"/>
  <c r="AU141" i="45" s="1"/>
  <c r="AZ141" i="45" s="1"/>
  <c r="BC141" i="45" s="1"/>
  <c r="M128" i="43"/>
  <c r="AB128" i="43"/>
  <c r="AP25" i="44"/>
  <c r="AT25" i="44"/>
  <c r="AS25" i="44"/>
  <c r="R125" i="44"/>
  <c r="Q125" i="44"/>
  <c r="S125" i="44"/>
  <c r="P125" i="44"/>
  <c r="O125" i="44"/>
  <c r="O64" i="44"/>
  <c r="Q64" i="44"/>
  <c r="S64" i="44"/>
  <c r="T103" i="6"/>
  <c r="U103" i="6" s="1"/>
  <c r="J63" i="44"/>
  <c r="J84" i="43"/>
  <c r="R56" i="44"/>
  <c r="S56" i="44"/>
  <c r="P33" i="6"/>
  <c r="S33" i="6"/>
  <c r="Q33" i="6"/>
  <c r="O33" i="6"/>
  <c r="R33" i="6"/>
  <c r="S155" i="44"/>
  <c r="P155" i="44"/>
  <c r="R155" i="44"/>
  <c r="Q155" i="44"/>
  <c r="O155" i="44"/>
  <c r="P70" i="44"/>
  <c r="S70" i="44"/>
  <c r="Q70" i="44"/>
  <c r="R70" i="44"/>
  <c r="O70" i="44"/>
  <c r="O70" i="43"/>
  <c r="P70" i="43"/>
  <c r="R70" i="43"/>
  <c r="S70" i="43"/>
  <c r="Q70" i="43"/>
  <c r="AS42" i="45"/>
  <c r="AP42" i="45"/>
  <c r="AU42" i="45" s="1"/>
  <c r="AV42" i="45" s="1"/>
  <c r="AQ42" i="45"/>
  <c r="AR42" i="45"/>
  <c r="AT42" i="45"/>
  <c r="J29" i="43"/>
  <c r="P158" i="6"/>
  <c r="S158" i="6"/>
  <c r="T27" i="44"/>
  <c r="U27" i="44" s="1"/>
  <c r="R177" i="6"/>
  <c r="P177" i="6"/>
  <c r="S177" i="6"/>
  <c r="O177" i="6"/>
  <c r="Q177" i="6"/>
  <c r="AB110" i="44"/>
  <c r="P26" i="45"/>
  <c r="Q26" i="45"/>
  <c r="R26" i="45"/>
  <c r="J106" i="45"/>
  <c r="AB106" i="45" s="1"/>
  <c r="BC36" i="44"/>
  <c r="M43" i="44"/>
  <c r="AB43" i="44"/>
  <c r="T104" i="45"/>
  <c r="U104" i="45" s="1"/>
  <c r="Q162" i="45"/>
  <c r="R90" i="6"/>
  <c r="P90" i="6"/>
  <c r="O90" i="6"/>
  <c r="J99" i="45"/>
  <c r="S21" i="6"/>
  <c r="R21" i="6"/>
  <c r="Q21" i="6"/>
  <c r="O21" i="6"/>
  <c r="P21" i="6"/>
  <c r="Q80" i="45"/>
  <c r="R80" i="45"/>
  <c r="AR41" i="44"/>
  <c r="AS41" i="44"/>
  <c r="AU41" i="44" s="1"/>
  <c r="AV41" i="44" s="1"/>
  <c r="BC37" i="44"/>
  <c r="AB86" i="6"/>
  <c r="AQ16" i="6"/>
  <c r="AP16" i="6"/>
  <c r="AT149" i="44"/>
  <c r="AQ149" i="44"/>
  <c r="AS149" i="44"/>
  <c r="AR149" i="44"/>
  <c r="AP149" i="44"/>
  <c r="AU149" i="44" s="1"/>
  <c r="AZ149" i="44" s="1"/>
  <c r="BA149" i="44" s="1"/>
  <c r="BC149" i="44" s="1"/>
  <c r="P101" i="43"/>
  <c r="S101" i="43"/>
  <c r="O101" i="43"/>
  <c r="Q101" i="43"/>
  <c r="R101" i="43"/>
  <c r="R62" i="6"/>
  <c r="Q62" i="6"/>
  <c r="O62" i="6"/>
  <c r="S62" i="6"/>
  <c r="P62" i="6"/>
  <c r="AB19" i="43"/>
  <c r="P100" i="43"/>
  <c r="S100" i="43"/>
  <c r="AS31" i="45"/>
  <c r="AP31" i="45"/>
  <c r="AQ31" i="45"/>
  <c r="T27" i="6"/>
  <c r="U27" i="6" s="1"/>
  <c r="M41" i="6"/>
  <c r="AB41" i="6"/>
  <c r="P132" i="43"/>
  <c r="S132" i="43"/>
  <c r="Q132" i="43"/>
  <c r="S57" i="6"/>
  <c r="R57" i="6"/>
  <c r="T57" i="6" s="1"/>
  <c r="AS30" i="45"/>
  <c r="AP30" i="45"/>
  <c r="AT30" i="45"/>
  <c r="AQ30" i="45"/>
  <c r="AR30" i="45"/>
  <c r="AB66" i="6"/>
  <c r="Y152" i="45"/>
  <c r="Z152" i="45" s="1"/>
  <c r="AB152" i="45" s="1"/>
  <c r="AB103" i="44"/>
  <c r="AR15" i="45"/>
  <c r="J123" i="43"/>
  <c r="AT153" i="45"/>
  <c r="AR153" i="45"/>
  <c r="J123" i="6"/>
  <c r="AB123" i="6" s="1"/>
  <c r="AB59" i="6"/>
  <c r="AB61" i="44"/>
  <c r="T24" i="44"/>
  <c r="U24" i="44" s="1"/>
  <c r="AP49" i="43"/>
  <c r="AU49" i="43" s="1"/>
  <c r="AR49" i="43"/>
  <c r="AT49" i="43"/>
  <c r="J39" i="6"/>
  <c r="AR15" i="43"/>
  <c r="Q15" i="44"/>
  <c r="AT27" i="43"/>
  <c r="AP27" i="43"/>
  <c r="AS27" i="43"/>
  <c r="AQ29" i="44"/>
  <c r="AR29" i="44"/>
  <c r="AT29" i="44"/>
  <c r="AS29" i="44"/>
  <c r="AP29" i="44"/>
  <c r="T60" i="45"/>
  <c r="U60" i="45" s="1"/>
  <c r="R56" i="6"/>
  <c r="T93" i="6"/>
  <c r="U93" i="6" s="1"/>
  <c r="AT28" i="43"/>
  <c r="AR28" i="43"/>
  <c r="AQ28" i="43"/>
  <c r="AP20" i="45"/>
  <c r="AQ20" i="45"/>
  <c r="AT20" i="45"/>
  <c r="AS20" i="45"/>
  <c r="AR20" i="45"/>
  <c r="M34" i="45"/>
  <c r="AB34" i="45"/>
  <c r="J62" i="45"/>
  <c r="AB104" i="45"/>
  <c r="AP25" i="6"/>
  <c r="AT25" i="6"/>
  <c r="AS25" i="6"/>
  <c r="AR25" i="6"/>
  <c r="AQ25" i="6"/>
  <c r="T89" i="44"/>
  <c r="U89" i="44" s="1"/>
  <c r="BC35" i="43"/>
  <c r="M112" i="44"/>
  <c r="AB112" i="44"/>
  <c r="BC27" i="43"/>
  <c r="R102" i="44"/>
  <c r="S102" i="44"/>
  <c r="P102" i="44"/>
  <c r="Q102" i="44"/>
  <c r="O102" i="44"/>
  <c r="P122" i="44"/>
  <c r="R122" i="44"/>
  <c r="O122" i="44"/>
  <c r="Q122" i="44"/>
  <c r="S122" i="44"/>
  <c r="AB94" i="6"/>
  <c r="O42" i="45"/>
  <c r="Q42" i="45"/>
  <c r="P42" i="45"/>
  <c r="R42" i="45"/>
  <c r="S42" i="45"/>
  <c r="AQ22" i="45"/>
  <c r="AP22" i="45"/>
  <c r="AT22" i="45"/>
  <c r="AR39" i="6"/>
  <c r="AP39" i="6"/>
  <c r="AT39" i="6"/>
  <c r="AQ39" i="6"/>
  <c r="AS39" i="6"/>
  <c r="T120" i="43"/>
  <c r="AP17" i="43"/>
  <c r="AR17" i="43"/>
  <c r="AT17" i="43"/>
  <c r="AS17" i="43"/>
  <c r="AQ17" i="43"/>
  <c r="AP151" i="44"/>
  <c r="AT151" i="44"/>
  <c r="AR151" i="44"/>
  <c r="AS151" i="44"/>
  <c r="AQ151" i="44"/>
  <c r="AR156" i="45"/>
  <c r="AS156" i="45"/>
  <c r="AU156" i="45" s="1"/>
  <c r="AV156" i="45" s="1"/>
  <c r="AQ156" i="45"/>
  <c r="AQ157" i="45"/>
  <c r="AP157" i="45"/>
  <c r="AU157" i="45" s="1"/>
  <c r="AV157" i="45" s="1"/>
  <c r="Q158" i="45"/>
  <c r="J152" i="44"/>
  <c r="AQ38" i="44"/>
  <c r="AP38" i="44"/>
  <c r="AR38" i="44"/>
  <c r="AS38" i="44"/>
  <c r="AT38" i="44"/>
  <c r="P126" i="44"/>
  <c r="O126" i="44"/>
  <c r="S126" i="44"/>
  <c r="Q126" i="44"/>
  <c r="R126" i="44"/>
  <c r="M76" i="43"/>
  <c r="AB76" i="43"/>
  <c r="T65" i="44"/>
  <c r="U65" i="44" s="1"/>
  <c r="AB18" i="45"/>
  <c r="Y153" i="43"/>
  <c r="Z153" i="43" s="1"/>
  <c r="AB90" i="45"/>
  <c r="Q101" i="6"/>
  <c r="R101" i="6"/>
  <c r="S101" i="6"/>
  <c r="O101" i="6"/>
  <c r="P101" i="6"/>
  <c r="BC40" i="45"/>
  <c r="T60" i="43"/>
  <c r="U60" i="43" s="1"/>
  <c r="P56" i="43"/>
  <c r="AB101" i="44"/>
  <c r="AJ142" i="6"/>
  <c r="AK142" i="6" s="1"/>
  <c r="AQ158" i="43"/>
  <c r="AR23" i="44"/>
  <c r="AS23" i="44"/>
  <c r="AP23" i="44"/>
  <c r="AT23" i="44"/>
  <c r="AQ23" i="44"/>
  <c r="T111" i="43"/>
  <c r="U111" i="43" s="1"/>
  <c r="AR32" i="44"/>
  <c r="AT32" i="44"/>
  <c r="AP32" i="44"/>
  <c r="P96" i="45"/>
  <c r="R96" i="45"/>
  <c r="S96" i="45"/>
  <c r="AR156" i="43"/>
  <c r="AT156" i="43"/>
  <c r="AS156" i="43"/>
  <c r="AP156" i="43"/>
  <c r="AU156" i="43" s="1"/>
  <c r="AV156" i="43" s="1"/>
  <c r="AQ156" i="43"/>
  <c r="S63" i="6"/>
  <c r="O63" i="6"/>
  <c r="Q63" i="6"/>
  <c r="P63" i="6"/>
  <c r="R63" i="6"/>
  <c r="Q39" i="44"/>
  <c r="R39" i="44"/>
  <c r="P39" i="44"/>
  <c r="S39" i="44"/>
  <c r="O39" i="44"/>
  <c r="AB33" i="43"/>
  <c r="AS40" i="6"/>
  <c r="AQ40" i="6"/>
  <c r="AP40" i="6"/>
  <c r="AT40" i="6"/>
  <c r="AR40" i="6"/>
  <c r="J27" i="45"/>
  <c r="M75" i="44"/>
  <c r="AB75" i="44"/>
  <c r="BC28" i="6"/>
  <c r="M97" i="43"/>
  <c r="AB97" i="43"/>
  <c r="AB70" i="43"/>
  <c r="O160" i="43"/>
  <c r="S160" i="43"/>
  <c r="M30" i="45"/>
  <c r="AB30" i="45"/>
  <c r="AS15" i="45"/>
  <c r="Q100" i="6"/>
  <c r="S100" i="6"/>
  <c r="O78" i="43"/>
  <c r="AB86" i="45"/>
  <c r="T156" i="44"/>
  <c r="T82" i="45"/>
  <c r="U82" i="45" s="1"/>
  <c r="AB72" i="44"/>
  <c r="J57" i="44"/>
  <c r="AB57" i="44" s="1"/>
  <c r="AR155" i="44"/>
  <c r="AQ155" i="44"/>
  <c r="AT155" i="44"/>
  <c r="AS155" i="44"/>
  <c r="AP155" i="44"/>
  <c r="O102" i="43"/>
  <c r="P102" i="43"/>
  <c r="Q102" i="43"/>
  <c r="S102" i="43"/>
  <c r="R102" i="43"/>
  <c r="AP16" i="44"/>
  <c r="AR16" i="44"/>
  <c r="AQ16" i="44"/>
  <c r="AS16" i="44"/>
  <c r="AT16" i="44"/>
  <c r="AQ43" i="6"/>
  <c r="AP43" i="6"/>
  <c r="AU43" i="6" s="1"/>
  <c r="AV43" i="6" s="1"/>
  <c r="AB98" i="45"/>
  <c r="M98" i="45"/>
  <c r="Q15" i="45"/>
  <c r="AP162" i="44"/>
  <c r="BC37" i="6"/>
  <c r="AS40" i="45"/>
  <c r="AR40" i="45"/>
  <c r="AQ40" i="45"/>
  <c r="AP40" i="45"/>
  <c r="AT40" i="45"/>
  <c r="AU22" i="45"/>
  <c r="AV22" i="45" s="1"/>
  <c r="AU49" i="6"/>
  <c r="T68" i="43"/>
  <c r="AU38" i="6"/>
  <c r="AV38" i="6" s="1"/>
  <c r="AU41" i="6"/>
  <c r="AV41" i="6" s="1"/>
  <c r="AU24" i="6"/>
  <c r="AV24" i="6" s="1"/>
  <c r="T17" i="6"/>
  <c r="T20" i="6"/>
  <c r="AU156" i="44"/>
  <c r="AV156" i="44" s="1"/>
  <c r="AU29" i="6"/>
  <c r="AV29" i="6" s="1"/>
  <c r="T106" i="43"/>
  <c r="U106" i="43" s="1"/>
  <c r="T86" i="45"/>
  <c r="U86" i="45" s="1"/>
  <c r="AB57" i="45"/>
  <c r="T151" i="45"/>
  <c r="S150" i="45"/>
  <c r="Q150" i="45"/>
  <c r="R150" i="45"/>
  <c r="P150" i="45"/>
  <c r="O150" i="45"/>
  <c r="R90" i="44"/>
  <c r="O90" i="44"/>
  <c r="Q90" i="44"/>
  <c r="P90" i="44"/>
  <c r="S90" i="44"/>
  <c r="R122" i="43"/>
  <c r="P122" i="43"/>
  <c r="S122" i="43"/>
  <c r="M128" i="44"/>
  <c r="AB128" i="44"/>
  <c r="BC32" i="43"/>
  <c r="AB37" i="6"/>
  <c r="M37" i="6"/>
  <c r="R140" i="6"/>
  <c r="Q140" i="6"/>
  <c r="T140" i="6" s="1"/>
  <c r="Y140" i="6" s="1"/>
  <c r="AB140" i="6" s="1"/>
  <c r="B3" i="6" s="1"/>
  <c r="BC29" i="45"/>
  <c r="P103" i="45"/>
  <c r="R103" i="45"/>
  <c r="Q103" i="45"/>
  <c r="S103" i="45"/>
  <c r="O103" i="45"/>
  <c r="M127" i="6"/>
  <c r="AB127" i="6"/>
  <c r="BC40" i="43"/>
  <c r="R82" i="45"/>
  <c r="P82" i="45"/>
  <c r="S82" i="45"/>
  <c r="O82" i="45"/>
  <c r="Q82" i="45"/>
  <c r="BC17" i="45"/>
  <c r="Q17" i="43"/>
  <c r="O17" i="43"/>
  <c r="P17" i="43"/>
  <c r="R17" i="43"/>
  <c r="S17" i="43"/>
  <c r="O156" i="45"/>
  <c r="R156" i="45"/>
  <c r="S156" i="45"/>
  <c r="P156" i="45"/>
  <c r="Q156" i="45"/>
  <c r="P126" i="45"/>
  <c r="Q126" i="45"/>
  <c r="R126" i="45"/>
  <c r="O126" i="45"/>
  <c r="S126" i="45"/>
  <c r="T83" i="43"/>
  <c r="U83" i="43" s="1"/>
  <c r="AB74" i="44"/>
  <c r="R74" i="44"/>
  <c r="AB96" i="44"/>
  <c r="Q96" i="44"/>
  <c r="R96" i="44"/>
  <c r="O96" i="44"/>
  <c r="R65" i="45"/>
  <c r="O65" i="45"/>
  <c r="S65" i="45"/>
  <c r="P65" i="45"/>
  <c r="Q65" i="45"/>
  <c r="AS150" i="45"/>
  <c r="AQ150" i="45"/>
  <c r="AP150" i="45"/>
  <c r="AT150" i="45"/>
  <c r="AR150" i="45"/>
  <c r="T72" i="6"/>
  <c r="U72" i="6" s="1"/>
  <c r="M75" i="6"/>
  <c r="AB75" i="6"/>
  <c r="S90" i="43"/>
  <c r="O90" i="43"/>
  <c r="R90" i="43"/>
  <c r="P90" i="43"/>
  <c r="Q90" i="43"/>
  <c r="AB125" i="44"/>
  <c r="M125" i="44"/>
  <c r="R73" i="43"/>
  <c r="P73" i="43"/>
  <c r="Q73" i="43"/>
  <c r="S73" i="43"/>
  <c r="O73" i="43"/>
  <c r="T73" i="43" s="1"/>
  <c r="Y73" i="43" s="1"/>
  <c r="Z73" i="43" s="1"/>
  <c r="AB73" i="43" s="1"/>
  <c r="BC22" i="6"/>
  <c r="BC157" i="44"/>
  <c r="AQ32" i="45"/>
  <c r="AS32" i="45"/>
  <c r="AU32" i="45" s="1"/>
  <c r="AV32" i="45" s="1"/>
  <c r="AT32" i="45"/>
  <c r="AQ30" i="44"/>
  <c r="AS30" i="44"/>
  <c r="AT30" i="44"/>
  <c r="Q105" i="6"/>
  <c r="P105" i="6"/>
  <c r="T105" i="6" s="1"/>
  <c r="U105" i="6" s="1"/>
  <c r="M131" i="6"/>
  <c r="AB131" i="6"/>
  <c r="BC31" i="43"/>
  <c r="P34" i="45"/>
  <c r="O34" i="45"/>
  <c r="R34" i="45"/>
  <c r="M123" i="45"/>
  <c r="AB123" i="45"/>
  <c r="R62" i="43"/>
  <c r="P62" i="43"/>
  <c r="S62" i="43"/>
  <c r="Q62" i="43"/>
  <c r="O62" i="43"/>
  <c r="AB31" i="45"/>
  <c r="M31" i="45"/>
  <c r="AQ155" i="43"/>
  <c r="AR155" i="43"/>
  <c r="AT155" i="43"/>
  <c r="AU155" i="43" s="1"/>
  <c r="S151" i="44"/>
  <c r="P151" i="44"/>
  <c r="O151" i="44"/>
  <c r="Q151" i="44"/>
  <c r="R151" i="44"/>
  <c r="J71" i="45"/>
  <c r="T25" i="43"/>
  <c r="U25" i="43" s="1"/>
  <c r="O112" i="43"/>
  <c r="Q112" i="43"/>
  <c r="P112" i="43"/>
  <c r="R112" i="43"/>
  <c r="S112" i="43"/>
  <c r="Q132" i="45"/>
  <c r="P132" i="45"/>
  <c r="S132" i="45"/>
  <c r="O132" i="45"/>
  <c r="R132" i="45"/>
  <c r="AP39" i="43"/>
  <c r="AT39" i="43"/>
  <c r="AR39" i="43"/>
  <c r="AQ39" i="43"/>
  <c r="AS39" i="43"/>
  <c r="BC25" i="44"/>
  <c r="BC26" i="44"/>
  <c r="J83" i="44"/>
  <c r="S39" i="45"/>
  <c r="Q39" i="45"/>
  <c r="O39" i="45"/>
  <c r="AB49" i="44"/>
  <c r="BC38" i="43"/>
  <c r="AM142" i="45"/>
  <c r="M33" i="6"/>
  <c r="AB33" i="6"/>
  <c r="AB30" i="43"/>
  <c r="P30" i="43"/>
  <c r="R30" i="43"/>
  <c r="O30" i="43"/>
  <c r="J80" i="44"/>
  <c r="M38" i="43"/>
  <c r="AB38" i="43"/>
  <c r="AB62" i="45"/>
  <c r="BC24" i="6"/>
  <c r="O107" i="6"/>
  <c r="Q107" i="6"/>
  <c r="S107" i="6"/>
  <c r="R107" i="6"/>
  <c r="P107" i="6"/>
  <c r="M39" i="44"/>
  <c r="AB39" i="44"/>
  <c r="M27" i="44"/>
  <c r="AB27" i="44"/>
  <c r="J67" i="45"/>
  <c r="S31" i="6"/>
  <c r="P31" i="6"/>
  <c r="R31" i="6"/>
  <c r="Q31" i="6"/>
  <c r="O31" i="6"/>
  <c r="Q24" i="43"/>
  <c r="R24" i="43"/>
  <c r="O24" i="43"/>
  <c r="S24" i="43"/>
  <c r="P24" i="43"/>
  <c r="AB82" i="45"/>
  <c r="J33" i="44"/>
  <c r="T34" i="44"/>
  <c r="U34" i="44" s="1"/>
  <c r="AR152" i="6"/>
  <c r="AQ152" i="6"/>
  <c r="AS152" i="6"/>
  <c r="AT152" i="6"/>
  <c r="AP152" i="6"/>
  <c r="AS27" i="44"/>
  <c r="AP27" i="44"/>
  <c r="AT27" i="44"/>
  <c r="AR27" i="44"/>
  <c r="AQ27" i="44"/>
  <c r="BC29" i="6"/>
  <c r="AB58" i="45"/>
  <c r="M130" i="45"/>
  <c r="AB130" i="45"/>
  <c r="BC25" i="43"/>
  <c r="T20" i="45"/>
  <c r="U20" i="45" s="1"/>
  <c r="AT20" i="6"/>
  <c r="AP20" i="6"/>
  <c r="AQ20" i="6"/>
  <c r="AS20" i="6"/>
  <c r="AR20" i="6"/>
  <c r="BC38" i="45"/>
  <c r="AQ150" i="44"/>
  <c r="AP150" i="44"/>
  <c r="AS150" i="44"/>
  <c r="AT150" i="44"/>
  <c r="AR150" i="44"/>
  <c r="Q75" i="45"/>
  <c r="S75" i="45"/>
  <c r="R75" i="45"/>
  <c r="P75" i="45"/>
  <c r="O75" i="45"/>
  <c r="AR26" i="6"/>
  <c r="AQ26" i="6"/>
  <c r="AT26" i="6"/>
  <c r="AP26" i="6"/>
  <c r="AS26" i="6"/>
  <c r="T149" i="45"/>
  <c r="U149" i="45" s="1"/>
  <c r="S156" i="43"/>
  <c r="R156" i="43"/>
  <c r="O156" i="43"/>
  <c r="Q156" i="43"/>
  <c r="P156" i="43"/>
  <c r="AQ149" i="45"/>
  <c r="AT149" i="45"/>
  <c r="AS158" i="44"/>
  <c r="AP15" i="6"/>
  <c r="AT15" i="6"/>
  <c r="Q61" i="6"/>
  <c r="T61" i="6" s="1"/>
  <c r="S61" i="6"/>
  <c r="BC26" i="6"/>
  <c r="S49" i="43"/>
  <c r="Q49" i="43"/>
  <c r="P49" i="43"/>
  <c r="O49" i="43"/>
  <c r="R49" i="43"/>
  <c r="M111" i="45"/>
  <c r="AB111" i="45"/>
  <c r="AB84" i="6"/>
  <c r="P84" i="6"/>
  <c r="S84" i="6"/>
  <c r="Q84" i="6"/>
  <c r="O84" i="6"/>
  <c r="R84" i="6"/>
  <c r="M127" i="45"/>
  <c r="AB127" i="45"/>
  <c r="AS15" i="44"/>
  <c r="T124" i="44"/>
  <c r="U124" i="44" s="1"/>
  <c r="AB66" i="44"/>
  <c r="R74" i="43"/>
  <c r="P74" i="43"/>
  <c r="O74" i="43"/>
  <c r="BC33" i="44"/>
  <c r="AS31" i="43"/>
  <c r="AR31" i="43"/>
  <c r="AP31" i="43"/>
  <c r="AQ31" i="43"/>
  <c r="AT31" i="43"/>
  <c r="AB23" i="6"/>
  <c r="BC153" i="45"/>
  <c r="J110" i="43"/>
  <c r="AS151" i="6"/>
  <c r="AQ151" i="6"/>
  <c r="AR151" i="6"/>
  <c r="BC34" i="43"/>
  <c r="M32" i="6"/>
  <c r="AB32" i="6" s="1"/>
  <c r="J101" i="45"/>
  <c r="AB104" i="44"/>
  <c r="AQ40" i="44"/>
  <c r="AR40" i="44"/>
  <c r="AP40" i="44"/>
  <c r="AT40" i="44"/>
  <c r="AS40" i="44"/>
  <c r="AT43" i="45"/>
  <c r="AS43" i="45"/>
  <c r="AQ43" i="45"/>
  <c r="AP43" i="45"/>
  <c r="AR43" i="45"/>
  <c r="J32" i="45"/>
  <c r="AB36" i="45"/>
  <c r="M36" i="45"/>
  <c r="B5" i="44"/>
  <c r="C5" i="44"/>
  <c r="AK140" i="45"/>
  <c r="AJ142" i="45"/>
  <c r="AK142" i="45" s="1"/>
  <c r="BC28" i="43"/>
  <c r="O56" i="6"/>
  <c r="J68" i="45"/>
  <c r="M133" i="45"/>
  <c r="AB133" i="45"/>
  <c r="AQ24" i="44"/>
  <c r="AT24" i="44"/>
  <c r="AR24" i="44"/>
  <c r="AP24" i="44"/>
  <c r="AS24" i="44"/>
  <c r="T132" i="44"/>
  <c r="U132" i="44" s="1"/>
  <c r="T126" i="6"/>
  <c r="U126" i="6" s="1"/>
  <c r="J92" i="44"/>
  <c r="R149" i="6"/>
  <c r="Q149" i="6"/>
  <c r="S149" i="6"/>
  <c r="O149" i="6"/>
  <c r="P149" i="6"/>
  <c r="AR34" i="43"/>
  <c r="AP34" i="43"/>
  <c r="AT34" i="43"/>
  <c r="T107" i="43"/>
  <c r="U107" i="43" s="1"/>
  <c r="AB110" i="6"/>
  <c r="AT39" i="45"/>
  <c r="AQ39" i="45"/>
  <c r="AR39" i="45"/>
  <c r="AP39" i="45"/>
  <c r="AS39" i="45"/>
  <c r="AQ162" i="6"/>
  <c r="M34" i="6"/>
  <c r="AB34" i="6"/>
  <c r="BC27" i="6"/>
  <c r="O21" i="44"/>
  <c r="S21" i="44"/>
  <c r="AZ157" i="6"/>
  <c r="BA157" i="6" s="1"/>
  <c r="BC157" i="6" s="1"/>
  <c r="AB80" i="6"/>
  <c r="AR15" i="44"/>
  <c r="T97" i="44"/>
  <c r="U97" i="44" s="1"/>
  <c r="P60" i="44"/>
  <c r="R60" i="44"/>
  <c r="S60" i="44"/>
  <c r="Q60" i="44"/>
  <c r="O60" i="44"/>
  <c r="J109" i="43"/>
  <c r="AR157" i="44"/>
  <c r="AQ157" i="44"/>
  <c r="AS157" i="44"/>
  <c r="AU157" i="44" s="1"/>
  <c r="AV157" i="44" s="1"/>
  <c r="BC24" i="44"/>
  <c r="T152" i="44"/>
  <c r="U152" i="44" s="1"/>
  <c r="P100" i="44"/>
  <c r="S100" i="44"/>
  <c r="AT33" i="6"/>
  <c r="AR33" i="6"/>
  <c r="AQ33" i="6"/>
  <c r="AS33" i="6"/>
  <c r="AP33" i="6"/>
  <c r="AU33" i="6" s="1"/>
  <c r="AV33" i="6" s="1"/>
  <c r="AR15" i="6"/>
  <c r="J153" i="43"/>
  <c r="AB93" i="45"/>
  <c r="T97" i="6"/>
  <c r="U97" i="6" s="1"/>
  <c r="AT49" i="44"/>
  <c r="AQ49" i="44"/>
  <c r="BC21" i="44"/>
  <c r="AR26" i="44"/>
  <c r="AQ26" i="44"/>
  <c r="AP26" i="44"/>
  <c r="T129" i="45"/>
  <c r="U129" i="45" s="1"/>
  <c r="J86" i="43"/>
  <c r="P120" i="44"/>
  <c r="S120" i="44"/>
  <c r="O120" i="44"/>
  <c r="Q120" i="44"/>
  <c r="R120" i="44"/>
  <c r="P23" i="43"/>
  <c r="R23" i="43"/>
  <c r="S23" i="43"/>
  <c r="Q23" i="43"/>
  <c r="O23" i="43"/>
  <c r="AP162" i="43"/>
  <c r="AT162" i="43"/>
  <c r="AB79" i="43"/>
  <c r="AQ15" i="43"/>
  <c r="R40" i="6"/>
  <c r="Q40" i="6"/>
  <c r="S40" i="6"/>
  <c r="O40" i="6"/>
  <c r="P40" i="6"/>
  <c r="Q160" i="43"/>
  <c r="S95" i="43"/>
  <c r="R95" i="43"/>
  <c r="P95" i="43"/>
  <c r="Q95" i="43"/>
  <c r="O95" i="43"/>
  <c r="AB64" i="6"/>
  <c r="J81" i="44"/>
  <c r="R61" i="45"/>
  <c r="S61" i="45"/>
  <c r="O61" i="45"/>
  <c r="AB102" i="44"/>
  <c r="R158" i="43"/>
  <c r="T69" i="45"/>
  <c r="U69" i="45" s="1"/>
  <c r="BC22" i="45"/>
  <c r="AB62" i="44"/>
  <c r="T91" i="43"/>
  <c r="U91" i="43" s="1"/>
  <c r="P169" i="6"/>
  <c r="O169" i="6"/>
  <c r="Q169" i="6"/>
  <c r="AT16" i="45"/>
  <c r="AP16" i="45"/>
  <c r="AU28" i="43"/>
  <c r="AV28" i="43" s="1"/>
  <c r="P89" i="44"/>
  <c r="O89" i="44"/>
  <c r="S89" i="44"/>
  <c r="Q89" i="44"/>
  <c r="R89" i="44"/>
  <c r="S106" i="43"/>
  <c r="P106" i="43"/>
  <c r="O106" i="43"/>
  <c r="Q106" i="43"/>
  <c r="R106" i="43"/>
  <c r="P98" i="45"/>
  <c r="S98" i="45"/>
  <c r="Q98" i="45"/>
  <c r="O98" i="45"/>
  <c r="R98" i="45"/>
  <c r="O60" i="45"/>
  <c r="Q60" i="45"/>
  <c r="R60" i="45"/>
  <c r="P60" i="45"/>
  <c r="S60" i="45"/>
  <c r="P107" i="44"/>
  <c r="S107" i="44"/>
  <c r="O107" i="44"/>
  <c r="R107" i="44"/>
  <c r="Q107" i="44"/>
  <c r="O86" i="44"/>
  <c r="P86" i="44"/>
  <c r="S86" i="44"/>
  <c r="R124" i="44"/>
  <c r="Q124" i="44"/>
  <c r="P124" i="44"/>
  <c r="O124" i="44"/>
  <c r="AB132" i="45"/>
  <c r="M132" i="45"/>
  <c r="R113" i="44"/>
  <c r="P113" i="44"/>
  <c r="S113" i="44"/>
  <c r="O113" i="44"/>
  <c r="Q113" i="44"/>
  <c r="M29" i="45"/>
  <c r="AB29" i="45"/>
  <c r="Q65" i="43"/>
  <c r="T65" i="43" s="1"/>
  <c r="S65" i="43"/>
  <c r="R93" i="45"/>
  <c r="S93" i="45"/>
  <c r="P93" i="45"/>
  <c r="O93" i="45"/>
  <c r="Q93" i="45"/>
  <c r="S108" i="45"/>
  <c r="P108" i="45"/>
  <c r="O108" i="45"/>
  <c r="R108" i="45"/>
  <c r="Q108" i="45"/>
  <c r="P127" i="6"/>
  <c r="O127" i="6"/>
  <c r="Q127" i="6"/>
  <c r="S127" i="6"/>
  <c r="R127" i="6"/>
  <c r="AB98" i="43"/>
  <c r="M98" i="43"/>
  <c r="O19" i="45"/>
  <c r="P19" i="45"/>
  <c r="Q19" i="45"/>
  <c r="S19" i="45"/>
  <c r="R19" i="45"/>
  <c r="M34" i="43"/>
  <c r="AB34" i="43"/>
  <c r="AT37" i="43"/>
  <c r="AQ37" i="43"/>
  <c r="AP37" i="43"/>
  <c r="AU37" i="43" s="1"/>
  <c r="AV37" i="43" s="1"/>
  <c r="AB73" i="44"/>
  <c r="M73" i="44"/>
  <c r="M96" i="45"/>
  <c r="AB96" i="45"/>
  <c r="AQ22" i="6"/>
  <c r="AS22" i="6"/>
  <c r="AR22" i="6"/>
  <c r="AP22" i="6"/>
  <c r="AU22" i="6" s="1"/>
  <c r="AV22" i="6" s="1"/>
  <c r="AT22" i="6"/>
  <c r="Q83" i="43"/>
  <c r="O83" i="43"/>
  <c r="P83" i="43"/>
  <c r="R83" i="43"/>
  <c r="S24" i="45"/>
  <c r="P24" i="45"/>
  <c r="O24" i="45"/>
  <c r="R24" i="45"/>
  <c r="Q24" i="45"/>
  <c r="AR21" i="44"/>
  <c r="AS21" i="44"/>
  <c r="AP21" i="44"/>
  <c r="AT21" i="44"/>
  <c r="AQ21" i="44"/>
  <c r="Q131" i="6"/>
  <c r="R131" i="6"/>
  <c r="O131" i="6"/>
  <c r="P131" i="6"/>
  <c r="S131" i="6"/>
  <c r="Q19" i="6"/>
  <c r="R19" i="6"/>
  <c r="P19" i="6"/>
  <c r="O19" i="6"/>
  <c r="S19" i="6"/>
  <c r="S104" i="45"/>
  <c r="Q104" i="45"/>
  <c r="P104" i="45"/>
  <c r="R104" i="45"/>
  <c r="O104" i="45"/>
  <c r="Q113" i="45"/>
  <c r="P113" i="45"/>
  <c r="M123" i="44"/>
  <c r="AB123" i="44"/>
  <c r="S79" i="44"/>
  <c r="Q79" i="44"/>
  <c r="O79" i="44"/>
  <c r="R79" i="44"/>
  <c r="P79" i="44"/>
  <c r="M35" i="43"/>
  <c r="AB35" i="43"/>
  <c r="O110" i="45"/>
  <c r="S110" i="45"/>
  <c r="R110" i="45"/>
  <c r="AQ26" i="43"/>
  <c r="AT26" i="43"/>
  <c r="AR26" i="43"/>
  <c r="AS26" i="43"/>
  <c r="AP26" i="43"/>
  <c r="AB131" i="45"/>
  <c r="M131" i="45"/>
  <c r="AT151" i="43"/>
  <c r="AU151" i="43" s="1"/>
  <c r="AQ151" i="43"/>
  <c r="R162" i="45"/>
  <c r="S162" i="45"/>
  <c r="AB112" i="43"/>
  <c r="M112" i="43"/>
  <c r="Q153" i="45"/>
  <c r="P153" i="45"/>
  <c r="O153" i="45"/>
  <c r="S153" i="45"/>
  <c r="R153" i="45"/>
  <c r="P162" i="44"/>
  <c r="S162" i="44"/>
  <c r="S18" i="45"/>
  <c r="R18" i="45"/>
  <c r="O18" i="45"/>
  <c r="Q18" i="45"/>
  <c r="P18" i="45"/>
  <c r="M99" i="43"/>
  <c r="AB99" i="43"/>
  <c r="J96" i="6"/>
  <c r="AB103" i="43"/>
  <c r="T98" i="44"/>
  <c r="U98" i="44" s="1"/>
  <c r="R120" i="6"/>
  <c r="Q120" i="6"/>
  <c r="S120" i="6"/>
  <c r="P120" i="6"/>
  <c r="O120" i="6"/>
  <c r="AS43" i="44"/>
  <c r="AU43" i="44" s="1"/>
  <c r="AV43" i="44" s="1"/>
  <c r="AR43" i="44"/>
  <c r="Q32" i="6"/>
  <c r="P32" i="6"/>
  <c r="S32" i="6"/>
  <c r="O32" i="6"/>
  <c r="R32" i="6"/>
  <c r="P22" i="44"/>
  <c r="R22" i="44"/>
  <c r="O22" i="44"/>
  <c r="Q22" i="44"/>
  <c r="S22" i="44"/>
  <c r="M33" i="44"/>
  <c r="AB33" i="44"/>
  <c r="M34" i="44"/>
  <c r="AB34" i="44"/>
  <c r="AS36" i="45"/>
  <c r="AQ36" i="45"/>
  <c r="AP36" i="45"/>
  <c r="AR36" i="45"/>
  <c r="AT36" i="45"/>
  <c r="Q132" i="6"/>
  <c r="O132" i="6"/>
  <c r="R132" i="6"/>
  <c r="S132" i="6"/>
  <c r="P132" i="6"/>
  <c r="R73" i="45"/>
  <c r="O73" i="45"/>
  <c r="S73" i="45"/>
  <c r="O64" i="6"/>
  <c r="S64" i="6"/>
  <c r="Q64" i="6"/>
  <c r="P64" i="6"/>
  <c r="R64" i="6"/>
  <c r="S76" i="44"/>
  <c r="R76" i="44"/>
  <c r="P76" i="44"/>
  <c r="Q76" i="44"/>
  <c r="O76" i="44"/>
  <c r="O113" i="43"/>
  <c r="Q113" i="43"/>
  <c r="R113" i="43"/>
  <c r="BC37" i="45"/>
  <c r="AB99" i="45"/>
  <c r="M99" i="45"/>
  <c r="AP161" i="45"/>
  <c r="AR161" i="45"/>
  <c r="AS161" i="45"/>
  <c r="AQ161" i="45"/>
  <c r="AT161" i="45"/>
  <c r="Q128" i="45"/>
  <c r="S128" i="45"/>
  <c r="R128" i="45"/>
  <c r="O128" i="45"/>
  <c r="M75" i="45"/>
  <c r="AB75" i="45"/>
  <c r="P112" i="45"/>
  <c r="Q112" i="45"/>
  <c r="R112" i="45"/>
  <c r="S112" i="45"/>
  <c r="O112" i="45"/>
  <c r="AB19" i="45"/>
  <c r="R94" i="6"/>
  <c r="O94" i="6"/>
  <c r="S94" i="6"/>
  <c r="P94" i="6"/>
  <c r="Q94" i="6"/>
  <c r="Q101" i="44"/>
  <c r="R101" i="44"/>
  <c r="S101" i="44"/>
  <c r="P101" i="44"/>
  <c r="O101" i="44"/>
  <c r="AB90" i="44"/>
  <c r="BC33" i="6"/>
  <c r="S149" i="44"/>
  <c r="Q149" i="44"/>
  <c r="R149" i="44"/>
  <c r="P149" i="44"/>
  <c r="O149" i="44"/>
  <c r="AB77" i="43"/>
  <c r="R77" i="43"/>
  <c r="Q77" i="43"/>
  <c r="P41" i="6"/>
  <c r="Q41" i="6"/>
  <c r="S41" i="6"/>
  <c r="O41" i="6"/>
  <c r="R41" i="6"/>
  <c r="AR150" i="6"/>
  <c r="AS150" i="6"/>
  <c r="AU150" i="6" s="1"/>
  <c r="AQ150" i="6"/>
  <c r="O158" i="6"/>
  <c r="M124" i="44"/>
  <c r="AB124" i="44"/>
  <c r="J66" i="43"/>
  <c r="M123" i="43"/>
  <c r="AB123" i="43"/>
  <c r="M123" i="6"/>
  <c r="M40" i="44"/>
  <c r="AB40" i="44"/>
  <c r="BC35" i="44"/>
  <c r="AB36" i="44"/>
  <c r="M36" i="44"/>
  <c r="AQ30" i="6"/>
  <c r="AS30" i="6"/>
  <c r="AT30" i="6"/>
  <c r="R151" i="43"/>
  <c r="S151" i="43"/>
  <c r="Q151" i="43"/>
  <c r="O151" i="43"/>
  <c r="P151" i="43"/>
  <c r="M32" i="45"/>
  <c r="AB32" i="45"/>
  <c r="O67" i="6"/>
  <c r="S67" i="6"/>
  <c r="R67" i="6"/>
  <c r="Q67" i="6"/>
  <c r="P67" i="6"/>
  <c r="M77" i="6"/>
  <c r="AB77" i="6"/>
  <c r="R38" i="6"/>
  <c r="O38" i="6"/>
  <c r="P38" i="6"/>
  <c r="O98" i="43"/>
  <c r="Q98" i="43"/>
  <c r="P98" i="43"/>
  <c r="S98" i="43"/>
  <c r="R98" i="43"/>
  <c r="S35" i="44"/>
  <c r="P35" i="44"/>
  <c r="Q35" i="44"/>
  <c r="R35" i="44"/>
  <c r="O35" i="44"/>
  <c r="BC35" i="6"/>
  <c r="T19" i="6"/>
  <c r="U19" i="6" s="1"/>
  <c r="O151" i="6"/>
  <c r="Q151" i="6"/>
  <c r="R151" i="6"/>
  <c r="P151" i="6"/>
  <c r="S151" i="6"/>
  <c r="S105" i="44"/>
  <c r="O105" i="44"/>
  <c r="R105" i="44"/>
  <c r="Q105" i="44"/>
  <c r="P105" i="44"/>
  <c r="M42" i="45"/>
  <c r="AB42" i="45"/>
  <c r="AR38" i="45"/>
  <c r="AT38" i="45"/>
  <c r="AU38" i="45" s="1"/>
  <c r="AV38" i="45" s="1"/>
  <c r="AQ38" i="45"/>
  <c r="BC18" i="45"/>
  <c r="J59" i="43"/>
  <c r="M132" i="44"/>
  <c r="AB132" i="44"/>
  <c r="M35" i="44"/>
  <c r="AB35" i="44"/>
  <c r="J109" i="45"/>
  <c r="AQ15" i="44"/>
  <c r="M25" i="44"/>
  <c r="AB25" i="44"/>
  <c r="AS19" i="6"/>
  <c r="AR19" i="6"/>
  <c r="AQ19" i="6"/>
  <c r="AT19" i="6"/>
  <c r="AP19" i="6"/>
  <c r="AU19" i="6" s="1"/>
  <c r="AV19" i="6" s="1"/>
  <c r="AB177" i="44"/>
  <c r="Q177" i="44"/>
  <c r="R177" i="44"/>
  <c r="R79" i="43"/>
  <c r="Q79" i="43"/>
  <c r="O79" i="43"/>
  <c r="S79" i="43"/>
  <c r="P79" i="43"/>
  <c r="O69" i="45"/>
  <c r="P69" i="45"/>
  <c r="Q69" i="45"/>
  <c r="R69" i="45"/>
  <c r="S69" i="45"/>
  <c r="AT140" i="6"/>
  <c r="AS140" i="6"/>
  <c r="AQ140" i="6"/>
  <c r="AR140" i="6"/>
  <c r="AP140" i="6"/>
  <c r="AB58" i="43"/>
  <c r="J83" i="45"/>
  <c r="BC25" i="6"/>
  <c r="R16" i="45"/>
  <c r="P16" i="45"/>
  <c r="S16" i="45"/>
  <c r="O16" i="45"/>
  <c r="Q16" i="45"/>
  <c r="AQ15" i="45"/>
  <c r="P92" i="6"/>
  <c r="Q92" i="6"/>
  <c r="R92" i="6"/>
  <c r="O92" i="6"/>
  <c r="S92" i="6"/>
  <c r="T93" i="44"/>
  <c r="U93" i="44" s="1"/>
  <c r="AR33" i="44"/>
  <c r="AQ33" i="44"/>
  <c r="AP33" i="44"/>
  <c r="AU33" i="44" s="1"/>
  <c r="AV33" i="44" s="1"/>
  <c r="AR38" i="43"/>
  <c r="AS38" i="43"/>
  <c r="AP38" i="43"/>
  <c r="AQ38" i="43"/>
  <c r="AT38" i="43"/>
  <c r="M126" i="44"/>
  <c r="AB126" i="44"/>
  <c r="AB19" i="6"/>
  <c r="O100" i="43"/>
  <c r="AP158" i="44"/>
  <c r="AB17" i="45"/>
  <c r="T127" i="44"/>
  <c r="U127" i="44" s="1"/>
  <c r="P63" i="43"/>
  <c r="S63" i="43"/>
  <c r="R63" i="43"/>
  <c r="Q63" i="43"/>
  <c r="O63" i="43"/>
  <c r="M97" i="6"/>
  <c r="AB97" i="6"/>
  <c r="AZ153" i="6"/>
  <c r="BA153" i="6" s="1"/>
  <c r="BC153" i="6" s="1"/>
  <c r="Q162" i="44"/>
  <c r="Y157" i="6"/>
  <c r="Z157" i="6" s="1"/>
  <c r="AB157" i="6" s="1"/>
  <c r="AS158" i="43"/>
  <c r="O36" i="45"/>
  <c r="P36" i="45"/>
  <c r="S36" i="45"/>
  <c r="Q36" i="45"/>
  <c r="R36" i="45"/>
  <c r="AP34" i="44"/>
  <c r="AT34" i="44"/>
  <c r="AS34" i="44"/>
  <c r="AR34" i="44"/>
  <c r="AQ34" i="44"/>
  <c r="AR23" i="45"/>
  <c r="AP23" i="45"/>
  <c r="BC42" i="44"/>
  <c r="BC19" i="6"/>
  <c r="AB67" i="6"/>
  <c r="AS162" i="44"/>
  <c r="AT35" i="43"/>
  <c r="AQ35" i="43"/>
  <c r="AS35" i="43"/>
  <c r="AR35" i="43"/>
  <c r="AP35" i="43"/>
  <c r="T89" i="6"/>
  <c r="U89" i="6" s="1"/>
  <c r="AB88" i="44"/>
  <c r="BC42" i="45"/>
  <c r="Q62" i="44"/>
  <c r="O62" i="44"/>
  <c r="S62" i="44"/>
  <c r="R62" i="44"/>
  <c r="P62" i="44"/>
  <c r="AS162" i="6"/>
  <c r="AQ160" i="6"/>
  <c r="M129" i="6"/>
  <c r="AB129" i="6"/>
  <c r="AQ36" i="6"/>
  <c r="AT36" i="6"/>
  <c r="AP36" i="6"/>
  <c r="T19" i="43"/>
  <c r="U19" i="43" s="1"/>
  <c r="S57" i="43"/>
  <c r="O57" i="43"/>
  <c r="P57" i="43"/>
  <c r="AR159" i="44"/>
  <c r="AT159" i="44"/>
  <c r="AP49" i="45"/>
  <c r="AT49" i="45"/>
  <c r="AS49" i="45"/>
  <c r="AQ49" i="45"/>
  <c r="AR49" i="45"/>
  <c r="BC39" i="45"/>
  <c r="AB60" i="44"/>
  <c r="Q100" i="45"/>
  <c r="S100" i="45"/>
  <c r="J130" i="6"/>
  <c r="BC40" i="44"/>
  <c r="AS17" i="44"/>
  <c r="AT17" i="44"/>
  <c r="AR17" i="44"/>
  <c r="P61" i="43"/>
  <c r="O61" i="43"/>
  <c r="R61" i="43"/>
  <c r="AU26" i="44"/>
  <c r="AV26" i="44" s="1"/>
  <c r="U177" i="45"/>
  <c r="R177" i="45"/>
  <c r="Q177" i="45"/>
  <c r="AB177" i="45"/>
  <c r="P177" i="45"/>
  <c r="O177" i="45"/>
  <c r="S177" i="45"/>
  <c r="S121" i="45"/>
  <c r="Q121" i="45"/>
  <c r="AB121" i="45"/>
  <c r="O121" i="45"/>
  <c r="P121" i="45"/>
  <c r="R121" i="45"/>
  <c r="AB81" i="43"/>
  <c r="P81" i="43"/>
  <c r="S81" i="43"/>
  <c r="Q81" i="43"/>
  <c r="O81" i="43"/>
  <c r="R81" i="43"/>
  <c r="R120" i="45"/>
  <c r="P120" i="45"/>
  <c r="O120" i="45"/>
  <c r="Q120" i="45"/>
  <c r="S120" i="45"/>
  <c r="AB120" i="45"/>
  <c r="AB125" i="43"/>
  <c r="R125" i="43"/>
  <c r="O125" i="43"/>
  <c r="AB70" i="6"/>
  <c r="S70" i="6"/>
  <c r="Q70" i="6"/>
  <c r="P70" i="6"/>
  <c r="O70" i="6"/>
  <c r="R70" i="6"/>
  <c r="AU141" i="43"/>
  <c r="AZ141" i="43" s="1"/>
  <c r="BC141" i="43" s="1"/>
  <c r="AU23" i="45"/>
  <c r="AV23" i="45" s="1"/>
  <c r="AU22" i="44"/>
  <c r="AV22" i="44" s="1"/>
  <c r="AU149" i="45"/>
  <c r="AV149" i="45" s="1"/>
  <c r="AU42" i="6"/>
  <c r="AV42" i="6" s="1"/>
  <c r="AU150" i="43"/>
  <c r="T154" i="6"/>
  <c r="T178" i="43"/>
  <c r="AU30" i="43"/>
  <c r="AV30" i="43" s="1"/>
  <c r="T122" i="6"/>
  <c r="O18" i="43"/>
  <c r="AB18" i="43"/>
  <c r="R18" i="43"/>
  <c r="AB77" i="44"/>
  <c r="O77" i="44"/>
  <c r="S77" i="44"/>
  <c r="Q77" i="44"/>
  <c r="P77" i="44"/>
  <c r="R77" i="44"/>
  <c r="AU21" i="6"/>
  <c r="AV21" i="6" s="1"/>
  <c r="AB64" i="43"/>
  <c r="Q64" i="43"/>
  <c r="S64" i="43"/>
  <c r="R64" i="43"/>
  <c r="O64" i="43"/>
  <c r="P64" i="43"/>
  <c r="R105" i="45"/>
  <c r="AB105" i="45"/>
  <c r="O105" i="45"/>
  <c r="P105" i="45"/>
  <c r="Q105" i="45"/>
  <c r="S105" i="45"/>
  <c r="O133" i="44"/>
  <c r="P133" i="44"/>
  <c r="Q133" i="44"/>
  <c r="S133" i="44"/>
  <c r="AB133" i="44"/>
  <c r="R133" i="44"/>
  <c r="AU37" i="44"/>
  <c r="AV37" i="44" s="1"/>
  <c r="P107" i="45"/>
  <c r="O107" i="45"/>
  <c r="Q107" i="45"/>
  <c r="S107" i="45"/>
  <c r="R107" i="45"/>
  <c r="P76" i="45"/>
  <c r="S76" i="45"/>
  <c r="Q76" i="45"/>
  <c r="R76" i="45"/>
  <c r="O76" i="45"/>
  <c r="AQ142" i="44"/>
  <c r="AT142" i="44"/>
  <c r="AS142" i="44"/>
  <c r="AP142" i="44"/>
  <c r="AR142" i="44"/>
  <c r="S130" i="44"/>
  <c r="AB130" i="44"/>
  <c r="P130" i="44"/>
  <c r="Q130" i="44"/>
  <c r="R130" i="44"/>
  <c r="O130" i="44"/>
  <c r="U169" i="44"/>
  <c r="AU31" i="6"/>
  <c r="AV31" i="6" s="1"/>
  <c r="AU40" i="43"/>
  <c r="AV40" i="43" s="1"/>
  <c r="T61" i="43"/>
  <c r="S112" i="6"/>
  <c r="O112" i="6"/>
  <c r="Q112" i="6"/>
  <c r="P112" i="6"/>
  <c r="R112" i="6"/>
  <c r="AB112" i="6"/>
  <c r="O128" i="6"/>
  <c r="S128" i="6"/>
  <c r="AB128" i="6"/>
  <c r="P128" i="6"/>
  <c r="R128" i="6"/>
  <c r="Q128" i="6"/>
  <c r="AU28" i="6"/>
  <c r="AV28" i="6" s="1"/>
  <c r="AU21" i="43"/>
  <c r="AU161" i="44"/>
  <c r="AR140" i="43"/>
  <c r="AS140" i="43"/>
  <c r="AT140" i="43"/>
  <c r="AQ140" i="43"/>
  <c r="AP140" i="43"/>
  <c r="AU32" i="6"/>
  <c r="AV32" i="6" s="1"/>
  <c r="AU37" i="6"/>
  <c r="AV37" i="6" s="1"/>
  <c r="AU161" i="43"/>
  <c r="R106" i="6"/>
  <c r="P106" i="6"/>
  <c r="AB106" i="6"/>
  <c r="O106" i="6"/>
  <c r="S106" i="6"/>
  <c r="Q106" i="6"/>
  <c r="T74" i="6"/>
  <c r="P37" i="43"/>
  <c r="O37" i="43"/>
  <c r="R37" i="43"/>
  <c r="Q37" i="43"/>
  <c r="AB37" i="43"/>
  <c r="S37" i="43"/>
  <c r="AU141" i="44"/>
  <c r="AZ141" i="44" s="1"/>
  <c r="BC141" i="44" s="1"/>
  <c r="S37" i="44"/>
  <c r="O37" i="44"/>
  <c r="P37" i="44"/>
  <c r="AB37" i="44"/>
  <c r="R37" i="44"/>
  <c r="Q37" i="44"/>
  <c r="P31" i="44"/>
  <c r="AB31" i="44"/>
  <c r="R31" i="44"/>
  <c r="O31" i="44"/>
  <c r="Q31" i="44"/>
  <c r="S31" i="44"/>
  <c r="AU49" i="44"/>
  <c r="T178" i="44"/>
  <c r="P124" i="6"/>
  <c r="S124" i="6"/>
  <c r="R124" i="6"/>
  <c r="AB124" i="6"/>
  <c r="Q124" i="6"/>
  <c r="O124" i="6"/>
  <c r="P81" i="45"/>
  <c r="Q81" i="45"/>
  <c r="O81" i="45"/>
  <c r="S81" i="45"/>
  <c r="R81" i="45"/>
  <c r="T161" i="43"/>
  <c r="AU154" i="6"/>
  <c r="AB130" i="43"/>
  <c r="P130" i="43"/>
  <c r="Q130" i="43"/>
  <c r="O130" i="43"/>
  <c r="R130" i="43"/>
  <c r="S130" i="43"/>
  <c r="T178" i="45"/>
  <c r="T24" i="6"/>
  <c r="T16" i="43"/>
  <c r="AU152" i="45"/>
  <c r="AV152" i="45" s="1"/>
  <c r="AU36" i="44"/>
  <c r="AV36" i="44" s="1"/>
  <c r="AU154" i="45"/>
  <c r="AU161" i="6"/>
  <c r="AU19" i="43"/>
  <c r="AV19" i="43" s="1"/>
  <c r="S133" i="43"/>
  <c r="P133" i="43"/>
  <c r="R133" i="43"/>
  <c r="Q133" i="43"/>
  <c r="AB133" i="43"/>
  <c r="O133" i="43"/>
  <c r="AU39" i="44"/>
  <c r="AV39" i="44" s="1"/>
  <c r="T16" i="6"/>
  <c r="AU153" i="45"/>
  <c r="AV153" i="45" s="1"/>
  <c r="AU23" i="6"/>
  <c r="AV23" i="6" s="1"/>
  <c r="U156" i="43"/>
  <c r="Y156" i="43"/>
  <c r="Z156" i="43" s="1"/>
  <c r="AB156" i="43" s="1"/>
  <c r="AU33" i="43"/>
  <c r="AV33" i="43" s="1"/>
  <c r="AU33" i="45"/>
  <c r="AV33" i="45" s="1"/>
  <c r="AU18" i="6"/>
  <c r="AV18" i="6" s="1"/>
  <c r="T22" i="43"/>
  <c r="S70" i="45"/>
  <c r="P70" i="45"/>
  <c r="AB70" i="45"/>
  <c r="O70" i="45"/>
  <c r="R70" i="45"/>
  <c r="Q70" i="45"/>
  <c r="AU24" i="45"/>
  <c r="AV24" i="45" s="1"/>
  <c r="AU42" i="43"/>
  <c r="AV42" i="43" s="1"/>
  <c r="AB107" i="45"/>
  <c r="U150" i="45"/>
  <c r="Y150" i="45"/>
  <c r="Z150" i="45" s="1"/>
  <c r="AB150" i="45" s="1"/>
  <c r="AU22" i="43"/>
  <c r="AV22" i="43" s="1"/>
  <c r="AU41" i="43"/>
  <c r="AV41" i="43" s="1"/>
  <c r="T104" i="6"/>
  <c r="AU156" i="6"/>
  <c r="AV156" i="6" s="1"/>
  <c r="AB94" i="45"/>
  <c r="P94" i="45"/>
  <c r="S94" i="45"/>
  <c r="Q94" i="45"/>
  <c r="O94" i="45"/>
  <c r="R94" i="45"/>
  <c r="AU154" i="43"/>
  <c r="T150" i="43"/>
  <c r="AU28" i="44"/>
  <c r="AV28" i="44" s="1"/>
  <c r="AU42" i="44"/>
  <c r="AV42" i="44" s="1"/>
  <c r="AU18" i="44"/>
  <c r="AV18" i="44" s="1"/>
  <c r="AU34" i="6"/>
  <c r="AV34" i="6" s="1"/>
  <c r="AU149" i="43"/>
  <c r="AB87" i="43"/>
  <c r="P87" i="43"/>
  <c r="S87" i="43"/>
  <c r="Q87" i="43"/>
  <c r="R87" i="43"/>
  <c r="O87" i="43"/>
  <c r="O43" i="45"/>
  <c r="R43" i="45"/>
  <c r="AB43" i="45"/>
  <c r="P43" i="45"/>
  <c r="Q43" i="45"/>
  <c r="S43" i="45"/>
  <c r="AU19" i="45"/>
  <c r="AV19" i="45" s="1"/>
  <c r="AU26" i="45"/>
  <c r="AV26" i="45" s="1"/>
  <c r="AB32" i="44"/>
  <c r="Q32" i="44"/>
  <c r="P32" i="44"/>
  <c r="S32" i="44"/>
  <c r="O32" i="44"/>
  <c r="R32" i="44"/>
  <c r="AU17" i="6"/>
  <c r="P38" i="45"/>
  <c r="AB38" i="45"/>
  <c r="S38" i="45"/>
  <c r="R38" i="45"/>
  <c r="O38" i="45"/>
  <c r="Q38" i="45"/>
  <c r="AU20" i="44"/>
  <c r="AV20" i="44" s="1"/>
  <c r="AU35" i="6"/>
  <c r="AV35" i="6" s="1"/>
  <c r="T31" i="43"/>
  <c r="AU43" i="43"/>
  <c r="AV43" i="43" s="1"/>
  <c r="AV149" i="44"/>
  <c r="C3" i="6"/>
  <c r="U140" i="6"/>
  <c r="AU142" i="43"/>
  <c r="AZ142" i="43" s="1"/>
  <c r="BC142" i="43" s="1"/>
  <c r="Y105" i="6"/>
  <c r="Z105" i="6" s="1"/>
  <c r="AB105" i="6" s="1"/>
  <c r="AU155" i="45"/>
  <c r="AV155" i="45" s="1"/>
  <c r="AU152" i="44"/>
  <c r="AV152" i="44" s="1"/>
  <c r="AU153" i="43"/>
  <c r="AV153" i="43" s="1"/>
  <c r="T21" i="43"/>
  <c r="AU157" i="6"/>
  <c r="AV157" i="6" s="1"/>
  <c r="C5" i="43"/>
  <c r="U65" i="6" l="1"/>
  <c r="Y65" i="6"/>
  <c r="Z65" i="6" s="1"/>
  <c r="AB65" i="6" s="1"/>
  <c r="Q88" i="45"/>
  <c r="R88" i="45"/>
  <c r="S88" i="45"/>
  <c r="O88" i="45"/>
  <c r="P88" i="45"/>
  <c r="AU16" i="44"/>
  <c r="AV16" i="44" s="1"/>
  <c r="AB153" i="43"/>
  <c r="AU39" i="6"/>
  <c r="AV39" i="6" s="1"/>
  <c r="AU27" i="43"/>
  <c r="AV27" i="43" s="1"/>
  <c r="T62" i="6"/>
  <c r="T177" i="43"/>
  <c r="Y177" i="43" s="1"/>
  <c r="AB177" i="43" s="1"/>
  <c r="T150" i="6"/>
  <c r="AU19" i="44"/>
  <c r="AV19" i="44" s="1"/>
  <c r="AU29" i="45"/>
  <c r="AV29" i="45" s="1"/>
  <c r="AU35" i="45"/>
  <c r="AV35" i="45" s="1"/>
  <c r="R26" i="43"/>
  <c r="AB26" i="43"/>
  <c r="Q109" i="44"/>
  <c r="P113" i="43"/>
  <c r="S113" i="43"/>
  <c r="C3" i="44"/>
  <c r="B3" i="44"/>
  <c r="AB151" i="44"/>
  <c r="Q75" i="6"/>
  <c r="S75" i="6"/>
  <c r="P75" i="6"/>
  <c r="AB129" i="44"/>
  <c r="S129" i="44"/>
  <c r="P129" i="44"/>
  <c r="R129" i="44"/>
  <c r="O129" i="44"/>
  <c r="Q129" i="44"/>
  <c r="AU17" i="44"/>
  <c r="AV17" i="44" s="1"/>
  <c r="T57" i="43"/>
  <c r="U57" i="43" s="1"/>
  <c r="AU140" i="6"/>
  <c r="AZ140" i="6" s="1"/>
  <c r="BC140" i="6" s="1"/>
  <c r="AE3" i="6" s="1"/>
  <c r="T74" i="43"/>
  <c r="AU26" i="6"/>
  <c r="AV26" i="6" s="1"/>
  <c r="AU150" i="44"/>
  <c r="AV150" i="44" s="1"/>
  <c r="T31" i="6"/>
  <c r="Y31" i="6" s="1"/>
  <c r="Z31" i="6" s="1"/>
  <c r="AB31" i="6" s="1"/>
  <c r="T122" i="43"/>
  <c r="AU27" i="45"/>
  <c r="AV27" i="45" s="1"/>
  <c r="AU20" i="43"/>
  <c r="AU16" i="43"/>
  <c r="T161" i="6"/>
  <c r="Y161" i="6" s="1"/>
  <c r="Z161" i="6" s="1"/>
  <c r="AB161" i="6" s="1"/>
  <c r="AU154" i="44"/>
  <c r="Q26" i="43"/>
  <c r="T20" i="43"/>
  <c r="U20" i="43" s="1"/>
  <c r="O109" i="44"/>
  <c r="S109" i="44"/>
  <c r="O177" i="44"/>
  <c r="S177" i="44"/>
  <c r="U177" i="44" s="1"/>
  <c r="P177" i="44"/>
  <c r="O77" i="45"/>
  <c r="Q77" i="45"/>
  <c r="R77" i="45"/>
  <c r="P77" i="45"/>
  <c r="S77" i="45"/>
  <c r="AU16" i="45"/>
  <c r="AV16" i="45" s="1"/>
  <c r="T169" i="6"/>
  <c r="T149" i="6"/>
  <c r="U149" i="6" s="1"/>
  <c r="AU151" i="44"/>
  <c r="AU30" i="45"/>
  <c r="AV30" i="45" s="1"/>
  <c r="T32" i="43"/>
  <c r="U32" i="43" s="1"/>
  <c r="AU151" i="45"/>
  <c r="AZ151" i="45" s="1"/>
  <c r="BA151" i="45" s="1"/>
  <c r="BC151" i="45" s="1"/>
  <c r="AU35" i="44"/>
  <c r="AV35" i="44" s="1"/>
  <c r="R109" i="44"/>
  <c r="Y149" i="45"/>
  <c r="Z149" i="45" s="1"/>
  <c r="AB149" i="45" s="1"/>
  <c r="S157" i="45"/>
  <c r="Q157" i="45"/>
  <c r="P157" i="45"/>
  <c r="O157" i="45"/>
  <c r="R157" i="45"/>
  <c r="R131" i="45"/>
  <c r="O131" i="45"/>
  <c r="S131" i="45"/>
  <c r="Q131" i="45"/>
  <c r="P131" i="45"/>
  <c r="P18" i="43"/>
  <c r="S18" i="43"/>
  <c r="Q18" i="43"/>
  <c r="AS142" i="6"/>
  <c r="AQ142" i="6"/>
  <c r="AT142" i="6"/>
  <c r="AR142" i="6"/>
  <c r="AP142" i="6"/>
  <c r="Y20" i="43"/>
  <c r="Z20" i="43" s="1"/>
  <c r="AB20" i="43" s="1"/>
  <c r="U74" i="43"/>
  <c r="Y74" i="43"/>
  <c r="Z74" i="43" s="1"/>
  <c r="AB74" i="43" s="1"/>
  <c r="U122" i="43"/>
  <c r="Y122" i="43"/>
  <c r="Z122" i="43" s="1"/>
  <c r="AB122" i="43" s="1"/>
  <c r="AV150" i="6"/>
  <c r="AZ150" i="6"/>
  <c r="BA150" i="6" s="1"/>
  <c r="BC150" i="6" s="1"/>
  <c r="AZ151" i="43"/>
  <c r="BA151" i="43" s="1"/>
  <c r="BC151" i="43" s="1"/>
  <c r="AV151" i="43"/>
  <c r="AP142" i="45"/>
  <c r="AS142" i="45"/>
  <c r="AT142" i="45"/>
  <c r="AR142" i="45"/>
  <c r="AQ142" i="45"/>
  <c r="U73" i="6"/>
  <c r="Y73" i="6"/>
  <c r="Z73" i="6" s="1"/>
  <c r="AB73" i="6" s="1"/>
  <c r="AB96" i="6"/>
  <c r="Q96" i="6"/>
  <c r="O96" i="6"/>
  <c r="R96" i="6"/>
  <c r="S96" i="6"/>
  <c r="P96" i="6"/>
  <c r="O92" i="44"/>
  <c r="AB92" i="44"/>
  <c r="R92" i="44"/>
  <c r="Q92" i="44"/>
  <c r="S92" i="44"/>
  <c r="P92" i="44"/>
  <c r="U120" i="43"/>
  <c r="Y120" i="43"/>
  <c r="Z120" i="43" s="1"/>
  <c r="AB120" i="43" s="1"/>
  <c r="S39" i="6"/>
  <c r="AB39" i="6"/>
  <c r="O39" i="6"/>
  <c r="R39" i="6"/>
  <c r="P39" i="6"/>
  <c r="Q39" i="6"/>
  <c r="AT157" i="43"/>
  <c r="AR157" i="43"/>
  <c r="AQ157" i="43"/>
  <c r="AP157" i="43"/>
  <c r="AS157" i="43"/>
  <c r="AU25" i="43"/>
  <c r="AV25" i="43" s="1"/>
  <c r="U161" i="44"/>
  <c r="Y161" i="44"/>
  <c r="Z161" i="44" s="1"/>
  <c r="AB161" i="44" s="1"/>
  <c r="AZ149" i="45"/>
  <c r="BA149" i="45" s="1"/>
  <c r="BC149" i="45" s="1"/>
  <c r="AZ150" i="44"/>
  <c r="BA150" i="44" s="1"/>
  <c r="BC150" i="44" s="1"/>
  <c r="AU34" i="44"/>
  <c r="AV34" i="44" s="1"/>
  <c r="T63" i="43"/>
  <c r="AU38" i="43"/>
  <c r="AV38" i="43" s="1"/>
  <c r="C6" i="44"/>
  <c r="B6" i="44"/>
  <c r="T120" i="6"/>
  <c r="AU21" i="44"/>
  <c r="AV21" i="44" s="1"/>
  <c r="O86" i="43"/>
  <c r="R86" i="43"/>
  <c r="P86" i="43"/>
  <c r="Q86" i="43"/>
  <c r="S86" i="43"/>
  <c r="AB109" i="43"/>
  <c r="O109" i="43"/>
  <c r="R109" i="43"/>
  <c r="P109" i="43"/>
  <c r="S109" i="43"/>
  <c r="Q109" i="43"/>
  <c r="AU34" i="43"/>
  <c r="AV34" i="43" s="1"/>
  <c r="AU43" i="45"/>
  <c r="AV43" i="45" s="1"/>
  <c r="AU151" i="6"/>
  <c r="AU27" i="44"/>
  <c r="AV27" i="44" s="1"/>
  <c r="O33" i="44"/>
  <c r="R33" i="44"/>
  <c r="Q33" i="44"/>
  <c r="P33" i="44"/>
  <c r="S33" i="44"/>
  <c r="T24" i="43"/>
  <c r="S67" i="45"/>
  <c r="P67" i="45"/>
  <c r="Q67" i="45"/>
  <c r="R67" i="45"/>
  <c r="O67" i="45"/>
  <c r="AB67" i="45"/>
  <c r="R83" i="44"/>
  <c r="O83" i="44"/>
  <c r="AB83" i="44"/>
  <c r="S83" i="44"/>
  <c r="P83" i="44"/>
  <c r="Q83" i="44"/>
  <c r="AU39" i="43"/>
  <c r="AV39" i="43" s="1"/>
  <c r="T62" i="43"/>
  <c r="AU30" i="44"/>
  <c r="AV30" i="44" s="1"/>
  <c r="AU150" i="45"/>
  <c r="T17" i="43"/>
  <c r="Y17" i="6"/>
  <c r="Z17" i="6" s="1"/>
  <c r="AB17" i="6" s="1"/>
  <c r="U17" i="6"/>
  <c r="Y68" i="43"/>
  <c r="Z68" i="43" s="1"/>
  <c r="AB68" i="43" s="1"/>
  <c r="U68" i="43"/>
  <c r="AU40" i="45"/>
  <c r="AV40" i="45" s="1"/>
  <c r="T102" i="43"/>
  <c r="AU40" i="6"/>
  <c r="AV40" i="6" s="1"/>
  <c r="T63" i="6"/>
  <c r="AU23" i="44"/>
  <c r="AV23" i="44" s="1"/>
  <c r="AU38" i="44"/>
  <c r="AV38" i="44" s="1"/>
  <c r="AU31" i="45"/>
  <c r="AV31" i="45" s="1"/>
  <c r="T101" i="43"/>
  <c r="AU16" i="6"/>
  <c r="T177" i="6"/>
  <c r="Y177" i="6" s="1"/>
  <c r="AB177" i="6" s="1"/>
  <c r="O63" i="44"/>
  <c r="Q63" i="44"/>
  <c r="AB63" i="44"/>
  <c r="R63" i="44"/>
  <c r="S63" i="44"/>
  <c r="P63" i="44"/>
  <c r="AU25" i="44"/>
  <c r="AV25" i="44" s="1"/>
  <c r="P41" i="44"/>
  <c r="S41" i="44"/>
  <c r="AB41" i="44"/>
  <c r="R41" i="44"/>
  <c r="Q41" i="44"/>
  <c r="O41" i="44"/>
  <c r="AU29" i="43"/>
  <c r="AV29" i="43" s="1"/>
  <c r="AU149" i="6"/>
  <c r="S127" i="43"/>
  <c r="O127" i="43"/>
  <c r="P127" i="43"/>
  <c r="AB127" i="43"/>
  <c r="Q127" i="43"/>
  <c r="R127" i="43"/>
  <c r="Q95" i="44"/>
  <c r="AB95" i="44"/>
  <c r="R95" i="44"/>
  <c r="S95" i="44"/>
  <c r="O95" i="44"/>
  <c r="P95" i="44"/>
  <c r="AB69" i="6"/>
  <c r="P69" i="6"/>
  <c r="O69" i="6"/>
  <c r="Q69" i="6"/>
  <c r="S69" i="6"/>
  <c r="R69" i="6"/>
  <c r="AB38" i="44"/>
  <c r="P38" i="44"/>
  <c r="S38" i="44"/>
  <c r="Q38" i="44"/>
  <c r="O38" i="44"/>
  <c r="R38" i="44"/>
  <c r="T155" i="43"/>
  <c r="AU27" i="6"/>
  <c r="AV27" i="6" s="1"/>
  <c r="AB21" i="45"/>
  <c r="S21" i="45"/>
  <c r="R21" i="45"/>
  <c r="Q21" i="45"/>
  <c r="P21" i="45"/>
  <c r="O21" i="45"/>
  <c r="AU140" i="44"/>
  <c r="AZ140" i="44" s="1"/>
  <c r="BC140" i="44" s="1"/>
  <c r="AE3" i="44" s="1"/>
  <c r="AU23" i="43"/>
  <c r="AV23" i="43" s="1"/>
  <c r="T155" i="6"/>
  <c r="Y149" i="6"/>
  <c r="Z149" i="6" s="1"/>
  <c r="AB149" i="6" s="1"/>
  <c r="U161" i="6"/>
  <c r="AV151" i="45"/>
  <c r="U73" i="43"/>
  <c r="AU35" i="43"/>
  <c r="AV35" i="43" s="1"/>
  <c r="O83" i="45"/>
  <c r="R83" i="45"/>
  <c r="S83" i="45"/>
  <c r="P83" i="45"/>
  <c r="Q83" i="45"/>
  <c r="Q109" i="45"/>
  <c r="R109" i="45"/>
  <c r="S109" i="45"/>
  <c r="AB109" i="45"/>
  <c r="O109" i="45"/>
  <c r="P109" i="45"/>
  <c r="T151" i="43"/>
  <c r="R66" i="43"/>
  <c r="Q66" i="43"/>
  <c r="S66" i="43"/>
  <c r="AB66" i="43"/>
  <c r="O66" i="43"/>
  <c r="P66" i="43"/>
  <c r="AU36" i="45"/>
  <c r="AV36" i="45" s="1"/>
  <c r="Q81" i="44"/>
  <c r="R81" i="44"/>
  <c r="P81" i="44"/>
  <c r="O81" i="44"/>
  <c r="S81" i="44"/>
  <c r="AU39" i="45"/>
  <c r="AV39" i="45" s="1"/>
  <c r="AU24" i="44"/>
  <c r="AV24" i="44" s="1"/>
  <c r="R68" i="45"/>
  <c r="O68" i="45"/>
  <c r="S68" i="45"/>
  <c r="Q68" i="45"/>
  <c r="P68" i="45"/>
  <c r="AB68" i="45"/>
  <c r="AQ140" i="45"/>
  <c r="AP140" i="45"/>
  <c r="AR140" i="45"/>
  <c r="AT140" i="45"/>
  <c r="AS140" i="45"/>
  <c r="P110" i="43"/>
  <c r="S110" i="43"/>
  <c r="Q110" i="43"/>
  <c r="R110" i="43"/>
  <c r="O110" i="43"/>
  <c r="AU20" i="6"/>
  <c r="S71" i="45"/>
  <c r="Q71" i="45"/>
  <c r="AB71" i="45"/>
  <c r="P71" i="45"/>
  <c r="R71" i="45"/>
  <c r="O71" i="45"/>
  <c r="T90" i="43"/>
  <c r="U151" i="45"/>
  <c r="Y151" i="45"/>
  <c r="Z151" i="45" s="1"/>
  <c r="AB151" i="45" s="1"/>
  <c r="AZ49" i="6"/>
  <c r="BA49" i="6" s="1"/>
  <c r="BC49" i="6" s="1"/>
  <c r="AV49" i="6"/>
  <c r="AU155" i="44"/>
  <c r="U156" i="44"/>
  <c r="Y156" i="44"/>
  <c r="Z156" i="44" s="1"/>
  <c r="AB156" i="44" s="1"/>
  <c r="P27" i="45"/>
  <c r="S27" i="45"/>
  <c r="R27" i="45"/>
  <c r="O27" i="45"/>
  <c r="AB27" i="45"/>
  <c r="Q27" i="45"/>
  <c r="AZ151" i="44"/>
  <c r="BA151" i="44" s="1"/>
  <c r="BC151" i="44" s="1"/>
  <c r="AV151" i="44"/>
  <c r="AU25" i="6"/>
  <c r="AV25" i="6" s="1"/>
  <c r="AU29" i="44"/>
  <c r="AV29" i="44" s="1"/>
  <c r="Q123" i="43"/>
  <c r="O123" i="43"/>
  <c r="S123" i="43"/>
  <c r="R123" i="43"/>
  <c r="P123" i="43"/>
  <c r="T21" i="6"/>
  <c r="R99" i="45"/>
  <c r="Q99" i="45"/>
  <c r="O99" i="45"/>
  <c r="S99" i="45"/>
  <c r="P99" i="45"/>
  <c r="T149" i="43"/>
  <c r="AU18" i="43"/>
  <c r="AV18" i="43" s="1"/>
  <c r="T105" i="43"/>
  <c r="O34" i="6"/>
  <c r="P34" i="6"/>
  <c r="S34" i="6"/>
  <c r="Q34" i="6"/>
  <c r="R34" i="6"/>
  <c r="T178" i="6"/>
  <c r="Y178" i="6" s="1"/>
  <c r="S112" i="44"/>
  <c r="Q112" i="44"/>
  <c r="P112" i="44"/>
  <c r="O112" i="44"/>
  <c r="R112" i="44"/>
  <c r="T154" i="43"/>
  <c r="AU36" i="43"/>
  <c r="AV36" i="43" s="1"/>
  <c r="AU152" i="43"/>
  <c r="AV152" i="43" s="1"/>
  <c r="P77" i="6"/>
  <c r="R77" i="6"/>
  <c r="S77" i="6"/>
  <c r="Q77" i="6"/>
  <c r="O77" i="6"/>
  <c r="Q76" i="6"/>
  <c r="P76" i="6"/>
  <c r="R76" i="6"/>
  <c r="AB76" i="6"/>
  <c r="S76" i="6"/>
  <c r="O76" i="6"/>
  <c r="AU21" i="45"/>
  <c r="AV21" i="45" s="1"/>
  <c r="AV154" i="44"/>
  <c r="AZ154" i="44"/>
  <c r="BA154" i="44" s="1"/>
  <c r="BC154" i="44" s="1"/>
  <c r="Q110" i="6"/>
  <c r="P110" i="6"/>
  <c r="O110" i="6"/>
  <c r="S110" i="6"/>
  <c r="R110" i="6"/>
  <c r="AU24" i="43"/>
  <c r="AV24" i="43" s="1"/>
  <c r="AU37" i="45"/>
  <c r="AV37" i="45" s="1"/>
  <c r="AU49" i="45"/>
  <c r="Y61" i="6"/>
  <c r="Z61" i="6" s="1"/>
  <c r="AB61" i="6" s="1"/>
  <c r="U61" i="6"/>
  <c r="P62" i="45"/>
  <c r="O62" i="45"/>
  <c r="R62" i="45"/>
  <c r="Q62" i="45"/>
  <c r="S62" i="45"/>
  <c r="AB29" i="43"/>
  <c r="P29" i="43"/>
  <c r="S29" i="43"/>
  <c r="R29" i="43"/>
  <c r="O29" i="43"/>
  <c r="Q29" i="43"/>
  <c r="Q84" i="43"/>
  <c r="P84" i="43"/>
  <c r="S84" i="43"/>
  <c r="O84" i="43"/>
  <c r="R84" i="43"/>
  <c r="R103" i="44"/>
  <c r="P103" i="44"/>
  <c r="Q103" i="44"/>
  <c r="O103" i="44"/>
  <c r="S103" i="44"/>
  <c r="P87" i="45"/>
  <c r="S87" i="45"/>
  <c r="R87" i="45"/>
  <c r="Q87" i="45"/>
  <c r="O87" i="45"/>
  <c r="S169" i="45"/>
  <c r="O169" i="45"/>
  <c r="Q169" i="45"/>
  <c r="P169" i="45"/>
  <c r="R169" i="45"/>
  <c r="U169" i="45"/>
  <c r="Q102" i="45"/>
  <c r="S102" i="45"/>
  <c r="O102" i="45"/>
  <c r="R102" i="45"/>
  <c r="P102" i="45"/>
  <c r="U177" i="43"/>
  <c r="Y57" i="43"/>
  <c r="Z57" i="43" s="1"/>
  <c r="AB57" i="43" s="1"/>
  <c r="AB130" i="6"/>
  <c r="P130" i="6"/>
  <c r="S130" i="6"/>
  <c r="Q130" i="6"/>
  <c r="R130" i="6"/>
  <c r="O130" i="6"/>
  <c r="AU36" i="6"/>
  <c r="AV36" i="6" s="1"/>
  <c r="R59" i="43"/>
  <c r="S59" i="43"/>
  <c r="P59" i="43"/>
  <c r="AB59" i="43"/>
  <c r="Q59" i="43"/>
  <c r="O59" i="43"/>
  <c r="T151" i="6"/>
  <c r="AU30" i="6"/>
  <c r="AV30" i="6" s="1"/>
  <c r="AB169" i="45"/>
  <c r="AU161" i="45"/>
  <c r="T32" i="6"/>
  <c r="U32" i="6" s="1"/>
  <c r="AU26" i="43"/>
  <c r="AV26" i="43" s="1"/>
  <c r="AB81" i="44"/>
  <c r="S153" i="43"/>
  <c r="Q153" i="43"/>
  <c r="O153" i="43"/>
  <c r="P153" i="43"/>
  <c r="R153" i="43"/>
  <c r="P32" i="45"/>
  <c r="O32" i="45"/>
  <c r="S32" i="45"/>
  <c r="Q32" i="45"/>
  <c r="R32" i="45"/>
  <c r="AU40" i="44"/>
  <c r="AV40" i="44" s="1"/>
  <c r="P101" i="45"/>
  <c r="R101" i="45"/>
  <c r="S101" i="45"/>
  <c r="Q101" i="45"/>
  <c r="O101" i="45"/>
  <c r="AB101" i="45"/>
  <c r="B2" i="45" s="1"/>
  <c r="AU31" i="43"/>
  <c r="AV31" i="43" s="1"/>
  <c r="AB86" i="43"/>
  <c r="AU152" i="6"/>
  <c r="AV152" i="6" s="1"/>
  <c r="R80" i="44"/>
  <c r="P80" i="44"/>
  <c r="AB80" i="44"/>
  <c r="Q80" i="44"/>
  <c r="S80" i="44"/>
  <c r="O80" i="44"/>
  <c r="AZ49" i="43"/>
  <c r="BA49" i="43" s="1"/>
  <c r="BC49" i="43" s="1"/>
  <c r="AV49" i="43"/>
  <c r="U20" i="6"/>
  <c r="Y20" i="6"/>
  <c r="Z20" i="6" s="1"/>
  <c r="AB20" i="6" s="1"/>
  <c r="S57" i="44"/>
  <c r="Q57" i="44"/>
  <c r="P57" i="44"/>
  <c r="O57" i="44"/>
  <c r="R57" i="44"/>
  <c r="AU32" i="44"/>
  <c r="AV32" i="44" s="1"/>
  <c r="T101" i="6"/>
  <c r="P152" i="44"/>
  <c r="O152" i="44"/>
  <c r="Q152" i="44"/>
  <c r="S152" i="44"/>
  <c r="R152" i="44"/>
  <c r="AU17" i="43"/>
  <c r="AU20" i="45"/>
  <c r="AV20" i="45" s="1"/>
  <c r="S123" i="6"/>
  <c r="O123" i="6"/>
  <c r="Q123" i="6"/>
  <c r="P123" i="6"/>
  <c r="R123" i="6"/>
  <c r="T90" i="6"/>
  <c r="Q106" i="45"/>
  <c r="R106" i="45"/>
  <c r="P106" i="45"/>
  <c r="O106" i="45"/>
  <c r="S106" i="45"/>
  <c r="T68" i="6"/>
  <c r="T22" i="6"/>
  <c r="AU17" i="45"/>
  <c r="AV17" i="45" s="1"/>
  <c r="Y155" i="45"/>
  <c r="Z155" i="45" s="1"/>
  <c r="AB155" i="45" s="1"/>
  <c r="U155" i="45"/>
  <c r="S30" i="45"/>
  <c r="R30" i="45"/>
  <c r="P30" i="45"/>
  <c r="O30" i="45"/>
  <c r="Q30" i="45"/>
  <c r="AB84" i="43"/>
  <c r="S83" i="6"/>
  <c r="Q83" i="6"/>
  <c r="R83" i="6"/>
  <c r="O83" i="6"/>
  <c r="P83" i="6"/>
  <c r="AB83" i="6"/>
  <c r="R82" i="6"/>
  <c r="Q82" i="6"/>
  <c r="O82" i="6"/>
  <c r="P82" i="6"/>
  <c r="S82" i="6"/>
  <c r="R42" i="6"/>
  <c r="S42" i="6"/>
  <c r="P42" i="6"/>
  <c r="AB42" i="6"/>
  <c r="O42" i="6"/>
  <c r="Q42" i="6"/>
  <c r="T102" i="6"/>
  <c r="AB16" i="44"/>
  <c r="C2" i="44" s="1"/>
  <c r="R16" i="44"/>
  <c r="S16" i="44"/>
  <c r="P16" i="44"/>
  <c r="O16" i="44"/>
  <c r="Q16" i="44"/>
  <c r="AV155" i="6"/>
  <c r="AZ155" i="6"/>
  <c r="BA155" i="6" s="1"/>
  <c r="BC155" i="6" s="1"/>
  <c r="Q71" i="44"/>
  <c r="S71" i="44"/>
  <c r="P71" i="44"/>
  <c r="O71" i="44"/>
  <c r="R71" i="44"/>
  <c r="AB71" i="44"/>
  <c r="O149" i="45"/>
  <c r="P149" i="45"/>
  <c r="S149" i="45"/>
  <c r="Q149" i="45"/>
  <c r="R149" i="45"/>
  <c r="R69" i="44"/>
  <c r="P69" i="44"/>
  <c r="AB69" i="44"/>
  <c r="Q69" i="44"/>
  <c r="O69" i="44"/>
  <c r="S69" i="44"/>
  <c r="AB110" i="43"/>
  <c r="T140" i="43"/>
  <c r="Y140" i="43" s="1"/>
  <c r="AB140" i="43" s="1"/>
  <c r="AU34" i="45"/>
  <c r="AV34" i="45" s="1"/>
  <c r="U169" i="43"/>
  <c r="U140" i="44"/>
  <c r="U155" i="44"/>
  <c r="Y155" i="44"/>
  <c r="T104" i="43"/>
  <c r="AB152" i="44"/>
  <c r="BC157" i="43"/>
  <c r="Y122" i="6"/>
  <c r="Z122" i="6" s="1"/>
  <c r="AB122" i="6" s="1"/>
  <c r="U122" i="6"/>
  <c r="Y178" i="43"/>
  <c r="U178" i="43"/>
  <c r="AU142" i="44"/>
  <c r="AZ142" i="44" s="1"/>
  <c r="BC142" i="44" s="1"/>
  <c r="Y154" i="6"/>
  <c r="Z154" i="6" s="1"/>
  <c r="AB154" i="6" s="1"/>
  <c r="U154" i="6"/>
  <c r="U65" i="43"/>
  <c r="Y65" i="43"/>
  <c r="Z65" i="43" s="1"/>
  <c r="AB65" i="43" s="1"/>
  <c r="AZ150" i="43"/>
  <c r="BA150" i="43" s="1"/>
  <c r="BC150" i="43" s="1"/>
  <c r="AV150" i="43"/>
  <c r="AZ155" i="43"/>
  <c r="BA155" i="43" s="1"/>
  <c r="BC155" i="43" s="1"/>
  <c r="AV155" i="43"/>
  <c r="B6" i="45"/>
  <c r="C6" i="45"/>
  <c r="AV17" i="6"/>
  <c r="AZ17" i="6"/>
  <c r="BA17" i="6" s="1"/>
  <c r="Y22" i="43"/>
  <c r="Z22" i="43" s="1"/>
  <c r="AB22" i="43" s="1"/>
  <c r="U22" i="43"/>
  <c r="Y57" i="6"/>
  <c r="Z57" i="6" s="1"/>
  <c r="AB57" i="6" s="1"/>
  <c r="U57" i="6"/>
  <c r="U178" i="45"/>
  <c r="Y178" i="45"/>
  <c r="Y161" i="43"/>
  <c r="Z161" i="43" s="1"/>
  <c r="AB161" i="43" s="1"/>
  <c r="U161" i="43"/>
  <c r="Y178" i="44"/>
  <c r="U178" i="44"/>
  <c r="Y169" i="6"/>
  <c r="AB169" i="6" s="1"/>
  <c r="U169" i="6"/>
  <c r="AU140" i="43"/>
  <c r="AZ140" i="43" s="1"/>
  <c r="BC140" i="43" s="1"/>
  <c r="AE3" i="43" s="1"/>
  <c r="AZ149" i="43"/>
  <c r="AV149" i="43"/>
  <c r="U150" i="43"/>
  <c r="Y150" i="43"/>
  <c r="Z150" i="43" s="1"/>
  <c r="AB150" i="43" s="1"/>
  <c r="U16" i="6"/>
  <c r="Y16" i="6"/>
  <c r="Z16" i="6" s="1"/>
  <c r="AB16" i="6" s="1"/>
  <c r="AV49" i="44"/>
  <c r="AZ49" i="44"/>
  <c r="BA49" i="44" s="1"/>
  <c r="BC49" i="44" s="1"/>
  <c r="AD2" i="44" s="1"/>
  <c r="AV161" i="43"/>
  <c r="AZ161" i="43"/>
  <c r="BA161" i="43" s="1"/>
  <c r="BC161" i="43" s="1"/>
  <c r="AV161" i="44"/>
  <c r="AZ161" i="44"/>
  <c r="BA161" i="44" s="1"/>
  <c r="BC161" i="44" s="1"/>
  <c r="U61" i="43"/>
  <c r="Y61" i="43"/>
  <c r="Z61" i="43" s="1"/>
  <c r="AB61" i="43" s="1"/>
  <c r="AZ20" i="43"/>
  <c r="BA20" i="43" s="1"/>
  <c r="BC20" i="43" s="1"/>
  <c r="AV20" i="43"/>
  <c r="AV154" i="43"/>
  <c r="AZ154" i="43"/>
  <c r="BA154" i="43" s="1"/>
  <c r="BC154" i="43" s="1"/>
  <c r="U104" i="6"/>
  <c r="Y104" i="6"/>
  <c r="Z104" i="6" s="1"/>
  <c r="AB104" i="6" s="1"/>
  <c r="AZ161" i="6"/>
  <c r="BA161" i="6" s="1"/>
  <c r="BC161" i="6" s="1"/>
  <c r="AV161" i="6"/>
  <c r="Y16" i="43"/>
  <c r="Z16" i="43" s="1"/>
  <c r="AB16" i="43" s="1"/>
  <c r="U16" i="43"/>
  <c r="U74" i="6"/>
  <c r="Y74" i="6"/>
  <c r="Z74" i="6" s="1"/>
  <c r="AB74" i="6" s="1"/>
  <c r="AV21" i="43"/>
  <c r="AZ21" i="43"/>
  <c r="BA21" i="43" s="1"/>
  <c r="BC21" i="43" s="1"/>
  <c r="U31" i="43"/>
  <c r="Y31" i="43"/>
  <c r="Z31" i="43" s="1"/>
  <c r="AB31" i="43" s="1"/>
  <c r="AZ154" i="45"/>
  <c r="BA154" i="45" s="1"/>
  <c r="BC154" i="45" s="1"/>
  <c r="AV154" i="45"/>
  <c r="U24" i="6"/>
  <c r="Y24" i="6"/>
  <c r="Z24" i="6" s="1"/>
  <c r="AB24" i="6" s="1"/>
  <c r="AV154" i="6"/>
  <c r="AZ154" i="6"/>
  <c r="BA154" i="6" s="1"/>
  <c r="BC154" i="6" s="1"/>
  <c r="AZ16" i="43"/>
  <c r="BA16" i="43" s="1"/>
  <c r="AV16" i="43"/>
  <c r="AE2" i="44"/>
  <c r="B6" i="6"/>
  <c r="C6" i="6"/>
  <c r="U21" i="43"/>
  <c r="Y21" i="43"/>
  <c r="Z21" i="43" s="1"/>
  <c r="AB21" i="43" s="1"/>
  <c r="B4" i="45" l="1"/>
  <c r="U31" i="6"/>
  <c r="C2" i="45"/>
  <c r="Y150" i="6"/>
  <c r="Z150" i="6" s="1"/>
  <c r="AB150" i="6" s="1"/>
  <c r="U150" i="6"/>
  <c r="C6" i="43"/>
  <c r="B6" i="43"/>
  <c r="Y62" i="6"/>
  <c r="Z62" i="6" s="1"/>
  <c r="AB62" i="6" s="1"/>
  <c r="U62" i="6"/>
  <c r="AZ149" i="6"/>
  <c r="BA149" i="6" s="1"/>
  <c r="BC149" i="6" s="1"/>
  <c r="AV149" i="6"/>
  <c r="AV16" i="6"/>
  <c r="AZ16" i="6"/>
  <c r="BA16" i="6" s="1"/>
  <c r="BC16" i="6" s="1"/>
  <c r="U62" i="43"/>
  <c r="Y62" i="43"/>
  <c r="Z62" i="43" s="1"/>
  <c r="AB62" i="43" s="1"/>
  <c r="U120" i="6"/>
  <c r="Y120" i="6"/>
  <c r="Z120" i="6" s="1"/>
  <c r="AB120" i="6" s="1"/>
  <c r="U63" i="43"/>
  <c r="Y63" i="43"/>
  <c r="Z63" i="43" s="1"/>
  <c r="AB63" i="43" s="1"/>
  <c r="B3" i="43"/>
  <c r="C3" i="43"/>
  <c r="U90" i="6"/>
  <c r="Y90" i="6"/>
  <c r="Z90" i="6" s="1"/>
  <c r="AB90" i="6" s="1"/>
  <c r="U151" i="6"/>
  <c r="Y151" i="6"/>
  <c r="Z151" i="6" s="1"/>
  <c r="AB151" i="6" s="1"/>
  <c r="C4" i="45"/>
  <c r="Y90" i="43"/>
  <c r="Z90" i="43" s="1"/>
  <c r="AB90" i="43" s="1"/>
  <c r="U90" i="43"/>
  <c r="AU140" i="45"/>
  <c r="AZ140" i="45" s="1"/>
  <c r="BC140" i="45" s="1"/>
  <c r="U155" i="6"/>
  <c r="Y155" i="6"/>
  <c r="Z155" i="6" s="1"/>
  <c r="AB155" i="6" s="1"/>
  <c r="U101" i="43"/>
  <c r="Y101" i="43"/>
  <c r="Z101" i="43" s="1"/>
  <c r="AB101" i="43" s="1"/>
  <c r="U63" i="6"/>
  <c r="Y63" i="6"/>
  <c r="Z63" i="6" s="1"/>
  <c r="AB63" i="6" s="1"/>
  <c r="U17" i="43"/>
  <c r="Y17" i="43"/>
  <c r="Z17" i="43" s="1"/>
  <c r="AB17" i="43" s="1"/>
  <c r="AZ151" i="6"/>
  <c r="BA151" i="6" s="1"/>
  <c r="BC151" i="6" s="1"/>
  <c r="AV151" i="6"/>
  <c r="AU157" i="43"/>
  <c r="AV157" i="43" s="1"/>
  <c r="AU142" i="45"/>
  <c r="AZ142" i="45" s="1"/>
  <c r="BC142" i="45" s="1"/>
  <c r="AU142" i="6"/>
  <c r="AZ142" i="6" s="1"/>
  <c r="BC142" i="6" s="1"/>
  <c r="AD3" i="6" s="1"/>
  <c r="Z155" i="44"/>
  <c r="AB155" i="44" s="1"/>
  <c r="B4" i="44" s="1"/>
  <c r="Y102" i="6"/>
  <c r="Z102" i="6" s="1"/>
  <c r="AB102" i="6" s="1"/>
  <c r="U102" i="6"/>
  <c r="Y68" i="6"/>
  <c r="Z68" i="6" s="1"/>
  <c r="AB68" i="6" s="1"/>
  <c r="U68" i="6"/>
  <c r="AZ17" i="43"/>
  <c r="BA17" i="43" s="1"/>
  <c r="BC17" i="43" s="1"/>
  <c r="AV17" i="43"/>
  <c r="U149" i="43"/>
  <c r="Y149" i="43"/>
  <c r="Z149" i="43" s="1"/>
  <c r="AB149" i="43" s="1"/>
  <c r="AV155" i="44"/>
  <c r="AZ155" i="44"/>
  <c r="BA155" i="44" s="1"/>
  <c r="BC155" i="44" s="1"/>
  <c r="AD4" i="44" s="1"/>
  <c r="AZ20" i="6"/>
  <c r="BA20" i="6" s="1"/>
  <c r="BC20" i="6" s="1"/>
  <c r="AV20" i="6"/>
  <c r="AD3" i="44"/>
  <c r="Y104" i="43"/>
  <c r="Z104" i="43" s="1"/>
  <c r="AB104" i="43" s="1"/>
  <c r="U104" i="43"/>
  <c r="B2" i="44"/>
  <c r="Y22" i="6"/>
  <c r="Z22" i="6" s="1"/>
  <c r="AB22" i="6" s="1"/>
  <c r="U22" i="6"/>
  <c r="U101" i="6"/>
  <c r="Y101" i="6"/>
  <c r="Z101" i="6" s="1"/>
  <c r="AB101" i="6" s="1"/>
  <c r="AV161" i="45"/>
  <c r="AZ161" i="45"/>
  <c r="BA161" i="45" s="1"/>
  <c r="BC161" i="45" s="1"/>
  <c r="U140" i="43"/>
  <c r="AZ49" i="45"/>
  <c r="BA49" i="45" s="1"/>
  <c r="AV49" i="45"/>
  <c r="Y154" i="43"/>
  <c r="Z154" i="43" s="1"/>
  <c r="AB154" i="43" s="1"/>
  <c r="U154" i="43"/>
  <c r="Y105" i="43"/>
  <c r="Z105" i="43" s="1"/>
  <c r="AB105" i="43" s="1"/>
  <c r="U105" i="43"/>
  <c r="U21" i="6"/>
  <c r="Y21" i="6"/>
  <c r="Z21" i="6" s="1"/>
  <c r="AB21" i="6" s="1"/>
  <c r="AZ150" i="45"/>
  <c r="BA150" i="45" s="1"/>
  <c r="BC150" i="45" s="1"/>
  <c r="AD4" i="45" s="1"/>
  <c r="AV150" i="45"/>
  <c r="Y24" i="43"/>
  <c r="Z24" i="43" s="1"/>
  <c r="AB24" i="43" s="1"/>
  <c r="U24" i="43"/>
  <c r="U177" i="6"/>
  <c r="U178" i="6"/>
  <c r="B5" i="45"/>
  <c r="C5" i="45"/>
  <c r="U151" i="43"/>
  <c r="Y151" i="43"/>
  <c r="Z151" i="43" s="1"/>
  <c r="AB151" i="43" s="1"/>
  <c r="Y155" i="43"/>
  <c r="Z155" i="43" s="1"/>
  <c r="AB155" i="43" s="1"/>
  <c r="U155" i="43"/>
  <c r="Y102" i="43"/>
  <c r="Z102" i="43" s="1"/>
  <c r="AB102" i="43" s="1"/>
  <c r="U102" i="43"/>
  <c r="C4" i="43"/>
  <c r="AD4" i="6"/>
  <c r="AE4" i="6"/>
  <c r="BC16" i="43"/>
  <c r="AD2" i="43" s="1"/>
  <c r="BA149" i="43"/>
  <c r="BC149" i="43" s="1"/>
  <c r="AD4" i="43" s="1"/>
  <c r="BC17" i="6"/>
  <c r="AD2" i="6" s="1"/>
  <c r="AD3" i="43"/>
  <c r="C5" i="6"/>
  <c r="B5" i="6"/>
  <c r="B2" i="6" l="1"/>
  <c r="B4" i="43"/>
  <c r="C4" i="44"/>
  <c r="B2" i="43"/>
  <c r="B4" i="6"/>
  <c r="AE4" i="44"/>
  <c r="AE4" i="45"/>
  <c r="C4" i="6"/>
  <c r="BC49" i="45"/>
  <c r="AD2" i="45" s="1"/>
  <c r="AE2" i="45"/>
  <c r="AE3" i="45"/>
  <c r="AD3" i="45"/>
  <c r="C2" i="6"/>
  <c r="C2" i="43"/>
  <c r="AE4" i="43"/>
  <c r="AE2" i="6"/>
  <c r="AE2" i="43"/>
</calcChain>
</file>

<file path=xl/comments1.xml><?xml version="1.0" encoding="utf-8"?>
<comments xmlns="http://schemas.openxmlformats.org/spreadsheetml/2006/main">
  <authors>
    <author>tc={D06B3C14-8771-470C-B163-E03A4CBE7440}</author>
  </authors>
  <commentList>
    <comment ref="G24"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Where is natural gas in PBi?</t>
        </r>
      </text>
    </comment>
  </commentList>
</comments>
</file>

<file path=xl/comments2.xml><?xml version="1.0" encoding="utf-8"?>
<comments xmlns="http://schemas.openxmlformats.org/spreadsheetml/2006/main">
  <authors>
    <author>tc={E001AB11-65B4-449C-A6DB-45A087B8D5CC}</author>
  </authors>
  <commentList>
    <comment ref="G24"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Where is natural gas in PBi?</t>
        </r>
      </text>
    </comment>
  </commentList>
</comments>
</file>

<file path=xl/sharedStrings.xml><?xml version="1.0" encoding="utf-8"?>
<sst xmlns="http://schemas.openxmlformats.org/spreadsheetml/2006/main" count="8175" uniqueCount="661">
  <si>
    <t>Office</t>
  </si>
  <si>
    <t>SCOPE</t>
  </si>
  <si>
    <t>Please list all building that have been included in the current years reporting and/or the current baseline agreed with the rebaselining panel in the table below</t>
  </si>
  <si>
    <t>Please identify the baseline year for the building (this will usually be the first year the building was included in the reporting) and fill in relevant details for both the basline year and for the reporting year</t>
  </si>
  <si>
    <r>
      <t xml:space="preserve">For buildings that are no longer part of the Departmental Estate please enter 0 and 0 for the area and FTE for the </t>
    </r>
    <r>
      <rPr>
        <u/>
        <sz val="10"/>
        <rFont val="Calibri"/>
        <family val="2"/>
        <scheme val="minor"/>
      </rPr>
      <t>current year only</t>
    </r>
    <r>
      <rPr>
        <sz val="10"/>
        <rFont val="Calibri"/>
        <family val="2"/>
        <scheme val="minor"/>
      </rPr>
      <t xml:space="preserve"> and explain the reason for the removal</t>
    </r>
  </si>
  <si>
    <t>BASELINE FIGURES should not be altered or removed without the agreement of the rebaselining panel</t>
  </si>
  <si>
    <t xml:space="preserve">For buildings that are being included in the reporting scope fror the first time please add them at the end of the list and put 0 and 0 for the baseline area and FTE and include the area and FTE data for the current year. </t>
  </si>
  <si>
    <t>Organisation</t>
  </si>
  <si>
    <t>Building Name</t>
  </si>
  <si>
    <t>Town</t>
  </si>
  <si>
    <t>Baseline</t>
  </si>
  <si>
    <t>2016/17</t>
  </si>
  <si>
    <t>Office or Non Office Building</t>
  </si>
  <si>
    <t>Comments on changes</t>
  </si>
  <si>
    <t>Baseline Year</t>
  </si>
  <si>
    <t>Area 
(NIA in m2)</t>
  </si>
  <si>
    <t>FTE</t>
  </si>
  <si>
    <t>Area (NIA/m2)</t>
  </si>
  <si>
    <t>2009/10</t>
  </si>
  <si>
    <t>Add additional rows for more / new properties</t>
  </si>
  <si>
    <t>Dept:</t>
  </si>
  <si>
    <t>GREENHOUSE GAS ANALYSIS</t>
  </si>
  <si>
    <t>EMISSIONS FROM BUILDINGS</t>
  </si>
  <si>
    <t>Total Estate</t>
  </si>
  <si>
    <t>Notes</t>
  </si>
  <si>
    <t>Breakdown of electricity emissions</t>
  </si>
  <si>
    <t>kWh Estate</t>
  </si>
  <si>
    <r>
      <t>CO</t>
    </r>
    <r>
      <rPr>
        <b/>
        <vertAlign val="subscript"/>
        <sz val="9"/>
        <rFont val="Calibri"/>
        <family val="2"/>
        <scheme val="minor"/>
      </rPr>
      <t>2</t>
    </r>
    <r>
      <rPr>
        <b/>
        <sz val="9"/>
        <rFont val="Calibri"/>
        <family val="2"/>
        <scheme val="minor"/>
      </rPr>
      <t>e factor</t>
    </r>
  </si>
  <si>
    <r>
      <t>tonnes CO</t>
    </r>
    <r>
      <rPr>
        <b/>
        <vertAlign val="subscript"/>
        <sz val="9"/>
        <rFont val="Calibri"/>
        <family val="2"/>
        <scheme val="minor"/>
      </rPr>
      <t>2</t>
    </r>
    <r>
      <rPr>
        <b/>
        <sz val="9"/>
        <rFont val="Calibri"/>
        <family val="2"/>
        <scheme val="minor"/>
      </rPr>
      <t>e</t>
    </r>
  </si>
  <si>
    <t xml:space="preserve">kWh </t>
  </si>
  <si>
    <t>Scope 2 - Electricity Generation</t>
  </si>
  <si>
    <t>Scope 3 - Electricity T&amp;D</t>
  </si>
  <si>
    <t>TOTAL FROM ESTATE</t>
  </si>
  <si>
    <r>
      <t>CO</t>
    </r>
    <r>
      <rPr>
        <b/>
        <vertAlign val="subscript"/>
        <sz val="9"/>
        <rFont val="Calibri"/>
        <family val="2"/>
        <scheme val="minor"/>
      </rPr>
      <t>2</t>
    </r>
    <r>
      <rPr>
        <b/>
        <sz val="9"/>
        <rFont val="Calibri"/>
        <family val="2"/>
        <scheme val="minor"/>
      </rPr>
      <t>e factor (Scope 2)</t>
    </r>
  </si>
  <si>
    <r>
      <t>tonnes CO</t>
    </r>
    <r>
      <rPr>
        <b/>
        <vertAlign val="subscript"/>
        <sz val="9"/>
        <rFont val="Calibri"/>
        <family val="2"/>
        <scheme val="minor"/>
      </rPr>
      <t>2</t>
    </r>
    <r>
      <rPr>
        <b/>
        <sz val="9"/>
        <rFont val="Calibri"/>
        <family val="2"/>
        <scheme val="minor"/>
      </rPr>
      <t xml:space="preserve">e </t>
    </r>
  </si>
  <si>
    <r>
      <t>CO</t>
    </r>
    <r>
      <rPr>
        <b/>
        <vertAlign val="subscript"/>
        <sz val="9"/>
        <rFont val="Calibri"/>
        <family val="2"/>
        <scheme val="minor"/>
      </rPr>
      <t>2</t>
    </r>
    <r>
      <rPr>
        <b/>
        <sz val="9"/>
        <rFont val="Calibri"/>
        <family val="2"/>
        <scheme val="minor"/>
      </rPr>
      <t>e factor (Scope 3)</t>
    </r>
  </si>
  <si>
    <t>PURCHASED ENERGY</t>
  </si>
  <si>
    <t>Mains Standard Grid Electricity Consumption (Scope 2+3)*</t>
  </si>
  <si>
    <t>Mains Green Tariff  Electricity  Consumption (Scope 2+3)*</t>
  </si>
  <si>
    <t>CHP Bought Electricity (GQ)  Consumption (Scope 2+3)*</t>
  </si>
  <si>
    <t>CHP Bought Electricity (Other) Consumption (Scope 2+3)*</t>
  </si>
  <si>
    <t>Natural Gas (Scope 1)</t>
  </si>
  <si>
    <t>Gas Oil (Scope 1)</t>
  </si>
  <si>
    <t>LPG (Scope 1)</t>
  </si>
  <si>
    <t xml:space="preserve">DH - Scope 2 </t>
  </si>
  <si>
    <t>DH - Scope 3 - T&amp;D</t>
  </si>
  <si>
    <t>Solid Fossil Fuels (Scope 1)</t>
  </si>
  <si>
    <t>Solid Fuels (Biomass) (Scope 1)</t>
  </si>
  <si>
    <t>District Heating (Scope 2+3)*</t>
  </si>
  <si>
    <t>Heat from renewable sources (Scope 2)</t>
  </si>
  <si>
    <t>Heat from non renewable sources (excluding WDHS) (Scope 2) (please specify, incl. CO2e factor and notes)</t>
  </si>
  <si>
    <t>Heat from WDHS (Scope 2)</t>
  </si>
  <si>
    <t>Other (please specify, incl. CO2e factor and notes)</t>
  </si>
  <si>
    <t>SELF GENERATED ENERGY
(Scope 1)</t>
  </si>
  <si>
    <t xml:space="preserve">Electricity from renewable sources </t>
  </si>
  <si>
    <t>Heat from renewable sources</t>
  </si>
  <si>
    <t>Solar water heating</t>
  </si>
  <si>
    <t>CHP1 Electricity</t>
  </si>
  <si>
    <t>CHP1 Heat</t>
  </si>
  <si>
    <t>CHP2 Electricity</t>
  </si>
  <si>
    <t>CHP2 Heat</t>
  </si>
  <si>
    <t>CHP3 Electricity</t>
  </si>
  <si>
    <t>CHP3 Heat</t>
  </si>
  <si>
    <t>*Includes both direct emissions (elec GENERATED), which are counted as Scope 2, as well as Direct emissions (electricity Transmission and Distribution (T&amp;D) LOSSES), which are counted as Scope 3. Does not include indirect emissions which are different and accounted separately (but also reported in Scope 3)</t>
  </si>
  <si>
    <t>1.2</t>
  </si>
  <si>
    <t>FUGITIVE EMISSIONS</t>
  </si>
  <si>
    <t>You need to calculate the emissions from Refrigeration and AC equipment and enter the resulting figure here.</t>
  </si>
  <si>
    <r>
      <t>kg CO</t>
    </r>
    <r>
      <rPr>
        <b/>
        <vertAlign val="subscript"/>
        <sz val="9"/>
        <rFont val="Calibri"/>
        <family val="2"/>
        <scheme val="minor"/>
      </rPr>
      <t>2</t>
    </r>
    <r>
      <rPr>
        <b/>
        <sz val="9"/>
        <rFont val="Calibri"/>
        <family val="2"/>
        <scheme val="minor"/>
      </rPr>
      <t>e</t>
    </r>
  </si>
  <si>
    <t>Method used for estimating emissions A or B</t>
  </si>
  <si>
    <t>FUGITIVE EMISSIONS (Scope 1)</t>
  </si>
  <si>
    <t>1.3</t>
  </si>
  <si>
    <t>EMISSIONS FROM TRANSPORT</t>
  </si>
  <si>
    <t>Transport data required is divided into 3 types:</t>
  </si>
  <si>
    <t>1. Fleet data (i.e. vehicles owned or leased by the department): you can enter this as km travelled in the UK (below), the fuel used (below right) by vehicles in the fleet in the UK or use a combination of the two tables</t>
  </si>
  <si>
    <t>2. Owned vehicles (i.e. employee-owned/grey fleet and incl. hired vehicles): enter here the km travelled on business purposes in the UK by employees' owned/leased/hired vehicles (excluding staff commutes).</t>
  </si>
  <si>
    <t>TOTAL DOMESTIC FROM FLEET (i.e. vehicles owned or leased by the department) (Scope 1)</t>
  </si>
  <si>
    <t>3. Non fleet data: enter the passenger km travelled (km travelled by each passenger on a business trip by other non fleet method of transport) in the UK</t>
  </si>
  <si>
    <r>
      <t xml:space="preserve">TOTAL DOMESTIC FROM </t>
    </r>
    <r>
      <rPr>
        <b/>
        <u/>
        <sz val="10"/>
        <rFont val="Calibri"/>
        <family val="2"/>
        <scheme val="minor"/>
      </rPr>
      <t>FLEET</t>
    </r>
    <r>
      <rPr>
        <b/>
        <sz val="10"/>
        <rFont val="Calibri"/>
        <family val="2"/>
        <scheme val="minor"/>
      </rPr>
      <t xml:space="preserve"> (i.e. vehicles owned or leased by the department) (Scope 1)</t>
    </r>
  </si>
  <si>
    <t>Fuel used</t>
  </si>
  <si>
    <t>TOTAL tCO2e FROM TRANSPORT</t>
  </si>
  <si>
    <t>Amount used</t>
  </si>
  <si>
    <t>km travelled</t>
  </si>
  <si>
    <t>STANDARD Petrol (average biofuel blend)*</t>
  </si>
  <si>
    <t>litres</t>
  </si>
  <si>
    <t>FLEET</t>
  </si>
  <si>
    <t>Small petrol car, up to 1.4 l</t>
  </si>
  <si>
    <t>Petrol (100% mineral petrol)</t>
  </si>
  <si>
    <t>Medium petrol car, 1.4 - 2.0 l</t>
  </si>
  <si>
    <t>STANDARD Diesel (average biofuel blend)*</t>
  </si>
  <si>
    <t>Large petrol car, &gt;2.0 l</t>
  </si>
  <si>
    <t>Diesel (100% mineral diesel)</t>
  </si>
  <si>
    <t>Average petrol car</t>
  </si>
  <si>
    <t>Compressed Natural Gas (CNG)</t>
  </si>
  <si>
    <t>kg</t>
  </si>
  <si>
    <t>Small diesel car, up to 1.7 l</t>
  </si>
  <si>
    <t>Liquid Petroleum Gas (LPG)</t>
  </si>
  <si>
    <t>Medium diesel car, 1.7 - 2.0 l</t>
  </si>
  <si>
    <t>Large diesel car, &gt;2.0 l</t>
  </si>
  <si>
    <t>Average diesel car</t>
  </si>
  <si>
    <t>Hybrid - Medium</t>
  </si>
  <si>
    <t>Hybrid - Large</t>
  </si>
  <si>
    <t>LPG</t>
  </si>
  <si>
    <t>Unknown - Average</t>
  </si>
  <si>
    <t>Small petrol motorbike (mopeds/scooters up to 125cc)</t>
  </si>
  <si>
    <t>Medium petrol motorbike (125-500cc)</t>
  </si>
  <si>
    <t>Large petrol motorbike (over 500cc)</t>
  </si>
  <si>
    <t>Average petrol motorbike (unknown engine size)</t>
  </si>
  <si>
    <t>Other1 (please specify, incl. CO2e factor and notes)</t>
  </si>
  <si>
    <t>Other2 (please specify, incl. CO2e factor and notes)</t>
  </si>
  <si>
    <t>Other3 (please specify, incl. CO2e factor and notes)</t>
  </si>
  <si>
    <r>
      <t xml:space="preserve">TOTAL DOMESTIC FROM </t>
    </r>
    <r>
      <rPr>
        <b/>
        <u/>
        <sz val="10"/>
        <rFont val="Calibri"/>
        <family val="2"/>
        <scheme val="minor"/>
      </rPr>
      <t>GREY FLEET/HIRE (i.e. employee owned or hire vehicles)</t>
    </r>
    <r>
      <rPr>
        <b/>
        <sz val="10"/>
        <rFont val="Calibri"/>
        <family val="2"/>
        <scheme val="minor"/>
      </rPr>
      <t xml:space="preserve"> (Scope 3)</t>
    </r>
  </si>
  <si>
    <t>NON-FLEET</t>
  </si>
  <si>
    <r>
      <t xml:space="preserve">TOTAL FROM DOMESTIC </t>
    </r>
    <r>
      <rPr>
        <b/>
        <u/>
        <sz val="10"/>
        <rFont val="Calibri"/>
        <family val="2"/>
        <scheme val="minor"/>
      </rPr>
      <t>NON FLEET</t>
    </r>
    <r>
      <rPr>
        <b/>
        <sz val="10"/>
        <rFont val="Calibri"/>
        <family val="2"/>
        <scheme val="minor"/>
      </rPr>
      <t xml:space="preserve"> (Scope 3)</t>
    </r>
  </si>
  <si>
    <t>PUBLIC TRANSPORT</t>
  </si>
  <si>
    <t>Domestic Flight</t>
  </si>
  <si>
    <t>Rail - National /Average</t>
  </si>
  <si>
    <t>Light Railway / Tram</t>
  </si>
  <si>
    <t>London Underground</t>
  </si>
  <si>
    <t>Taxi - Regular</t>
  </si>
  <si>
    <t>Taxi - Black cab</t>
  </si>
  <si>
    <t>Bus - Local</t>
  </si>
  <si>
    <t>Bus - Transport for London</t>
  </si>
  <si>
    <t>Bus - Average</t>
  </si>
  <si>
    <t>Coach</t>
  </si>
  <si>
    <r>
      <t>TOTAL tCO</t>
    </r>
    <r>
      <rPr>
        <b/>
        <vertAlign val="subscript"/>
        <sz val="10"/>
        <rFont val="Calibri"/>
        <family val="2"/>
        <scheme val="minor"/>
      </rPr>
      <t>2</t>
    </r>
    <r>
      <rPr>
        <b/>
        <sz val="10"/>
        <rFont val="Calibri"/>
        <family val="2"/>
        <scheme val="minor"/>
      </rPr>
      <t>e FOR GGC REPORTING</t>
    </r>
  </si>
  <si>
    <t>The following information is not needed for the calculation of emissions towards the GGC target but you can provide it on a voluntary basis:</t>
  </si>
  <si>
    <t>OTHER TRAVEL (Scope 3) - OPTIONAL</t>
  </si>
  <si>
    <t>Short Haul International Average</t>
  </si>
  <si>
    <t>Short Haul International Economy</t>
  </si>
  <si>
    <t>Short Haul International Business</t>
  </si>
  <si>
    <t>Long Haul International Average</t>
  </si>
  <si>
    <t>Long Haul International Economy</t>
  </si>
  <si>
    <t>Long Haul International Premium Economy</t>
  </si>
  <si>
    <t>Long Haul International Business</t>
  </si>
  <si>
    <t>Long Haul International First</t>
  </si>
  <si>
    <t>Rail - Eurostar</t>
  </si>
  <si>
    <t>TOTALS BY SCOPE</t>
  </si>
  <si>
    <t>The table below provides a sum of total greenhouse gas emissions by reporting Scope for this period (this is automatic and you do not need to enter any values)</t>
  </si>
  <si>
    <t>Total emisssions by scope</t>
  </si>
  <si>
    <t>Scope 1</t>
  </si>
  <si>
    <t>Scope 2</t>
  </si>
  <si>
    <t>Scope 3 (not including "Other Travel")</t>
  </si>
  <si>
    <t>NOTE: the GGC includes in its analysis Scope 1 and 2 emissions from Buildings plus Scope 3 emissions from distribution losses from electricity and District Heating, fugitive emissions and Scope 1 and 3 from Domestic transport, where scope 3 refers to Direct emissions from Grey fleet (employee owned), Hire vehicles and Non Fleet. It excludes Scope 3 (upstream and downstream associated emissions) from Buildings.</t>
  </si>
  <si>
    <t>WATER ANALYSIS</t>
  </si>
  <si>
    <t>Offices only</t>
  </si>
  <si>
    <r>
      <t>m</t>
    </r>
    <r>
      <rPr>
        <b/>
        <vertAlign val="superscript"/>
        <sz val="9"/>
        <rFont val="Calibri"/>
        <family val="2"/>
        <scheme val="minor"/>
      </rPr>
      <t>3</t>
    </r>
  </si>
  <si>
    <t>Water consumption</t>
  </si>
  <si>
    <t>WASTE ANALYSIS</t>
  </si>
  <si>
    <t>tonnes</t>
  </si>
  <si>
    <t>% OF TOTAL</t>
  </si>
  <si>
    <t>Waste recycled externally (excl. ICT waste)</t>
  </si>
  <si>
    <t>ICT waste recycled externally</t>
  </si>
  <si>
    <t>ICT waste - other (please describe and explain)</t>
  </si>
  <si>
    <t>Waste composted or sent to anaerobic digestion</t>
  </si>
  <si>
    <t>Waste incinerated with energy recovery</t>
  </si>
  <si>
    <t>Waste incinerated without energy recovery</t>
  </si>
  <si>
    <t>Preparation for reuse</t>
  </si>
  <si>
    <t>TOTAL WASTE RECYCLED</t>
  </si>
  <si>
    <t>TOTAL ICT WASTE</t>
  </si>
  <si>
    <r>
      <t xml:space="preserve">TOTAL WASTE </t>
    </r>
    <r>
      <rPr>
        <b/>
        <i/>
        <sz val="8"/>
        <rFont val="Calibri"/>
        <family val="2"/>
        <scheme val="minor"/>
      </rPr>
      <t>NOT</t>
    </r>
    <r>
      <rPr>
        <b/>
        <sz val="8"/>
        <rFont val="Calibri"/>
        <family val="2"/>
        <scheme val="minor"/>
      </rPr>
      <t xml:space="preserve"> TO LANDFILL</t>
    </r>
  </si>
  <si>
    <t>TOTAL WASTE SENT TO LANDFILL</t>
  </si>
  <si>
    <t>TOTAL WASTE</t>
  </si>
  <si>
    <r>
      <t xml:space="preserve">TOTAL </t>
    </r>
    <r>
      <rPr>
        <b/>
        <i/>
        <sz val="10"/>
        <rFont val="Calibri"/>
        <family val="2"/>
        <scheme val="minor"/>
      </rPr>
      <t>LANDFILL</t>
    </r>
    <r>
      <rPr>
        <b/>
        <sz val="10"/>
        <rFont val="Calibri"/>
        <family val="2"/>
        <scheme val="minor"/>
      </rPr>
      <t>WASTE DEEMED HAZARDOUS (INCL. CLINICAL WASTE)*</t>
    </r>
  </si>
  <si>
    <t>*It is not mandatory to report hazardous waste under GGC. However, you can, if you wish, record waste which it was not possible to recycle, which will help explain your landfill total. ONLY record landfilled hazardous waste here.</t>
  </si>
  <si>
    <t>PAPER ANALYSIS</t>
  </si>
  <si>
    <t>A4 Reams</t>
  </si>
  <si>
    <t>A3 Reams</t>
  </si>
  <si>
    <t>A5 Reams</t>
  </si>
  <si>
    <t>A4 Reams Equivalent</t>
  </si>
  <si>
    <t>DOMESTIC FLIGHTS</t>
  </si>
  <si>
    <t>Number of Domestic flights</t>
  </si>
  <si>
    <r>
      <t>CO</t>
    </r>
    <r>
      <rPr>
        <b/>
        <i/>
        <vertAlign val="subscript"/>
        <sz val="9"/>
        <rFont val="Calibri"/>
        <family val="2"/>
        <scheme val="minor"/>
      </rPr>
      <t>2</t>
    </r>
    <r>
      <rPr>
        <b/>
        <i/>
        <sz val="9"/>
        <rFont val="Calibri"/>
        <family val="2"/>
        <scheme val="minor"/>
      </rPr>
      <t>e factor</t>
    </r>
  </si>
  <si>
    <t xml:space="preserve">Other Travel </t>
  </si>
  <si>
    <t>FTE- Office Estate*</t>
  </si>
  <si>
    <r>
      <t>tonnes CO</t>
    </r>
    <r>
      <rPr>
        <b/>
        <i/>
        <vertAlign val="subscript"/>
        <sz val="9"/>
        <rFont val="Calibri"/>
        <family val="2"/>
        <scheme val="minor"/>
      </rPr>
      <t>2</t>
    </r>
    <r>
      <rPr>
        <b/>
        <i/>
        <sz val="9"/>
        <rFont val="Calibri"/>
        <family val="2"/>
        <scheme val="minor"/>
      </rPr>
      <t>e</t>
    </r>
  </si>
  <si>
    <t>* PLEASE DO NOT PRO-RATA THE FTE NUMBER FOR EACH QUARTER - fill in the  total number of FTEs in each quarter. Calculations already take into account the allocation to each period.</t>
  </si>
  <si>
    <t>Current quarter</t>
  </si>
  <si>
    <t>Compared to</t>
  </si>
  <si>
    <t>25% of previous year total</t>
  </si>
  <si>
    <t>SELF GENERATED ENERGY 
(Scope 1)</t>
  </si>
  <si>
    <r>
      <t>TOTAL tCO</t>
    </r>
    <r>
      <rPr>
        <b/>
        <vertAlign val="subscript"/>
        <sz val="10"/>
        <rFont val="Calibri"/>
        <family val="2"/>
        <scheme val="minor"/>
      </rPr>
      <t>2</t>
    </r>
    <r>
      <rPr>
        <b/>
        <sz val="10"/>
        <rFont val="Calibri"/>
        <family val="2"/>
        <scheme val="minor"/>
      </rPr>
      <t>e FROM TRANSPORT</t>
    </r>
  </si>
  <si>
    <r>
      <t xml:space="preserve">TOTAL FROM DOMESTIC </t>
    </r>
    <r>
      <rPr>
        <b/>
        <u/>
        <sz val="10"/>
        <rFont val="Calibri"/>
        <family val="2"/>
        <scheme val="minor"/>
      </rPr>
      <t xml:space="preserve">NON FLEET </t>
    </r>
    <r>
      <rPr>
        <b/>
        <sz val="10"/>
        <rFont val="Calibri"/>
        <family val="2"/>
        <scheme val="minor"/>
      </rPr>
      <t>(Scope 3)</t>
    </r>
  </si>
  <si>
    <t>Fleet fuel consumption</t>
  </si>
  <si>
    <t>M3 TOTAL ESTATE</t>
  </si>
  <si>
    <t>FTE Offices</t>
  </si>
  <si>
    <t>ICT waste reused externally</t>
  </si>
  <si>
    <t>Equivalent A4 Reams</t>
  </si>
  <si>
    <t>Number of domestic flights</t>
  </si>
  <si>
    <t>Average distance domestic flights</t>
  </si>
  <si>
    <t xml:space="preserve">Issues Log </t>
  </si>
  <si>
    <t>Year</t>
  </si>
  <si>
    <t>Quarter</t>
  </si>
  <si>
    <t>Issue number</t>
  </si>
  <si>
    <t>Issue identified</t>
  </si>
  <si>
    <t>Area</t>
  </si>
  <si>
    <t>Scale of issue</t>
  </si>
  <si>
    <t>Status</t>
  </si>
  <si>
    <t>CHP BASELINE</t>
  </si>
  <si>
    <t>CHP</t>
  </si>
  <si>
    <t>Q1</t>
  </si>
  <si>
    <t>2015/16</t>
  </si>
  <si>
    <t>Q2</t>
  </si>
  <si>
    <t>Q3</t>
  </si>
  <si>
    <t>Q4</t>
  </si>
  <si>
    <t>Name of Plant</t>
  </si>
  <si>
    <t>CHP INPUTS</t>
  </si>
  <si>
    <t>Gas Input to CHP</t>
  </si>
  <si>
    <t>kWh</t>
  </si>
  <si>
    <t>Gas factor</t>
  </si>
  <si>
    <t>Oil Input to CHP</t>
  </si>
  <si>
    <t>Oil factor</t>
  </si>
  <si>
    <t>GENERATED ENERGY</t>
  </si>
  <si>
    <t>CHP1 Electricity Generated</t>
  </si>
  <si>
    <t>Gen factor Elec</t>
  </si>
  <si>
    <t>CHP1 Heat Generated</t>
  </si>
  <si>
    <t>Gen factor Heat</t>
  </si>
  <si>
    <t>DELIVERED ENERGY</t>
  </si>
  <si>
    <t>CHP1 Electricity delivered by the CHP (losses excluded)</t>
  </si>
  <si>
    <t>Del factor Elec</t>
  </si>
  <si>
    <t>CHP1 Heat  delivered by the CHP (losses excluded)</t>
  </si>
  <si>
    <t>Del factor Heat</t>
  </si>
  <si>
    <t>CONSUMED ENERGY</t>
  </si>
  <si>
    <t>CHP1 Electricity consumed by department</t>
  </si>
  <si>
    <t>CHP1 Heat consumed by department</t>
  </si>
  <si>
    <t>Good quality CHP? (Y/N)</t>
  </si>
  <si>
    <t>Whole estate</t>
  </si>
  <si>
    <t>Offices Only</t>
  </si>
  <si>
    <t>GHG EMISSIONS</t>
  </si>
  <si>
    <t>WASTE</t>
  </si>
  <si>
    <t>WATER</t>
  </si>
  <si>
    <t>PAPER PURCHASED</t>
  </si>
  <si>
    <t>GHG EMISSIONS/FTE</t>
  </si>
  <si>
    <t>Waste/FTE</t>
  </si>
  <si>
    <t>Water/FTE</t>
  </si>
  <si>
    <t>tCO2e</t>
  </si>
  <si>
    <t>Total Tonnes</t>
  </si>
  <si>
    <t>% Sent to Landfill</t>
  </si>
  <si>
    <t>% Waste Recycled</t>
  </si>
  <si>
    <t>Total m3</t>
  </si>
  <si>
    <t>Reams A4 Equivalent</t>
  </si>
  <si>
    <t>No. Flights</t>
  </si>
  <si>
    <t>kgCO2e/FTE</t>
  </si>
  <si>
    <t>kg/FTE</t>
  </si>
  <si>
    <t>m3 /FTE</t>
  </si>
  <si>
    <t>Reduction Target 2019-20</t>
  </si>
  <si>
    <t>reduction</t>
  </si>
  <si>
    <t>increase</t>
  </si>
  <si>
    <t>% GHG savings from estate rationalisation*</t>
  </si>
  <si>
    <t>*This is for reporting under Article 5 of the Energy Efficiency Directive</t>
  </si>
  <si>
    <t>Waste</t>
  </si>
  <si>
    <t>Water</t>
  </si>
  <si>
    <r>
      <t>tCO</t>
    </r>
    <r>
      <rPr>
        <b/>
        <vertAlign val="subscript"/>
        <sz val="9"/>
        <color indexed="8"/>
        <rFont val="Calibri"/>
        <family val="2"/>
        <scheme val="minor"/>
      </rPr>
      <t>2</t>
    </r>
    <r>
      <rPr>
        <b/>
        <sz val="9"/>
        <color indexed="8"/>
        <rFont val="Calibri"/>
        <family val="2"/>
        <scheme val="minor"/>
      </rPr>
      <t>e</t>
    </r>
  </si>
  <si>
    <t>Q1 Total</t>
  </si>
  <si>
    <t>Q2 Total</t>
  </si>
  <si>
    <t>Q3 Total</t>
  </si>
  <si>
    <t>Q4 Total</t>
  </si>
  <si>
    <t>Total Ytd</t>
  </si>
  <si>
    <r>
      <t>tCO</t>
    </r>
    <r>
      <rPr>
        <b/>
        <vertAlign val="subscript"/>
        <sz val="9"/>
        <color theme="0" tint="-0.499984740745262"/>
        <rFont val="Calibri"/>
        <family val="2"/>
        <scheme val="minor"/>
      </rPr>
      <t>2</t>
    </r>
    <r>
      <rPr>
        <b/>
        <sz val="9"/>
        <color theme="0" tint="-0.499984740745262"/>
        <rFont val="Calibri"/>
        <family val="2"/>
        <scheme val="minor"/>
      </rPr>
      <t>e</t>
    </r>
  </si>
  <si>
    <t>Annual Performance All Years</t>
  </si>
  <si>
    <t>2010/11</t>
  </si>
  <si>
    <t>2011/12</t>
  </si>
  <si>
    <t>2012/13</t>
  </si>
  <si>
    <t>2013/14</t>
  </si>
  <si>
    <t>2014/15</t>
  </si>
  <si>
    <t>2017/18</t>
  </si>
  <si>
    <t>2018/19</t>
  </si>
  <si>
    <t>2019/20</t>
  </si>
  <si>
    <t>Baseline (2009/10)</t>
  </si>
  <si>
    <t>Target</t>
  </si>
  <si>
    <t>GHG Emissions</t>
  </si>
  <si>
    <t>Actual</t>
  </si>
  <si>
    <t>2015-16</t>
  </si>
  <si>
    <t>2016-17</t>
  </si>
  <si>
    <t>Domestic Flights</t>
  </si>
  <si>
    <t>Waste to landfill</t>
  </si>
  <si>
    <t>Generated</t>
  </si>
  <si>
    <t>% recycled</t>
  </si>
  <si>
    <t>Waste generated</t>
  </si>
  <si>
    <t>Paper Purchased</t>
  </si>
  <si>
    <t>paper purchased</t>
  </si>
  <si>
    <t>Water Consumption</t>
  </si>
  <si>
    <t>m3</t>
  </si>
  <si>
    <t>water consumption</t>
  </si>
  <si>
    <t>2012-13</t>
  </si>
  <si>
    <t>2013-14</t>
  </si>
  <si>
    <t>2014-15</t>
  </si>
  <si>
    <t>GENERAL GUIDANCE</t>
  </si>
  <si>
    <t>THIS REPORTING TEMPLATE SUPPORTS THE REPORTING OF COMPOSITE SUSTAINABILITY DATA TO THE WEB AND MINISTERIAL SUPPORT FUNCTIONS.</t>
  </si>
  <si>
    <r>
      <t xml:space="preserve">The use of this Reporting </t>
    </r>
    <r>
      <rPr>
        <b/>
        <sz val="12"/>
        <rFont val="Calibri"/>
        <family val="2"/>
      </rPr>
      <t xml:space="preserve"> template is mandatory</t>
    </r>
    <r>
      <rPr>
        <sz val="12"/>
        <rFont val="Calibri"/>
        <family val="2"/>
      </rPr>
      <t xml:space="preserve"> for the reporting of departmental activity to the centre. It is recommended that departments use a robust and consistent method for collecting the data from their reporting bodies.</t>
    </r>
  </si>
  <si>
    <t>DEPARTMENTS SHOULD</t>
  </si>
  <si>
    <r>
      <t xml:space="preserve">1. Every Quarter, request the completion of the </t>
    </r>
    <r>
      <rPr>
        <b/>
        <sz val="11"/>
        <rFont val="Calibri"/>
        <family val="2"/>
      </rPr>
      <t>Organisation Data</t>
    </r>
    <r>
      <rPr>
        <sz val="11"/>
        <rFont val="Calibri"/>
        <family val="2"/>
      </rPr>
      <t xml:space="preserve"> files (or alternative) by your ALBs, by a date to suit your internal reporting processes and which will enable you to meet the deadline for reporting to the centre by the last working day of the second month of the following quarter (end August, November, February and May). </t>
    </r>
  </si>
  <si>
    <r>
      <t xml:space="preserve">2. Once received, add together the data provided from each organisation and enter the totals to the relevant quarter's Q data tab on this </t>
    </r>
    <r>
      <rPr>
        <b/>
        <sz val="11"/>
        <rFont val="Calibri"/>
        <family val="2"/>
      </rPr>
      <t>Reporting</t>
    </r>
    <r>
      <rPr>
        <sz val="11"/>
        <rFont val="Calibri"/>
        <family val="2"/>
      </rPr>
      <t xml:space="preserve"> template. </t>
    </r>
  </si>
  <si>
    <t>REPORTING PRINCIPLES</t>
  </si>
  <si>
    <t>1. COVERAGE SCOPE</t>
  </si>
  <si>
    <t>1.1 The scope includes office and non-office estate and other operational activities in Government Departments, their Executive Agencies, Non-Departmental Public Bodies (NDPBs) and Non-Ministerial Departments (NMDs) in the UK (excluding the devolved administrations and their Agencies).</t>
  </si>
  <si>
    <t>2. REPORTING LEVEL</t>
  </si>
  <si>
    <r>
      <t>2.1 All data for estate related targets should be collected at whole building level. This means that the holder of space shared with other government departments should report on behalf of all occupiers (see 2.4 and 2.5 for exceptions). Departments are expected to collate details of buildings covered (Name, Town, NIA in m</t>
    </r>
    <r>
      <rPr>
        <vertAlign val="superscript"/>
        <sz val="11"/>
        <rFont val="Calibri"/>
        <family val="2"/>
      </rPr>
      <t>2</t>
    </r>
    <r>
      <rPr>
        <sz val="11"/>
        <rFont val="Calibri"/>
        <family val="2"/>
      </rPr>
      <t>, FTE).</t>
    </r>
  </si>
  <si>
    <t>2.2 All operational targets will be collected at organisational level.</t>
  </si>
  <si>
    <t>2.3 If departments are unable to report at this level of detail for all buildings but can provide less detailed data, they must develop and implement an improvement plan which sets out the milestones the department will meet in improving the data to enable compliance.</t>
  </si>
  <si>
    <t>2.4 Where a building is shared with the Private Sector, the reporting body needs only report the Central Government share of the impact, using the best quality data available.</t>
  </si>
  <si>
    <r>
      <t>2.5 Where an individual occupation by a minor occupier is larger than 1,000m</t>
    </r>
    <r>
      <rPr>
        <vertAlign val="superscript"/>
        <sz val="11"/>
        <rFont val="Calibri"/>
        <family val="2"/>
      </rPr>
      <t>2</t>
    </r>
    <r>
      <rPr>
        <sz val="11"/>
        <rFont val="Calibri"/>
        <family val="2"/>
      </rPr>
      <t xml:space="preserve">, supports more than 250 staff, or is greater than </t>
    </r>
    <r>
      <rPr>
        <b/>
        <sz val="11"/>
        <rFont val="Calibri"/>
        <family val="2"/>
      </rPr>
      <t>20%</t>
    </r>
    <r>
      <rPr>
        <sz val="11"/>
        <rFont val="Calibri"/>
        <family val="2"/>
      </rPr>
      <t xml:space="preserve"> of the reporting body’s total estate, and both parties agree, then an application to vary away from the project default may be proposed, and organisations may report at occupation level</t>
    </r>
  </si>
  <si>
    <t>2.6 The environmental performance of property which is acquired for the purpose of redevelopment should be reported if it is held by the reporting body for more than 6 months in any one year. There may be scope for excluding the property from the requirement to report if the reporting body can clearly demonstrate that the property has been effectively mothballed and so is not adding significantly to the reporting body's impacts, or, in line with paragraph 2.4 above, it is wholly occupied by the private sector. In effect, redevelopment property that is excluded from reporting should appear in the baseline and reporting scopes, but will be expected to support 0 FTE and emit no emissions, generate no waste and consume no water.</t>
  </si>
  <si>
    <t>3. REPORTING FREQUENCY</t>
  </si>
  <si>
    <t>3.1 Reporting of consumption will be at least quarterly for all target areas, and at building level.</t>
  </si>
  <si>
    <t xml:space="preserve">3.2 Data should be passed to the centre for collation into the Pan-Government position on the last working day of the second month following the end of the quarter (so end of August, November, February and May) and published on departmental websites. </t>
  </si>
  <si>
    <t>4. EXEMPTION CRITERIA</t>
  </si>
  <si>
    <t>4.1 Organisations can be exempted from reporting against one or many target areas, but should fulfil at least one of the exemption criteria:</t>
  </si>
  <si>
    <r>
      <t>·</t>
    </r>
    <r>
      <rPr>
        <sz val="7"/>
        <rFont val="Calibri"/>
        <family val="2"/>
      </rPr>
      <t xml:space="preserve">         </t>
    </r>
    <r>
      <rPr>
        <sz val="11"/>
        <rFont val="Calibri"/>
        <family val="2"/>
      </rPr>
      <t>Organisations (who have not previously reported) occupying less than a total 1,000m</t>
    </r>
    <r>
      <rPr>
        <vertAlign val="superscript"/>
        <sz val="11"/>
        <rFont val="Calibri"/>
        <family val="2"/>
      </rPr>
      <t>2</t>
    </r>
    <r>
      <rPr>
        <sz val="11"/>
        <rFont val="Calibri"/>
        <family val="2"/>
      </rPr>
      <t xml:space="preserve"> of floor area and with fewer than 250 FTE staff in total;</t>
    </r>
  </si>
  <si>
    <r>
      <t>·</t>
    </r>
    <r>
      <rPr>
        <sz val="7"/>
        <rFont val="Calibri"/>
        <family val="2"/>
      </rPr>
      <t xml:space="preserve">         </t>
    </r>
    <r>
      <rPr>
        <sz val="11"/>
        <rFont val="Calibri"/>
        <family val="2"/>
      </rPr>
      <t>where there are no safe, technically feasible, and environmentally friendly options available for meeting the commitments;</t>
    </r>
  </si>
  <si>
    <r>
      <rPr>
        <b/>
        <sz val="14"/>
        <rFont val="Calibri"/>
        <family val="2"/>
      </rPr>
      <t>·  </t>
    </r>
    <r>
      <rPr>
        <sz val="11"/>
        <rFont val="Calibri"/>
        <family val="2"/>
      </rPr>
      <t>   where application of the commitments might deliver a perverse outcome; and</t>
    </r>
  </si>
  <si>
    <r>
      <t>·</t>
    </r>
    <r>
      <rPr>
        <sz val="7"/>
        <rFont val="Calibri"/>
        <family val="2"/>
      </rPr>
      <t xml:space="preserve">         </t>
    </r>
    <r>
      <rPr>
        <sz val="11"/>
        <rFont val="Calibri"/>
        <family val="2"/>
      </rPr>
      <t>where an organisation has dual or multi-status (e.g. being both an NDPB and a trading body), and the extent of its commercial operations are such that it is not officially classified as a ‘Central Government’ under the ONS Public Sector Classification Guide.</t>
    </r>
  </si>
  <si>
    <t>5. VALIDATION</t>
  </si>
  <si>
    <t>5.1 Departments should ensure that adequate procedures are in place to validate the data. Consideration should be given to the role of Internal Audit teams in undertaking this role.</t>
  </si>
  <si>
    <t>6.0 FAMILY STRUCTURES</t>
  </si>
  <si>
    <t>Departments are responsible for ensuring that their Arms Length Bodies understand and have processes in place to collect the necessary datasets. They are also responsible for ensuring that these bodies are aware of the milestones for sharing and publication, and the need to provide their collated data to the department in order for it to meet its deadlines.</t>
  </si>
  <si>
    <t>INSTRUCTIONS to support the completion of this form</t>
  </si>
  <si>
    <r>
      <t xml:space="preserve">Numerical data should  be entered </t>
    </r>
    <r>
      <rPr>
        <u/>
        <sz val="12"/>
        <rFont val="Calibri"/>
        <family val="2"/>
        <scheme val="minor"/>
      </rPr>
      <t>only</t>
    </r>
    <r>
      <rPr>
        <sz val="12"/>
        <rFont val="Calibri"/>
        <family val="2"/>
        <scheme val="minor"/>
      </rPr>
      <t xml:space="preserve"> on the quarterly reporting sheets "Q1", "Q2", "Q3" and "Q4" (and "CHP", if required)</t>
    </r>
  </si>
  <si>
    <t>Notes may  be entered on other sheets</t>
  </si>
  <si>
    <t>For each building please select the appropriate building type (office or non-office)</t>
  </si>
  <si>
    <t>BASELINE</t>
  </si>
  <si>
    <t>Baseline information has been fixed and has been previously approved by the rebaselining panel. Generally it will be the same as the final submission for the previous reporting period</t>
  </si>
  <si>
    <t>GGCMailbox@defra.gsi.gov.uk</t>
  </si>
  <si>
    <t>Please enter data for each quarter on the relevant sheet as indicated below:</t>
  </si>
  <si>
    <r>
      <t xml:space="preserve">Please include all consumption which is known to have taken place even when it is not included in the current baseline but </t>
    </r>
    <r>
      <rPr>
        <u/>
        <sz val="12"/>
        <rFont val="Calibri"/>
        <family val="2"/>
      </rPr>
      <t>please provide a note explaining this</t>
    </r>
    <r>
      <rPr>
        <sz val="12"/>
        <rFont val="Calibri"/>
        <family val="2"/>
      </rPr>
      <t xml:space="preserve">. </t>
    </r>
  </si>
  <si>
    <t>When data is not available but consumption is known to have taken place, please indicate this in the corresponding NOTES.</t>
  </si>
  <si>
    <t>Enter consumption within the reporting period from each fuel source in kWh (note this should be in gross CV)</t>
  </si>
  <si>
    <t>For Heat from non renewable sources and Other, please identify the exact source in the NOTES and provide the appropriate emissions factor.</t>
  </si>
  <si>
    <t>For WDHS, the factors applied are those correpsonding to the previous year. These will be updated at the end of the period, once the full year analysis is produced, and the performance of the system for the reporting period can be evaluated.</t>
  </si>
  <si>
    <t>If you use CHP please enter data as follows:</t>
  </si>
  <si>
    <t>A. If you have CHP and your department uses 100% of the output (electricity and heat) from the plant, you have 2 options for reporting:</t>
  </si>
  <si>
    <t>1. Report the amount of fuel input into the CHP (e.g. gas) in your total kWh on the quarterly sheets. (This option is easier but if you want to understand the performance of your CHP system you might want to follow option 2 below.)</t>
  </si>
  <si>
    <r>
      <t xml:space="preserve">2. Fill in the data in the </t>
    </r>
    <r>
      <rPr>
        <b/>
        <sz val="12"/>
        <rFont val="Calibri"/>
        <family val="2"/>
      </rPr>
      <t>CHP</t>
    </r>
    <r>
      <rPr>
        <sz val="12"/>
        <rFont val="Calibri"/>
        <family val="2"/>
      </rPr>
      <t xml:space="preserve"> tab. This will take more time but will give you an understanding of the performance of your CHP system and the energy/emissions can be traced as being attributed to CHP.</t>
    </r>
  </si>
  <si>
    <r>
      <t xml:space="preserve">B. If you have CHP and some of the output is exported to other users not in the department then you must enter the data in the </t>
    </r>
    <r>
      <rPr>
        <b/>
        <sz val="12"/>
        <rFont val="Calibri"/>
        <family val="2"/>
      </rPr>
      <t>CHP</t>
    </r>
    <r>
      <rPr>
        <sz val="12"/>
        <rFont val="Calibri"/>
        <family val="2"/>
      </rPr>
      <t xml:space="preserve"> tab.</t>
    </r>
  </si>
  <si>
    <t>Please refer to the most recent guidance on company reporting of greenhouse gas emissions for further information</t>
  </si>
  <si>
    <t>TRANSPORT EMISSIONS</t>
  </si>
  <si>
    <t>There are three data entry sections required for GGC reporting</t>
  </si>
  <si>
    <r>
      <t>1. Fleet data (i.e. vehicles owned or leased by the department): this can be entered either as</t>
    </r>
    <r>
      <rPr>
        <sz val="12"/>
        <rFont val="Calibri"/>
        <family val="2"/>
      </rPr>
      <t xml:space="preserve"> km travelled in the UK or by the fuel used by vehicles in the fleet in the UK. </t>
    </r>
  </si>
  <si>
    <t>In addition there is there is provision for recording GHG emissions from non domestic (international) travel - This is optional</t>
  </si>
  <si>
    <t>Please  enter the following data:</t>
  </si>
  <si>
    <t>2. Total number of FTE in office buildings only in the period</t>
  </si>
  <si>
    <t>PLEASE DO NOT PRO-RATA THE FTE NUMBER FOR EACH QUARTER - fill in the correct total number of FTEs in each quarter. Calculations already take into account the allocation to each period.</t>
  </si>
  <si>
    <t>Please enter the amount of waste generated in tonnes for each waste disposal stream as indicated in the tab.</t>
  </si>
  <si>
    <t>NB: Waste that is reused is no longer counted as being part of the waste stream</t>
  </si>
  <si>
    <t>EMISSION FACTORS</t>
  </si>
  <si>
    <t>The emission factors for both the baseline year, and the reporting year are already entered in the relevant sheets</t>
  </si>
  <si>
    <t>Electricity consumption  split into Generation (Scope 2) and Transmission and Distribution (Scope 3) to give a more accurate breakdown of Scopes for internal reporting</t>
  </si>
  <si>
    <t xml:space="preserve">For District Heating, the factor used has been split between generation (scope 2) and T&amp;D (Scope 3) </t>
  </si>
  <si>
    <t>If you use any fuels that are not already included in the standard template please relevant emission factors as kgCO2e/kWh (based on gross CV) and state the source in the notes column</t>
  </si>
  <si>
    <t xml:space="preserve">For WDHS,the factor used is that calculated from input and output data to the system provided by OGCbs </t>
  </si>
  <si>
    <t>Re-baselining requests will be considered by the re-baselining panel. Please email below for more details</t>
  </si>
  <si>
    <t>Units / Conversions</t>
  </si>
  <si>
    <t>Transport</t>
  </si>
  <si>
    <t>To convert to kWh</t>
  </si>
  <si>
    <t>To convert from miles to km</t>
  </si>
  <si>
    <t>Original units</t>
  </si>
  <si>
    <t>Conversion factor</t>
  </si>
  <si>
    <t>1 mile =</t>
  </si>
  <si>
    <t>km</t>
  </si>
  <si>
    <t>litres gas oil</t>
  </si>
  <si>
    <t>litres LPG</t>
  </si>
  <si>
    <t>litres fuel oil</t>
  </si>
  <si>
    <t>tonnes coal</t>
  </si>
  <si>
    <t>Return to:</t>
  </si>
  <si>
    <t>If you need to convert from miles to km, go to the Conversions tab or click here</t>
  </si>
  <si>
    <t>4. Every Quarter a copy of this Workbook should be submitted to the Ministerial Support Function.</t>
  </si>
  <si>
    <t>waste reused externally  (excl. ICT waste)</t>
  </si>
  <si>
    <t>Charts</t>
  </si>
  <si>
    <r>
      <t xml:space="preserve">* </t>
    </r>
    <r>
      <rPr>
        <b/>
        <sz val="8"/>
        <rFont val="Calibri"/>
        <family val="2"/>
        <scheme val="minor"/>
      </rPr>
      <t>Note:</t>
    </r>
    <r>
      <rPr>
        <sz val="8"/>
        <rFont val="Calibri"/>
        <family val="2"/>
        <scheme val="minor"/>
      </rPr>
      <t xml:space="preserve"> </t>
    </r>
    <r>
      <rPr>
        <i/>
        <sz val="8"/>
        <rFont val="Calibri"/>
        <family val="2"/>
        <scheme val="minor"/>
      </rPr>
      <t xml:space="preserve">In the UK biofuels are added to virtually all of the transport fuel sold by filling stations (and by most fuel wholesalers) and this has the effect of slightly reducing the greenhouse gas emissions of the fuel. This is reflected in the emission factors above. For fuel purchased at filling stations or obtained from private commercial refuelling  you should use the factor labelled "average biofuel blend" unless you know the biofuel content is higher or lower than average. In this latter case, if you are purchasing pure petrol or diesel which you know has </t>
    </r>
    <r>
      <rPr>
        <b/>
        <i/>
        <sz val="8"/>
        <rFont val="Calibri"/>
        <family val="2"/>
        <scheme val="minor"/>
      </rPr>
      <t>not</t>
    </r>
    <r>
      <rPr>
        <i/>
        <sz val="8"/>
        <rFont val="Calibri"/>
        <family val="2"/>
        <scheme val="minor"/>
      </rPr>
      <t xml:space="preserve"> been blended with biofuels then you should use the factor labelled "100% mineral fuel", or alternative calculate the value for your specific blend based on the percentage of biofuel content in your blend. </t>
    </r>
  </si>
  <si>
    <t>Other (please specify, incl. CO2e factor and notes) (scope 1)</t>
  </si>
  <si>
    <t>Heat from WDHS (Scope 2+3)</t>
  </si>
  <si>
    <t>scope 1</t>
  </si>
  <si>
    <t>scope 3</t>
  </si>
  <si>
    <t>scope 2+3</t>
  </si>
  <si>
    <t>outside</t>
  </si>
  <si>
    <t>tonnes CO2e</t>
  </si>
  <si>
    <t>Total Estate = All Offices?</t>
  </si>
  <si>
    <r>
      <t>m</t>
    </r>
    <r>
      <rPr>
        <b/>
        <vertAlign val="superscript"/>
        <sz val="9"/>
        <rFont val="Calibri"/>
        <family val="2"/>
        <scheme val="minor"/>
      </rPr>
      <t>3</t>
    </r>
    <r>
      <rPr>
        <b/>
        <sz val="9"/>
        <rFont val="Calibri"/>
        <family val="2"/>
        <scheme val="minor"/>
      </rPr>
      <t xml:space="preserve"> </t>
    </r>
  </si>
  <si>
    <t>All offices</t>
  </si>
  <si>
    <t>IMPORTANT CHANGE for 2016/2017</t>
  </si>
  <si>
    <r>
      <t xml:space="preserve">Please follow the instructions in the </t>
    </r>
    <r>
      <rPr>
        <b/>
        <sz val="12"/>
        <rFont val="Calibri"/>
        <family val="2"/>
      </rPr>
      <t xml:space="preserve">Scope </t>
    </r>
    <r>
      <rPr>
        <sz val="12"/>
        <rFont val="Calibri"/>
        <family val="2"/>
      </rPr>
      <t>tab and enter the all organisations/buildings covered for your Department's GGC reporting</t>
    </r>
  </si>
  <si>
    <r>
      <t>1. cubic metres (m</t>
    </r>
    <r>
      <rPr>
        <vertAlign val="superscript"/>
        <sz val="12"/>
        <rFont val="Calibri"/>
        <family val="2"/>
      </rPr>
      <t>3</t>
    </r>
    <r>
      <rPr>
        <sz val="12"/>
        <rFont val="Calibri"/>
        <family val="2"/>
      </rPr>
      <t xml:space="preserve">) of water consumed </t>
    </r>
  </si>
  <si>
    <t>Outside of scopes</t>
  </si>
  <si>
    <t>FLEET OUTSIDE OF SCOPES</t>
  </si>
  <si>
    <t>In order to facilitate the generation of performance metrics for GHGs, water and waste for offices additional data entry may be required this year.</t>
  </si>
  <si>
    <r>
      <rPr>
        <b/>
        <i/>
        <sz val="11"/>
        <rFont val="Calibri"/>
        <family val="2"/>
        <scheme val="minor"/>
      </rPr>
      <t>*</t>
    </r>
    <r>
      <rPr>
        <i/>
        <sz val="11"/>
        <rFont val="Calibri"/>
        <family val="2"/>
        <scheme val="minor"/>
      </rPr>
      <t>Where offices comprise the same portion of the estate as reported as the Benchmarked Office Estate under the Cabinet Office’s State of the Estate (SOFTE) reporting – i.e. administrative offices over 500m3 all in the following categories: Office, HQ Office, Front of House, IT/Data Centre and Call Centre, with a strong recommendation that smaller offices should also be included. Please use the same section of the estate as is currently reported to CO using E-PIMS.</t>
    </r>
  </si>
  <si>
    <t>Annual saving (predicted for Q1-Q3)</t>
  </si>
  <si>
    <t>Department</t>
  </si>
  <si>
    <t>General Guidance on Reporting is provided below these instructions</t>
  </si>
  <si>
    <r>
      <t xml:space="preserve">If your Departmental Estate is comprised of </t>
    </r>
    <r>
      <rPr>
        <b/>
        <sz val="16"/>
        <color theme="1"/>
        <rFont val="Calibri"/>
        <family val="2"/>
        <scheme val="minor"/>
      </rPr>
      <t>Offices only*</t>
    </r>
    <r>
      <rPr>
        <sz val="11"/>
        <color theme="1"/>
        <rFont val="Calibri"/>
        <family val="2"/>
        <scheme val="minor"/>
      </rPr>
      <t xml:space="preserve"> just enter data for the </t>
    </r>
    <r>
      <rPr>
        <b/>
        <sz val="16"/>
        <color theme="1"/>
        <rFont val="Calibri"/>
        <family val="2"/>
        <scheme val="minor"/>
      </rPr>
      <t>Whole Estate</t>
    </r>
    <r>
      <rPr>
        <sz val="11"/>
        <color theme="1"/>
        <rFont val="Calibri"/>
        <family val="2"/>
        <scheme val="minor"/>
      </rPr>
      <t xml:space="preserve"> (i.e., no change from previous years)</t>
    </r>
  </si>
  <si>
    <r>
      <t xml:space="preserve">PLEASE ENTER DATA FOR THE </t>
    </r>
    <r>
      <rPr>
        <u/>
        <sz val="12"/>
        <color theme="1"/>
        <rFont val="Calibri"/>
        <family val="2"/>
        <scheme val="minor"/>
      </rPr>
      <t>WHOLE ESTATE</t>
    </r>
    <r>
      <rPr>
        <sz val="12"/>
        <color theme="1"/>
        <rFont val="Calibri"/>
        <family val="2"/>
        <scheme val="minor"/>
      </rPr>
      <t xml:space="preserve"> IN THE PALE ORANGE CELLS</t>
    </r>
  </si>
  <si>
    <r>
      <t xml:space="preserve">If you Departmental Estate includes </t>
    </r>
    <r>
      <rPr>
        <b/>
        <u/>
        <sz val="16"/>
        <color theme="1"/>
        <rFont val="Calibri"/>
        <family val="2"/>
        <scheme val="minor"/>
      </rPr>
      <t>Any</t>
    </r>
    <r>
      <rPr>
        <b/>
        <sz val="16"/>
        <color theme="1"/>
        <rFont val="Calibri"/>
        <family val="2"/>
        <scheme val="minor"/>
      </rPr>
      <t xml:space="preserve"> Non Office Buildings</t>
    </r>
    <r>
      <rPr>
        <sz val="11"/>
        <color theme="1"/>
        <rFont val="Calibri"/>
        <family val="2"/>
        <scheme val="minor"/>
      </rPr>
      <t xml:space="preserve"> you will need to enter data for the </t>
    </r>
    <r>
      <rPr>
        <b/>
        <sz val="16"/>
        <color theme="1"/>
        <rFont val="Calibri"/>
        <family val="2"/>
        <scheme val="minor"/>
      </rPr>
      <t xml:space="preserve">Whole Estate </t>
    </r>
    <r>
      <rPr>
        <b/>
        <u/>
        <sz val="16"/>
        <color theme="1"/>
        <rFont val="Calibri"/>
        <family val="2"/>
        <scheme val="minor"/>
      </rPr>
      <t>plus</t>
    </r>
    <r>
      <rPr>
        <sz val="11"/>
        <color theme="1"/>
        <rFont val="Calibri"/>
        <family val="2"/>
        <scheme val="minor"/>
      </rPr>
      <t xml:space="preserve"> some additional data for</t>
    </r>
    <r>
      <rPr>
        <b/>
        <sz val="16"/>
        <color theme="1"/>
        <rFont val="Calibri"/>
        <family val="2"/>
        <scheme val="minor"/>
      </rPr>
      <t xml:space="preserve"> Offices only*</t>
    </r>
  </si>
  <si>
    <t>AND</t>
  </si>
  <si>
    <r>
      <t xml:space="preserve">ENTER DATA FOR </t>
    </r>
    <r>
      <rPr>
        <u/>
        <sz val="12"/>
        <color theme="1"/>
        <rFont val="Calibri"/>
        <family val="2"/>
        <scheme val="minor"/>
      </rPr>
      <t>OFFICES ONLY</t>
    </r>
    <r>
      <rPr>
        <sz val="12"/>
        <color theme="1"/>
        <rFont val="Calibri"/>
        <family val="2"/>
        <scheme val="minor"/>
      </rPr>
      <t xml:space="preserve"> IN THE PALE GREEN CELLS</t>
    </r>
  </si>
  <si>
    <t>GENERAL</t>
  </si>
  <si>
    <t>Medium</t>
  </si>
  <si>
    <t>High</t>
  </si>
  <si>
    <t>Low</t>
  </si>
  <si>
    <t>Paper</t>
  </si>
  <si>
    <t>Please use this sheet for additional notes</t>
  </si>
  <si>
    <t>Issue description</t>
  </si>
  <si>
    <t>Issue raised by</t>
  </si>
  <si>
    <t>Date raised</t>
  </si>
  <si>
    <t>Response</t>
  </si>
  <si>
    <t>Response by</t>
  </si>
  <si>
    <t>Date response</t>
  </si>
  <si>
    <t>Electric cars</t>
  </si>
  <si>
    <t>ADDITIONAL</t>
  </si>
  <si>
    <t>* carbon emissions for all domestic and international fights are calculated without RF factor for GGC reporting</t>
  </si>
  <si>
    <t>with RF factor*</t>
  </si>
  <si>
    <t>Other (enter CO2 factor and specify fuel in "Notes")</t>
  </si>
  <si>
    <t>Other 1 (enter CO2 factor and specify fuel in "Notes")</t>
  </si>
  <si>
    <t>Other 2 (enter CO2 factor and specify fuel in "Notes")</t>
  </si>
  <si>
    <t>Other 3 (enter CO2 factor and specify fuel in "Notes")</t>
  </si>
  <si>
    <t>Total emissions</t>
  </si>
  <si>
    <t>Category</t>
  </si>
  <si>
    <t>All issues resolved?</t>
  </si>
  <si>
    <t>Max impact</t>
  </si>
  <si>
    <t>GHG</t>
  </si>
  <si>
    <t>Scale of impact</t>
  </si>
  <si>
    <t xml:space="preserve">Paper </t>
  </si>
  <si>
    <t>Flights</t>
  </si>
  <si>
    <t>&gt;</t>
  </si>
  <si>
    <t>&lt;</t>
  </si>
  <si>
    <t xml:space="preserve">km per flight </t>
  </si>
  <si>
    <t>value limits</t>
  </si>
  <si>
    <t>&lt;= too low</t>
  </si>
  <si>
    <t>&gt;=too low</t>
  </si>
  <si>
    <t>OK</t>
  </si>
  <si>
    <t>completeness</t>
  </si>
  <si>
    <t>Emission Factor check</t>
  </si>
  <si>
    <t>% change from ..</t>
  </si>
  <si>
    <t>Remaining issues</t>
  </si>
  <si>
    <t>Total estate &gt;/= Offices only?</t>
  </si>
  <si>
    <t>Remaining issue</t>
  </si>
  <si>
    <t>missing or new categories</t>
  </si>
  <si>
    <t>Confirm if OK</t>
  </si>
  <si>
    <t>Emission factor</t>
  </si>
  <si>
    <t>Fuel type</t>
  </si>
  <si>
    <t xml:space="preserve"> previous quarter</t>
  </si>
  <si>
    <t>same quarter previous year</t>
  </si>
  <si>
    <t>previous year annual</t>
  </si>
  <si>
    <t>Maximum category impact</t>
  </si>
  <si>
    <t>maximum impact on total GHG</t>
  </si>
  <si>
    <t>Total impact</t>
  </si>
  <si>
    <t>Scale of category impact</t>
  </si>
  <si>
    <t>Change OK</t>
  </si>
  <si>
    <t>m3/FTE = too high or too low?</t>
  </si>
  <si>
    <t>confirm if OK</t>
  </si>
  <si>
    <t>m3/FTE</t>
  </si>
  <si>
    <t>maximum impact on waste</t>
  </si>
  <si>
    <t>maximum impact on total waste</t>
  </si>
  <si>
    <t>maximum impact on paper</t>
  </si>
  <si>
    <t xml:space="preserve">Average Flight distance </t>
  </si>
  <si>
    <t>maximum impact on no. flights</t>
  </si>
  <si>
    <t>CO2e factor (Scope 2)</t>
  </si>
  <si>
    <t xml:space="preserve">tonnes CO2e </t>
  </si>
  <si>
    <t>CO2e factor (Scope 3)</t>
  </si>
  <si>
    <t xml:space="preserve">* Note: In the UK biofuels are added to virtually all of the transport fuel sold by filling stations (and by most fuel wholesalers) and this has the effect of slightly reducing the greenhouse gas emissions of the fuel. This is reflected in the emission factors above. For fuel purchased at filling stations or obtained from private commercial refuelling  you should use the factor labelled "average biofuel blend" unless you know the biofuel content is higher or lower than average. In this latter case, if you are purchasing pure petrol or diesel which you know has not been blended with biofuels then you should use the factor labelled "100% mineral fuel", or alternative calculate the value for your specific blend based on the percentage of biofuel content in your blend. </t>
  </si>
  <si>
    <t>TOTAL DOMESTIC FROM GREY FLEET/HIRE (i.e. employee owned or hire vehicles) (Scope 3)</t>
  </si>
  <si>
    <t>TOTAL FROM DOMESTIC NON FLEET (Scope 3)</t>
  </si>
  <si>
    <t>TOTAL tCO2e FOR GGC REPORTING</t>
  </si>
  <si>
    <t>Warnings</t>
  </si>
  <si>
    <t>ACTIONS TAKEN</t>
  </si>
  <si>
    <t>Have any steps been taken to reduce green house gas emissions this quarter?</t>
  </si>
  <si>
    <t>How much was spent on this?</t>
  </si>
  <si>
    <t>List the measures taken</t>
  </si>
  <si>
    <t>£</t>
  </si>
  <si>
    <t>Information reguarding any energy efficiency measures taken during this quarter.</t>
  </si>
  <si>
    <t>Average distance domestic flights (km)</t>
  </si>
  <si>
    <r>
      <t>m</t>
    </r>
    <r>
      <rPr>
        <b/>
        <vertAlign val="superscript"/>
        <sz val="9"/>
        <rFont val="Calibri"/>
        <family val="2"/>
        <scheme val="minor"/>
      </rPr>
      <t>3</t>
    </r>
    <r>
      <rPr>
        <b/>
        <sz val="9"/>
        <rFont val="Calibri"/>
        <family val="2"/>
        <scheme val="minor"/>
      </rPr>
      <t>/FTE</t>
    </r>
  </si>
  <si>
    <t>Two quarters ago</t>
  </si>
  <si>
    <t>Three quarters ago</t>
  </si>
  <si>
    <t>Date</t>
  </si>
  <si>
    <t>Status set by</t>
  </si>
  <si>
    <t>Importance</t>
  </si>
  <si>
    <t>2017-18</t>
  </si>
  <si>
    <t>TOTAL FLOOR AREA</t>
  </si>
  <si>
    <r>
      <t>m</t>
    </r>
    <r>
      <rPr>
        <b/>
        <vertAlign val="superscript"/>
        <sz val="9"/>
        <rFont val="Calibri"/>
        <family val="2"/>
        <scheme val="minor"/>
      </rPr>
      <t>2</t>
    </r>
  </si>
  <si>
    <t>Total floor area being reported on</t>
  </si>
  <si>
    <t>Average Total floor area being reported on</t>
  </si>
  <si>
    <t>Information regarding any energy efficiency measures taken during this quarter.</t>
  </si>
  <si>
    <t>Max</t>
  </si>
  <si>
    <t>Min</t>
  </si>
  <si>
    <t>Domestic flight distance</t>
  </si>
  <si>
    <t>Validation limits</t>
  </si>
  <si>
    <r>
      <t xml:space="preserve">For CHP, specific factors are calculated by entering the relevant data in the </t>
    </r>
    <r>
      <rPr>
        <b/>
        <sz val="12"/>
        <rFont val="Calibri"/>
        <family val="2"/>
      </rPr>
      <t>CHP</t>
    </r>
    <r>
      <rPr>
        <sz val="12"/>
        <rFont val="Calibri"/>
        <family val="2"/>
      </rPr>
      <t xml:space="preserve"> tab and are calculated in accordance with Defra guidelines.</t>
    </r>
  </si>
  <si>
    <t>Have any steps been taken to reduce green house gas emissions this year?</t>
  </si>
  <si>
    <t>CHP1 Electricity consumed by others (e.g. tenants/sold to grid)</t>
  </si>
  <si>
    <t>CHP1 Heat consumed by others (e.g. tenants/sold to grid)</t>
  </si>
  <si>
    <t>CHP2 Electricity Generated</t>
  </si>
  <si>
    <t>CHP2 Heat Generated</t>
  </si>
  <si>
    <t>CHP2 Electricity delivered by the CHP (losses excluded)</t>
  </si>
  <si>
    <t>CHP2 Heat  delivered by the CHP (losses excluded)</t>
  </si>
  <si>
    <t>CHP2 Electricity consumed by department</t>
  </si>
  <si>
    <t>CHP2 Heat consumed by department</t>
  </si>
  <si>
    <t>CHP2 Heat consumed by others (e.g. tenants/sold to grid)</t>
  </si>
  <si>
    <t>CHP2 Electricity consumed by others (e.g. tenants/sold to grid)</t>
  </si>
  <si>
    <t>CHP3 Electricity Generated</t>
  </si>
  <si>
    <t>CHP3 Heat Generated</t>
  </si>
  <si>
    <t>CHP3 Electricity delivered by the CHP (losses excluded)</t>
  </si>
  <si>
    <t>CHP3 Heat  delivered by the CHP (losses excluded)</t>
  </si>
  <si>
    <t>CHP3 Electricity consumed by department</t>
  </si>
  <si>
    <t>CHP3 Heat consumed by department</t>
  </si>
  <si>
    <t>CHP3 Electricity consumed by others (e.g. tenants/sold to grid)</t>
  </si>
  <si>
    <t>CHP3 Heat consumed by others (e.g. tenants/sold to grid)</t>
  </si>
  <si>
    <t>2.1</t>
  </si>
  <si>
    <t>2.2</t>
  </si>
  <si>
    <t>2.3</t>
  </si>
  <si>
    <t>N</t>
  </si>
  <si>
    <t>Other 4 (enter CO2 factor and specify fuel in "Notes")</t>
  </si>
  <si>
    <t>Other 5 (enter CO2 factor and specify fuel in "Notes")</t>
  </si>
  <si>
    <t xml:space="preserve">WDHS - Scope 2 </t>
  </si>
  <si>
    <t>WDHS - Scope 3 - T&amp;D</t>
  </si>
  <si>
    <t>Total emissions by scope</t>
  </si>
  <si>
    <t>Other 1 (enter CO2 factor and specify scope and fuel in "Notes")</t>
  </si>
  <si>
    <t>Other 2 (enter CO2 factor and specify scope and fuel in "Notes")</t>
  </si>
  <si>
    <t>Other 3 (enter CO2 factor and specify scope and fuel in "Notes")</t>
  </si>
  <si>
    <t>Quarter 1 - 2018-2019</t>
  </si>
  <si>
    <t>Non-Fleet fuel consumption</t>
  </si>
  <si>
    <t>Quarterly Values 2018-19</t>
  </si>
  <si>
    <t>2018-19</t>
  </si>
  <si>
    <t>TOTAL ICT WASTE (excl. waste reused)</t>
  </si>
  <si>
    <r>
      <t xml:space="preserve">TOTAL WASTE </t>
    </r>
    <r>
      <rPr>
        <b/>
        <i/>
        <sz val="8"/>
        <rFont val="Calibri"/>
        <family val="2"/>
        <scheme val="minor"/>
      </rPr>
      <t>NOT</t>
    </r>
    <r>
      <rPr>
        <b/>
        <sz val="8"/>
        <rFont val="Calibri"/>
        <family val="2"/>
        <scheme val="minor"/>
      </rPr>
      <t xml:space="preserve"> TO LANDFILL (excl. waste reused)</t>
    </r>
  </si>
  <si>
    <t>TOTAL WASTE (excl. waste reused)</t>
  </si>
  <si>
    <t>prev yr</t>
  </si>
  <si>
    <t>this yr</t>
  </si>
  <si>
    <t>WDHS scope 2</t>
  </si>
  <si>
    <t>WDHS scope 3</t>
  </si>
  <si>
    <t>2. Owned vehicles (i.e. employee owned/grey fleet vehicles and incl. hired vehicles): enter here the km travelled or the fuel used on business purposes in the UK by employees' owned/leased vehicles (excluding staff commutes).</t>
  </si>
  <si>
    <t>LPG - Average</t>
  </si>
  <si>
    <t>Quarter 2 - 2018-2019</t>
  </si>
  <si>
    <t>Quarter 3 - 2018-2019</t>
  </si>
  <si>
    <t>Quarter 4 - 2018-2019</t>
  </si>
  <si>
    <t>Correction 07/09/2016 - data provided by Joyce Joannes 06/09/2016</t>
  </si>
  <si>
    <t xml:space="preserve">Rigid Commercials: &lt;3000CC </t>
  </si>
  <si>
    <t xml:space="preserve">Rigid Commercials: &gt;3000CC </t>
  </si>
  <si>
    <t>MINISTRY OF JUSTICE (MoJ)</t>
  </si>
  <si>
    <t>PV @ HMP Brixton</t>
  </si>
  <si>
    <t>New grey fleet records made available for first time.  No granualirty by vehicle type avialable at this time.</t>
  </si>
  <si>
    <t>All star fuel cards received; provider suggest this does not duplicate other data.  Fuel card data made available for the first time - which covers off the drop in non-co car mileage.</t>
  </si>
  <si>
    <t>Carbon Smart</t>
  </si>
  <si>
    <t>Gross CV basis from the 2018 Defra conversion factors</t>
  </si>
  <si>
    <t>No data received so Q2 data used as proxy</t>
  </si>
  <si>
    <t>No data received in Q3 so Q2 used as proxy</t>
  </si>
  <si>
    <t>Increase due to new hybrid vehicle in HMCTS and increased mileage of HMPPS hybrid vehicle(s)</t>
  </si>
  <si>
    <t>Increase in use of small petrol car due to HMPPS using this type of vehicle for first time</t>
  </si>
  <si>
    <t>Q1 -3 figures restated upon request of Legal Aid Agency following provision of new data</t>
  </si>
  <si>
    <t>Rigid Commercials: &lt;3000CC. Q3 figures restated after discovery of error in data</t>
  </si>
  <si>
    <t>Rigid Commercials: &gt;3000CC. Q3 figures restated after discovery of error in data</t>
  </si>
  <si>
    <t>Q3 figures restated as actual data now available. Previously had been based on historic data.</t>
  </si>
  <si>
    <t>Q1-3 figures restated following provision of new data</t>
  </si>
  <si>
    <t>Q3 figures restated upon request of Legal Aid Agency following provision of new data</t>
  </si>
  <si>
    <t>ok</t>
  </si>
  <si>
    <t>Restated in Q4 due to new data from OPG (23/7/19)</t>
  </si>
  <si>
    <t>Restated following provision of new data by OPG (23/7/19)</t>
  </si>
  <si>
    <t>Annual - 2018-2019</t>
  </si>
  <si>
    <t>Annual - 2019-2020</t>
  </si>
  <si>
    <t>2018-2019</t>
  </si>
  <si>
    <t>Q1-19</t>
  </si>
  <si>
    <t>Q2-19</t>
  </si>
  <si>
    <t>Q3-19</t>
  </si>
  <si>
    <t>Q4-19</t>
  </si>
  <si>
    <t>Annual Performance - 2019-20</t>
  </si>
  <si>
    <t>2019-20</t>
  </si>
  <si>
    <t>% reduction 2019-20</t>
  </si>
  <si>
    <t>Quarterly Values 2019-20</t>
  </si>
  <si>
    <t>QUARTERLY REPORTING 2019-2020</t>
  </si>
  <si>
    <t>Q1   1st April 2019 - 30th June 2019</t>
  </si>
  <si>
    <t>Q2   1st July 2019 - 30th September 2019</t>
  </si>
  <si>
    <t>Q3   1st October 2019 - 31st December 2019</t>
  </si>
  <si>
    <t>Q4   1st January 2020 - 31st March 2020</t>
  </si>
  <si>
    <t>3. The 2019-2020 and Target Performance tabs will be populated by the Quarterly data tabs.</t>
  </si>
  <si>
    <t>Quarter 1 - 2019-2020</t>
  </si>
  <si>
    <t>Quarter 2 - 2019-2020</t>
  </si>
  <si>
    <t>Quarter 3 - 2019-2020</t>
  </si>
  <si>
    <t>Quarter 4 - 2019-2020</t>
  </si>
  <si>
    <t>Rigid Commercials: &lt;3000CC</t>
  </si>
  <si>
    <t>Rigid Commercials: &gt;3000CC</t>
  </si>
  <si>
    <t>Burning oil - DEFRA 2019 conversion factor</t>
  </si>
  <si>
    <t>PV @ HMP Brixton. Data for Q1-20 missing so Q1-19 data used as estimate as this is based on actual data and accounts for seasonality</t>
  </si>
  <si>
    <t>First time first class flight has been recorded. Deemed legitimate record based on data completeness and distance travelled.</t>
  </si>
  <si>
    <t>Several return long haul economy journeys to Perth and Delhi in June explains increase</t>
  </si>
  <si>
    <t>Change in data collection process for Prison WMMS data has led to fluctuations in this data. Currently being investigated ahead of Q2 reporting.</t>
  </si>
  <si>
    <t>Shift away from diesel vehicles for increased use of hybrid vehicles explains downward trend</t>
  </si>
  <si>
    <t>Shift away from diesel vehicles for increased use of hybrid vehicles explains upward trend</t>
  </si>
  <si>
    <t>Decrease relative to same period last year appears to be result from no LPG being require at HMP Prescoed (there has been a concurrent increase in the use of gas oil) and ~30% decrease in LPG consumption at both HMP Huntercombe and HMP Full Sutton</t>
  </si>
  <si>
    <t>No gas oil figures reported for HMP Full Sutton (~2.3MWh in Q1-20) in Q1-19, which largely accounts for the 74% increase on the same period of the previous year</t>
  </si>
  <si>
    <t>Fluctuation from Q4-19 largely driven by CAFCASS reporting figures for Long Haul Int'l. Business for the first time. Currently being investigated.</t>
  </si>
  <si>
    <t>Jack Bateson</t>
  </si>
  <si>
    <t>Significant decrease</t>
  </si>
  <si>
    <t>Purchased energy</t>
  </si>
  <si>
    <t>Significant decrease in office energy consumption</t>
  </si>
  <si>
    <t>Significant increase</t>
  </si>
  <si>
    <t>Public transport emissions</t>
  </si>
  <si>
    <t>Tenfold increase in use of London Underground</t>
  </si>
  <si>
    <t>Missing data</t>
  </si>
  <si>
    <t>Fleet emissions</t>
  </si>
  <si>
    <t>Fleet fuel consumption - "No data received from All-Star for Q1-20 so Q4-19 data used as estimate as most recent complete record"</t>
  </si>
  <si>
    <t>82% drop in externally reused waste, "Change in data collection process for Prison WMMS data has led to fluctuations in this data. Currently being investigated ahead of Q2 reporting."</t>
  </si>
  <si>
    <t>ICT waste recycled externally still at increased level seen in Q4</t>
  </si>
  <si>
    <t>(Gas Oil) "No gas oil figures reported for HMP Full Sutton (~2.3MWh in Q1-20) in Q1-19, which largely accounts for the 74% increase on the same period of the previous year"</t>
  </si>
  <si>
    <t>No action required</t>
  </si>
  <si>
    <t>MoJ</t>
  </si>
  <si>
    <t>(LPG) "Decrease relative to same period last year appears to be result from no LPG being require at HMP Prescoed (there has been a concurrent increase in the use of gas oil) and ~30% decrease in LPG consumption at both HMP Huntercombe and HMP Full Sutton"</t>
  </si>
  <si>
    <t>Biomass identical to Q1 last year; is this being used as an estimate?</t>
  </si>
  <si>
    <t>Unresolved</t>
  </si>
  <si>
    <t>Self generated energy</t>
  </si>
  <si>
    <t>"PV @ HMP Brixton. Data for Q1-20 missing so Q1-19 data used as estimate as this is based on actual data and accounts for seasonality"</t>
  </si>
  <si>
    <t>Small petrol car value is identical to previous quarter, is this being used as an estimate?</t>
  </si>
  <si>
    <t>Other1 ("Rigid Commercials: &lt;3000CC")  9% above previous quarter, which was the maximum for last year.</t>
  </si>
  <si>
    <t>Non-fleet emissions</t>
  </si>
  <si>
    <t>identical to Q1 last year; is this being used as an estimate?</t>
  </si>
  <si>
    <t>15% increase in domestic flights on the previous quarter, 44% higher than average for previous year.</t>
  </si>
  <si>
    <t>Total waste to landfill up by 23% on previous quarter, ("23% increase driven by 44% increase of landfill waste across HMCTS estate. Currently being investigated.") recycled waste also increased 6% over the previous quarter, which was the maximum for the year.</t>
  </si>
  <si>
    <t>open</t>
  </si>
  <si>
    <t>GGC reporting template 2019-20 v4a (24/09/2019)</t>
  </si>
  <si>
    <t>closed</t>
  </si>
  <si>
    <t>Correct - continues to be estimated based on mileage for the same period in the previous year as no data received for three successive quarters. Efforts being made to secure actual data.</t>
  </si>
  <si>
    <t>Reported accurately. There has since been a 20% reduction, relative to Q1, in Q2 2019-20 in the number of domestic flights and an 18% reduction in the associated distance.</t>
  </si>
  <si>
    <t>Due to seasonality of gas consumption. Significantly reduced demand at large office sites including 102 Petty France, Clive House and 10 South Colonnade.</t>
  </si>
  <si>
    <t>Q1 2019-20 saw the collection and reporting of London Underground data for HMCTS, HMPPS, Legal Aid Agency and Ministry of Justice 'core' for the first time.</t>
  </si>
  <si>
    <t>Data received for Q2 2019-20 negating the need for estimations going forward.</t>
  </si>
  <si>
    <t>This has been investigated and there is now greater familiarity across the custodial estate with the altered data collection process. It is expected that there will be an increase in reported waste of this type in Q2 and subsequent quarters.</t>
  </si>
  <si>
    <t>Fluctuates as a result of works programmes across the MoJ estate i.e. IT upgrades. This fluctuation is expected to continue.</t>
  </si>
  <si>
    <t>HCMTS landfill waste continues to fluctuate and has since fallen 21% in Q2 2019-20 relative to Q1. This continues to be investigated.</t>
  </si>
  <si>
    <t>Chris Guest</t>
  </si>
  <si>
    <t>Increase of 4% from Q2 18-19</t>
  </si>
  <si>
    <t>Decrease of 4% from Q2 18-19</t>
  </si>
  <si>
    <t>Currently under investigation</t>
  </si>
  <si>
    <t>Declines for HMPS and HMCTS, however still in line with typical fluctuations</t>
  </si>
  <si>
    <t>Minimal differences when compared to Q2 18-19</t>
  </si>
  <si>
    <t>Small number of flights, therefore high amount of fluctuation between quarters.</t>
  </si>
  <si>
    <t>Decline driven by MOJ. Currently under investgation.</t>
  </si>
  <si>
    <t>Q1 very high due to a large clear out by Petty France.</t>
  </si>
  <si>
    <t>Restated in Q2 19-20 due to discovery of double counting for Clive House electricity. Impact has been to reduce consumption by 0.2% relative to originally reported figure.</t>
  </si>
  <si>
    <t>Restated in Q2 19-20 due to discovery of double counting for Clive House electricity. Impact has been to reduce consumption by 0.5% relative to originally reported figure.</t>
  </si>
  <si>
    <t>Restated in Q2 19-20 due to discovery of double counting for Clive House electricity. Impact has been to reduce consumption by 0.04% relative to originally reported figure.</t>
  </si>
  <si>
    <t>Rigid Commercials: &lt;3000CC. Restated in Q2 1920 following provision of data from All Star (originally estimated) for HMPPS and HMCTS. New figure represents a 9% increase compared to the originally reported figure.</t>
  </si>
  <si>
    <t>No data received from All-Star for Q1-1920 so Q4-1819 data origianlly used as estimate. Since restated in Q2 19-20, which has led to a 543% increase. Currently being investigated as figures for 18-19 believed to be incorrect.</t>
  </si>
  <si>
    <t>No data received from All-Star for Q1-1920 so Q4-1819 data origianlly used as estimate. Since restated in Q2 19-20, which has led to a 268% increase. Currently being investigated as figures for 18-19 believed to be incorrect.</t>
  </si>
  <si>
    <t>Restated in Q2 19-20 due to double counting of Legal Aid Agency flights. Flight distance now down 2% relative to originally reported figure.</t>
  </si>
  <si>
    <t>Restated in Q2 19-20 due to double counting of Legal Aid Agency flights. Flight numbers now down 2% relative to originally reported figure.</t>
  </si>
  <si>
    <t>Restated in Q2 19-20 due to discovery of double counting for Clive House water and incorrect apportionment for 102 Petty France. Impact has been to reduce consumption by 0.3% relative to originally reported figure.</t>
  </si>
  <si>
    <t>Restated in Q2 19-20 due to discovery of double counting for Clive House, update to data for HMPS north estate (previously estimated). Decreaseof -70.8% relative to originally reported figure.</t>
  </si>
  <si>
    <t>Restated in Q2 19-20 due to discovery of double counting for Clive House, update to data for HMPS north estate (previously estimated). Increase of 4.8% relative to originally reported figure.</t>
  </si>
  <si>
    <t>Restated in Q2 19-20 due to discovery of double counting for Clive House, update to data for HMPS north estate (previously estimated). Decrease of -3.6% relative to originally reported figure.</t>
  </si>
  <si>
    <t>Restated in Q2 19-20 due to discovery of double counting for Clive House, update to data for HMPS north estate (previously estimated). Decrease of -20.7% relative to originally reported figure, and now down -3% relative to previous quarter.</t>
  </si>
  <si>
    <t>Q2 19-20 restatements have had the impact of reducing total waste by -6.8% relative to originally reported figure, and now represents a -2% decrease on the previous quarter.</t>
  </si>
  <si>
    <t xml:space="preserve">Restated in Q2 19-20 due to discovery of double counting for Clive House, update to data for HMPS north estate (previously estimated), and discovery of unprocessed data. </t>
  </si>
  <si>
    <t>No consumption data was received for HMP Huntercombe, believed to have not purchased LPG this quarter hence reduction relative to same period in 18-19.</t>
  </si>
  <si>
    <t>Burning oil - DEFRA 2019 conversion factor. Seasonal estimate applied as no data received.</t>
  </si>
  <si>
    <t>Following trend in increasing hybrid mileage across HMCTS and HMPS as MoJ moves towards great use of low-emission vehicles</t>
  </si>
  <si>
    <t>No data received so Q1 19-20 value used as estimate</t>
  </si>
  <si>
    <t>16% increase on previous quarter driven by receipt of HMCTS data for the first time in several quarters</t>
  </si>
  <si>
    <t>Increase of 352% on previous quarter. However, Q1 was anomolously low. This quarter is more inline with previous quarters, though totals tend to fluctuate significantly each quarter</t>
  </si>
  <si>
    <t>ISSUE 1: No action required</t>
  </si>
  <si>
    <t>ISSUE 2: No action required</t>
  </si>
  <si>
    <t>ISSUE 3: Yes - being used as a seasonal estimate as no data received</t>
  </si>
  <si>
    <t>ISSUE 4: As above, seasonal estimate used</t>
  </si>
  <si>
    <t>ISSUE 5: Yes, continues to be estimated (and is again in Q2 2019-20). As the reported mileage for this vehicle type is immaterial relative to the total fleet mileage it has not been considered a priority for identifying updated data, although attempts will continue to be made to do so.</t>
  </si>
  <si>
    <t>ISSUE 6: Reported accurately and as a result of increased vehicle mileage. Q2 figure is down 9% on Q1 and more in line with previous quarters.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</si>
</sst>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0.0000"/>
    <numFmt numFmtId="169" formatCode="_-* #,##0_-;\-* #,##0_-;_-* &quot;-&quot;??_-;_-@_-"/>
    <numFmt numFmtId="170" formatCode="_-* #,##0.0000_-;\-* #,##0.0000_-;_-* &quot;-&quot;??_-;_-@_-"/>
    <numFmt numFmtId="171" formatCode="#,##0.000000000"/>
    <numFmt numFmtId="172" formatCode="#,##0.0"/>
    <numFmt numFmtId="173" formatCode="#,##0.000"/>
    <numFmt numFmtId="174" formatCode="#,##0.0000"/>
    <numFmt numFmtId="175" formatCode="0.0%"/>
    <numFmt numFmtId="176" formatCode="0.000"/>
    <numFmt numFmtId="177" formatCode="_-[$€-2]* #,##0.00_-;\-[$€-2]* #,##0.00_-;_-[$€-2]* &quot;-&quot;??_-"/>
    <numFmt numFmtId="178" formatCode="[&gt;0.5]#,##0;[&lt;-0.5]\-#,##0;\-"/>
    <numFmt numFmtId="179" formatCode="_-* #,##0\ _F_-;\-* #,##0\ _F_-;_-* &quot;-&quot;\ _F_-;_-@_-"/>
    <numFmt numFmtId="180" formatCode="_-* #,##0.00\ _F_-;\-* #,##0.00\ _F_-;_-* &quot;-&quot;??\ _F_-;_-@_-"/>
    <numFmt numFmtId="181" formatCode="_-* #,##0\ &quot;F&quot;_-;\-* #,##0\ &quot;F&quot;_-;_-* &quot;-&quot;\ &quot;F&quot;_-;_-@_-"/>
    <numFmt numFmtId="182" formatCode="_-* #,##0.00\ &quot;F&quot;_-;\-* #,##0.00\ &quot;F&quot;_-;_-* &quot;-&quot;??\ &quot;F&quot;_-;_-@_-"/>
    <numFmt numFmtId="183" formatCode="###.0"/>
    <numFmt numFmtId="184" formatCode="##.0"/>
    <numFmt numFmtId="185" formatCode="#,###,##0"/>
    <numFmt numFmtId="186" formatCode="_-&quot;öS&quot;\ * #,##0_-;\-&quot;öS&quot;\ * #,##0_-;_-&quot;öS&quot;\ * &quot;-&quot;_-;_-@_-"/>
    <numFmt numFmtId="187" formatCode="_-&quot;öS&quot;\ * #,##0.00_-;\-&quot;öS&quot;\ * #,##0.00_-;_-&quot;öS&quot;\ * &quot;-&quot;??_-;_-@_-"/>
  </numFmts>
  <fonts count="136" x14ac:knownFonts="1">
    <font>
      <sz val="11"/>
      <color theme="1"/>
      <name val="Calibri"/>
      <family val="2"/>
      <scheme val="minor"/>
    </font>
    <font>
      <sz val="11"/>
      <color theme="1"/>
      <name val="Calibri"/>
      <family val="2"/>
      <scheme val="minor"/>
    </font>
    <font>
      <sz val="11"/>
      <color rgb="FF9C0006"/>
      <name val="Calibri"/>
      <family val="2"/>
      <scheme val="minor"/>
    </font>
    <font>
      <b/>
      <sz val="11"/>
      <color theme="1"/>
      <name val="Calibri"/>
      <family val="2"/>
      <scheme val="minor"/>
    </font>
    <font>
      <sz val="10"/>
      <name val="Arial"/>
      <family val="2"/>
    </font>
    <font>
      <sz val="10"/>
      <name val="Calibri"/>
      <family val="2"/>
      <scheme val="minor"/>
    </font>
    <font>
      <sz val="10"/>
      <color theme="0"/>
      <name val="Calibri"/>
      <family val="2"/>
      <scheme val="minor"/>
    </font>
    <font>
      <b/>
      <sz val="16"/>
      <name val="Calibri"/>
      <family val="2"/>
      <scheme val="minor"/>
    </font>
    <font>
      <b/>
      <sz val="14"/>
      <name val="Calibri"/>
      <family val="2"/>
      <scheme val="minor"/>
    </font>
    <font>
      <u/>
      <sz val="10"/>
      <name val="Calibri"/>
      <family val="2"/>
      <scheme val="minor"/>
    </font>
    <font>
      <sz val="10"/>
      <color rgb="FF9C0006"/>
      <name val="Calibri"/>
      <family val="2"/>
      <scheme val="minor"/>
    </font>
    <font>
      <b/>
      <sz val="18"/>
      <name val="Calibri"/>
      <family val="2"/>
      <scheme val="minor"/>
    </font>
    <font>
      <b/>
      <sz val="16"/>
      <color theme="0"/>
      <name val="Calibri"/>
      <family val="2"/>
      <scheme val="minor"/>
    </font>
    <font>
      <b/>
      <sz val="18"/>
      <color indexed="9"/>
      <name val="Calibri"/>
      <family val="2"/>
      <scheme val="minor"/>
    </font>
    <font>
      <b/>
      <sz val="6"/>
      <color indexed="9"/>
      <name val="Calibri"/>
      <family val="2"/>
      <scheme val="minor"/>
    </font>
    <font>
      <b/>
      <sz val="12"/>
      <color indexed="9"/>
      <name val="Calibri"/>
      <family val="2"/>
      <scheme val="minor"/>
    </font>
    <font>
      <b/>
      <sz val="12"/>
      <color theme="0"/>
      <name val="Calibri"/>
      <family val="2"/>
      <scheme val="minor"/>
    </font>
    <font>
      <sz val="12"/>
      <color theme="0"/>
      <name val="Calibri"/>
      <family val="2"/>
      <scheme val="minor"/>
    </font>
    <font>
      <b/>
      <sz val="12"/>
      <color theme="3" tint="-0.499984740745262"/>
      <name val="Calibri"/>
      <family val="2"/>
      <scheme val="minor"/>
    </font>
    <font>
      <sz val="12"/>
      <color theme="3" tint="-0.499984740745262"/>
      <name val="Calibri"/>
      <family val="2"/>
      <scheme val="minor"/>
    </font>
    <font>
      <u/>
      <sz val="10"/>
      <color indexed="12"/>
      <name val="Arial"/>
      <family val="2"/>
    </font>
    <font>
      <u/>
      <sz val="10"/>
      <color indexed="12"/>
      <name val="Calibri"/>
      <family val="2"/>
      <scheme val="minor"/>
    </font>
    <font>
      <b/>
      <sz val="10"/>
      <name val="Calibri"/>
      <family val="2"/>
      <scheme val="minor"/>
    </font>
    <font>
      <b/>
      <sz val="9"/>
      <name val="Calibri"/>
      <family val="2"/>
      <scheme val="minor"/>
    </font>
    <font>
      <b/>
      <vertAlign val="subscript"/>
      <sz val="9"/>
      <name val="Calibri"/>
      <family val="2"/>
      <scheme val="minor"/>
    </font>
    <font>
      <b/>
      <sz val="8"/>
      <color indexed="18"/>
      <name val="Calibri"/>
      <family val="2"/>
      <scheme val="minor"/>
    </font>
    <font>
      <sz val="8"/>
      <name val="Calibri"/>
      <family val="2"/>
      <scheme val="minor"/>
    </font>
    <font>
      <u/>
      <sz val="8"/>
      <color indexed="12"/>
      <name val="Calibri"/>
      <family val="2"/>
      <scheme val="minor"/>
    </font>
    <font>
      <b/>
      <sz val="8"/>
      <name val="Calibri"/>
      <family val="2"/>
      <scheme val="minor"/>
    </font>
    <font>
      <sz val="9"/>
      <name val="Calibri"/>
      <family val="2"/>
      <scheme val="minor"/>
    </font>
    <font>
      <b/>
      <u/>
      <sz val="10"/>
      <name val="Calibri"/>
      <family val="2"/>
      <scheme val="minor"/>
    </font>
    <font>
      <i/>
      <sz val="8"/>
      <name val="Calibri"/>
      <family val="2"/>
      <scheme val="minor"/>
    </font>
    <font>
      <b/>
      <i/>
      <sz val="8"/>
      <name val="Calibri"/>
      <family val="2"/>
      <scheme val="minor"/>
    </font>
    <font>
      <sz val="10"/>
      <color theme="8" tint="0.79998168889431442"/>
      <name val="Calibri"/>
      <family val="2"/>
      <scheme val="minor"/>
    </font>
    <font>
      <b/>
      <vertAlign val="subscript"/>
      <sz val="10"/>
      <name val="Calibri"/>
      <family val="2"/>
      <scheme val="minor"/>
    </font>
    <font>
      <sz val="10"/>
      <color indexed="9"/>
      <name val="Calibri"/>
      <family val="2"/>
      <scheme val="minor"/>
    </font>
    <font>
      <b/>
      <vertAlign val="superscript"/>
      <sz val="9"/>
      <name val="Calibri"/>
      <family val="2"/>
      <scheme val="minor"/>
    </font>
    <font>
      <b/>
      <i/>
      <sz val="10"/>
      <name val="Calibri"/>
      <family val="2"/>
      <scheme val="minor"/>
    </font>
    <font>
      <i/>
      <sz val="10"/>
      <name val="Calibri"/>
      <family val="2"/>
      <scheme val="minor"/>
    </font>
    <font>
      <b/>
      <sz val="11"/>
      <name val="Calibri"/>
      <family val="2"/>
      <scheme val="minor"/>
    </font>
    <font>
      <b/>
      <i/>
      <sz val="9"/>
      <name val="Calibri"/>
      <family val="2"/>
      <scheme val="minor"/>
    </font>
    <font>
      <b/>
      <i/>
      <vertAlign val="subscript"/>
      <sz val="9"/>
      <name val="Calibri"/>
      <family val="2"/>
      <scheme val="minor"/>
    </font>
    <font>
      <b/>
      <sz val="11"/>
      <color indexed="9"/>
      <name val="Calibri"/>
      <family val="2"/>
      <scheme val="minor"/>
    </font>
    <font>
      <sz val="10"/>
      <color theme="9" tint="-0.249977111117893"/>
      <name val="Calibri"/>
      <family val="2"/>
      <scheme val="minor"/>
    </font>
    <font>
      <sz val="16"/>
      <name val="Calibri"/>
      <family val="2"/>
      <scheme val="minor"/>
    </font>
    <font>
      <sz val="10"/>
      <color theme="8" tint="-0.249977111117893"/>
      <name val="Calibri"/>
      <family val="2"/>
      <scheme val="minor"/>
    </font>
    <font>
      <sz val="10"/>
      <color indexed="49"/>
      <name val="Calibri"/>
      <family val="2"/>
      <scheme val="minor"/>
    </font>
    <font>
      <b/>
      <i/>
      <sz val="12"/>
      <name val="Calibri"/>
      <family val="2"/>
      <scheme val="minor"/>
    </font>
    <font>
      <b/>
      <sz val="10"/>
      <color theme="8" tint="-0.249977111117893"/>
      <name val="Calibri"/>
      <family val="2"/>
      <scheme val="minor"/>
    </font>
    <font>
      <b/>
      <sz val="12"/>
      <name val="Calibri"/>
      <family val="2"/>
      <scheme val="minor"/>
    </font>
    <font>
      <sz val="10"/>
      <color theme="1"/>
      <name val="Calibri"/>
      <family val="2"/>
      <scheme val="minor"/>
    </font>
    <font>
      <b/>
      <sz val="9"/>
      <color indexed="8"/>
      <name val="Calibri"/>
      <family val="2"/>
      <scheme val="minor"/>
    </font>
    <font>
      <b/>
      <vertAlign val="subscript"/>
      <sz val="9"/>
      <color indexed="8"/>
      <name val="Calibri"/>
      <family val="2"/>
      <scheme val="minor"/>
    </font>
    <font>
      <sz val="10"/>
      <color theme="3" tint="-0.499984740745262"/>
      <name val="Calibri"/>
      <family val="2"/>
      <scheme val="minor"/>
    </font>
    <font>
      <b/>
      <sz val="16"/>
      <color theme="0" tint="-0.499984740745262"/>
      <name val="Calibri"/>
      <family val="2"/>
      <scheme val="minor"/>
    </font>
    <font>
      <b/>
      <sz val="9"/>
      <color theme="0" tint="-0.499984740745262"/>
      <name val="Calibri"/>
      <family val="2"/>
      <scheme val="minor"/>
    </font>
    <font>
      <b/>
      <vertAlign val="subscript"/>
      <sz val="9"/>
      <color theme="0" tint="-0.499984740745262"/>
      <name val="Calibri"/>
      <family val="2"/>
      <scheme val="minor"/>
    </font>
    <font>
      <sz val="10"/>
      <color theme="0" tint="-0.499984740745262"/>
      <name val="Calibri"/>
      <family val="2"/>
      <scheme val="minor"/>
    </font>
    <font>
      <b/>
      <sz val="10"/>
      <color theme="0" tint="-0.499984740745262"/>
      <name val="Calibri"/>
      <family val="2"/>
      <scheme val="minor"/>
    </font>
    <font>
      <sz val="12"/>
      <name val="Calibri"/>
      <family val="2"/>
      <scheme val="minor"/>
    </font>
    <font>
      <sz val="11"/>
      <name val="Calibri"/>
      <family val="2"/>
      <scheme val="minor"/>
    </font>
    <font>
      <b/>
      <sz val="12"/>
      <name val="Calibri"/>
      <family val="2"/>
    </font>
    <font>
      <sz val="12"/>
      <name val="Calibri"/>
      <family val="2"/>
    </font>
    <font>
      <b/>
      <sz val="11"/>
      <name val="Calibri"/>
      <family val="2"/>
    </font>
    <font>
      <sz val="11"/>
      <name val="Calibri"/>
      <family val="2"/>
    </font>
    <font>
      <vertAlign val="superscript"/>
      <sz val="11"/>
      <name val="Calibri"/>
      <family val="2"/>
    </font>
    <font>
      <sz val="7"/>
      <name val="Calibri"/>
      <family val="2"/>
    </font>
    <font>
      <b/>
      <sz val="14"/>
      <name val="Calibri"/>
      <family val="2"/>
    </font>
    <font>
      <sz val="14"/>
      <name val="Calibri"/>
      <family val="2"/>
      <scheme val="minor"/>
    </font>
    <font>
      <i/>
      <sz val="12"/>
      <name val="Calibri"/>
      <family val="2"/>
      <scheme val="minor"/>
    </font>
    <font>
      <u/>
      <sz val="12"/>
      <name val="Calibri"/>
      <family val="2"/>
      <scheme val="minor"/>
    </font>
    <font>
      <u/>
      <sz val="12"/>
      <color indexed="12"/>
      <name val="Arial"/>
      <family val="2"/>
    </font>
    <font>
      <u/>
      <sz val="12"/>
      <color rgb="FF0000FF"/>
      <name val="Calibri"/>
      <family val="2"/>
      <scheme val="minor"/>
    </font>
    <font>
      <u/>
      <sz val="12"/>
      <name val="Calibri"/>
      <family val="2"/>
    </font>
    <font>
      <vertAlign val="superscript"/>
      <sz val="12"/>
      <name val="Calibri"/>
      <family val="2"/>
    </font>
    <font>
      <b/>
      <sz val="14"/>
      <color rgb="FF4151ED"/>
      <name val="Calibri"/>
      <family val="2"/>
      <scheme val="minor"/>
    </font>
    <font>
      <sz val="11"/>
      <color rgb="FF4151ED"/>
      <name val="Calibri"/>
      <family val="2"/>
      <scheme val="minor"/>
    </font>
    <font>
      <b/>
      <sz val="16"/>
      <color theme="8" tint="0.79998168889431442"/>
      <name val="Calibri"/>
      <family val="2"/>
      <scheme val="minor"/>
    </font>
    <font>
      <b/>
      <sz val="12"/>
      <color theme="8" tint="0.79998168889431442"/>
      <name val="Calibri"/>
      <family val="2"/>
      <scheme val="minor"/>
    </font>
    <font>
      <b/>
      <sz val="11"/>
      <color theme="8" tint="0.79998168889431442"/>
      <name val="Calibri"/>
      <family val="2"/>
      <scheme val="minor"/>
    </font>
    <font>
      <b/>
      <sz val="18"/>
      <color theme="0"/>
      <name val="Calibri"/>
      <family val="2"/>
      <scheme val="minor"/>
    </font>
    <font>
      <i/>
      <sz val="11"/>
      <name val="Calibri"/>
      <family val="2"/>
      <scheme val="minor"/>
    </font>
    <font>
      <b/>
      <i/>
      <sz val="11"/>
      <name val="Calibri"/>
      <family val="2"/>
      <scheme val="minor"/>
    </font>
    <font>
      <sz val="11"/>
      <color theme="0" tint="-4.9989318521683403E-2"/>
      <name val="Calibri"/>
      <family val="2"/>
      <scheme val="minor"/>
    </font>
    <font>
      <b/>
      <sz val="16"/>
      <color theme="1"/>
      <name val="Calibri"/>
      <family val="2"/>
      <scheme val="minor"/>
    </font>
    <font>
      <b/>
      <sz val="18"/>
      <color theme="1"/>
      <name val="Calibri"/>
      <family val="2"/>
      <scheme val="minor"/>
    </font>
    <font>
      <sz val="12"/>
      <color theme="1"/>
      <name val="Calibri"/>
      <family val="2"/>
      <scheme val="minor"/>
    </font>
    <font>
      <sz val="16"/>
      <color theme="4" tint="-0.249977111117893"/>
      <name val="Calibri"/>
      <family val="2"/>
      <scheme val="minor"/>
    </font>
    <font>
      <u/>
      <sz val="12"/>
      <color theme="1"/>
      <name val="Calibri"/>
      <family val="2"/>
      <scheme val="minor"/>
    </font>
    <font>
      <b/>
      <u/>
      <sz val="16"/>
      <color theme="1"/>
      <name val="Calibri"/>
      <family val="2"/>
      <scheme val="minor"/>
    </font>
    <font>
      <b/>
      <sz val="12"/>
      <color theme="1"/>
      <name val="Calibri"/>
      <family val="2"/>
      <scheme val="minor"/>
    </font>
    <font>
      <b/>
      <sz val="10"/>
      <color theme="0"/>
      <name val="Calibri"/>
      <family val="2"/>
      <scheme val="minor"/>
    </font>
    <font>
      <b/>
      <sz val="10"/>
      <color indexed="9"/>
      <name val="Calibri"/>
      <family val="2"/>
      <scheme val="minor"/>
    </font>
    <font>
      <b/>
      <sz val="10"/>
      <color theme="3" tint="-0.499984740745262"/>
      <name val="Calibri"/>
      <family val="2"/>
      <scheme val="minor"/>
    </font>
    <font>
      <b/>
      <sz val="10"/>
      <color indexed="18"/>
      <name val="Calibri"/>
      <family val="2"/>
      <scheme val="minor"/>
    </font>
    <font>
      <sz val="10"/>
      <color rgb="FFFF0000"/>
      <name val="Calibri"/>
      <family val="2"/>
      <scheme val="minor"/>
    </font>
    <font>
      <b/>
      <sz val="9"/>
      <color theme="0"/>
      <name val="Calibri"/>
      <family val="2"/>
      <scheme val="minor"/>
    </font>
    <font>
      <sz val="8"/>
      <name val="Helv"/>
    </font>
    <font>
      <sz val="8"/>
      <name val="Arial"/>
      <family val="2"/>
    </font>
    <font>
      <sz val="12"/>
      <color indexed="52"/>
      <name val="Arial"/>
      <family val="2"/>
    </font>
    <font>
      <sz val="10"/>
      <name val="Arial Cyr"/>
      <charset val="204"/>
    </font>
    <font>
      <b/>
      <sz val="10"/>
      <color indexed="8"/>
      <name val="Arial"/>
      <family val="2"/>
    </font>
    <font>
      <b/>
      <sz val="9"/>
      <name val="Times New Roman"/>
      <family val="1"/>
    </font>
    <font>
      <b/>
      <sz val="12"/>
      <name val="Helv"/>
    </font>
    <font>
      <b/>
      <sz val="15"/>
      <color indexed="56"/>
      <name val="Arial"/>
      <family val="2"/>
    </font>
    <font>
      <i/>
      <sz val="12"/>
      <name val="Times New Roman"/>
      <family val="1"/>
    </font>
    <font>
      <b/>
      <sz val="13"/>
      <color indexed="56"/>
      <name val="Arial"/>
      <family val="2"/>
    </font>
    <font>
      <b/>
      <sz val="11"/>
      <color indexed="56"/>
      <name val="Arial"/>
      <family val="2"/>
    </font>
    <font>
      <sz val="12"/>
      <color indexed="20"/>
      <name val="Arial"/>
      <family val="2"/>
    </font>
    <font>
      <b/>
      <sz val="12"/>
      <color indexed="52"/>
      <name val="Arial"/>
      <family val="2"/>
    </font>
    <font>
      <sz val="12"/>
      <color indexed="10"/>
      <name val="Arial"/>
      <family val="2"/>
    </font>
    <font>
      <sz val="14"/>
      <name val="Arial"/>
      <family val="2"/>
    </font>
    <font>
      <b/>
      <sz val="10"/>
      <color indexed="18"/>
      <name val="Arial"/>
      <family val="2"/>
    </font>
    <font>
      <sz val="11"/>
      <color indexed="8"/>
      <name val="Arial"/>
      <family val="2"/>
    </font>
    <font>
      <sz val="10"/>
      <name val="Times New Roman"/>
      <family val="1"/>
    </font>
    <font>
      <b/>
      <sz val="12"/>
      <color indexed="8"/>
      <name val="Arial"/>
      <family val="2"/>
    </font>
    <font>
      <sz val="12"/>
      <color indexed="17"/>
      <name val="Arial"/>
      <family val="2"/>
    </font>
    <font>
      <b/>
      <sz val="18"/>
      <color indexed="56"/>
      <name val="Cambria"/>
      <family val="2"/>
    </font>
    <font>
      <b/>
      <sz val="14"/>
      <name val="Helv"/>
    </font>
    <font>
      <sz val="12"/>
      <color indexed="9"/>
      <name val="Arial"/>
      <family val="2"/>
    </font>
    <font>
      <i/>
      <sz val="12"/>
      <color indexed="23"/>
      <name val="Arial"/>
      <family val="2"/>
    </font>
    <font>
      <b/>
      <sz val="12"/>
      <color indexed="9"/>
      <name val="Arial"/>
      <family val="2"/>
    </font>
    <font>
      <b/>
      <sz val="12"/>
      <color indexed="63"/>
      <name val="Arial"/>
      <family val="2"/>
    </font>
    <font>
      <b/>
      <sz val="12"/>
      <color indexed="12"/>
      <name val="Arial"/>
      <family val="2"/>
    </font>
    <font>
      <sz val="12"/>
      <color indexed="8"/>
      <name val="Arial"/>
      <family val="2"/>
    </font>
    <font>
      <sz val="12"/>
      <color indexed="60"/>
      <name val="Arial"/>
      <family val="2"/>
    </font>
    <font>
      <sz val="9"/>
      <name val="Times New Roman"/>
      <family val="1"/>
    </font>
    <font>
      <sz val="12"/>
      <color indexed="62"/>
      <name val="Arial"/>
      <family val="2"/>
    </font>
    <font>
      <u/>
      <sz val="11"/>
      <color theme="10"/>
      <name val="Calibri"/>
      <family val="2"/>
    </font>
    <font>
      <u/>
      <sz val="10"/>
      <color theme="10"/>
      <name val="Arial"/>
      <family val="2"/>
    </font>
    <font>
      <u/>
      <sz val="11"/>
      <color theme="10"/>
      <name val="Calibri"/>
      <family val="2"/>
      <scheme val="minor"/>
    </font>
    <font>
      <sz val="10"/>
      <color theme="1"/>
      <name val="Arial"/>
      <family val="2"/>
    </font>
    <font>
      <sz val="11"/>
      <color theme="1"/>
      <name val="Arial"/>
      <family val="2"/>
    </font>
    <font>
      <sz val="11"/>
      <color rgb="FF002060"/>
      <name val="Calibri"/>
      <family val="2"/>
      <scheme val="minor"/>
    </font>
    <font>
      <i/>
      <sz val="10"/>
      <color rgb="FF0070C0"/>
      <name val="Arial"/>
      <family val="2"/>
    </font>
    <font>
      <i/>
      <sz val="10"/>
      <color rgb="FF0070C0"/>
      <name val="Calibri"/>
      <family val="2"/>
      <scheme val="minor"/>
    </font>
  </fonts>
  <fills count="67">
    <fill>
      <patternFill patternType="none"/>
    </fill>
    <fill>
      <patternFill patternType="gray125"/>
    </fill>
    <fill>
      <patternFill patternType="solid">
        <fgColor rgb="FFFFC7CE"/>
      </patternFill>
    </fill>
    <fill>
      <patternFill patternType="solid">
        <fgColor theme="0"/>
        <bgColor indexed="64"/>
      </patternFill>
    </fill>
    <fill>
      <patternFill patternType="solid">
        <fgColor theme="7" tint="0.59999389629810485"/>
        <bgColor indexed="64"/>
      </patternFill>
    </fill>
    <fill>
      <patternFill patternType="solid">
        <fgColor indexed="19"/>
        <bgColor indexed="64"/>
      </patternFill>
    </fill>
    <fill>
      <patternFill patternType="solid">
        <fgColor indexed="9"/>
        <bgColor indexed="64"/>
      </patternFill>
    </fill>
    <fill>
      <patternFill patternType="solid">
        <fgColor theme="2"/>
        <bgColor indexed="64"/>
      </patternFill>
    </fill>
    <fill>
      <patternFill patternType="solid">
        <fgColor theme="4" tint="-0.249977111117893"/>
        <bgColor indexed="64"/>
      </patternFill>
    </fill>
    <fill>
      <patternFill patternType="solid">
        <fgColor theme="8" tint="0.79998168889431442"/>
        <bgColor indexed="64"/>
      </patternFill>
    </fill>
    <fill>
      <patternFill patternType="solid">
        <fgColor theme="1"/>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8BA7FF"/>
        <bgColor indexed="64"/>
      </patternFill>
    </fill>
    <fill>
      <patternFill patternType="solid">
        <fgColor rgb="FFFFFFFF"/>
        <bgColor indexed="64"/>
      </patternFill>
    </fill>
    <fill>
      <patternFill patternType="solid">
        <fgColor indexed="22"/>
        <bgColor indexed="64"/>
      </patternFill>
    </fill>
    <fill>
      <patternFill patternType="solid">
        <fgColor theme="9" tint="0.59999389629810485"/>
        <bgColor indexed="64"/>
      </patternFill>
    </fill>
    <fill>
      <patternFill patternType="solid">
        <fgColor rgb="FFFF0000"/>
        <bgColor indexed="64"/>
      </patternFill>
    </fill>
    <fill>
      <patternFill patternType="solid">
        <fgColor theme="4" tint="0.39997558519241921"/>
        <bgColor indexed="64"/>
      </patternFill>
    </fill>
    <fill>
      <patternFill patternType="solid">
        <fgColor theme="5"/>
        <bgColor indexed="64"/>
      </patternFill>
    </fill>
    <fill>
      <patternFill patternType="solid">
        <fgColor theme="3" tint="0.39997558519241921"/>
        <bgColor indexed="64"/>
      </patternFill>
    </fill>
    <fill>
      <patternFill patternType="solid">
        <fgColor indexed="50"/>
        <bgColor indexed="64"/>
      </patternFill>
    </fill>
    <fill>
      <patternFill patternType="solid">
        <fgColor rgb="FF0541FF"/>
        <bgColor indexed="64"/>
      </patternFill>
    </fill>
    <fill>
      <patternFill patternType="solid">
        <fgColor theme="6" tint="-0.249977111117893"/>
        <bgColor indexed="64"/>
      </patternFill>
    </fill>
    <fill>
      <patternFill patternType="solid">
        <fgColor rgb="FFBEA50C"/>
        <bgColor indexed="64"/>
      </patternFill>
    </fill>
    <fill>
      <patternFill patternType="solid">
        <fgColor theme="7" tint="0.39997558519241921"/>
        <bgColor indexed="64"/>
      </patternFill>
    </fill>
    <fill>
      <patternFill patternType="solid">
        <fgColor theme="3" tint="0.79998168889431442"/>
        <bgColor indexed="64"/>
      </patternFill>
    </fill>
    <fill>
      <patternFill patternType="solid">
        <fgColor theme="1" tint="0.14999847407452621"/>
        <bgColor indexed="64"/>
      </patternFill>
    </fill>
    <fill>
      <patternFill patternType="solid">
        <fgColor theme="7" tint="-0.499984740745262"/>
        <bgColor indexed="64"/>
      </patternFill>
    </fill>
    <fill>
      <patternFill patternType="solid">
        <fgColor rgb="FF8C96F4"/>
        <bgColor indexed="64"/>
      </patternFill>
    </fill>
    <fill>
      <patternFill patternType="solid">
        <fgColor theme="7" tint="-0.249977111117893"/>
        <bgColor indexed="64"/>
      </patternFill>
    </fill>
    <fill>
      <patternFill patternType="solid">
        <fgColor theme="0" tint="-0.499984740745262"/>
        <bgColor indexed="64"/>
      </patternFill>
    </fill>
    <fill>
      <patternFill patternType="solid">
        <fgColor rgb="FF2235EA"/>
        <bgColor indexed="64"/>
      </patternFill>
    </fill>
    <fill>
      <patternFill patternType="solid">
        <fgColor rgb="FFFFC000"/>
        <bgColor indexed="64"/>
      </patternFill>
    </fill>
    <fill>
      <patternFill patternType="solid">
        <fgColor theme="9"/>
        <bgColor indexed="64"/>
      </patternFill>
    </fill>
    <fill>
      <patternFill patternType="solid">
        <fgColor theme="4" tint="0.59999389629810485"/>
        <bgColor indexed="64"/>
      </patternFill>
    </fill>
    <fill>
      <patternFill patternType="solid">
        <fgColor theme="8" tint="0.59999389629810485"/>
        <bgColor indexed="64"/>
      </patternFill>
    </fill>
    <fill>
      <patternFill patternType="solid">
        <fgColor theme="0" tint="-0.34998626667073579"/>
        <bgColor indexed="64"/>
      </patternFill>
    </fill>
    <fill>
      <patternFill patternType="solid">
        <fgColor theme="4"/>
        <bgColor indexed="64"/>
      </patternFill>
    </fill>
    <fill>
      <patternFill patternType="solid">
        <fgColor theme="6"/>
        <bgColor indexed="64"/>
      </patternFill>
    </fill>
    <fill>
      <patternFill patternType="solid">
        <fgColor rgb="FFD6E6FE"/>
        <bgColor indexed="64"/>
      </patternFill>
    </fill>
    <fill>
      <patternFill patternType="solid">
        <fgColor indexed="27"/>
        <bgColor indexed="64"/>
      </patternFill>
    </fill>
    <fill>
      <patternFill patternType="solid">
        <fgColor indexed="31"/>
        <bgColor indexed="64"/>
      </patternFill>
    </fill>
    <fill>
      <patternFill patternType="solid">
        <fgColor indexed="47"/>
        <bgColor indexed="64"/>
      </patternFill>
    </fill>
    <fill>
      <patternFill patternType="solid">
        <fgColor indexed="45"/>
        <bgColor indexed="64"/>
      </patternFill>
    </fill>
    <fill>
      <patternFill patternType="solid">
        <fgColor indexed="42"/>
        <bgColor indexed="64"/>
      </patternFill>
    </fill>
    <fill>
      <patternFill patternType="solid">
        <fgColor indexed="26"/>
        <bgColor indexed="64"/>
      </patternFill>
    </fill>
    <fill>
      <patternFill patternType="solid">
        <fgColor indexed="46"/>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43"/>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7"/>
        <bgColor indexed="64"/>
      </patternFill>
    </fill>
    <fill>
      <patternFill patternType="solid">
        <fgColor indexed="52"/>
        <bgColor indexed="64"/>
      </patternFill>
    </fill>
    <fill>
      <patternFill patternType="solid">
        <fgColor indexed="62"/>
        <bgColor indexed="64"/>
      </patternFill>
    </fill>
    <fill>
      <patternFill patternType="solid">
        <fgColor indexed="53"/>
        <bgColor indexed="64"/>
      </patternFill>
    </fill>
    <fill>
      <patternFill patternType="solid">
        <fgColor indexed="10"/>
        <bgColor indexed="64"/>
      </patternFill>
    </fill>
    <fill>
      <patternFill patternType="solid">
        <fgColor indexed="55"/>
        <bgColor indexed="64"/>
      </patternFill>
    </fill>
    <fill>
      <patternFill patternType="lightGray">
        <fgColor indexed="9"/>
      </patternFill>
    </fill>
    <fill>
      <patternFill patternType="gray0625">
        <fgColor indexed="9"/>
      </patternFill>
    </fill>
    <fill>
      <patternFill patternType="darkDown">
        <bgColor rgb="FFD9D9D9"/>
      </patternFill>
    </fill>
  </fills>
  <borders count="8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medium">
        <color indexed="64"/>
      </left>
      <right style="medium">
        <color indexed="64"/>
      </right>
      <top/>
      <bottom style="thin">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style="thin">
        <color indexed="64"/>
      </right>
      <top style="medium">
        <color indexed="64"/>
      </top>
      <bottom style="thin">
        <color indexed="64"/>
      </bottom>
      <diagonal/>
    </border>
    <border>
      <left/>
      <right style="thin">
        <color indexed="64"/>
      </right>
      <top/>
      <bottom/>
      <diagonal/>
    </border>
    <border>
      <left/>
      <right style="thin">
        <color indexed="64"/>
      </right>
      <top style="thin">
        <color indexed="64"/>
      </top>
      <bottom/>
      <diagonal/>
    </border>
    <border>
      <left style="medium">
        <color indexed="64"/>
      </left>
      <right style="thin">
        <color indexed="64"/>
      </right>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rgb="FF053D5F"/>
      </left>
      <right style="thin">
        <color rgb="FF053D5F"/>
      </right>
      <top style="thin">
        <color rgb="FF053D5F"/>
      </top>
      <bottom style="thin">
        <color rgb="FF053D5F"/>
      </bottom>
      <diagonal/>
    </border>
  </borders>
  <cellStyleXfs count="407">
    <xf numFmtId="0" fontId="0" fillId="0" borderId="0"/>
    <xf numFmtId="167" fontId="1" fillId="0" borderId="0" applyFont="0" applyFill="0" applyBorder="0" applyAlignment="0" applyProtection="0"/>
    <xf numFmtId="9" fontId="1" fillId="0" borderId="0" applyFont="0" applyFill="0" applyBorder="0" applyAlignment="0" applyProtection="0"/>
    <xf numFmtId="0" fontId="2" fillId="2" borderId="0" applyNumberFormat="0" applyBorder="0" applyAlignment="0" applyProtection="0"/>
    <xf numFmtId="0" fontId="4" fillId="0" borderId="0"/>
    <xf numFmtId="0" fontId="4" fillId="0" borderId="0"/>
    <xf numFmtId="0" fontId="20" fillId="0" borderId="0" applyNumberFormat="0" applyFill="0" applyBorder="0" applyAlignment="0" applyProtection="0">
      <alignment vertical="top"/>
      <protection locked="0"/>
    </xf>
    <xf numFmtId="0" fontId="4" fillId="0" borderId="0"/>
    <xf numFmtId="0" fontId="4" fillId="0" borderId="0"/>
    <xf numFmtId="9" fontId="4" fillId="0" borderId="0" applyFont="0" applyFill="0" applyBorder="0" applyAlignment="0" applyProtection="0"/>
    <xf numFmtId="0" fontId="4"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4"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4" fillId="0" borderId="0"/>
    <xf numFmtId="0" fontId="124" fillId="44" borderId="0" applyNumberFormat="0" applyBorder="0" applyAlignment="0" applyProtection="0"/>
    <xf numFmtId="0" fontId="124" fillId="44" borderId="0" applyNumberFormat="0" applyBorder="0" applyAlignment="0" applyProtection="0"/>
    <xf numFmtId="0" fontId="124" fillId="44" borderId="0" applyNumberFormat="0" applyBorder="0" applyAlignment="0" applyProtection="0"/>
    <xf numFmtId="0" fontId="124" fillId="44" borderId="0" applyNumberFormat="0" applyBorder="0" applyAlignment="0" applyProtection="0"/>
    <xf numFmtId="0" fontId="124" fillId="46" borderId="0" applyNumberFormat="0" applyBorder="0" applyAlignment="0" applyProtection="0"/>
    <xf numFmtId="0" fontId="124" fillId="46" borderId="0" applyNumberFormat="0" applyBorder="0" applyAlignment="0" applyProtection="0"/>
    <xf numFmtId="0" fontId="124" fillId="46" borderId="0" applyNumberFormat="0" applyBorder="0" applyAlignment="0" applyProtection="0"/>
    <xf numFmtId="0" fontId="124" fillId="46" borderId="0" applyNumberFormat="0" applyBorder="0" applyAlignment="0" applyProtection="0"/>
    <xf numFmtId="0" fontId="124" fillId="47" borderId="0" applyNumberFormat="0" applyBorder="0" applyAlignment="0" applyProtection="0"/>
    <xf numFmtId="0" fontId="124" fillId="47" borderId="0" applyNumberFormat="0" applyBorder="0" applyAlignment="0" applyProtection="0"/>
    <xf numFmtId="0" fontId="124" fillId="47" borderId="0" applyNumberFormat="0" applyBorder="0" applyAlignment="0" applyProtection="0"/>
    <xf numFmtId="0" fontId="124" fillId="47" borderId="0" applyNumberFormat="0" applyBorder="0" applyAlignment="0" applyProtection="0"/>
    <xf numFmtId="0" fontId="124" fillId="49" borderId="0" applyNumberFormat="0" applyBorder="0" applyAlignment="0" applyProtection="0"/>
    <xf numFmtId="0" fontId="124" fillId="49" borderId="0" applyNumberFormat="0" applyBorder="0" applyAlignment="0" applyProtection="0"/>
    <xf numFmtId="0" fontId="124" fillId="49" borderId="0" applyNumberFormat="0" applyBorder="0" applyAlignment="0" applyProtection="0"/>
    <xf numFmtId="0" fontId="124" fillId="49" borderId="0" applyNumberFormat="0" applyBorder="0" applyAlignment="0" applyProtection="0"/>
    <xf numFmtId="0" fontId="124" fillId="43" borderId="0" applyNumberFormat="0" applyBorder="0" applyAlignment="0" applyProtection="0"/>
    <xf numFmtId="0" fontId="124" fillId="43" borderId="0" applyNumberFormat="0" applyBorder="0" applyAlignment="0" applyProtection="0"/>
    <xf numFmtId="0" fontId="124" fillId="43" borderId="0" applyNumberFormat="0" applyBorder="0" applyAlignment="0" applyProtection="0"/>
    <xf numFmtId="0" fontId="124" fillId="43" borderId="0" applyNumberFormat="0" applyBorder="0" applyAlignment="0" applyProtection="0"/>
    <xf numFmtId="0" fontId="124" fillId="45" borderId="0" applyNumberFormat="0" applyBorder="0" applyAlignment="0" applyProtection="0"/>
    <xf numFmtId="0" fontId="124" fillId="45" borderId="0" applyNumberFormat="0" applyBorder="0" applyAlignment="0" applyProtection="0"/>
    <xf numFmtId="0" fontId="124" fillId="45" borderId="0" applyNumberFormat="0" applyBorder="0" applyAlignment="0" applyProtection="0"/>
    <xf numFmtId="0" fontId="124" fillId="45" borderId="0" applyNumberFormat="0" applyBorder="0" applyAlignment="0" applyProtection="0"/>
    <xf numFmtId="0" fontId="124" fillId="50" borderId="0" applyNumberFormat="0" applyBorder="0" applyAlignment="0" applyProtection="0"/>
    <xf numFmtId="0" fontId="124" fillId="50" borderId="0" applyNumberFormat="0" applyBorder="0" applyAlignment="0" applyProtection="0"/>
    <xf numFmtId="0" fontId="124" fillId="50" borderId="0" applyNumberFormat="0" applyBorder="0" applyAlignment="0" applyProtection="0"/>
    <xf numFmtId="0" fontId="124" fillId="50" borderId="0" applyNumberFormat="0" applyBorder="0" applyAlignment="0" applyProtection="0"/>
    <xf numFmtId="0" fontId="124" fillId="51" borderId="0" applyNumberFormat="0" applyBorder="0" applyAlignment="0" applyProtection="0"/>
    <xf numFmtId="0" fontId="124" fillId="51" borderId="0" applyNumberFormat="0" applyBorder="0" applyAlignment="0" applyProtection="0"/>
    <xf numFmtId="0" fontId="124" fillId="51" borderId="0" applyNumberFormat="0" applyBorder="0" applyAlignment="0" applyProtection="0"/>
    <xf numFmtId="0" fontId="124" fillId="51" borderId="0" applyNumberFormat="0" applyBorder="0" applyAlignment="0" applyProtection="0"/>
    <xf numFmtId="0" fontId="124" fillId="52" borderId="0" applyNumberFormat="0" applyBorder="0" applyAlignment="0" applyProtection="0"/>
    <xf numFmtId="0" fontId="124" fillId="52" borderId="0" applyNumberFormat="0" applyBorder="0" applyAlignment="0" applyProtection="0"/>
    <xf numFmtId="0" fontId="124" fillId="52" borderId="0" applyNumberFormat="0" applyBorder="0" applyAlignment="0" applyProtection="0"/>
    <xf numFmtId="0" fontId="124" fillId="52" borderId="0" applyNumberFormat="0" applyBorder="0" applyAlignment="0" applyProtection="0"/>
    <xf numFmtId="0" fontId="124" fillId="49" borderId="0" applyNumberFormat="0" applyBorder="0" applyAlignment="0" applyProtection="0"/>
    <xf numFmtId="0" fontId="124" fillId="49" borderId="0" applyNumberFormat="0" applyBorder="0" applyAlignment="0" applyProtection="0"/>
    <xf numFmtId="0" fontId="124" fillId="49" borderId="0" applyNumberFormat="0" applyBorder="0" applyAlignment="0" applyProtection="0"/>
    <xf numFmtId="0" fontId="124" fillId="49" borderId="0" applyNumberFormat="0" applyBorder="0" applyAlignment="0" applyProtection="0"/>
    <xf numFmtId="0" fontId="124" fillId="50" borderId="0" applyNumberFormat="0" applyBorder="0" applyAlignment="0" applyProtection="0"/>
    <xf numFmtId="0" fontId="124" fillId="50" borderId="0" applyNumberFormat="0" applyBorder="0" applyAlignment="0" applyProtection="0"/>
    <xf numFmtId="0" fontId="124" fillId="50" borderId="0" applyNumberFormat="0" applyBorder="0" applyAlignment="0" applyProtection="0"/>
    <xf numFmtId="0" fontId="124" fillId="50" borderId="0" applyNumberFormat="0" applyBorder="0" applyAlignment="0" applyProtection="0"/>
    <xf numFmtId="0" fontId="124" fillId="54" borderId="0" applyNumberFormat="0" applyBorder="0" applyAlignment="0" applyProtection="0"/>
    <xf numFmtId="0" fontId="124" fillId="54" borderId="0" applyNumberFormat="0" applyBorder="0" applyAlignment="0" applyProtection="0"/>
    <xf numFmtId="0" fontId="124" fillId="54" borderId="0" applyNumberFormat="0" applyBorder="0" applyAlignment="0" applyProtection="0"/>
    <xf numFmtId="0" fontId="124" fillId="54" borderId="0" applyNumberFormat="0" applyBorder="0" applyAlignment="0" applyProtection="0"/>
    <xf numFmtId="0" fontId="100" fillId="0" borderId="0" applyNumberFormat="0" applyFont="0" applyFill="0" applyBorder="0" applyProtection="0">
      <alignment horizontal="left" vertical="center" indent="5"/>
    </xf>
    <xf numFmtId="0" fontId="119" fillId="55" borderId="0" applyNumberFormat="0" applyBorder="0" applyAlignment="0" applyProtection="0"/>
    <xf numFmtId="0" fontId="119" fillId="55" borderId="0" applyNumberFormat="0" applyBorder="0" applyAlignment="0" applyProtection="0"/>
    <xf numFmtId="0" fontId="119" fillId="55" borderId="0" applyNumberFormat="0" applyBorder="0" applyAlignment="0" applyProtection="0"/>
    <xf numFmtId="0" fontId="119" fillId="55"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119" fillId="51"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19" fillId="57" borderId="0" applyNumberFormat="0" applyBorder="0" applyAlignment="0" applyProtection="0"/>
    <xf numFmtId="0" fontId="119" fillId="57" borderId="0" applyNumberFormat="0" applyBorder="0" applyAlignment="0" applyProtection="0"/>
    <xf numFmtId="0" fontId="119" fillId="57" borderId="0" applyNumberFormat="0" applyBorder="0" applyAlignment="0" applyProtection="0"/>
    <xf numFmtId="0" fontId="119" fillId="57" borderId="0" applyNumberFormat="0" applyBorder="0" applyAlignment="0" applyProtection="0"/>
    <xf numFmtId="0" fontId="119" fillId="59" borderId="0" applyNumberFormat="0" applyBorder="0" applyAlignment="0" applyProtection="0"/>
    <xf numFmtId="0" fontId="119" fillId="59" borderId="0" applyNumberFormat="0" applyBorder="0" applyAlignment="0" applyProtection="0"/>
    <xf numFmtId="0" fontId="119" fillId="59" borderId="0" applyNumberFormat="0" applyBorder="0" applyAlignment="0" applyProtection="0"/>
    <xf numFmtId="0" fontId="119" fillId="59"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119" fillId="60" borderId="0" applyNumberFormat="0" applyBorder="0" applyAlignment="0" applyProtection="0"/>
    <xf numFmtId="0" fontId="119" fillId="62" borderId="0" applyNumberFormat="0" applyBorder="0" applyAlignment="0" applyProtection="0"/>
    <xf numFmtId="0" fontId="119" fillId="62" borderId="0" applyNumberFormat="0" applyBorder="0" applyAlignment="0" applyProtection="0"/>
    <xf numFmtId="0" fontId="119" fillId="62" borderId="0" applyNumberFormat="0" applyBorder="0" applyAlignment="0" applyProtection="0"/>
    <xf numFmtId="0" fontId="119" fillId="62" borderId="0" applyNumberFormat="0" applyBorder="0" applyAlignment="0" applyProtection="0"/>
    <xf numFmtId="0" fontId="119" fillId="58" borderId="0" applyNumberFormat="0" applyBorder="0" applyAlignment="0" applyProtection="0"/>
    <xf numFmtId="0" fontId="119" fillId="58" borderId="0" applyNumberFormat="0" applyBorder="0" applyAlignment="0" applyProtection="0"/>
    <xf numFmtId="0" fontId="119" fillId="58" borderId="0" applyNumberFormat="0" applyBorder="0" applyAlignment="0" applyProtection="0"/>
    <xf numFmtId="0" fontId="119" fillId="58"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19" fillId="56" borderId="0" applyNumberFormat="0" applyBorder="0" applyAlignment="0" applyProtection="0"/>
    <xf numFmtId="0" fontId="119" fillId="57" borderId="0" applyNumberFormat="0" applyBorder="0" applyAlignment="0" applyProtection="0"/>
    <xf numFmtId="0" fontId="119" fillId="57" borderId="0" applyNumberFormat="0" applyBorder="0" applyAlignment="0" applyProtection="0"/>
    <xf numFmtId="0" fontId="119" fillId="57" borderId="0" applyNumberFormat="0" applyBorder="0" applyAlignment="0" applyProtection="0"/>
    <xf numFmtId="0" fontId="119" fillId="57"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0" fontId="119" fillId="61" borderId="0" applyNumberFormat="0" applyBorder="0" applyAlignment="0" applyProtection="0"/>
    <xf numFmtId="4" fontId="126" fillId="43" borderId="40">
      <alignment horizontal="right" vertical="center"/>
    </xf>
    <xf numFmtId="0" fontId="108" fillId="46" borderId="0" applyNumberFormat="0" applyBorder="0" applyAlignment="0" applyProtection="0"/>
    <xf numFmtId="0" fontId="108" fillId="46" borderId="0" applyNumberFormat="0" applyBorder="0" applyAlignment="0" applyProtection="0"/>
    <xf numFmtId="0" fontId="108" fillId="46" borderId="0" applyNumberFormat="0" applyBorder="0" applyAlignment="0" applyProtection="0"/>
    <xf numFmtId="0" fontId="108" fillId="46" borderId="0" applyNumberFormat="0" applyBorder="0" applyAlignment="0" applyProtection="0"/>
    <xf numFmtId="4" fontId="102" fillId="0" borderId="58" applyFill="0" applyBorder="0" applyProtection="0">
      <alignment horizontal="right" vertical="center"/>
    </xf>
    <xf numFmtId="0" fontId="109" fillId="17" borderId="79" applyNumberFormat="0" applyAlignment="0" applyProtection="0"/>
    <xf numFmtId="0" fontId="109" fillId="17" borderId="79" applyNumberFormat="0" applyAlignment="0" applyProtection="0"/>
    <xf numFmtId="0" fontId="109" fillId="17" borderId="79" applyNumberFormat="0" applyAlignment="0" applyProtection="0"/>
    <xf numFmtId="0" fontId="109" fillId="17" borderId="79" applyNumberFormat="0" applyAlignment="0" applyProtection="0"/>
    <xf numFmtId="0" fontId="109" fillId="17" borderId="79" applyNumberFormat="0" applyAlignment="0" applyProtection="0"/>
    <xf numFmtId="0" fontId="109" fillId="17" borderId="79" applyNumberFormat="0" applyAlignment="0" applyProtection="0"/>
    <xf numFmtId="0" fontId="109" fillId="17" borderId="79" applyNumberFormat="0" applyAlignment="0" applyProtection="0"/>
    <xf numFmtId="0" fontId="109" fillId="17" borderId="79" applyNumberFormat="0" applyAlignment="0" applyProtection="0"/>
    <xf numFmtId="0" fontId="109" fillId="17" borderId="79" applyNumberFormat="0" applyAlignment="0" applyProtection="0"/>
    <xf numFmtId="0" fontId="109" fillId="17" borderId="79" applyNumberFormat="0" applyAlignment="0" applyProtection="0"/>
    <xf numFmtId="0" fontId="109" fillId="17" borderId="79" applyNumberFormat="0" applyAlignment="0" applyProtection="0"/>
    <xf numFmtId="0" fontId="109" fillId="17" borderId="79" applyNumberFormat="0" applyAlignment="0" applyProtection="0"/>
    <xf numFmtId="0" fontId="121" fillId="63" borderId="80" applyNumberFormat="0" applyAlignment="0" applyProtection="0"/>
    <xf numFmtId="0" fontId="121" fillId="63" borderId="80" applyNumberFormat="0" applyAlignment="0" applyProtection="0"/>
    <xf numFmtId="0" fontId="121" fillId="63" borderId="80" applyNumberFormat="0" applyAlignment="0" applyProtection="0"/>
    <xf numFmtId="0" fontId="121" fillId="63" borderId="80" applyNumberFormat="0" applyAlignment="0" applyProtection="0"/>
    <xf numFmtId="167" fontId="1" fillId="0" borderId="0" applyFont="0" applyFill="0" applyBorder="0" applyAlignment="0" applyProtection="0"/>
    <xf numFmtId="167" fontId="1"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1" fillId="0" borderId="0" applyFont="0" applyFill="0" applyBorder="0" applyAlignment="0" applyProtection="0"/>
    <xf numFmtId="0" fontId="4" fillId="53" borderId="0" applyNumberFormat="0" applyFont="0" applyBorder="0" applyAlignment="0"/>
    <xf numFmtId="165" fontId="4" fillId="0" borderId="0" applyFont="0" applyFill="0" applyBorder="0" applyAlignment="0" applyProtection="0">
      <alignment wrapText="1"/>
    </xf>
    <xf numFmtId="167" fontId="4" fillId="0" borderId="0" applyFont="0" applyFill="0" applyBorder="0" applyAlignment="0" applyProtection="0">
      <alignment wrapText="1"/>
    </xf>
    <xf numFmtId="177" fontId="4" fillId="0" borderId="0" applyFont="0" applyFill="0" applyBorder="0" applyAlignment="0" applyProtection="0"/>
    <xf numFmtId="177" fontId="4" fillId="0" borderId="0" applyFont="0" applyFill="0" applyBorder="0" applyAlignment="0" applyProtection="0"/>
    <xf numFmtId="0" fontId="120" fillId="0" borderId="0" applyNumberFormat="0" applyFill="0" applyBorder="0" applyAlignment="0" applyProtection="0"/>
    <xf numFmtId="0" fontId="116" fillId="47" borderId="0" applyNumberFormat="0" applyBorder="0" applyAlignment="0" applyProtection="0"/>
    <xf numFmtId="0" fontId="116" fillId="47" borderId="0" applyNumberFormat="0" applyBorder="0" applyAlignment="0" applyProtection="0"/>
    <xf numFmtId="0" fontId="116" fillId="47" borderId="0" applyNumberFormat="0" applyBorder="0" applyAlignment="0" applyProtection="0"/>
    <xf numFmtId="0" fontId="116" fillId="47" borderId="0" applyNumberFormat="0" applyBorder="0" applyAlignment="0" applyProtection="0"/>
    <xf numFmtId="178" fontId="111" fillId="0" borderId="0">
      <alignment horizontal="left" vertical="center"/>
    </xf>
    <xf numFmtId="0" fontId="104" fillId="0" borderId="81" applyNumberFormat="0" applyFill="0" applyAlignment="0" applyProtection="0"/>
    <xf numFmtId="0" fontId="106" fillId="0" borderId="82" applyNumberFormat="0" applyFill="0" applyAlignment="0" applyProtection="0"/>
    <xf numFmtId="0" fontId="107" fillId="0" borderId="83" applyNumberFormat="0" applyFill="0" applyAlignment="0" applyProtection="0"/>
    <xf numFmtId="0" fontId="107" fillId="0" borderId="0" applyNumberFormat="0" applyFill="0" applyBorder="0" applyAlignment="0" applyProtection="0"/>
    <xf numFmtId="0" fontId="128"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29" fillId="0" borderId="0" applyNumberFormat="0" applyFill="0" applyBorder="0" applyAlignment="0" applyProtection="0">
      <alignment vertical="top"/>
      <protection locked="0"/>
    </xf>
    <xf numFmtId="0" fontId="130" fillId="0" borderId="0" applyNumberFormat="0" applyFill="0" applyBorder="0" applyAlignment="0" applyProtection="0"/>
    <xf numFmtId="0" fontId="127" fillId="45" borderId="79" applyNumberFormat="0" applyAlignment="0" applyProtection="0"/>
    <xf numFmtId="0" fontId="127" fillId="45" borderId="79" applyNumberFormat="0" applyAlignment="0" applyProtection="0"/>
    <xf numFmtId="0" fontId="127" fillId="45" borderId="79" applyNumberFormat="0" applyAlignment="0" applyProtection="0"/>
    <xf numFmtId="0" fontId="127" fillId="45" borderId="79" applyNumberFormat="0" applyAlignment="0" applyProtection="0"/>
    <xf numFmtId="0" fontId="127" fillId="45" borderId="79" applyNumberFormat="0" applyAlignment="0" applyProtection="0"/>
    <xf numFmtId="0" fontId="127" fillId="45" borderId="79" applyNumberFormat="0" applyAlignment="0" applyProtection="0"/>
    <xf numFmtId="0" fontId="127" fillId="45" borderId="79" applyNumberFormat="0" applyAlignment="0" applyProtection="0"/>
    <xf numFmtId="0" fontId="127" fillId="45" borderId="79" applyNumberFormat="0" applyAlignment="0" applyProtection="0"/>
    <xf numFmtId="0" fontId="127" fillId="45" borderId="79" applyNumberFormat="0" applyAlignment="0" applyProtection="0"/>
    <xf numFmtId="0" fontId="127" fillId="45" borderId="79" applyNumberFormat="0" applyAlignment="0" applyProtection="0"/>
    <xf numFmtId="0" fontId="127" fillId="45" borderId="79" applyNumberFormat="0" applyAlignment="0" applyProtection="0"/>
    <xf numFmtId="0" fontId="127" fillId="45" borderId="79" applyNumberFormat="0" applyAlignment="0" applyProtection="0"/>
    <xf numFmtId="4" fontId="126" fillId="0" borderId="45">
      <alignment horizontal="right" vertical="center"/>
    </xf>
    <xf numFmtId="0" fontId="99" fillId="0" borderId="84" applyNumberFormat="0" applyFill="0" applyAlignment="0" applyProtection="0"/>
    <xf numFmtId="0" fontId="4" fillId="45" borderId="0" applyNumberFormat="0" applyFont="0" applyBorder="0" applyAlignment="0"/>
    <xf numFmtId="179" fontId="4" fillId="0" borderId="0" applyFont="0" applyFill="0" applyBorder="0" applyAlignment="0" applyProtection="0"/>
    <xf numFmtId="180" fontId="4" fillId="0" borderId="0" applyFont="0" applyFill="0" applyBorder="0" applyAlignment="0" applyProtection="0"/>
    <xf numFmtId="181" fontId="4" fillId="0" borderId="0" applyFont="0" applyFill="0" applyBorder="0" applyAlignment="0" applyProtection="0"/>
    <xf numFmtId="182" fontId="4" fillId="0" borderId="0" applyFont="0" applyFill="0" applyBorder="0" applyAlignment="0" applyProtection="0"/>
    <xf numFmtId="0" fontId="125" fillId="53" borderId="0" applyNumberFormat="0" applyBorder="0" applyAlignment="0" applyProtection="0"/>
    <xf numFmtId="0" fontId="125" fillId="53" borderId="0" applyNumberFormat="0" applyBorder="0" applyAlignment="0" applyProtection="0"/>
    <xf numFmtId="0" fontId="125" fillId="53" borderId="0" applyNumberFormat="0" applyBorder="0" applyAlignment="0" applyProtection="0"/>
    <xf numFmtId="0" fontId="125" fillId="5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31" fillId="0" borderId="0"/>
    <xf numFmtId="0" fontId="1" fillId="0" borderId="0"/>
    <xf numFmtId="0" fontId="1" fillId="0" borderId="0"/>
    <xf numFmtId="0" fontId="1" fillId="0" borderId="0"/>
    <xf numFmtId="0" fontId="1" fillId="0" borderId="0"/>
    <xf numFmtId="0" fontId="1" fillId="0" borderId="0"/>
    <xf numFmtId="0" fontId="1" fillId="0" borderId="0"/>
    <xf numFmtId="0" fontId="131" fillId="0" borderId="0"/>
    <xf numFmtId="0" fontId="131" fillId="0" borderId="0"/>
    <xf numFmtId="0" fontId="1" fillId="0" borderId="0"/>
    <xf numFmtId="0" fontId="132" fillId="0" borderId="0"/>
    <xf numFmtId="0" fontId="132" fillId="0" borderId="0"/>
    <xf numFmtId="0" fontId="132" fillId="0" borderId="0"/>
    <xf numFmtId="0" fontId="4" fillId="0" borderId="0"/>
    <xf numFmtId="0" fontId="132" fillId="0" borderId="0"/>
    <xf numFmtId="0" fontId="1" fillId="0" borderId="0"/>
    <xf numFmtId="0" fontId="1" fillId="0" borderId="0"/>
    <xf numFmtId="0" fontId="1" fillId="0" borderId="0"/>
    <xf numFmtId="0" fontId="1" fillId="0" borderId="0"/>
    <xf numFmtId="0" fontId="1" fillId="0" borderId="0"/>
    <xf numFmtId="0" fontId="1" fillId="0" borderId="0"/>
    <xf numFmtId="0" fontId="132" fillId="0" borderId="0"/>
    <xf numFmtId="0" fontId="132" fillId="0" borderId="0"/>
    <xf numFmtId="0" fontId="132" fillId="0" borderId="0"/>
    <xf numFmtId="0" fontId="132" fillId="0" borderId="0"/>
    <xf numFmtId="0" fontId="4" fillId="0" borderId="0"/>
    <xf numFmtId="0" fontId="100" fillId="63" borderId="0" applyNumberFormat="0" applyFont="0" applyBorder="0" applyAlignment="0" applyProtection="0"/>
    <xf numFmtId="0" fontId="124" fillId="48" borderId="85" applyNumberFormat="0" applyFont="0" applyAlignment="0" applyProtection="0"/>
    <xf numFmtId="0" fontId="124" fillId="48" borderId="85" applyNumberFormat="0" applyFont="0" applyAlignment="0" applyProtection="0"/>
    <xf numFmtId="0" fontId="124" fillId="48" borderId="85" applyNumberFormat="0" applyFont="0" applyAlignment="0" applyProtection="0"/>
    <xf numFmtId="0" fontId="124" fillId="48" borderId="85" applyNumberFormat="0" applyFont="0" applyAlignment="0" applyProtection="0"/>
    <xf numFmtId="0" fontId="124" fillId="48" borderId="85" applyNumberFormat="0" applyFont="0" applyAlignment="0" applyProtection="0"/>
    <xf numFmtId="0" fontId="124" fillId="48" borderId="85" applyNumberFormat="0" applyFont="0" applyAlignment="0" applyProtection="0"/>
    <xf numFmtId="0" fontId="124" fillId="48" borderId="85" applyNumberFormat="0" applyFont="0" applyAlignment="0" applyProtection="0"/>
    <xf numFmtId="0" fontId="124" fillId="48" borderId="85" applyNumberFormat="0" applyFont="0" applyAlignment="0" applyProtection="0"/>
    <xf numFmtId="0" fontId="122" fillId="17" borderId="86" applyNumberFormat="0" applyAlignment="0" applyProtection="0"/>
    <xf numFmtId="0" fontId="122" fillId="17" borderId="86" applyNumberFormat="0" applyAlignment="0" applyProtection="0"/>
    <xf numFmtId="0" fontId="122" fillId="17" borderId="86" applyNumberFormat="0" applyAlignment="0" applyProtection="0"/>
    <xf numFmtId="0" fontId="122" fillId="17" borderId="86" applyNumberFormat="0" applyAlignment="0" applyProtection="0"/>
    <xf numFmtId="0" fontId="122" fillId="17" borderId="86" applyNumberFormat="0" applyAlignment="0" applyProtection="0"/>
    <xf numFmtId="0" fontId="122" fillId="17" borderId="86" applyNumberFormat="0" applyAlignment="0" applyProtection="0"/>
    <xf numFmtId="0" fontId="122" fillId="17" borderId="86" applyNumberFormat="0" applyAlignment="0" applyProtection="0"/>
    <xf numFmtId="0" fontId="122" fillId="17" borderId="86" applyNumberFormat="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1" fillId="0" borderId="0" applyFont="0" applyFill="0" applyBorder="0" applyAlignment="0" applyProtection="0"/>
    <xf numFmtId="9" fontId="4" fillId="0" borderId="0" applyFont="0" applyFill="0" applyBorder="0" applyAlignment="0" applyProtection="0"/>
    <xf numFmtId="9" fontId="132" fillId="0" borderId="0" applyFont="0" applyFill="0" applyBorder="0" applyAlignment="0" applyProtection="0"/>
    <xf numFmtId="9" fontId="132" fillId="0" borderId="0" applyFont="0" applyFill="0" applyBorder="0" applyAlignment="0" applyProtection="0"/>
    <xf numFmtId="9" fontId="113" fillId="0" borderId="0" applyFont="0" applyFill="0" applyBorder="0" applyAlignment="0" applyProtection="0"/>
    <xf numFmtId="9" fontId="113" fillId="0" borderId="0" applyFont="0" applyFill="0" applyBorder="0" applyAlignment="0" applyProtection="0"/>
    <xf numFmtId="9" fontId="132" fillId="0" borderId="0" applyFont="0" applyFill="0" applyBorder="0" applyAlignment="0" applyProtection="0"/>
    <xf numFmtId="9" fontId="132" fillId="0" borderId="0" applyFont="0" applyFill="0" applyBorder="0" applyAlignment="0" applyProtection="0"/>
    <xf numFmtId="13" fontId="4" fillId="0" borderId="0" applyFont="0" applyFill="0" applyProtection="0"/>
    <xf numFmtId="9" fontId="132" fillId="0" borderId="0" applyFont="0" applyFill="0" applyBorder="0" applyAlignment="0" applyProtection="0"/>
    <xf numFmtId="178" fontId="114" fillId="0" borderId="0" applyFill="0" applyBorder="0" applyAlignment="0" applyProtection="0"/>
    <xf numFmtId="0" fontId="4" fillId="0" borderId="0"/>
    <xf numFmtId="0" fontId="4" fillId="0" borderId="0"/>
    <xf numFmtId="0" fontId="126" fillId="63" borderId="40"/>
    <xf numFmtId="0" fontId="126" fillId="63" borderId="40"/>
    <xf numFmtId="0" fontId="126" fillId="63" borderId="40"/>
    <xf numFmtId="0" fontId="105" fillId="0" borderId="0"/>
    <xf numFmtId="0" fontId="97" fillId="0" borderId="0">
      <alignment horizontal="right"/>
    </xf>
    <xf numFmtId="0" fontId="97" fillId="0" borderId="0">
      <alignment horizontal="left"/>
    </xf>
    <xf numFmtId="0" fontId="98" fillId="0" borderId="0"/>
    <xf numFmtId="0" fontId="133" fillId="66" borderId="88" applyBorder="0"/>
    <xf numFmtId="183" fontId="4" fillId="0" borderId="0" applyFont="0" applyFill="0" applyBorder="0" applyAlignment="0" applyProtection="0">
      <alignment horizontal="left"/>
    </xf>
    <xf numFmtId="183" fontId="4" fillId="0" borderId="0" applyFont="0" applyFill="0" applyBorder="0" applyAlignment="0" applyProtection="0">
      <alignment horizontal="left"/>
    </xf>
    <xf numFmtId="176" fontId="4" fillId="0" borderId="0" applyFont="0" applyFill="0" applyBorder="0" applyAlignment="0" applyProtection="0">
      <alignment horizontal="left"/>
    </xf>
    <xf numFmtId="176" fontId="4" fillId="0" borderId="0" applyFont="0" applyFill="0" applyBorder="0" applyAlignment="0" applyProtection="0">
      <alignment horizontal="left"/>
    </xf>
    <xf numFmtId="184" fontId="4" fillId="0" borderId="0" applyFont="0" applyFill="0" applyBorder="0" applyAlignment="0" applyProtection="0">
      <alignment horizontal="left"/>
    </xf>
    <xf numFmtId="184" fontId="4" fillId="0" borderId="0" applyFont="0" applyFill="0" applyBorder="0" applyAlignment="0" applyProtection="0">
      <alignment horizontal="left"/>
    </xf>
    <xf numFmtId="49" fontId="4" fillId="0" borderId="0" applyFill="0" applyBorder="0" applyProtection="0">
      <alignment horizontal="left"/>
    </xf>
    <xf numFmtId="49" fontId="4" fillId="0" borderId="0" applyFill="0" applyBorder="0" applyProtection="0">
      <alignment horizontal="left"/>
    </xf>
    <xf numFmtId="183" fontId="4" fillId="0" borderId="0" applyFont="0" applyFill="0" applyBorder="0" applyAlignment="0" applyProtection="0">
      <alignment horizontal="left"/>
    </xf>
    <xf numFmtId="183" fontId="4" fillId="0" borderId="0" applyFont="0" applyFill="0" applyBorder="0" applyAlignment="0" applyProtection="0">
      <alignment horizontal="left"/>
    </xf>
    <xf numFmtId="176" fontId="4" fillId="0" borderId="0" applyFont="0" applyFill="0" applyBorder="0" applyAlignment="0" applyProtection="0">
      <alignment horizontal="left"/>
    </xf>
    <xf numFmtId="176" fontId="4" fillId="0" borderId="0" applyFont="0" applyFill="0" applyBorder="0" applyAlignment="0" applyProtection="0">
      <alignment horizontal="left"/>
    </xf>
    <xf numFmtId="184" fontId="4" fillId="0" borderId="0" applyFont="0" applyFill="0" applyBorder="0" applyAlignment="0" applyProtection="0">
      <alignment horizontal="left"/>
    </xf>
    <xf numFmtId="184" fontId="4" fillId="0" borderId="0" applyFont="0" applyFill="0" applyBorder="0" applyAlignment="0" applyProtection="0">
      <alignment horizontal="left"/>
    </xf>
    <xf numFmtId="49" fontId="4" fillId="0" borderId="0" applyFill="0" applyBorder="0" applyProtection="0">
      <alignment horizontal="left"/>
    </xf>
    <xf numFmtId="49" fontId="4" fillId="0" borderId="0" applyFill="0" applyBorder="0" applyProtection="0">
      <alignment horizontal="left"/>
    </xf>
    <xf numFmtId="0" fontId="117" fillId="0" borderId="0" applyNumberFormat="0" applyFill="0" applyBorder="0" applyAlignment="0" applyProtection="0"/>
    <xf numFmtId="0" fontId="118" fillId="0" borderId="0">
      <alignment horizontal="left" vertical="top"/>
    </xf>
    <xf numFmtId="0" fontId="103" fillId="0" borderId="0">
      <alignment horizontal="left"/>
    </xf>
    <xf numFmtId="185" fontId="112" fillId="64" borderId="0" applyNumberFormat="0" applyBorder="0">
      <protection locked="0"/>
    </xf>
    <xf numFmtId="0" fontId="115" fillId="0" borderId="87" applyNumberFormat="0" applyFill="0" applyAlignment="0" applyProtection="0"/>
    <xf numFmtId="0" fontId="115" fillId="0" borderId="87" applyNumberFormat="0" applyFill="0" applyAlignment="0" applyProtection="0"/>
    <xf numFmtId="185" fontId="101" fillId="65" borderId="0" applyNumberFormat="0" applyBorder="0">
      <protection locked="0"/>
    </xf>
    <xf numFmtId="165" fontId="4" fillId="0" borderId="0" applyFont="0" applyFill="0" applyBorder="0" applyAlignment="0" applyProtection="0"/>
    <xf numFmtId="167" fontId="4" fillId="0" borderId="0" applyFont="0" applyFill="0" applyBorder="0" applyAlignment="0" applyProtection="0"/>
    <xf numFmtId="164" fontId="4" fillId="0" borderId="0" applyFont="0" applyFill="0" applyBorder="0" applyAlignment="0" applyProtection="0"/>
    <xf numFmtId="166" fontId="4" fillId="0" borderId="0" applyFont="0" applyFill="0" applyBorder="0" applyAlignment="0" applyProtection="0"/>
    <xf numFmtId="186" fontId="114" fillId="0" borderId="0" applyFont="0" applyFill="0" applyBorder="0" applyAlignment="0" applyProtection="0"/>
    <xf numFmtId="187" fontId="114" fillId="0" borderId="0" applyFont="0" applyFill="0" applyBorder="0" applyAlignment="0" applyProtection="0"/>
    <xf numFmtId="0" fontId="110" fillId="0" borderId="0" applyNumberFormat="0" applyFill="0" applyBorder="0" applyAlignment="0" applyProtection="0"/>
    <xf numFmtId="0" fontId="123" fillId="53" borderId="0">
      <alignment horizontal="left" vertical="center" indent="1"/>
    </xf>
    <xf numFmtId="4" fontId="126"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cellStyleXfs>
  <cellXfs count="2646">
    <xf numFmtId="0" fontId="0" fillId="0" borderId="0" xfId="0"/>
    <xf numFmtId="0" fontId="5" fillId="4" borderId="14" xfId="0" applyFont="1" applyFill="1" applyBorder="1" applyProtection="1">
      <protection locked="0"/>
    </xf>
    <xf numFmtId="0" fontId="5" fillId="4" borderId="15" xfId="0" applyFont="1" applyFill="1" applyBorder="1" applyProtection="1">
      <protection locked="0"/>
    </xf>
    <xf numFmtId="0" fontId="5" fillId="4" borderId="12" xfId="0" applyFont="1" applyFill="1" applyBorder="1" applyProtection="1">
      <protection locked="0"/>
    </xf>
    <xf numFmtId="0" fontId="5" fillId="4" borderId="16" xfId="0" applyFont="1" applyFill="1" applyBorder="1" applyProtection="1">
      <protection locked="0"/>
    </xf>
    <xf numFmtId="169" fontId="5" fillId="4" borderId="17" xfId="1" applyNumberFormat="1" applyFont="1" applyFill="1" applyBorder="1" applyProtection="1">
      <protection locked="0"/>
    </xf>
    <xf numFmtId="169" fontId="5" fillId="4" borderId="18" xfId="1" applyNumberFormat="1" applyFont="1" applyFill="1" applyBorder="1" applyProtection="1">
      <protection locked="0"/>
    </xf>
    <xf numFmtId="169" fontId="5" fillId="4" borderId="19" xfId="1" applyNumberFormat="1" applyFont="1" applyFill="1" applyBorder="1" applyProtection="1">
      <protection locked="0"/>
    </xf>
    <xf numFmtId="0" fontId="5" fillId="4" borderId="15" xfId="0" applyFont="1" applyFill="1" applyBorder="1" applyAlignment="1" applyProtection="1">
      <alignment wrapText="1"/>
      <protection locked="0"/>
    </xf>
    <xf numFmtId="0" fontId="5" fillId="4" borderId="20" xfId="0" applyFont="1" applyFill="1" applyBorder="1" applyProtection="1">
      <protection locked="0"/>
    </xf>
    <xf numFmtId="0" fontId="5" fillId="4" borderId="21" xfId="0" applyFont="1" applyFill="1" applyBorder="1" applyProtection="1">
      <protection locked="0"/>
    </xf>
    <xf numFmtId="0" fontId="5" fillId="4" borderId="22" xfId="0" applyFont="1" applyFill="1" applyBorder="1" applyProtection="1">
      <protection locked="0"/>
    </xf>
    <xf numFmtId="0" fontId="5" fillId="4" borderId="23" xfId="0" applyFont="1" applyFill="1" applyBorder="1" applyProtection="1">
      <protection locked="0"/>
    </xf>
    <xf numFmtId="0" fontId="5" fillId="4" borderId="24" xfId="0" applyFont="1" applyFill="1" applyBorder="1" applyProtection="1">
      <protection locked="0"/>
    </xf>
    <xf numFmtId="0" fontId="5" fillId="4" borderId="25" xfId="0" applyFont="1" applyFill="1" applyBorder="1" applyProtection="1">
      <protection locked="0"/>
    </xf>
    <xf numFmtId="0" fontId="5" fillId="4" borderId="21" xfId="0" applyFont="1" applyFill="1" applyBorder="1" applyAlignment="1" applyProtection="1">
      <alignment wrapText="1"/>
      <protection locked="0"/>
    </xf>
    <xf numFmtId="0" fontId="10" fillId="4" borderId="20" xfId="3" applyFont="1" applyFill="1" applyBorder="1" applyProtection="1">
      <protection locked="0"/>
    </xf>
    <xf numFmtId="0" fontId="10" fillId="4" borderId="21" xfId="3" applyFont="1" applyFill="1" applyBorder="1" applyProtection="1">
      <protection locked="0"/>
    </xf>
    <xf numFmtId="0" fontId="10" fillId="4" borderId="22" xfId="3" applyFont="1" applyFill="1" applyBorder="1" applyProtection="1">
      <protection locked="0"/>
    </xf>
    <xf numFmtId="0" fontId="10" fillId="4" borderId="23" xfId="3" applyFont="1" applyFill="1" applyBorder="1" applyProtection="1">
      <protection locked="0"/>
    </xf>
    <xf numFmtId="0" fontId="10" fillId="4" borderId="24" xfId="3" applyFont="1" applyFill="1" applyBorder="1" applyProtection="1">
      <protection locked="0"/>
    </xf>
    <xf numFmtId="0" fontId="10" fillId="4" borderId="25" xfId="3" applyFont="1" applyFill="1" applyBorder="1" applyProtection="1">
      <protection locked="0"/>
    </xf>
    <xf numFmtId="0" fontId="10" fillId="4" borderId="21" xfId="3" applyFont="1" applyFill="1" applyBorder="1" applyAlignment="1" applyProtection="1">
      <alignment wrapText="1"/>
      <protection locked="0"/>
    </xf>
    <xf numFmtId="0" fontId="5" fillId="4" borderId="26" xfId="0" applyFont="1" applyFill="1" applyBorder="1" applyProtection="1">
      <protection locked="0"/>
    </xf>
    <xf numFmtId="0" fontId="5" fillId="4" borderId="27" xfId="0" applyFont="1" applyFill="1" applyBorder="1" applyProtection="1">
      <protection locked="0"/>
    </xf>
    <xf numFmtId="0" fontId="5" fillId="4" borderId="28" xfId="0" applyFont="1" applyFill="1" applyBorder="1" applyProtection="1">
      <protection locked="0"/>
    </xf>
    <xf numFmtId="0" fontId="5" fillId="4" borderId="29" xfId="0" applyFont="1" applyFill="1" applyBorder="1" applyProtection="1">
      <protection locked="0"/>
    </xf>
    <xf numFmtId="0" fontId="5" fillId="4" borderId="30" xfId="0" applyFont="1" applyFill="1" applyBorder="1" applyProtection="1">
      <protection locked="0"/>
    </xf>
    <xf numFmtId="0" fontId="5" fillId="4" borderId="31" xfId="0" applyFont="1" applyFill="1" applyBorder="1" applyProtection="1">
      <protection locked="0"/>
    </xf>
    <xf numFmtId="0" fontId="5" fillId="4" borderId="27" xfId="0" applyFont="1" applyFill="1" applyBorder="1" applyAlignment="1" applyProtection="1">
      <alignment wrapText="1"/>
      <protection locked="0"/>
    </xf>
    <xf numFmtId="0" fontId="21" fillId="9" borderId="0" xfId="6" applyFont="1" applyFill="1" applyAlignment="1" applyProtection="1"/>
    <xf numFmtId="0" fontId="5" fillId="9" borderId="0" xfId="5" applyFont="1" applyFill="1" applyAlignment="1">
      <alignment horizontal="left" vertical="top" wrapText="1"/>
    </xf>
    <xf numFmtId="2" fontId="5" fillId="12" borderId="20" xfId="5" applyNumberFormat="1" applyFont="1" applyFill="1" applyBorder="1" applyAlignment="1">
      <alignment horizontal="center" vertical="top" wrapText="1"/>
    </xf>
    <xf numFmtId="2" fontId="5" fillId="11" borderId="14" xfId="5" applyNumberFormat="1" applyFont="1" applyFill="1" applyBorder="1" applyAlignment="1">
      <alignment horizontal="center" vertical="top" wrapText="1"/>
    </xf>
    <xf numFmtId="2" fontId="5" fillId="11" borderId="20" xfId="5" applyNumberFormat="1" applyFont="1" applyFill="1" applyBorder="1" applyAlignment="1">
      <alignment horizontal="center" vertical="top" wrapText="1"/>
    </xf>
    <xf numFmtId="2" fontId="5" fillId="12" borderId="26" xfId="5" applyNumberFormat="1" applyFont="1" applyFill="1" applyBorder="1" applyAlignment="1">
      <alignment horizontal="center" vertical="top" wrapText="1"/>
    </xf>
    <xf numFmtId="2" fontId="5" fillId="11" borderId="26" xfId="5" applyNumberFormat="1" applyFont="1" applyFill="1" applyBorder="1" applyAlignment="1">
      <alignment horizontal="center" vertical="top" wrapText="1"/>
    </xf>
    <xf numFmtId="0" fontId="26" fillId="6" borderId="34" xfId="4" applyFont="1" applyFill="1" applyBorder="1" applyAlignment="1">
      <alignment vertical="top" wrapText="1"/>
    </xf>
    <xf numFmtId="2" fontId="5" fillId="12" borderId="8" xfId="5" applyNumberFormat="1" applyFont="1" applyFill="1" applyBorder="1" applyAlignment="1">
      <alignment horizontal="center" vertical="top" wrapText="1"/>
    </xf>
    <xf numFmtId="2" fontId="5" fillId="11" borderId="8" xfId="5" applyNumberFormat="1" applyFont="1" applyFill="1" applyBorder="1" applyAlignment="1">
      <alignment horizontal="center" vertical="top" wrapText="1"/>
    </xf>
    <xf numFmtId="3" fontId="5" fillId="13" borderId="20" xfId="4" applyNumberFormat="1" applyFont="1" applyFill="1" applyBorder="1" applyAlignment="1">
      <alignment horizontal="center" vertical="top" wrapText="1"/>
    </xf>
    <xf numFmtId="2" fontId="28" fillId="0" borderId="8" xfId="5" applyNumberFormat="1" applyFont="1" applyBorder="1" applyAlignment="1">
      <alignment horizontal="center" vertical="top" wrapText="1"/>
    </xf>
    <xf numFmtId="4" fontId="5" fillId="12" borderId="8" xfId="5" applyNumberFormat="1" applyFont="1" applyFill="1" applyBorder="1" applyAlignment="1">
      <alignment horizontal="center" vertical="top" wrapText="1"/>
    </xf>
    <xf numFmtId="0" fontId="5" fillId="9" borderId="0" xfId="4" applyFont="1" applyFill="1" applyAlignment="1">
      <alignment horizontal="left"/>
    </xf>
    <xf numFmtId="3" fontId="23" fillId="12" borderId="8" xfId="4" applyNumberFormat="1" applyFont="1" applyFill="1" applyBorder="1" applyAlignment="1">
      <alignment horizontal="center" vertical="top" wrapText="1"/>
    </xf>
    <xf numFmtId="0" fontId="5" fillId="3" borderId="14" xfId="4" applyFont="1" applyFill="1" applyBorder="1"/>
    <xf numFmtId="0" fontId="26" fillId="6" borderId="4" xfId="4" applyFont="1" applyFill="1" applyBorder="1" applyAlignment="1">
      <alignment vertical="top" wrapText="1"/>
    </xf>
    <xf numFmtId="0" fontId="5" fillId="3" borderId="20" xfId="4" applyFont="1" applyFill="1" applyBorder="1"/>
    <xf numFmtId="0" fontId="5" fillId="3" borderId="26" xfId="4" applyFont="1" applyFill="1" applyBorder="1"/>
    <xf numFmtId="0" fontId="5" fillId="9" borderId="0" xfId="4" applyFont="1" applyFill="1"/>
    <xf numFmtId="0" fontId="5" fillId="3" borderId="0" xfId="4" applyFont="1" applyFill="1"/>
    <xf numFmtId="2" fontId="23" fillId="0" borderId="8" xfId="5" applyNumberFormat="1" applyFont="1" applyBorder="1" applyAlignment="1">
      <alignment horizontal="center" vertical="top" wrapText="1"/>
    </xf>
    <xf numFmtId="0" fontId="5" fillId="6" borderId="32" xfId="4" applyFont="1" applyFill="1" applyBorder="1" applyAlignment="1">
      <alignment vertical="top" wrapText="1"/>
    </xf>
    <xf numFmtId="0" fontId="5" fillId="6" borderId="33" xfId="4" applyFont="1" applyFill="1" applyBorder="1" applyAlignment="1">
      <alignment vertical="top" wrapText="1"/>
    </xf>
    <xf numFmtId="0" fontId="5" fillId="6" borderId="34" xfId="4" applyFont="1" applyFill="1" applyBorder="1" applyAlignment="1">
      <alignment vertical="top" wrapText="1"/>
    </xf>
    <xf numFmtId="0" fontId="5" fillId="3" borderId="0" xfId="4" applyFont="1" applyFill="1" applyAlignment="1">
      <alignment vertical="top" wrapText="1"/>
    </xf>
    <xf numFmtId="0" fontId="5" fillId="6" borderId="34" xfId="4" applyFont="1" applyFill="1" applyBorder="1" applyAlignment="1">
      <alignment vertical="top"/>
    </xf>
    <xf numFmtId="0" fontId="5" fillId="6" borderId="35" xfId="4" applyFont="1" applyFill="1" applyBorder="1" applyAlignment="1">
      <alignment vertical="top"/>
    </xf>
    <xf numFmtId="3" fontId="5" fillId="12" borderId="3" xfId="4" applyNumberFormat="1" applyFont="1" applyFill="1" applyBorder="1" applyAlignment="1">
      <alignment horizontal="center" vertical="top" wrapText="1"/>
    </xf>
    <xf numFmtId="0" fontId="5" fillId="10" borderId="8" xfId="4" applyFont="1" applyFill="1" applyBorder="1" applyAlignment="1">
      <alignment horizontal="center" vertical="top" wrapText="1"/>
    </xf>
    <xf numFmtId="9" fontId="5" fillId="12" borderId="8" xfId="2" applyFont="1" applyFill="1" applyBorder="1" applyAlignment="1">
      <alignment horizontal="center" vertical="top" wrapText="1"/>
    </xf>
    <xf numFmtId="168" fontId="38" fillId="17" borderId="12" xfId="7" applyNumberFormat="1" applyFont="1" applyFill="1" applyBorder="1" applyAlignment="1">
      <alignment horizontal="center" vertical="top" wrapText="1"/>
    </xf>
    <xf numFmtId="168" fontId="38" fillId="14" borderId="22" xfId="5" applyNumberFormat="1" applyFont="1" applyFill="1" applyBorder="1" applyAlignment="1">
      <alignment horizontal="center" vertical="top" wrapText="1"/>
    </xf>
    <xf numFmtId="0" fontId="38" fillId="14" borderId="22" xfId="5" applyFont="1" applyFill="1" applyBorder="1" applyAlignment="1">
      <alignment horizontal="center" vertical="top" wrapText="1"/>
    </xf>
    <xf numFmtId="168" fontId="38" fillId="11" borderId="14" xfId="5" applyNumberFormat="1" applyFont="1" applyFill="1" applyBorder="1" applyAlignment="1">
      <alignment horizontal="center" vertical="top" wrapText="1"/>
    </xf>
    <xf numFmtId="168" fontId="38" fillId="11" borderId="20" xfId="5" applyNumberFormat="1" applyFont="1" applyFill="1" applyBorder="1" applyAlignment="1">
      <alignment horizontal="center" vertical="top" wrapText="1"/>
    </xf>
    <xf numFmtId="168" fontId="38" fillId="14" borderId="28" xfId="5" applyNumberFormat="1" applyFont="1" applyFill="1" applyBorder="1" applyAlignment="1">
      <alignment horizontal="center" vertical="top" wrapText="1"/>
    </xf>
    <xf numFmtId="0" fontId="38" fillId="14" borderId="28" xfId="5" applyFont="1" applyFill="1" applyBorder="1" applyAlignment="1">
      <alignment horizontal="center" vertical="top" wrapText="1"/>
    </xf>
    <xf numFmtId="168" fontId="38" fillId="11" borderId="26" xfId="5" applyNumberFormat="1" applyFont="1" applyFill="1" applyBorder="1" applyAlignment="1">
      <alignment horizontal="center" vertical="top" wrapText="1"/>
    </xf>
    <xf numFmtId="168" fontId="38" fillId="17" borderId="20" xfId="7" applyNumberFormat="1" applyFont="1" applyFill="1" applyBorder="1" applyAlignment="1">
      <alignment horizontal="center" vertical="top" wrapText="1"/>
    </xf>
    <xf numFmtId="168" fontId="38" fillId="14" borderId="1" xfId="5" applyNumberFormat="1" applyFont="1" applyFill="1" applyBorder="1" applyAlignment="1">
      <alignment horizontal="center" wrapText="1"/>
    </xf>
    <xf numFmtId="168" fontId="38" fillId="14" borderId="1" xfId="5" applyNumberFormat="1" applyFont="1" applyFill="1" applyBorder="1" applyAlignment="1">
      <alignment horizontal="center" vertical="top" wrapText="1"/>
    </xf>
    <xf numFmtId="168" fontId="38" fillId="11" borderId="1" xfId="5" applyNumberFormat="1" applyFont="1" applyFill="1" applyBorder="1" applyAlignment="1">
      <alignment horizontal="center" wrapText="1"/>
    </xf>
    <xf numFmtId="168" fontId="38" fillId="11" borderId="1" xfId="5" applyNumberFormat="1" applyFont="1" applyFill="1" applyBorder="1" applyAlignment="1">
      <alignment horizontal="center" vertical="top" wrapText="1"/>
    </xf>
    <xf numFmtId="168" fontId="38" fillId="4" borderId="20" xfId="7" applyNumberFormat="1" applyFont="1" applyFill="1" applyBorder="1" applyAlignment="1" applyProtection="1">
      <alignment horizontal="center" vertical="top" wrapText="1"/>
      <protection locked="0"/>
    </xf>
    <xf numFmtId="168" fontId="5" fillId="14" borderId="14" xfId="4" applyNumberFormat="1" applyFont="1" applyFill="1" applyBorder="1" applyAlignment="1">
      <alignment horizontal="center" wrapText="1"/>
    </xf>
    <xf numFmtId="2" fontId="5" fillId="12" borderId="14" xfId="5" applyNumberFormat="1" applyFont="1" applyFill="1" applyBorder="1" applyAlignment="1">
      <alignment horizontal="center" wrapText="1"/>
    </xf>
    <xf numFmtId="2" fontId="5" fillId="12" borderId="20" xfId="5" applyNumberFormat="1" applyFont="1" applyFill="1" applyBorder="1" applyAlignment="1">
      <alignment horizontal="center" wrapText="1"/>
    </xf>
    <xf numFmtId="168" fontId="5" fillId="14" borderId="20" xfId="4" applyNumberFormat="1" applyFont="1" applyFill="1" applyBorder="1" applyAlignment="1">
      <alignment horizontal="center" wrapText="1"/>
    </xf>
    <xf numFmtId="168" fontId="5" fillId="14" borderId="26" xfId="4" applyNumberFormat="1" applyFont="1" applyFill="1" applyBorder="1" applyAlignment="1">
      <alignment horizontal="center" wrapText="1"/>
    </xf>
    <xf numFmtId="2" fontId="5" fillId="12" borderId="26" xfId="5" applyNumberFormat="1" applyFont="1" applyFill="1" applyBorder="1" applyAlignment="1">
      <alignment horizontal="center" wrapText="1"/>
    </xf>
    <xf numFmtId="168" fontId="38" fillId="4" borderId="26" xfId="4" applyNumberFormat="1" applyFont="1" applyFill="1" applyBorder="1" applyAlignment="1" applyProtection="1">
      <alignment horizontal="center" vertical="top" wrapText="1"/>
      <protection locked="0"/>
    </xf>
    <xf numFmtId="2" fontId="5" fillId="11" borderId="53" xfId="5" applyNumberFormat="1" applyFont="1" applyFill="1" applyBorder="1" applyAlignment="1">
      <alignment horizontal="center" vertical="top" wrapText="1"/>
    </xf>
    <xf numFmtId="2" fontId="5" fillId="11" borderId="21" xfId="5" applyNumberFormat="1" applyFont="1" applyFill="1" applyBorder="1" applyAlignment="1">
      <alignment horizontal="center" vertical="top" wrapText="1"/>
    </xf>
    <xf numFmtId="2" fontId="5" fillId="11" borderId="27" xfId="5" applyNumberFormat="1" applyFont="1" applyFill="1" applyBorder="1" applyAlignment="1">
      <alignment horizontal="center" vertical="top" wrapText="1"/>
    </xf>
    <xf numFmtId="4" fontId="5" fillId="12" borderId="12" xfId="5" applyNumberFormat="1" applyFont="1" applyFill="1" applyBorder="1" applyAlignment="1">
      <alignment horizontal="center" vertical="top" wrapText="1"/>
    </xf>
    <xf numFmtId="4" fontId="5" fillId="12" borderId="7" xfId="5" applyNumberFormat="1" applyFont="1" applyFill="1" applyBorder="1" applyAlignment="1">
      <alignment horizontal="center" vertical="top" wrapText="1"/>
    </xf>
    <xf numFmtId="0" fontId="5" fillId="19" borderId="0" xfId="4" applyFont="1" applyFill="1" applyAlignment="1">
      <alignment horizontal="left"/>
    </xf>
    <xf numFmtId="0" fontId="5" fillId="6" borderId="0" xfId="4" applyFont="1" applyFill="1" applyAlignment="1">
      <alignment horizontal="center"/>
    </xf>
    <xf numFmtId="3" fontId="5" fillId="6" borderId="0" xfId="4" applyNumberFormat="1" applyFont="1" applyFill="1" applyAlignment="1">
      <alignment horizontal="center"/>
    </xf>
    <xf numFmtId="0" fontId="5" fillId="6" borderId="0" xfId="4" applyFont="1" applyFill="1" applyAlignment="1">
      <alignment vertical="top" wrapText="1"/>
    </xf>
    <xf numFmtId="0" fontId="22" fillId="6" borderId="0" xfId="4" applyFont="1" applyFill="1" applyAlignment="1">
      <alignment vertical="top" wrapText="1"/>
    </xf>
    <xf numFmtId="0" fontId="22" fillId="6" borderId="0" xfId="4" applyFont="1" applyFill="1" applyAlignment="1">
      <alignment horizontal="center" vertical="top" wrapText="1"/>
    </xf>
    <xf numFmtId="0" fontId="5" fillId="6" borderId="0" xfId="4" applyFont="1" applyFill="1" applyAlignment="1">
      <alignment horizontal="center" vertical="top" wrapText="1"/>
    </xf>
    <xf numFmtId="0" fontId="43" fillId="3" borderId="0" xfId="4" applyFont="1" applyFill="1" applyAlignment="1">
      <alignment vertical="top" wrapText="1"/>
    </xf>
    <xf numFmtId="0" fontId="22" fillId="3" borderId="0" xfId="4" applyFont="1" applyFill="1" applyAlignment="1">
      <alignment horizontal="center" vertical="top" wrapText="1"/>
    </xf>
    <xf numFmtId="3" fontId="5" fillId="3" borderId="0" xfId="4" applyNumberFormat="1" applyFont="1" applyFill="1" applyAlignment="1">
      <alignment horizontal="center" vertical="top" wrapText="1"/>
    </xf>
    <xf numFmtId="3" fontId="6" fillId="3" borderId="0" xfId="4" applyNumberFormat="1" applyFont="1" applyFill="1" applyAlignment="1">
      <alignment vertical="top" wrapText="1"/>
    </xf>
    <xf numFmtId="3" fontId="5" fillId="3" borderId="0" xfId="4" applyNumberFormat="1" applyFont="1" applyFill="1" applyAlignment="1">
      <alignment vertical="top" wrapText="1"/>
    </xf>
    <xf numFmtId="0" fontId="5" fillId="3" borderId="0" xfId="4" applyFont="1" applyFill="1" applyAlignment="1">
      <alignment horizontal="center" vertical="top" wrapText="1"/>
    </xf>
    <xf numFmtId="0" fontId="5" fillId="4" borderId="32" xfId="4" applyFont="1" applyFill="1" applyBorder="1"/>
    <xf numFmtId="0" fontId="5" fillId="4" borderId="5" xfId="4" applyFont="1" applyFill="1" applyBorder="1"/>
    <xf numFmtId="0" fontId="5" fillId="4" borderId="36" xfId="4" applyFont="1" applyFill="1" applyBorder="1"/>
    <xf numFmtId="0" fontId="5" fillId="4" borderId="35" xfId="4" applyFont="1" applyFill="1" applyBorder="1"/>
    <xf numFmtId="2" fontId="35" fillId="3" borderId="0" xfId="5" applyNumberFormat="1" applyFont="1" applyFill="1" applyAlignment="1">
      <alignment horizontal="center" vertical="top" wrapText="1"/>
    </xf>
    <xf numFmtId="3" fontId="5" fillId="3" borderId="0" xfId="4" applyNumberFormat="1" applyFont="1" applyFill="1"/>
    <xf numFmtId="0" fontId="5" fillId="3" borderId="0" xfId="4" applyFont="1" applyFill="1" applyAlignment="1">
      <alignment horizontal="center"/>
    </xf>
    <xf numFmtId="3" fontId="5" fillId="3" borderId="0" xfId="5" applyNumberFormat="1" applyFont="1" applyFill="1" applyAlignment="1">
      <alignment horizontal="center" vertical="top" wrapText="1"/>
    </xf>
    <xf numFmtId="0" fontId="5" fillId="3" borderId="0" xfId="5" applyFont="1" applyFill="1" applyAlignment="1">
      <alignment horizontal="center" vertical="top" wrapText="1"/>
    </xf>
    <xf numFmtId="9" fontId="5" fillId="3" borderId="0" xfId="9" applyFont="1" applyFill="1" applyAlignment="1">
      <alignment horizontal="center"/>
    </xf>
    <xf numFmtId="168" fontId="5" fillId="3" borderId="0" xfId="4" applyNumberFormat="1" applyFont="1" applyFill="1" applyAlignment="1">
      <alignment horizontal="center" vertical="top" wrapText="1"/>
    </xf>
    <xf numFmtId="0" fontId="26" fillId="6" borderId="34" xfId="4" applyFont="1" applyFill="1" applyBorder="1" applyAlignment="1">
      <alignment horizontal="left" vertical="top"/>
    </xf>
    <xf numFmtId="0" fontId="26" fillId="6" borderId="35" xfId="4" applyFont="1" applyFill="1" applyBorder="1" applyAlignment="1">
      <alignment horizontal="left" vertical="top"/>
    </xf>
    <xf numFmtId="0" fontId="5" fillId="3" borderId="0" xfId="4" applyFont="1" applyFill="1" applyAlignment="1">
      <alignment vertical="top"/>
    </xf>
    <xf numFmtId="0" fontId="5" fillId="0" borderId="0" xfId="8" applyFont="1"/>
    <xf numFmtId="0" fontId="5" fillId="0" borderId="73" xfId="8" applyFont="1" applyBorder="1"/>
    <xf numFmtId="0" fontId="5" fillId="0" borderId="70" xfId="8" applyFont="1" applyBorder="1" applyAlignment="1">
      <alignment vertical="center"/>
    </xf>
    <xf numFmtId="0" fontId="5" fillId="0" borderId="70" xfId="8" applyFont="1" applyBorder="1" applyAlignment="1">
      <alignment vertical="center" wrapText="1"/>
    </xf>
    <xf numFmtId="0" fontId="5" fillId="0" borderId="0" xfId="8" applyFont="1" applyAlignment="1">
      <alignment horizontal="center" vertical="center"/>
    </xf>
    <xf numFmtId="0" fontId="5" fillId="0" borderId="0" xfId="8" applyFont="1" applyAlignment="1" applyProtection="1">
      <alignment vertical="top" wrapText="1"/>
      <protection locked="0"/>
    </xf>
    <xf numFmtId="0" fontId="5" fillId="9" borderId="0" xfId="7" applyFont="1" applyFill="1"/>
    <xf numFmtId="0" fontId="12" fillId="24" borderId="0" xfId="4" applyFont="1" applyFill="1"/>
    <xf numFmtId="0" fontId="48" fillId="9" borderId="17" xfId="4" applyFont="1" applyFill="1" applyBorder="1"/>
    <xf numFmtId="0" fontId="48" fillId="9" borderId="23" xfId="4" applyFont="1" applyFill="1" applyBorder="1"/>
    <xf numFmtId="0" fontId="45" fillId="9" borderId="23" xfId="4" applyFont="1" applyFill="1" applyBorder="1"/>
    <xf numFmtId="0" fontId="48" fillId="9" borderId="29" xfId="4" applyFont="1" applyFill="1" applyBorder="1"/>
    <xf numFmtId="168" fontId="0" fillId="0" borderId="0" xfId="0" applyNumberFormat="1"/>
    <xf numFmtId="9" fontId="0" fillId="0" borderId="0" xfId="2" applyFont="1"/>
    <xf numFmtId="0" fontId="0" fillId="0" borderId="40" xfId="0" applyBorder="1"/>
    <xf numFmtId="0" fontId="0" fillId="0" borderId="58" xfId="0" applyBorder="1"/>
    <xf numFmtId="0" fontId="0" fillId="0" borderId="38" xfId="0" applyBorder="1"/>
    <xf numFmtId="168" fontId="0" fillId="0" borderId="18" xfId="1" applyNumberFormat="1" applyFont="1" applyBorder="1"/>
    <xf numFmtId="168" fontId="0" fillId="0" borderId="24" xfId="1" applyNumberFormat="1" applyFont="1" applyBorder="1"/>
    <xf numFmtId="168" fontId="0" fillId="0" borderId="24" xfId="0" applyNumberFormat="1" applyBorder="1"/>
    <xf numFmtId="0" fontId="0" fillId="0" borderId="45" xfId="0" applyBorder="1"/>
    <xf numFmtId="0" fontId="0" fillId="0" borderId="61" xfId="0" applyBorder="1"/>
    <xf numFmtId="0" fontId="0" fillId="0" borderId="69" xfId="0" applyBorder="1"/>
    <xf numFmtId="168" fontId="0" fillId="0" borderId="46" xfId="0" applyNumberFormat="1" applyBorder="1"/>
    <xf numFmtId="168" fontId="0" fillId="0" borderId="59" xfId="0" applyNumberFormat="1" applyBorder="1"/>
    <xf numFmtId="170" fontId="0" fillId="0" borderId="18" xfId="1" applyNumberFormat="1" applyFont="1" applyBorder="1"/>
    <xf numFmtId="170" fontId="0" fillId="0" borderId="24" xfId="1" applyNumberFormat="1" applyFont="1" applyBorder="1"/>
    <xf numFmtId="170" fontId="0" fillId="0" borderId="30" xfId="1" applyNumberFormat="1" applyFont="1" applyBorder="1"/>
    <xf numFmtId="168" fontId="0" fillId="0" borderId="18" xfId="0" applyNumberFormat="1" applyBorder="1"/>
    <xf numFmtId="0" fontId="20" fillId="9" borderId="0" xfId="6" applyFill="1" applyAlignment="1" applyProtection="1">
      <alignment horizontal="left"/>
    </xf>
    <xf numFmtId="0" fontId="12" fillId="31" borderId="0" xfId="4" applyFont="1" applyFill="1"/>
    <xf numFmtId="2" fontId="5" fillId="12" borderId="53" xfId="5" applyNumberFormat="1" applyFont="1" applyFill="1" applyBorder="1" applyAlignment="1">
      <alignment horizontal="center" wrapText="1"/>
    </xf>
    <xf numFmtId="2" fontId="5" fillId="12" borderId="21" xfId="5" applyNumberFormat="1" applyFont="1" applyFill="1" applyBorder="1" applyAlignment="1">
      <alignment horizontal="center" wrapText="1"/>
    </xf>
    <xf numFmtId="2" fontId="5" fillId="12" borderId="27" xfId="5" applyNumberFormat="1" applyFont="1" applyFill="1" applyBorder="1" applyAlignment="1">
      <alignment horizontal="center" wrapText="1"/>
    </xf>
    <xf numFmtId="0" fontId="5" fillId="10" borderId="0" xfId="4" applyFont="1" applyFill="1"/>
    <xf numFmtId="0" fontId="5" fillId="10" borderId="1" xfId="4" applyFont="1" applyFill="1" applyBorder="1" applyAlignment="1">
      <alignment horizontal="center" vertical="top" wrapText="1"/>
    </xf>
    <xf numFmtId="9" fontId="5" fillId="11" borderId="1" xfId="2" applyFont="1" applyFill="1" applyBorder="1" applyAlignment="1">
      <alignment horizontal="center" vertical="top" wrapText="1"/>
    </xf>
    <xf numFmtId="168" fontId="38" fillId="17" borderId="14" xfId="7" applyNumberFormat="1" applyFont="1" applyFill="1" applyBorder="1" applyAlignment="1">
      <alignment horizontal="center" vertical="top" wrapText="1"/>
    </xf>
    <xf numFmtId="0" fontId="47" fillId="9" borderId="8" xfId="7" applyFont="1" applyFill="1" applyBorder="1"/>
    <xf numFmtId="0" fontId="47" fillId="9" borderId="0" xfId="7" applyFont="1" applyFill="1" applyAlignment="1">
      <alignment horizontal="right" indent="1"/>
    </xf>
    <xf numFmtId="0" fontId="5" fillId="9" borderId="0" xfId="7" applyFont="1" applyFill="1" applyAlignment="1">
      <alignment horizontal="right" indent="1"/>
    </xf>
    <xf numFmtId="0" fontId="5" fillId="9" borderId="37" xfId="7" applyFont="1" applyFill="1" applyBorder="1"/>
    <xf numFmtId="0" fontId="5" fillId="9" borderId="37" xfId="4" applyFont="1" applyFill="1" applyBorder="1"/>
    <xf numFmtId="0" fontId="7" fillId="21" borderId="0" xfId="7" applyFont="1" applyFill="1"/>
    <xf numFmtId="3" fontId="5" fillId="9" borderId="40" xfId="4" applyNumberFormat="1" applyFont="1" applyFill="1" applyBorder="1"/>
    <xf numFmtId="0" fontId="5" fillId="9" borderId="40" xfId="4" applyFont="1" applyFill="1" applyBorder="1" applyAlignment="1">
      <alignment horizontal="center"/>
    </xf>
    <xf numFmtId="0" fontId="5" fillId="9" borderId="68" xfId="7" applyFont="1" applyFill="1" applyBorder="1"/>
    <xf numFmtId="0" fontId="7" fillId="32" borderId="0" xfId="4" applyFont="1" applyFill="1"/>
    <xf numFmtId="0" fontId="5" fillId="32" borderId="0" xfId="4" applyFont="1" applyFill="1"/>
    <xf numFmtId="3" fontId="5" fillId="11" borderId="3" xfId="4" applyNumberFormat="1" applyFont="1" applyFill="1" applyBorder="1" applyAlignment="1">
      <alignment horizontal="center" vertical="top" wrapText="1"/>
    </xf>
    <xf numFmtId="3" fontId="5" fillId="33" borderId="3" xfId="4" applyNumberFormat="1" applyFont="1" applyFill="1" applyBorder="1" applyAlignment="1">
      <alignment horizontal="center" vertical="top" wrapText="1"/>
    </xf>
    <xf numFmtId="2" fontId="5" fillId="12" borderId="3" xfId="1" applyNumberFormat="1" applyFont="1" applyFill="1" applyBorder="1" applyAlignment="1">
      <alignment horizontal="center" vertical="center" wrapText="1"/>
    </xf>
    <xf numFmtId="168" fontId="38" fillId="14" borderId="14" xfId="4" applyNumberFormat="1" applyFont="1" applyFill="1" applyBorder="1" applyAlignment="1">
      <alignment horizontal="center" wrapText="1"/>
    </xf>
    <xf numFmtId="168" fontId="38" fillId="14" borderId="20" xfId="4" applyNumberFormat="1" applyFont="1" applyFill="1" applyBorder="1" applyAlignment="1">
      <alignment horizontal="center" wrapText="1"/>
    </xf>
    <xf numFmtId="2" fontId="5" fillId="4" borderId="39" xfId="4" applyNumberFormat="1" applyFont="1" applyFill="1" applyBorder="1" applyAlignment="1" applyProtection="1">
      <alignment horizontal="center"/>
      <protection locked="0"/>
    </xf>
    <xf numFmtId="2" fontId="5" fillId="4" borderId="22" xfId="4" applyNumberFormat="1" applyFont="1" applyFill="1" applyBorder="1" applyAlignment="1" applyProtection="1">
      <alignment horizontal="center"/>
      <protection locked="0"/>
    </xf>
    <xf numFmtId="2" fontId="5" fillId="4" borderId="28" xfId="4" applyNumberFormat="1" applyFont="1" applyFill="1" applyBorder="1" applyAlignment="1" applyProtection="1">
      <alignment horizontal="center"/>
      <protection locked="0"/>
    </xf>
    <xf numFmtId="4" fontId="23" fillId="12" borderId="8" xfId="4" applyNumberFormat="1" applyFont="1" applyFill="1" applyBorder="1" applyAlignment="1">
      <alignment horizontal="center" vertical="top" wrapText="1"/>
    </xf>
    <xf numFmtId="168" fontId="38" fillId="17" borderId="26" xfId="7" applyNumberFormat="1" applyFont="1" applyFill="1" applyBorder="1" applyAlignment="1">
      <alignment horizontal="center" vertical="top" wrapText="1"/>
    </xf>
    <xf numFmtId="0" fontId="5" fillId="10" borderId="37" xfId="4" applyFont="1" applyFill="1" applyBorder="1"/>
    <xf numFmtId="3" fontId="5" fillId="33" borderId="35" xfId="4" applyNumberFormat="1" applyFont="1" applyFill="1" applyBorder="1" applyAlignment="1">
      <alignment horizontal="center" vertical="top" wrapText="1"/>
    </xf>
    <xf numFmtId="9" fontId="5" fillId="12" borderId="7" xfId="2" applyFont="1" applyFill="1" applyBorder="1" applyAlignment="1">
      <alignment horizontal="center" vertical="top" wrapText="1"/>
    </xf>
    <xf numFmtId="9" fontId="5" fillId="11" borderId="36" xfId="2" applyFont="1" applyFill="1" applyBorder="1" applyAlignment="1">
      <alignment horizontal="center" vertical="top" wrapText="1"/>
    </xf>
    <xf numFmtId="4" fontId="5" fillId="13" borderId="16" xfId="5" applyNumberFormat="1" applyFont="1" applyFill="1" applyBorder="1" applyAlignment="1">
      <alignment horizontal="center" vertical="top" wrapText="1"/>
    </xf>
    <xf numFmtId="4" fontId="5" fillId="13" borderId="34" xfId="5" applyNumberFormat="1" applyFont="1" applyFill="1" applyBorder="1" applyAlignment="1">
      <alignment horizontal="center" vertical="top" wrapText="1"/>
    </xf>
    <xf numFmtId="4" fontId="5" fillId="13" borderId="8" xfId="5" applyNumberFormat="1" applyFont="1" applyFill="1" applyBorder="1" applyAlignment="1">
      <alignment horizontal="center" vertical="top" wrapText="1"/>
    </xf>
    <xf numFmtId="4" fontId="5" fillId="11" borderId="34" xfId="5" applyNumberFormat="1" applyFont="1" applyFill="1" applyBorder="1" applyAlignment="1">
      <alignment horizontal="center" vertical="top" wrapText="1"/>
    </xf>
    <xf numFmtId="4" fontId="5" fillId="11" borderId="3" xfId="4" applyNumberFormat="1" applyFont="1" applyFill="1" applyBorder="1" applyAlignment="1">
      <alignment horizontal="center" vertical="top" wrapText="1"/>
    </xf>
    <xf numFmtId="3" fontId="5" fillId="36" borderId="35" xfId="4" applyNumberFormat="1" applyFont="1" applyFill="1" applyBorder="1" applyAlignment="1">
      <alignment horizontal="center" vertical="top" wrapText="1"/>
    </xf>
    <xf numFmtId="3" fontId="5" fillId="36" borderId="3" xfId="4" applyNumberFormat="1" applyFont="1" applyFill="1" applyBorder="1" applyAlignment="1">
      <alignment horizontal="center" vertical="top" wrapText="1"/>
    </xf>
    <xf numFmtId="0" fontId="26" fillId="6" borderId="32" xfId="4" applyFont="1" applyFill="1" applyBorder="1" applyAlignment="1">
      <alignment vertical="top" wrapText="1"/>
    </xf>
    <xf numFmtId="168" fontId="38" fillId="14" borderId="12" xfId="4" applyNumberFormat="1" applyFont="1" applyFill="1" applyBorder="1" applyAlignment="1">
      <alignment horizontal="center" wrapText="1"/>
    </xf>
    <xf numFmtId="0" fontId="0" fillId="19" borderId="0" xfId="0" applyFill="1"/>
    <xf numFmtId="168" fontId="38" fillId="19" borderId="14" xfId="4" applyNumberFormat="1" applyFont="1" applyFill="1" applyBorder="1" applyAlignment="1">
      <alignment horizontal="center" wrapText="1"/>
    </xf>
    <xf numFmtId="168" fontId="0" fillId="19" borderId="0" xfId="0" applyNumberFormat="1" applyFill="1"/>
    <xf numFmtId="3" fontId="5" fillId="13" borderId="40" xfId="4" applyNumberFormat="1" applyFont="1" applyFill="1" applyBorder="1"/>
    <xf numFmtId="3" fontId="5" fillId="13" borderId="26" xfId="4" applyNumberFormat="1" applyFont="1" applyFill="1" applyBorder="1" applyAlignment="1">
      <alignment horizontal="center" vertical="top" wrapText="1"/>
    </xf>
    <xf numFmtId="0" fontId="5" fillId="3" borderId="0" xfId="0" applyFont="1" applyFill="1" applyAlignment="1">
      <alignment horizontal="center" vertical="top" wrapText="1"/>
    </xf>
    <xf numFmtId="0" fontId="22" fillId="3" borderId="0" xfId="4" applyFont="1" applyFill="1" applyAlignment="1">
      <alignment horizontal="center" vertical="center" wrapText="1"/>
    </xf>
    <xf numFmtId="3" fontId="22" fillId="3" borderId="0" xfId="4" applyNumberFormat="1" applyFont="1" applyFill="1" applyAlignment="1">
      <alignment horizontal="center" vertical="center" wrapText="1"/>
    </xf>
    <xf numFmtId="0" fontId="6" fillId="3" borderId="0" xfId="4" applyFont="1" applyFill="1" applyAlignment="1">
      <alignment vertical="top" wrapText="1"/>
    </xf>
    <xf numFmtId="168" fontId="5" fillId="3" borderId="0" xfId="4" applyNumberFormat="1" applyFont="1" applyFill="1" applyAlignment="1">
      <alignment horizontal="center"/>
    </xf>
    <xf numFmtId="2" fontId="5" fillId="3" borderId="0" xfId="5" applyNumberFormat="1" applyFont="1" applyFill="1" applyAlignment="1">
      <alignment horizontal="center"/>
    </xf>
    <xf numFmtId="3" fontId="5" fillId="3" borderId="0" xfId="4" applyNumberFormat="1" applyFont="1" applyFill="1" applyAlignment="1">
      <alignment horizontal="center"/>
    </xf>
    <xf numFmtId="0" fontId="5" fillId="0" borderId="51" xfId="8" applyFont="1" applyBorder="1"/>
    <xf numFmtId="0" fontId="5" fillId="4" borderId="8" xfId="0" applyFont="1" applyFill="1" applyBorder="1" applyProtection="1">
      <protection locked="0"/>
    </xf>
    <xf numFmtId="0" fontId="0" fillId="7" borderId="0" xfId="0" applyFill="1"/>
    <xf numFmtId="0" fontId="75" fillId="14" borderId="0" xfId="5" applyFont="1" applyFill="1" applyAlignment="1">
      <alignment wrapText="1"/>
    </xf>
    <xf numFmtId="0" fontId="49" fillId="3" borderId="8" xfId="0" applyFont="1" applyFill="1" applyBorder="1" applyAlignment="1">
      <alignment horizontal="left"/>
    </xf>
    <xf numFmtId="0" fontId="15" fillId="25" borderId="14" xfId="0" applyFont="1" applyFill="1" applyBorder="1" applyAlignment="1">
      <alignment horizontal="center" vertical="center" wrapText="1"/>
    </xf>
    <xf numFmtId="0" fontId="15" fillId="8" borderId="1" xfId="0" applyFont="1" applyFill="1" applyBorder="1" applyAlignment="1">
      <alignment horizontal="center" vertical="center"/>
    </xf>
    <xf numFmtId="0" fontId="15" fillId="27" borderId="8" xfId="0" applyFont="1" applyFill="1" applyBorder="1" applyAlignment="1">
      <alignment horizontal="center" vertical="center" wrapText="1"/>
    </xf>
    <xf numFmtId="0" fontId="49" fillId="28" borderId="8" xfId="0" applyFont="1" applyFill="1" applyBorder="1" applyAlignment="1">
      <alignment horizontal="center" vertical="center" wrapText="1"/>
    </xf>
    <xf numFmtId="0" fontId="15" fillId="26" borderId="3" xfId="0" applyFont="1" applyFill="1" applyBorder="1" applyAlignment="1">
      <alignment horizontal="center" vertical="center"/>
    </xf>
    <xf numFmtId="0" fontId="15" fillId="8" borderId="8" xfId="0" applyFont="1" applyFill="1" applyBorder="1" applyAlignment="1">
      <alignment horizontal="center" vertical="center"/>
    </xf>
    <xf numFmtId="0" fontId="23" fillId="3" borderId="4" xfId="0" applyFont="1" applyFill="1" applyBorder="1" applyAlignment="1">
      <alignment horizontal="center" vertical="center"/>
    </xf>
    <xf numFmtId="0" fontId="23" fillId="3" borderId="4" xfId="0" applyFont="1" applyFill="1" applyBorder="1" applyAlignment="1">
      <alignment horizontal="center" vertical="center" wrapText="1"/>
    </xf>
    <xf numFmtId="4" fontId="23" fillId="3" borderId="4" xfId="0" applyNumberFormat="1" applyFont="1" applyFill="1" applyBorder="1" applyAlignment="1">
      <alignment horizontal="center" vertical="center"/>
    </xf>
    <xf numFmtId="3" fontId="23" fillId="3" borderId="5" xfId="0" applyNumberFormat="1" applyFont="1" applyFill="1" applyBorder="1" applyAlignment="1">
      <alignment horizontal="center" vertical="center" wrapText="1"/>
    </xf>
    <xf numFmtId="3" fontId="23" fillId="3" borderId="5" xfId="0" applyNumberFormat="1" applyFont="1" applyFill="1" applyBorder="1" applyAlignment="1">
      <alignment horizontal="center" vertical="center"/>
    </xf>
    <xf numFmtId="4" fontId="23" fillId="3" borderId="8" xfId="0" applyNumberFormat="1" applyFont="1" applyFill="1" applyBorder="1" applyAlignment="1">
      <alignment horizontal="center" vertical="center"/>
    </xf>
    <xf numFmtId="2" fontId="23" fillId="3" borderId="3" xfId="0" applyNumberFormat="1" applyFont="1" applyFill="1" applyBorder="1" applyAlignment="1">
      <alignment horizontal="center" vertical="center" wrapText="1"/>
    </xf>
    <xf numFmtId="0" fontId="49" fillId="3" borderId="7" xfId="0" applyFont="1" applyFill="1" applyBorder="1" applyAlignment="1">
      <alignment horizontal="left"/>
    </xf>
    <xf numFmtId="3" fontId="23" fillId="3" borderId="3" xfId="0" applyNumberFormat="1" applyFont="1" applyFill="1" applyBorder="1" applyAlignment="1">
      <alignment horizontal="center" vertical="center" wrapText="1"/>
    </xf>
    <xf numFmtId="3" fontId="23" fillId="3" borderId="3" xfId="0" applyNumberFormat="1" applyFont="1" applyFill="1" applyBorder="1" applyAlignment="1">
      <alignment horizontal="center" vertical="center"/>
    </xf>
    <xf numFmtId="0" fontId="23" fillId="29" borderId="3" xfId="9" applyNumberFormat="1" applyFont="1" applyFill="1" applyBorder="1" applyAlignment="1">
      <alignment horizontal="center" vertical="center"/>
    </xf>
    <xf numFmtId="9" fontId="23" fillId="3" borderId="3" xfId="2" applyFont="1" applyFill="1" applyBorder="1" applyAlignment="1">
      <alignment horizontal="center" vertical="center"/>
    </xf>
    <xf numFmtId="9" fontId="23" fillId="3" borderId="8" xfId="2" applyFont="1" applyFill="1" applyBorder="1" applyAlignment="1">
      <alignment horizontal="center" vertical="center"/>
    </xf>
    <xf numFmtId="0" fontId="50" fillId="7" borderId="0" xfId="0" applyFont="1" applyFill="1"/>
    <xf numFmtId="0" fontId="15" fillId="25" borderId="4" xfId="0" applyFont="1" applyFill="1" applyBorder="1" applyAlignment="1">
      <alignment horizontal="center" vertical="center" wrapText="1"/>
    </xf>
    <xf numFmtId="0" fontId="15" fillId="25" borderId="39" xfId="0" applyFont="1" applyFill="1" applyBorder="1" applyAlignment="1">
      <alignment horizontal="center" vertical="center" wrapText="1"/>
    </xf>
    <xf numFmtId="0" fontId="15" fillId="26" borderId="8" xfId="0" applyFont="1" applyFill="1" applyBorder="1" applyAlignment="1">
      <alignment horizontal="center" vertical="center"/>
    </xf>
    <xf numFmtId="0" fontId="15" fillId="8" borderId="3" xfId="0" applyFont="1" applyFill="1" applyBorder="1" applyAlignment="1">
      <alignment horizontal="center" vertical="center"/>
    </xf>
    <xf numFmtId="0" fontId="23" fillId="3" borderId="32" xfId="0" applyFont="1" applyFill="1" applyBorder="1" applyAlignment="1">
      <alignment horizontal="center" vertical="center" wrapText="1"/>
    </xf>
    <xf numFmtId="0" fontId="23" fillId="3" borderId="33" xfId="0" applyFont="1" applyFill="1" applyBorder="1" applyAlignment="1">
      <alignment horizontal="center" vertical="center" wrapText="1"/>
    </xf>
    <xf numFmtId="0" fontId="23" fillId="3" borderId="32" xfId="0" applyFont="1" applyFill="1" applyBorder="1" applyAlignment="1">
      <alignment horizontal="center" vertical="center"/>
    </xf>
    <xf numFmtId="0" fontId="23" fillId="3" borderId="5" xfId="0" applyFont="1" applyFill="1" applyBorder="1" applyAlignment="1">
      <alignment horizontal="center" vertical="center" wrapText="1"/>
    </xf>
    <xf numFmtId="3" fontId="29" fillId="3" borderId="14" xfId="0" applyNumberFormat="1" applyFont="1" applyFill="1" applyBorder="1" applyAlignment="1">
      <alignment horizontal="center" vertical="center" wrapText="1"/>
    </xf>
    <xf numFmtId="3" fontId="29" fillId="3" borderId="52" xfId="0" applyNumberFormat="1" applyFont="1" applyFill="1" applyBorder="1" applyAlignment="1">
      <alignment horizontal="center" vertical="center" wrapText="1"/>
    </xf>
    <xf numFmtId="0" fontId="22" fillId="3" borderId="7" xfId="0" applyFont="1" applyFill="1" applyBorder="1" applyAlignment="1">
      <alignment horizontal="center" vertical="top" wrapText="1"/>
    </xf>
    <xf numFmtId="3" fontId="23" fillId="3" borderId="8" xfId="0" applyNumberFormat="1" applyFont="1" applyFill="1" applyBorder="1" applyAlignment="1">
      <alignment horizontal="center" vertical="center" wrapText="1"/>
    </xf>
    <xf numFmtId="3" fontId="23" fillId="3" borderId="2" xfId="0" applyNumberFormat="1" applyFont="1" applyFill="1" applyBorder="1" applyAlignment="1">
      <alignment horizontal="center" vertical="center" wrapText="1"/>
    </xf>
    <xf numFmtId="0" fontId="55" fillId="3" borderId="8" xfId="0" applyFont="1" applyFill="1" applyBorder="1" applyAlignment="1">
      <alignment horizontal="center" vertical="center"/>
    </xf>
    <xf numFmtId="0" fontId="55" fillId="3" borderId="4" xfId="0" applyFont="1" applyFill="1" applyBorder="1" applyAlignment="1">
      <alignment horizontal="center" vertical="center" wrapText="1"/>
    </xf>
    <xf numFmtId="0" fontId="55" fillId="3" borderId="4" xfId="0" applyFont="1" applyFill="1" applyBorder="1" applyAlignment="1">
      <alignment horizontal="center" vertical="center"/>
    </xf>
    <xf numFmtId="0" fontId="57" fillId="3" borderId="12" xfId="0" applyFont="1" applyFill="1" applyBorder="1" applyAlignment="1">
      <alignment horizontal="center" vertical="top"/>
    </xf>
    <xf numFmtId="3" fontId="29" fillId="3" borderId="14" xfId="0" applyNumberFormat="1" applyFont="1" applyFill="1" applyBorder="1" applyAlignment="1">
      <alignment horizontal="center" vertical="center"/>
    </xf>
    <xf numFmtId="0" fontId="57" fillId="3" borderId="20" xfId="0" applyFont="1" applyFill="1" applyBorder="1" applyAlignment="1">
      <alignment horizontal="center" vertical="top"/>
    </xf>
    <xf numFmtId="4" fontId="29" fillId="3" borderId="20" xfId="0" applyNumberFormat="1" applyFont="1" applyFill="1" applyBorder="1" applyAlignment="1">
      <alignment horizontal="center" vertical="center"/>
    </xf>
    <xf numFmtId="3" fontId="29" fillId="3" borderId="20" xfId="0" applyNumberFormat="1" applyFont="1" applyFill="1" applyBorder="1" applyAlignment="1">
      <alignment horizontal="center" vertical="center" wrapText="1"/>
    </xf>
    <xf numFmtId="3" fontId="29" fillId="3" borderId="20" xfId="0" applyNumberFormat="1" applyFont="1" applyFill="1" applyBorder="1" applyAlignment="1">
      <alignment horizontal="center" vertical="center"/>
    </xf>
    <xf numFmtId="0" fontId="57" fillId="3" borderId="26" xfId="0" applyFont="1" applyFill="1" applyBorder="1" applyAlignment="1">
      <alignment horizontal="center" vertical="top"/>
    </xf>
    <xf numFmtId="4" fontId="29" fillId="3" borderId="26" xfId="0" applyNumberFormat="1" applyFont="1" applyFill="1" applyBorder="1" applyAlignment="1">
      <alignment horizontal="center" vertical="center"/>
    </xf>
    <xf numFmtId="3" fontId="29" fillId="3" borderId="26" xfId="0" applyNumberFormat="1" applyFont="1" applyFill="1" applyBorder="1" applyAlignment="1">
      <alignment horizontal="center" vertical="center" wrapText="1"/>
    </xf>
    <xf numFmtId="3" fontId="29" fillId="3" borderId="26" xfId="0" applyNumberFormat="1" applyFont="1" applyFill="1" applyBorder="1" applyAlignment="1">
      <alignment horizontal="center" vertical="center"/>
    </xf>
    <xf numFmtId="0" fontId="58" fillId="3" borderId="7" xfId="0" applyFont="1" applyFill="1" applyBorder="1" applyAlignment="1">
      <alignment horizontal="center" vertical="top" wrapText="1"/>
    </xf>
    <xf numFmtId="3" fontId="23" fillId="3" borderId="8" xfId="0" applyNumberFormat="1" applyFont="1" applyFill="1" applyBorder="1" applyAlignment="1">
      <alignment horizontal="center" vertical="center"/>
    </xf>
    <xf numFmtId="173" fontId="0" fillId="7" borderId="0" xfId="0" applyNumberFormat="1" applyFill="1"/>
    <xf numFmtId="0" fontId="51" fillId="3" borderId="32" xfId="0" applyFont="1" applyFill="1" applyBorder="1" applyAlignment="1">
      <alignment horizontal="center" vertical="center"/>
    </xf>
    <xf numFmtId="0" fontId="49" fillId="3" borderId="14" xfId="0" applyFont="1" applyFill="1" applyBorder="1" applyAlignment="1">
      <alignment horizontal="center"/>
    </xf>
    <xf numFmtId="4" fontId="23" fillId="3" borderId="22" xfId="0" applyNumberFormat="1" applyFont="1" applyFill="1" applyBorder="1" applyAlignment="1">
      <alignment horizontal="center" vertical="center"/>
    </xf>
    <xf numFmtId="0" fontId="49" fillId="3" borderId="20" xfId="0" applyFont="1" applyFill="1" applyBorder="1" applyAlignment="1">
      <alignment horizontal="center"/>
    </xf>
    <xf numFmtId="3" fontId="23" fillId="3" borderId="20" xfId="0" applyNumberFormat="1" applyFont="1" applyFill="1" applyBorder="1" applyAlignment="1">
      <alignment horizontal="center" vertical="center" wrapText="1"/>
    </xf>
    <xf numFmtId="9" fontId="23" fillId="3" borderId="50" xfId="2" applyFont="1" applyFill="1" applyBorder="1" applyAlignment="1">
      <alignment horizontal="center" vertical="center" wrapText="1"/>
    </xf>
    <xf numFmtId="9" fontId="23" fillId="3" borderId="20" xfId="2" applyFont="1" applyFill="1" applyBorder="1" applyAlignment="1">
      <alignment horizontal="center" vertical="center" wrapText="1"/>
    </xf>
    <xf numFmtId="3" fontId="23" fillId="3" borderId="50" xfId="0" applyNumberFormat="1" applyFont="1" applyFill="1" applyBorder="1" applyAlignment="1">
      <alignment horizontal="center" vertical="center" wrapText="1"/>
    </xf>
    <xf numFmtId="0" fontId="49" fillId="3" borderId="26" xfId="0" applyFont="1" applyFill="1" applyBorder="1" applyAlignment="1">
      <alignment horizontal="center"/>
    </xf>
    <xf numFmtId="4" fontId="23" fillId="3" borderId="28" xfId="0" applyNumberFormat="1" applyFont="1" applyFill="1" applyBorder="1" applyAlignment="1">
      <alignment horizontal="center" vertical="center"/>
    </xf>
    <xf numFmtId="3" fontId="23" fillId="3" borderId="26" xfId="0" applyNumberFormat="1" applyFont="1" applyFill="1" applyBorder="1" applyAlignment="1">
      <alignment horizontal="center" vertical="center" wrapText="1"/>
    </xf>
    <xf numFmtId="9" fontId="23" fillId="3" borderId="51" xfId="2" applyFont="1" applyFill="1" applyBorder="1" applyAlignment="1">
      <alignment horizontal="center" vertical="center" wrapText="1"/>
    </xf>
    <xf numFmtId="9" fontId="23" fillId="3" borderId="26" xfId="2" applyFont="1" applyFill="1" applyBorder="1" applyAlignment="1">
      <alignment horizontal="center" vertical="center" wrapText="1"/>
    </xf>
    <xf numFmtId="3" fontId="23" fillId="3" borderId="51" xfId="0" applyNumberFormat="1" applyFont="1" applyFill="1" applyBorder="1" applyAlignment="1">
      <alignment horizontal="center" vertical="center" wrapText="1"/>
    </xf>
    <xf numFmtId="4" fontId="23" fillId="3" borderId="26" xfId="0" applyNumberFormat="1" applyFont="1" applyFill="1" applyBorder="1" applyAlignment="1">
      <alignment horizontal="center" vertical="center"/>
    </xf>
    <xf numFmtId="0" fontId="15" fillId="25" borderId="53" xfId="0" applyFont="1" applyFill="1" applyBorder="1" applyAlignment="1">
      <alignment horizontal="center" vertical="center" wrapText="1"/>
    </xf>
    <xf numFmtId="0" fontId="23" fillId="3" borderId="5" xfId="0" applyFont="1" applyFill="1" applyBorder="1" applyAlignment="1">
      <alignment horizontal="center" vertical="center"/>
    </xf>
    <xf numFmtId="3" fontId="23" fillId="3" borderId="21" xfId="0" applyNumberFormat="1" applyFont="1" applyFill="1" applyBorder="1" applyAlignment="1">
      <alignment horizontal="center" vertical="center"/>
    </xf>
    <xf numFmtId="3" fontId="23" fillId="3" borderId="27" xfId="0" applyNumberFormat="1" applyFont="1" applyFill="1" applyBorder="1" applyAlignment="1">
      <alignment horizontal="center" vertical="center"/>
    </xf>
    <xf numFmtId="3" fontId="23" fillId="3" borderId="53" xfId="0" applyNumberFormat="1" applyFont="1" applyFill="1" applyBorder="1" applyAlignment="1">
      <alignment horizontal="center" vertical="center"/>
    </xf>
    <xf numFmtId="4" fontId="0" fillId="7" borderId="0" xfId="0" applyNumberFormat="1" applyFill="1"/>
    <xf numFmtId="9" fontId="0" fillId="7" borderId="0" xfId="0" applyNumberFormat="1" applyFill="1"/>
    <xf numFmtId="3" fontId="0" fillId="7" borderId="0" xfId="0" applyNumberFormat="1" applyFill="1"/>
    <xf numFmtId="0" fontId="83" fillId="7" borderId="0" xfId="0" applyFont="1" applyFill="1"/>
    <xf numFmtId="0" fontId="53" fillId="3" borderId="16" xfId="0" applyFont="1" applyFill="1" applyBorder="1" applyAlignment="1">
      <alignment horizontal="center" vertical="top"/>
    </xf>
    <xf numFmtId="0" fontId="53" fillId="3" borderId="22" xfId="0" applyFont="1" applyFill="1" applyBorder="1" applyAlignment="1">
      <alignment horizontal="center" vertical="top"/>
    </xf>
    <xf numFmtId="0" fontId="53" fillId="3" borderId="28" xfId="0" applyFont="1" applyFill="1" applyBorder="1" applyAlignment="1">
      <alignment horizontal="center" vertical="top"/>
    </xf>
    <xf numFmtId="0" fontId="51" fillId="3" borderId="4" xfId="0" applyFont="1" applyFill="1" applyBorder="1" applyAlignment="1">
      <alignment horizontal="center" vertical="center"/>
    </xf>
    <xf numFmtId="4" fontId="23" fillId="3" borderId="7" xfId="0" applyNumberFormat="1" applyFont="1" applyFill="1" applyBorder="1" applyAlignment="1">
      <alignment horizontal="center" vertical="center"/>
    </xf>
    <xf numFmtId="3" fontId="23" fillId="3" borderId="7" xfId="0" applyNumberFormat="1" applyFont="1" applyFill="1" applyBorder="1" applyAlignment="1">
      <alignment horizontal="center" vertical="center" wrapText="1"/>
    </xf>
    <xf numFmtId="3" fontId="23" fillId="3" borderId="37" xfId="0" applyNumberFormat="1" applyFont="1" applyFill="1" applyBorder="1" applyAlignment="1">
      <alignment horizontal="center" vertical="center" wrapText="1"/>
    </xf>
    <xf numFmtId="3" fontId="23" fillId="3" borderId="36" xfId="0" applyNumberFormat="1" applyFont="1" applyFill="1" applyBorder="1" applyAlignment="1">
      <alignment horizontal="center" vertical="center"/>
    </xf>
    <xf numFmtId="4" fontId="29" fillId="3" borderId="14" xfId="0" applyNumberFormat="1" applyFont="1" applyFill="1" applyBorder="1" applyAlignment="1">
      <alignment horizontal="center" vertical="center"/>
    </xf>
    <xf numFmtId="3" fontId="29" fillId="0" borderId="14" xfId="0" applyNumberFormat="1" applyFont="1" applyBorder="1" applyAlignment="1">
      <alignment horizontal="center" vertical="center"/>
    </xf>
    <xf numFmtId="3" fontId="29" fillId="0" borderId="20" xfId="0" applyNumberFormat="1" applyFont="1" applyBorder="1" applyAlignment="1">
      <alignment horizontal="center" vertical="center"/>
    </xf>
    <xf numFmtId="3" fontId="29" fillId="0" borderId="26" xfId="0" applyNumberFormat="1" applyFont="1" applyBorder="1" applyAlignment="1">
      <alignment horizontal="center" vertical="center"/>
    </xf>
    <xf numFmtId="0" fontId="22" fillId="3" borderId="0" xfId="5" applyFont="1" applyFill="1" applyAlignment="1">
      <alignment wrapText="1"/>
    </xf>
    <xf numFmtId="0" fontId="60" fillId="3" borderId="0" xfId="5" applyFont="1" applyFill="1" applyAlignment="1">
      <alignment wrapText="1"/>
    </xf>
    <xf numFmtId="0" fontId="11" fillId="14" borderId="0" xfId="5" applyFont="1" applyFill="1" applyAlignment="1">
      <alignment wrapText="1"/>
    </xf>
    <xf numFmtId="0" fontId="76" fillId="3" borderId="0" xfId="5" applyFont="1" applyFill="1" applyAlignment="1">
      <alignment wrapText="1"/>
    </xf>
    <xf numFmtId="0" fontId="81" fillId="3" borderId="0" xfId="5" applyFont="1" applyFill="1" applyAlignment="1">
      <alignment wrapText="1"/>
    </xf>
    <xf numFmtId="0" fontId="8" fillId="14" borderId="0" xfId="5" applyFont="1" applyFill="1" applyAlignment="1">
      <alignment wrapText="1"/>
    </xf>
    <xf numFmtId="0" fontId="59" fillId="3" borderId="0" xfId="0" applyFont="1" applyFill="1" applyAlignment="1">
      <alignment wrapText="1"/>
    </xf>
    <xf numFmtId="0" fontId="49" fillId="3" borderId="0" xfId="5" applyFont="1" applyFill="1" applyAlignment="1">
      <alignment wrapText="1"/>
    </xf>
    <xf numFmtId="0" fontId="60" fillId="3" borderId="0" xfId="5" applyFont="1" applyFill="1" applyAlignment="1">
      <alignment horizontal="left" wrapText="1"/>
    </xf>
    <xf numFmtId="2" fontId="5" fillId="3" borderId="0" xfId="4" applyNumberFormat="1" applyFont="1" applyFill="1" applyAlignment="1">
      <alignment wrapText="1"/>
    </xf>
    <xf numFmtId="0" fontId="6" fillId="3" borderId="0" xfId="4" applyFont="1" applyFill="1"/>
    <xf numFmtId="0" fontId="7" fillId="3" borderId="0" xfId="4" applyFont="1" applyFill="1"/>
    <xf numFmtId="0" fontId="5" fillId="5" borderId="0" xfId="4" applyFont="1" applyFill="1"/>
    <xf numFmtId="168" fontId="5" fillId="5" borderId="0" xfId="4" applyNumberFormat="1" applyFont="1" applyFill="1"/>
    <xf numFmtId="0" fontId="5" fillId="3" borderId="0" xfId="0" applyFont="1" applyFill="1"/>
    <xf numFmtId="0" fontId="5" fillId="3" borderId="0" xfId="0" applyFont="1" applyFill="1" applyAlignment="1">
      <alignment wrapText="1"/>
    </xf>
    <xf numFmtId="0" fontId="5" fillId="3" borderId="8" xfId="0" applyFont="1" applyFill="1" applyBorder="1" applyAlignment="1">
      <alignment vertical="center" wrapText="1"/>
    </xf>
    <xf numFmtId="0" fontId="5" fillId="3" borderId="9" xfId="0" applyFont="1" applyFill="1" applyBorder="1" applyAlignment="1">
      <alignment horizontal="center" vertical="center" wrapText="1"/>
    </xf>
    <xf numFmtId="0" fontId="5" fillId="3" borderId="10" xfId="0" applyFont="1" applyFill="1" applyBorder="1" applyAlignment="1">
      <alignment horizontal="center" vertical="center"/>
    </xf>
    <xf numFmtId="0" fontId="5" fillId="3" borderId="11" xfId="0" applyFont="1" applyFill="1" applyBorder="1" applyAlignment="1">
      <alignment horizontal="center" vertical="center"/>
    </xf>
    <xf numFmtId="0" fontId="44" fillId="4" borderId="8" xfId="4" applyFont="1" applyFill="1" applyBorder="1" applyProtection="1">
      <protection locked="0"/>
    </xf>
    <xf numFmtId="0" fontId="5" fillId="3" borderId="0" xfId="0" applyFont="1" applyFill="1" applyProtection="1">
      <protection locked="0"/>
    </xf>
    <xf numFmtId="0" fontId="5" fillId="3" borderId="0" xfId="0" applyFont="1" applyFill="1" applyAlignment="1" applyProtection="1">
      <alignment wrapText="1"/>
      <protection locked="0"/>
    </xf>
    <xf numFmtId="0" fontId="5" fillId="3" borderId="0" xfId="5" applyFont="1" applyFill="1" applyProtection="1">
      <protection locked="0"/>
    </xf>
    <xf numFmtId="0" fontId="11" fillId="9" borderId="0" xfId="4" applyFont="1" applyFill="1"/>
    <xf numFmtId="0" fontId="11" fillId="9" borderId="0" xfId="0" applyFont="1" applyFill="1"/>
    <xf numFmtId="168" fontId="5" fillId="9" borderId="0" xfId="4" applyNumberFormat="1" applyFont="1" applyFill="1"/>
    <xf numFmtId="2" fontId="5" fillId="9" borderId="0" xfId="5" applyNumberFormat="1" applyFont="1" applyFill="1"/>
    <xf numFmtId="0" fontId="33" fillId="34" borderId="0" xfId="4" applyFont="1" applyFill="1"/>
    <xf numFmtId="0" fontId="5" fillId="34" borderId="0" xfId="4" applyFont="1" applyFill="1"/>
    <xf numFmtId="168" fontId="5" fillId="34" borderId="0" xfId="4" applyNumberFormat="1" applyFont="1" applyFill="1"/>
    <xf numFmtId="2" fontId="5" fillId="34" borderId="0" xfId="5" applyNumberFormat="1" applyFont="1" applyFill="1"/>
    <xf numFmtId="0" fontId="33" fillId="9" borderId="0" xfId="4" applyFont="1" applyFill="1"/>
    <xf numFmtId="2" fontId="5" fillId="9" borderId="0" xfId="5" applyNumberFormat="1" applyFont="1" applyFill="1" applyAlignment="1">
      <alignment horizontal="left" vertical="center"/>
    </xf>
    <xf numFmtId="0" fontId="77" fillId="34" borderId="0" xfId="4" applyFont="1" applyFill="1" applyAlignment="1">
      <alignment vertical="center"/>
    </xf>
    <xf numFmtId="0" fontId="12" fillId="34" borderId="0" xfId="4" applyFont="1" applyFill="1" applyAlignment="1">
      <alignment vertical="center"/>
    </xf>
    <xf numFmtId="0" fontId="12" fillId="9" borderId="0" xfId="4" applyFont="1" applyFill="1" applyAlignment="1">
      <alignment horizontal="left" vertical="center"/>
    </xf>
    <xf numFmtId="0" fontId="7" fillId="9" borderId="0" xfId="4" applyFont="1" applyFill="1" applyAlignment="1">
      <alignment vertical="center"/>
    </xf>
    <xf numFmtId="0" fontId="77" fillId="34" borderId="0" xfId="4" applyFont="1" applyFill="1" applyAlignment="1">
      <alignment horizontal="center" vertical="center"/>
    </xf>
    <xf numFmtId="0" fontId="12" fillId="34" borderId="0" xfId="4" applyFont="1" applyFill="1" applyAlignment="1">
      <alignment horizontal="left" vertical="center"/>
    </xf>
    <xf numFmtId="0" fontId="5" fillId="34" borderId="0" xfId="4" applyFont="1" applyFill="1" applyAlignment="1">
      <alignment horizontal="left"/>
    </xf>
    <xf numFmtId="0" fontId="14" fillId="34" borderId="0" xfId="4" applyFont="1" applyFill="1" applyAlignment="1">
      <alignment horizontal="left" vertical="center"/>
    </xf>
    <xf numFmtId="0" fontId="15" fillId="34" borderId="0" xfId="4" applyFont="1" applyFill="1" applyAlignment="1">
      <alignment vertical="center"/>
    </xf>
    <xf numFmtId="49" fontId="78" fillId="34" borderId="0" xfId="4" applyNumberFormat="1" applyFont="1" applyFill="1" applyAlignment="1">
      <alignment horizontal="center" vertical="center"/>
    </xf>
    <xf numFmtId="0" fontId="16" fillId="34" borderId="0" xfId="4" applyFont="1" applyFill="1" applyAlignment="1">
      <alignment horizontal="left" vertical="center"/>
    </xf>
    <xf numFmtId="0" fontId="17" fillId="34" borderId="0" xfId="4" applyFont="1" applyFill="1" applyAlignment="1">
      <alignment horizontal="left"/>
    </xf>
    <xf numFmtId="0" fontId="18" fillId="34" borderId="0" xfId="4" applyFont="1" applyFill="1" applyAlignment="1">
      <alignment horizontal="left" vertical="center"/>
    </xf>
    <xf numFmtId="0" fontId="19" fillId="34" borderId="0" xfId="4" applyFont="1" applyFill="1"/>
    <xf numFmtId="0" fontId="5" fillId="9" borderId="0" xfId="4" applyFont="1" applyFill="1" applyAlignment="1">
      <alignment horizontal="center"/>
    </xf>
    <xf numFmtId="0" fontId="5" fillId="9" borderId="0" xfId="4" applyFont="1" applyFill="1" applyAlignment="1">
      <alignment vertical="top" wrapText="1"/>
    </xf>
    <xf numFmtId="0" fontId="23" fillId="6" borderId="8" xfId="4" applyFont="1" applyFill="1" applyBorder="1" applyAlignment="1">
      <alignment horizontal="center" vertical="top" wrapText="1"/>
    </xf>
    <xf numFmtId="2" fontId="23" fillId="6" borderId="8" xfId="5" applyNumberFormat="1" applyFont="1" applyFill="1" applyBorder="1" applyAlignment="1">
      <alignment horizontal="center" vertical="top" wrapText="1"/>
    </xf>
    <xf numFmtId="3" fontId="23" fillId="12" borderId="2" xfId="4" applyNumberFormat="1" applyFont="1" applyFill="1" applyBorder="1" applyAlignment="1">
      <alignment horizontal="center" vertical="top" wrapText="1"/>
    </xf>
    <xf numFmtId="0" fontId="23" fillId="6" borderId="7" xfId="4" applyFont="1" applyFill="1" applyBorder="1" applyAlignment="1">
      <alignment horizontal="center" vertical="center" wrapText="1"/>
    </xf>
    <xf numFmtId="4" fontId="23" fillId="12" borderId="3" xfId="5" applyNumberFormat="1" applyFont="1" applyFill="1" applyBorder="1" applyAlignment="1">
      <alignment horizontal="center" vertical="top" wrapText="1"/>
    </xf>
    <xf numFmtId="3" fontId="23" fillId="11" borderId="1" xfId="4" applyNumberFormat="1" applyFont="1" applyFill="1" applyBorder="1" applyAlignment="1">
      <alignment horizontal="center" vertical="top" wrapText="1"/>
    </xf>
    <xf numFmtId="4" fontId="23" fillId="11" borderId="3" xfId="5" applyNumberFormat="1" applyFont="1" applyFill="1" applyBorder="1" applyAlignment="1">
      <alignment horizontal="center" vertical="top" wrapText="1"/>
    </xf>
    <xf numFmtId="4" fontId="5" fillId="9" borderId="0" xfId="4" applyNumberFormat="1" applyFont="1" applyFill="1"/>
    <xf numFmtId="0" fontId="23" fillId="0" borderId="4" xfId="4" applyFont="1" applyBorder="1" applyAlignment="1">
      <alignment horizontal="center" vertical="top" wrapText="1"/>
    </xf>
    <xf numFmtId="0" fontId="23" fillId="0" borderId="4" xfId="4" applyFont="1" applyBorder="1" applyAlignment="1">
      <alignment horizontal="center" vertical="top"/>
    </xf>
    <xf numFmtId="3" fontId="5" fillId="13" borderId="22" xfId="4" applyNumberFormat="1" applyFont="1" applyFill="1" applyBorder="1" applyAlignment="1">
      <alignment horizontal="center" vertical="top" wrapText="1"/>
    </xf>
    <xf numFmtId="4" fontId="5" fillId="12" borderId="16" xfId="5" applyNumberFormat="1" applyFont="1" applyFill="1" applyBorder="1" applyAlignment="1">
      <alignment horizontal="center" vertical="top" wrapText="1"/>
    </xf>
    <xf numFmtId="3" fontId="5" fillId="13" borderId="39" xfId="4" applyNumberFormat="1" applyFont="1" applyFill="1" applyBorder="1" applyAlignment="1">
      <alignment horizontal="center" vertical="top" wrapText="1"/>
    </xf>
    <xf numFmtId="3" fontId="38" fillId="13" borderId="22" xfId="4" applyNumberFormat="1" applyFont="1" applyFill="1" applyBorder="1" applyAlignment="1">
      <alignment horizontal="center" vertical="top" wrapText="1"/>
    </xf>
    <xf numFmtId="0" fontId="26" fillId="0" borderId="34" xfId="4" applyFont="1" applyBorder="1" applyAlignment="1">
      <alignment vertical="top" wrapText="1"/>
    </xf>
    <xf numFmtId="4" fontId="5" fillId="12" borderId="34" xfId="5" applyNumberFormat="1" applyFont="1" applyFill="1" applyBorder="1" applyAlignment="1">
      <alignment horizontal="center" vertical="top" wrapText="1"/>
    </xf>
    <xf numFmtId="3" fontId="5" fillId="13" borderId="28" xfId="4" applyNumberFormat="1" applyFont="1" applyFill="1" applyBorder="1" applyAlignment="1">
      <alignment horizontal="center" vertical="top" wrapText="1"/>
    </xf>
    <xf numFmtId="4" fontId="5" fillId="11" borderId="36" xfId="5" applyNumberFormat="1" applyFont="1" applyFill="1" applyBorder="1" applyAlignment="1">
      <alignment horizontal="center" vertical="top" wrapText="1"/>
    </xf>
    <xf numFmtId="4" fontId="5" fillId="12" borderId="14" xfId="5" applyNumberFormat="1" applyFont="1" applyFill="1" applyBorder="1" applyAlignment="1">
      <alignment horizontal="center" vertical="top" wrapText="1"/>
    </xf>
    <xf numFmtId="0" fontId="27" fillId="6" borderId="34" xfId="6" applyFont="1" applyFill="1" applyBorder="1" applyAlignment="1" applyProtection="1">
      <alignment vertical="top" wrapText="1"/>
    </xf>
    <xf numFmtId="0" fontId="27" fillId="6" borderId="36" xfId="6" applyFont="1" applyFill="1" applyBorder="1" applyAlignment="1" applyProtection="1">
      <alignment vertical="top" wrapText="1"/>
    </xf>
    <xf numFmtId="0" fontId="26" fillId="9" borderId="0" xfId="4" applyFont="1" applyFill="1" applyAlignment="1">
      <alignment vertical="top" wrapText="1"/>
    </xf>
    <xf numFmtId="0" fontId="25" fillId="9" borderId="0" xfId="4" applyFont="1" applyFill="1" applyAlignment="1">
      <alignment horizontal="center" vertical="top" wrapText="1"/>
    </xf>
    <xf numFmtId="2" fontId="23" fillId="0" borderId="3" xfId="5" applyNumberFormat="1" applyFont="1" applyBorder="1" applyAlignment="1">
      <alignment horizontal="center" vertical="top" wrapText="1"/>
    </xf>
    <xf numFmtId="0" fontId="5" fillId="0" borderId="0" xfId="4" applyFont="1"/>
    <xf numFmtId="3" fontId="5" fillId="13" borderId="1" xfId="4" applyNumberFormat="1" applyFont="1" applyFill="1" applyBorder="1" applyAlignment="1">
      <alignment horizontal="center" vertical="top" wrapText="1"/>
    </xf>
    <xf numFmtId="2" fontId="29" fillId="4" borderId="8" xfId="5" applyNumberFormat="1" applyFont="1" applyFill="1" applyBorder="1" applyAlignment="1">
      <alignment horizontal="center" vertical="top" wrapText="1"/>
    </xf>
    <xf numFmtId="0" fontId="33" fillId="9" borderId="0" xfId="4" applyFont="1" applyFill="1" applyAlignment="1">
      <alignment vertical="top" wrapText="1"/>
    </xf>
    <xf numFmtId="4" fontId="5" fillId="9" borderId="0" xfId="4" applyNumberFormat="1" applyFont="1" applyFill="1" applyAlignment="1">
      <alignment vertical="top" wrapText="1"/>
    </xf>
    <xf numFmtId="3" fontId="5" fillId="9" borderId="0" xfId="4" applyNumberFormat="1" applyFont="1" applyFill="1" applyAlignment="1">
      <alignment vertical="top" wrapText="1"/>
    </xf>
    <xf numFmtId="3" fontId="23" fillId="0" borderId="1" xfId="4" applyNumberFormat="1" applyFont="1" applyBorder="1" applyAlignment="1">
      <alignment horizontal="center" vertical="top" wrapText="1"/>
    </xf>
    <xf numFmtId="0" fontId="23" fillId="6" borderId="4" xfId="4" applyFont="1" applyFill="1" applyBorder="1" applyAlignment="1">
      <alignment horizontal="center" vertical="center" wrapText="1"/>
    </xf>
    <xf numFmtId="2" fontId="23" fillId="0" borderId="46" xfId="5" applyNumberFormat="1" applyFont="1" applyBorder="1" applyAlignment="1">
      <alignment horizontal="center" vertical="top" wrapText="1"/>
    </xf>
    <xf numFmtId="3" fontId="23" fillId="33" borderId="4" xfId="4" applyNumberFormat="1" applyFont="1" applyFill="1" applyBorder="1" applyAlignment="1">
      <alignment horizontal="center" vertical="top" wrapText="1"/>
    </xf>
    <xf numFmtId="0" fontId="23" fillId="6" borderId="6" xfId="4" applyFont="1" applyFill="1" applyBorder="1" applyAlignment="1">
      <alignment horizontal="center" vertical="center" wrapText="1"/>
    </xf>
    <xf numFmtId="4" fontId="23" fillId="12" borderId="4" xfId="4" applyNumberFormat="1" applyFont="1" applyFill="1" applyBorder="1" applyAlignment="1">
      <alignment horizontal="center" vertical="top" wrapText="1"/>
    </xf>
    <xf numFmtId="0" fontId="26" fillId="3" borderId="32" xfId="8" applyFont="1" applyFill="1" applyBorder="1"/>
    <xf numFmtId="0" fontId="26" fillId="3" borderId="5" xfId="8" applyFont="1" applyFill="1" applyBorder="1"/>
    <xf numFmtId="0" fontId="5" fillId="10" borderId="33" xfId="4" applyFont="1" applyFill="1" applyBorder="1"/>
    <xf numFmtId="0" fontId="26" fillId="6" borderId="7" xfId="4" applyFont="1" applyFill="1" applyBorder="1" applyAlignment="1">
      <alignment vertical="top" wrapText="1"/>
    </xf>
    <xf numFmtId="3" fontId="23" fillId="33" borderId="6" xfId="4" applyNumberFormat="1" applyFont="1" applyFill="1" applyBorder="1" applyAlignment="1">
      <alignment horizontal="center" vertical="top" wrapText="1"/>
    </xf>
    <xf numFmtId="0" fontId="23" fillId="10" borderId="6" xfId="4" applyFont="1" applyFill="1" applyBorder="1" applyAlignment="1">
      <alignment horizontal="center" vertical="center" wrapText="1"/>
    </xf>
    <xf numFmtId="4" fontId="23" fillId="12" borderId="6" xfId="4" applyNumberFormat="1" applyFont="1" applyFill="1" applyBorder="1" applyAlignment="1">
      <alignment horizontal="center" vertical="top" wrapText="1"/>
    </xf>
    <xf numFmtId="168" fontId="38" fillId="14" borderId="14" xfId="4" applyNumberFormat="1" applyFont="1" applyFill="1" applyBorder="1" applyAlignment="1">
      <alignment horizontal="center" vertical="top" wrapText="1"/>
    </xf>
    <xf numFmtId="168" fontId="38" fillId="14" borderId="20" xfId="4" applyNumberFormat="1" applyFont="1" applyFill="1" applyBorder="1" applyAlignment="1">
      <alignment horizontal="center" vertical="top" wrapText="1"/>
    </xf>
    <xf numFmtId="0" fontId="22" fillId="6" borderId="34" xfId="4" applyFont="1" applyFill="1" applyBorder="1" applyAlignment="1">
      <alignment horizontal="center" vertical="top" wrapText="1"/>
    </xf>
    <xf numFmtId="0" fontId="22" fillId="6" borderId="35" xfId="4" applyFont="1" applyFill="1" applyBorder="1" applyAlignment="1">
      <alignment horizontal="center" vertical="top" wrapText="1"/>
    </xf>
    <xf numFmtId="4" fontId="5" fillId="12" borderId="15" xfId="5" applyNumberFormat="1" applyFont="1" applyFill="1" applyBorder="1" applyAlignment="1">
      <alignment horizontal="center" vertical="top" wrapText="1"/>
    </xf>
    <xf numFmtId="168" fontId="5" fillId="9" borderId="0" xfId="4" applyNumberFormat="1" applyFont="1" applyFill="1" applyAlignment="1">
      <alignment vertical="top" wrapText="1"/>
    </xf>
    <xf numFmtId="0" fontId="5" fillId="0" borderId="3" xfId="0" applyFont="1" applyBorder="1" applyAlignment="1">
      <alignment horizontal="center" vertical="top" wrapText="1"/>
    </xf>
    <xf numFmtId="3" fontId="5" fillId="10" borderId="1" xfId="4" applyNumberFormat="1" applyFont="1" applyFill="1" applyBorder="1" applyAlignment="1">
      <alignment horizontal="center" vertical="top" wrapText="1"/>
    </xf>
    <xf numFmtId="0" fontId="23" fillId="10" borderId="8" xfId="4" applyFont="1" applyFill="1" applyBorder="1" applyAlignment="1">
      <alignment horizontal="center" vertical="center" wrapText="1"/>
    </xf>
    <xf numFmtId="4" fontId="5" fillId="12" borderId="8" xfId="4" applyNumberFormat="1" applyFont="1" applyFill="1" applyBorder="1" applyAlignment="1">
      <alignment horizontal="center" vertical="top" wrapText="1"/>
    </xf>
    <xf numFmtId="0" fontId="79" fillId="9" borderId="0" xfId="4" applyFont="1" applyFill="1"/>
    <xf numFmtId="0" fontId="39" fillId="9" borderId="0" xfId="4" applyFont="1" applyFill="1" applyAlignment="1">
      <alignment horizontal="left"/>
    </xf>
    <xf numFmtId="0" fontId="39" fillId="9" borderId="0" xfId="4" applyFont="1" applyFill="1" applyAlignment="1">
      <alignment vertical="top" wrapText="1"/>
    </xf>
    <xf numFmtId="168" fontId="39" fillId="9" borderId="0" xfId="4" applyNumberFormat="1" applyFont="1" applyFill="1" applyAlignment="1">
      <alignment vertical="top" wrapText="1"/>
    </xf>
    <xf numFmtId="2" fontId="42" fillId="9" borderId="0" xfId="5" applyNumberFormat="1" applyFont="1" applyFill="1" applyAlignment="1">
      <alignment vertical="top" wrapText="1"/>
    </xf>
    <xf numFmtId="0" fontId="39" fillId="9" borderId="0" xfId="4" applyFont="1" applyFill="1"/>
    <xf numFmtId="0" fontId="38" fillId="9" borderId="0" xfId="4" applyFont="1" applyFill="1"/>
    <xf numFmtId="0" fontId="38" fillId="9" borderId="0" xfId="4" applyFont="1" applyFill="1" applyAlignment="1">
      <alignment vertical="top" wrapText="1"/>
    </xf>
    <xf numFmtId="3" fontId="40" fillId="0" borderId="8" xfId="4" applyNumberFormat="1" applyFont="1" applyBorder="1" applyAlignment="1">
      <alignment horizontal="center" vertical="top" wrapText="1"/>
    </xf>
    <xf numFmtId="0" fontId="40" fillId="6" borderId="4" xfId="4" applyFont="1" applyFill="1" applyBorder="1" applyAlignment="1">
      <alignment horizontal="center" vertical="center" wrapText="1"/>
    </xf>
    <xf numFmtId="2" fontId="40" fillId="0" borderId="46" xfId="5" applyNumberFormat="1" applyFont="1" applyBorder="1" applyAlignment="1">
      <alignment horizontal="center" vertical="top" wrapText="1"/>
    </xf>
    <xf numFmtId="0" fontId="37" fillId="6" borderId="32" xfId="4" applyFont="1" applyFill="1" applyBorder="1" applyAlignment="1">
      <alignment horizontal="center" vertical="top" wrapText="1"/>
    </xf>
    <xf numFmtId="0" fontId="37" fillId="6" borderId="5" xfId="4" applyFont="1" applyFill="1" applyBorder="1" applyAlignment="1">
      <alignment horizontal="center" vertical="top" wrapText="1"/>
    </xf>
    <xf numFmtId="3" fontId="40" fillId="33" borderId="4" xfId="4" applyNumberFormat="1" applyFont="1" applyFill="1" applyBorder="1" applyAlignment="1">
      <alignment horizontal="center" vertical="top" wrapText="1"/>
    </xf>
    <xf numFmtId="0" fontId="40" fillId="6" borderId="6" xfId="4" applyFont="1" applyFill="1" applyBorder="1" applyAlignment="1">
      <alignment horizontal="center" vertical="center" wrapText="1"/>
    </xf>
    <xf numFmtId="4" fontId="40" fillId="12" borderId="4" xfId="4" applyNumberFormat="1" applyFont="1" applyFill="1" applyBorder="1" applyAlignment="1">
      <alignment horizontal="center" vertical="top" wrapText="1"/>
    </xf>
    <xf numFmtId="0" fontId="26" fillId="6" borderId="32" xfId="4" applyFont="1" applyFill="1" applyBorder="1" applyAlignment="1">
      <alignment horizontal="left" vertical="top"/>
    </xf>
    <xf numFmtId="0" fontId="26" fillId="6" borderId="5" xfId="4" applyFont="1" applyFill="1" applyBorder="1" applyAlignment="1">
      <alignment horizontal="left" vertical="top"/>
    </xf>
    <xf numFmtId="0" fontId="26" fillId="6" borderId="36" xfId="4" applyFont="1" applyFill="1" applyBorder="1" applyAlignment="1">
      <alignment horizontal="left" vertical="top"/>
    </xf>
    <xf numFmtId="0" fontId="26" fillId="6" borderId="13" xfId="4" applyFont="1" applyFill="1" applyBorder="1" applyAlignment="1">
      <alignment horizontal="left" vertical="top"/>
    </xf>
    <xf numFmtId="168" fontId="38" fillId="14" borderId="26" xfId="4" applyNumberFormat="1" applyFont="1" applyFill="1" applyBorder="1" applyAlignment="1">
      <alignment horizontal="center" vertical="top" wrapText="1"/>
    </xf>
    <xf numFmtId="3" fontId="5" fillId="9" borderId="0" xfId="4" applyNumberFormat="1" applyFont="1" applyFill="1" applyAlignment="1">
      <alignment horizontal="center" vertical="top" wrapText="1"/>
    </xf>
    <xf numFmtId="168" fontId="5" fillId="9" borderId="0" xfId="4" applyNumberFormat="1" applyFont="1" applyFill="1" applyAlignment="1">
      <alignment horizontal="center" vertical="top" wrapText="1"/>
    </xf>
    <xf numFmtId="2" fontId="5" fillId="9" borderId="0" xfId="5" applyNumberFormat="1" applyFont="1" applyFill="1" applyAlignment="1">
      <alignment horizontal="center" vertical="top" wrapText="1"/>
    </xf>
    <xf numFmtId="0" fontId="5" fillId="9" borderId="0" xfId="4" applyFont="1" applyFill="1" applyAlignment="1">
      <alignment horizontal="left" vertical="top" wrapText="1"/>
    </xf>
    <xf numFmtId="171" fontId="5" fillId="9" borderId="0" xfId="4" applyNumberFormat="1" applyFont="1" applyFill="1"/>
    <xf numFmtId="3" fontId="22" fillId="0" borderId="8" xfId="4" applyNumberFormat="1" applyFont="1" applyBorder="1" applyAlignment="1">
      <alignment horizontal="center" vertical="top" wrapText="1"/>
    </xf>
    <xf numFmtId="3" fontId="22" fillId="10" borderId="4" xfId="4" applyNumberFormat="1" applyFont="1" applyFill="1" applyBorder="1" applyAlignment="1">
      <alignment horizontal="center" vertical="top" wrapText="1"/>
    </xf>
    <xf numFmtId="168" fontId="22" fillId="11" borderId="4" xfId="4" applyNumberFormat="1" applyFont="1" applyFill="1" applyBorder="1" applyAlignment="1">
      <alignment horizontal="center" vertical="top" wrapText="1"/>
    </xf>
    <xf numFmtId="167" fontId="5" fillId="9" borderId="0" xfId="1" applyFont="1" applyFill="1"/>
    <xf numFmtId="3" fontId="22" fillId="10" borderId="14" xfId="4" applyNumberFormat="1" applyFont="1" applyFill="1" applyBorder="1" applyAlignment="1">
      <alignment horizontal="center" vertical="top" wrapText="1"/>
    </xf>
    <xf numFmtId="3" fontId="22" fillId="10" borderId="20" xfId="4" applyNumberFormat="1" applyFont="1" applyFill="1" applyBorder="1" applyAlignment="1">
      <alignment horizontal="center" vertical="top" wrapText="1"/>
    </xf>
    <xf numFmtId="3" fontId="22" fillId="10" borderId="41" xfId="4" applyNumberFormat="1" applyFont="1" applyFill="1" applyBorder="1" applyAlignment="1">
      <alignment horizontal="center" vertical="top" wrapText="1"/>
    </xf>
    <xf numFmtId="3" fontId="22" fillId="10" borderId="8" xfId="4" applyNumberFormat="1" applyFont="1" applyFill="1" applyBorder="1" applyAlignment="1">
      <alignment horizontal="center" vertical="top" wrapText="1"/>
    </xf>
    <xf numFmtId="2" fontId="5" fillId="9" borderId="0" xfId="5" applyNumberFormat="1" applyFont="1" applyFill="1" applyAlignment="1">
      <alignment vertical="top" wrapText="1"/>
    </xf>
    <xf numFmtId="2" fontId="35" fillId="9" borderId="0" xfId="5" applyNumberFormat="1" applyFont="1" applyFill="1" applyAlignment="1">
      <alignment vertical="top" wrapText="1"/>
    </xf>
    <xf numFmtId="167" fontId="5" fillId="9" borderId="0" xfId="4" applyNumberFormat="1" applyFont="1" applyFill="1" applyAlignment="1">
      <alignment horizontal="left" vertical="top" wrapText="1"/>
    </xf>
    <xf numFmtId="0" fontId="5" fillId="0" borderId="8" xfId="4" applyFont="1" applyBorder="1" applyAlignment="1">
      <alignment horizontal="center"/>
    </xf>
    <xf numFmtId="0" fontId="22" fillId="11" borderId="8" xfId="4" applyFont="1" applyFill="1" applyBorder="1" applyAlignment="1">
      <alignment horizontal="center"/>
    </xf>
    <xf numFmtId="0" fontId="5" fillId="10" borderId="33" xfId="4" applyFont="1" applyFill="1" applyBorder="1" applyAlignment="1">
      <alignment horizontal="center"/>
    </xf>
    <xf numFmtId="3" fontId="23" fillId="0" borderId="4" xfId="4" applyNumberFormat="1" applyFont="1" applyBorder="1" applyAlignment="1">
      <alignment horizontal="center" vertical="center" wrapText="1"/>
    </xf>
    <xf numFmtId="3" fontId="23" fillId="11" borderId="8" xfId="4" applyNumberFormat="1" applyFont="1" applyFill="1" applyBorder="1" applyAlignment="1">
      <alignment horizontal="center" vertical="center" wrapText="1"/>
    </xf>
    <xf numFmtId="168" fontId="22" fillId="11" borderId="8" xfId="4" applyNumberFormat="1" applyFont="1" applyFill="1" applyBorder="1" applyAlignment="1">
      <alignment horizontal="center" vertical="center" wrapText="1"/>
    </xf>
    <xf numFmtId="0" fontId="5" fillId="10" borderId="0" xfId="4" applyFont="1" applyFill="1" applyAlignment="1">
      <alignment horizontal="center"/>
    </xf>
    <xf numFmtId="3" fontId="5" fillId="11" borderId="22" xfId="4" applyNumberFormat="1" applyFont="1" applyFill="1" applyBorder="1" applyAlignment="1">
      <alignment horizontal="center" vertical="top" wrapText="1"/>
    </xf>
    <xf numFmtId="0" fontId="5" fillId="10" borderId="2" xfId="4" applyFont="1" applyFill="1" applyBorder="1" applyAlignment="1">
      <alignment horizontal="center"/>
    </xf>
    <xf numFmtId="2" fontId="33" fillId="9" borderId="0" xfId="5" applyNumberFormat="1" applyFont="1" applyFill="1" applyAlignment="1">
      <alignment horizontal="center" vertical="top" wrapText="1"/>
    </xf>
    <xf numFmtId="3" fontId="23" fillId="0" borderId="8" xfId="4" applyNumberFormat="1" applyFont="1" applyBorder="1" applyAlignment="1">
      <alignment horizontal="center" vertical="top" wrapText="1"/>
    </xf>
    <xf numFmtId="0" fontId="28" fillId="6" borderId="4" xfId="4" applyFont="1" applyFill="1" applyBorder="1" applyAlignment="1">
      <alignment horizontal="center" vertical="top" wrapText="1"/>
    </xf>
    <xf numFmtId="9" fontId="5" fillId="12" borderId="14" xfId="2" applyFont="1" applyFill="1" applyBorder="1" applyAlignment="1">
      <alignment horizontal="center" vertical="top" wrapText="1"/>
    </xf>
    <xf numFmtId="3" fontId="5" fillId="11" borderId="39" xfId="4" applyNumberFormat="1" applyFont="1" applyFill="1" applyBorder="1" applyAlignment="1">
      <alignment horizontal="center" vertical="top" wrapText="1"/>
    </xf>
    <xf numFmtId="9" fontId="5" fillId="11" borderId="39" xfId="2" applyFont="1" applyFill="1" applyBorder="1" applyAlignment="1">
      <alignment horizontal="center" vertical="top" wrapText="1"/>
    </xf>
    <xf numFmtId="9" fontId="5" fillId="10" borderId="20" xfId="2" applyFont="1" applyFill="1" applyBorder="1" applyAlignment="1">
      <alignment horizontal="center" vertical="top" wrapText="1"/>
    </xf>
    <xf numFmtId="9" fontId="5" fillId="10" borderId="22" xfId="2" applyFont="1" applyFill="1" applyBorder="1" applyAlignment="1">
      <alignment horizontal="center" vertical="top" wrapText="1"/>
    </xf>
    <xf numFmtId="9" fontId="5" fillId="12" borderId="20" xfId="2" applyFont="1" applyFill="1" applyBorder="1" applyAlignment="1">
      <alignment horizontal="center" vertical="top" wrapText="1"/>
    </xf>
    <xf numFmtId="9" fontId="5" fillId="11" borderId="22" xfId="2" applyFont="1" applyFill="1" applyBorder="1" applyAlignment="1">
      <alignment horizontal="center" vertical="top" wrapText="1"/>
    </xf>
    <xf numFmtId="9" fontId="5" fillId="12" borderId="26" xfId="2" applyFont="1" applyFill="1" applyBorder="1" applyAlignment="1">
      <alignment horizontal="center" vertical="top" wrapText="1"/>
    </xf>
    <xf numFmtId="3" fontId="5" fillId="11" borderId="28" xfId="4" applyNumberFormat="1" applyFont="1" applyFill="1" applyBorder="1" applyAlignment="1">
      <alignment horizontal="center" vertical="top" wrapText="1"/>
    </xf>
    <xf numFmtId="9" fontId="5" fillId="11" borderId="28" xfId="2" applyFont="1" applyFill="1" applyBorder="1" applyAlignment="1">
      <alignment horizontal="center" vertical="top" wrapText="1"/>
    </xf>
    <xf numFmtId="3" fontId="5" fillId="13" borderId="34" xfId="4" applyNumberFormat="1" applyFont="1" applyFill="1" applyBorder="1" applyAlignment="1">
      <alignment horizontal="center" vertical="top" wrapText="1"/>
    </xf>
    <xf numFmtId="9" fontId="5" fillId="12" borderId="6" xfId="2" applyFont="1" applyFill="1" applyBorder="1" applyAlignment="1">
      <alignment horizontal="center" vertical="top" wrapText="1"/>
    </xf>
    <xf numFmtId="3" fontId="5" fillId="11" borderId="34" xfId="4" applyNumberFormat="1" applyFont="1" applyFill="1" applyBorder="1" applyAlignment="1">
      <alignment horizontal="center" vertical="top" wrapText="1"/>
    </xf>
    <xf numFmtId="9" fontId="5" fillId="11" borderId="34" xfId="2" applyFont="1" applyFill="1" applyBorder="1" applyAlignment="1">
      <alignment horizontal="center" vertical="top" wrapText="1"/>
    </xf>
    <xf numFmtId="3" fontId="5" fillId="33" borderId="1" xfId="4" applyNumberFormat="1" applyFont="1" applyFill="1" applyBorder="1" applyAlignment="1">
      <alignment horizontal="center" vertical="top" wrapText="1"/>
    </xf>
    <xf numFmtId="3" fontId="5" fillId="36" borderId="1" xfId="4" applyNumberFormat="1" applyFont="1" applyFill="1" applyBorder="1" applyAlignment="1">
      <alignment horizontal="center" vertical="top" wrapText="1"/>
    </xf>
    <xf numFmtId="9" fontId="5" fillId="11" borderId="8" xfId="2" applyFont="1" applyFill="1" applyBorder="1" applyAlignment="1">
      <alignment horizontal="center" vertical="top" wrapText="1"/>
    </xf>
    <xf numFmtId="3" fontId="5" fillId="11" borderId="16" xfId="4" applyNumberFormat="1" applyFont="1" applyFill="1" applyBorder="1" applyAlignment="1">
      <alignment horizontal="center" vertical="top" wrapText="1"/>
    </xf>
    <xf numFmtId="0" fontId="23" fillId="0" borderId="32" xfId="4" applyFont="1" applyBorder="1" applyAlignment="1">
      <alignment horizontal="center" vertical="top" wrapText="1"/>
    </xf>
    <xf numFmtId="0" fontId="22" fillId="6" borderId="33" xfId="4" applyFont="1" applyFill="1" applyBorder="1" applyAlignment="1">
      <alignment horizontal="center" vertical="top" wrapText="1"/>
    </xf>
    <xf numFmtId="168" fontId="23" fillId="6" borderId="4" xfId="4" applyNumberFormat="1" applyFont="1" applyFill="1" applyBorder="1" applyAlignment="1">
      <alignment horizontal="center" vertical="top" wrapText="1"/>
    </xf>
    <xf numFmtId="3" fontId="5" fillId="13" borderId="8" xfId="4" applyNumberFormat="1" applyFont="1" applyFill="1" applyBorder="1" applyAlignment="1">
      <alignment horizontal="center" vertical="top" wrapText="1"/>
    </xf>
    <xf numFmtId="3" fontId="5" fillId="13" borderId="2" xfId="4" applyNumberFormat="1" applyFont="1" applyFill="1" applyBorder="1" applyAlignment="1">
      <alignment horizontal="center" vertical="top" wrapText="1"/>
    </xf>
    <xf numFmtId="3" fontId="5" fillId="33" borderId="8" xfId="4" applyNumberFormat="1" applyFont="1" applyFill="1" applyBorder="1" applyAlignment="1">
      <alignment horizontal="center" vertical="top" wrapText="1"/>
    </xf>
    <xf numFmtId="0" fontId="15" fillId="9" borderId="0" xfId="4" applyFont="1" applyFill="1" applyAlignment="1">
      <alignment vertical="center"/>
    </xf>
    <xf numFmtId="0" fontId="33" fillId="15" borderId="0" xfId="4" applyFont="1" applyFill="1"/>
    <xf numFmtId="0" fontId="5" fillId="15" borderId="0" xfId="4" applyFont="1" applyFill="1"/>
    <xf numFmtId="168" fontId="5" fillId="15" borderId="0" xfId="4" applyNumberFormat="1" applyFont="1" applyFill="1"/>
    <xf numFmtId="2" fontId="5" fillId="15" borderId="0" xfId="5" applyNumberFormat="1" applyFont="1" applyFill="1"/>
    <xf numFmtId="0" fontId="77" fillId="15" borderId="0" xfId="4" applyFont="1" applyFill="1" applyAlignment="1">
      <alignment vertical="center"/>
    </xf>
    <xf numFmtId="0" fontId="12" fillId="15" borderId="0" xfId="4" applyFont="1" applyFill="1" applyAlignment="1">
      <alignment vertical="center"/>
    </xf>
    <xf numFmtId="0" fontId="12" fillId="15" borderId="0" xfId="4" applyFont="1" applyFill="1" applyAlignment="1">
      <alignment horizontal="left" vertical="center"/>
    </xf>
    <xf numFmtId="0" fontId="5" fillId="15" borderId="0" xfId="4" applyFont="1" applyFill="1" applyAlignment="1">
      <alignment horizontal="left"/>
    </xf>
    <xf numFmtId="0" fontId="14" fillId="15" borderId="0" xfId="4" applyFont="1" applyFill="1" applyAlignment="1">
      <alignment horizontal="left" vertical="center"/>
    </xf>
    <xf numFmtId="0" fontId="15" fillId="15" borderId="0" xfId="4" applyFont="1" applyFill="1" applyAlignment="1">
      <alignment vertical="center"/>
    </xf>
    <xf numFmtId="0" fontId="16" fillId="15" borderId="0" xfId="4" applyFont="1" applyFill="1" applyAlignment="1">
      <alignment horizontal="left" vertical="center"/>
    </xf>
    <xf numFmtId="0" fontId="17" fillId="15" borderId="0" xfId="4" applyFont="1" applyFill="1" applyAlignment="1">
      <alignment horizontal="left"/>
    </xf>
    <xf numFmtId="0" fontId="18" fillId="15" borderId="0" xfId="4" applyFont="1" applyFill="1" applyAlignment="1">
      <alignment horizontal="left" vertical="center"/>
    </xf>
    <xf numFmtId="0" fontId="19" fillId="15" borderId="0" xfId="4" applyFont="1" applyFill="1"/>
    <xf numFmtId="0" fontId="5" fillId="3" borderId="34" xfId="4" applyFont="1" applyFill="1" applyBorder="1"/>
    <xf numFmtId="0" fontId="5" fillId="3" borderId="35" xfId="4" applyFont="1" applyFill="1" applyBorder="1"/>
    <xf numFmtId="0" fontId="23" fillId="10" borderId="7" xfId="4" applyFont="1" applyFill="1" applyBorder="1" applyAlignment="1">
      <alignment horizontal="center" vertical="center" wrapText="1"/>
    </xf>
    <xf numFmtId="0" fontId="37" fillId="6" borderId="1" xfId="4" applyFont="1" applyFill="1" applyBorder="1" applyAlignment="1">
      <alignment horizontal="center" vertical="top" wrapText="1"/>
    </xf>
    <xf numFmtId="0" fontId="37" fillId="6" borderId="3" xfId="4" applyFont="1" applyFill="1" applyBorder="1" applyAlignment="1">
      <alignment horizontal="center" vertical="top" wrapText="1"/>
    </xf>
    <xf numFmtId="3" fontId="40" fillId="12" borderId="8" xfId="4" applyNumberFormat="1" applyFont="1" applyFill="1" applyBorder="1" applyAlignment="1">
      <alignment horizontal="center" vertical="top" wrapText="1"/>
    </xf>
    <xf numFmtId="4" fontId="40" fillId="12" borderId="8" xfId="4" applyNumberFormat="1" applyFont="1" applyFill="1" applyBorder="1" applyAlignment="1">
      <alignment horizontal="center" vertical="top" wrapText="1"/>
    </xf>
    <xf numFmtId="3" fontId="5" fillId="9" borderId="0" xfId="4" applyNumberFormat="1" applyFont="1" applyFill="1"/>
    <xf numFmtId="167" fontId="5" fillId="9" borderId="0" xfId="4" applyNumberFormat="1" applyFont="1" applyFill="1"/>
    <xf numFmtId="172" fontId="5" fillId="9" borderId="0" xfId="4" applyNumberFormat="1" applyFont="1" applyFill="1"/>
    <xf numFmtId="2" fontId="5" fillId="9" borderId="0" xfId="4" applyNumberFormat="1" applyFont="1" applyFill="1"/>
    <xf numFmtId="3" fontId="23" fillId="0" borderId="8" xfId="4" applyNumberFormat="1" applyFont="1" applyBorder="1" applyAlignment="1">
      <alignment horizontal="center" vertical="center" wrapText="1"/>
    </xf>
    <xf numFmtId="3" fontId="5" fillId="11" borderId="8" xfId="4" applyNumberFormat="1" applyFont="1" applyFill="1" applyBorder="1" applyAlignment="1">
      <alignment horizontal="center" vertical="top" wrapText="1"/>
    </xf>
    <xf numFmtId="9" fontId="5" fillId="12" borderId="41" xfId="2" applyFont="1" applyFill="1" applyBorder="1" applyAlignment="1">
      <alignment horizontal="center" vertical="top" wrapText="1"/>
    </xf>
    <xf numFmtId="9" fontId="5" fillId="11" borderId="54" xfId="2" applyFont="1" applyFill="1" applyBorder="1" applyAlignment="1">
      <alignment horizontal="center" vertical="top" wrapText="1"/>
    </xf>
    <xf numFmtId="2" fontId="5" fillId="12" borderId="1" xfId="1" applyNumberFormat="1" applyFont="1" applyFill="1" applyBorder="1" applyAlignment="1">
      <alignment horizontal="center" vertical="center" wrapText="1"/>
    </xf>
    <xf numFmtId="4" fontId="5" fillId="11" borderId="1" xfId="4" applyNumberFormat="1" applyFont="1" applyFill="1" applyBorder="1" applyAlignment="1">
      <alignment horizontal="center" vertical="top" wrapText="1"/>
    </xf>
    <xf numFmtId="0" fontId="23" fillId="0" borderId="8" xfId="4" applyFont="1" applyBorder="1" applyAlignment="1">
      <alignment horizontal="center" vertical="top" wrapText="1"/>
    </xf>
    <xf numFmtId="168" fontId="23" fillId="6" borderId="8" xfId="4" applyNumberFormat="1" applyFont="1" applyFill="1" applyBorder="1" applyAlignment="1">
      <alignment horizontal="center" vertical="top" wrapText="1"/>
    </xf>
    <xf numFmtId="0" fontId="5" fillId="21" borderId="0" xfId="7" applyFont="1" applyFill="1"/>
    <xf numFmtId="0" fontId="45" fillId="21" borderId="0" xfId="7" applyFont="1" applyFill="1"/>
    <xf numFmtId="0" fontId="45" fillId="21" borderId="0" xfId="4" applyFont="1" applyFill="1"/>
    <xf numFmtId="0" fontId="45" fillId="10" borderId="0" xfId="4" applyFont="1" applyFill="1"/>
    <xf numFmtId="0" fontId="6" fillId="24" borderId="0" xfId="4" applyFont="1" applyFill="1"/>
    <xf numFmtId="0" fontId="6" fillId="10" borderId="0" xfId="4" applyFont="1" applyFill="1"/>
    <xf numFmtId="0" fontId="6" fillId="31" borderId="0" xfId="4" applyFont="1" applyFill="1"/>
    <xf numFmtId="0" fontId="80" fillId="30" borderId="0" xfId="4" applyFont="1" applyFill="1" applyAlignment="1">
      <alignment horizontal="left" vertical="center"/>
    </xf>
    <xf numFmtId="0" fontId="7" fillId="32" borderId="0" xfId="4" applyFont="1" applyFill="1" applyAlignment="1">
      <alignment horizontal="left"/>
    </xf>
    <xf numFmtId="0" fontId="18" fillId="32" borderId="0" xfId="4" applyFont="1" applyFill="1" applyAlignment="1">
      <alignment horizontal="left" vertical="center"/>
    </xf>
    <xf numFmtId="0" fontId="5" fillId="32" borderId="0" xfId="7" applyFont="1" applyFill="1"/>
    <xf numFmtId="0" fontId="45" fillId="9" borderId="0" xfId="7" applyFont="1" applyFill="1"/>
    <xf numFmtId="0" fontId="45" fillId="9" borderId="0" xfId="4" applyFont="1" applyFill="1"/>
    <xf numFmtId="3" fontId="5" fillId="13" borderId="40" xfId="7" applyNumberFormat="1" applyFont="1" applyFill="1" applyBorder="1"/>
    <xf numFmtId="0" fontId="48" fillId="9" borderId="17" xfId="7" applyFont="1" applyFill="1" applyBorder="1"/>
    <xf numFmtId="0" fontId="48" fillId="9" borderId="18" xfId="7" applyFont="1" applyFill="1" applyBorder="1"/>
    <xf numFmtId="3" fontId="5" fillId="9" borderId="40" xfId="7" applyNumberFormat="1" applyFont="1" applyFill="1" applyBorder="1"/>
    <xf numFmtId="0" fontId="48" fillId="9" borderId="23" xfId="7" applyFont="1" applyFill="1" applyBorder="1"/>
    <xf numFmtId="0" fontId="5" fillId="9" borderId="40" xfId="7" applyFont="1" applyFill="1" applyBorder="1"/>
    <xf numFmtId="0" fontId="45" fillId="9" borderId="23" xfId="7" applyFont="1" applyFill="1" applyBorder="1"/>
    <xf numFmtId="0" fontId="45" fillId="9" borderId="24" xfId="7" applyFont="1" applyFill="1" applyBorder="1"/>
    <xf numFmtId="0" fontId="48" fillId="9" borderId="24" xfId="7" applyFont="1" applyFill="1" applyBorder="1"/>
    <xf numFmtId="0" fontId="48" fillId="9" borderId="29" xfId="7" applyFont="1" applyFill="1" applyBorder="1"/>
    <xf numFmtId="0" fontId="45" fillId="9" borderId="37" xfId="7" applyFont="1" applyFill="1" applyBorder="1"/>
    <xf numFmtId="0" fontId="45" fillId="9" borderId="37" xfId="4" applyFont="1" applyFill="1" applyBorder="1"/>
    <xf numFmtId="0" fontId="45" fillId="10" borderId="37" xfId="4" applyFont="1" applyFill="1" applyBorder="1"/>
    <xf numFmtId="0" fontId="33" fillId="21" borderId="0" xfId="4" applyFont="1" applyFill="1"/>
    <xf numFmtId="0" fontId="5" fillId="21" borderId="0" xfId="4" applyFont="1" applyFill="1"/>
    <xf numFmtId="168" fontId="5" fillId="21" borderId="0" xfId="4" applyNumberFormat="1" applyFont="1" applyFill="1"/>
    <xf numFmtId="2" fontId="5" fillId="21" borderId="0" xfId="5" applyNumberFormat="1" applyFont="1" applyFill="1"/>
    <xf numFmtId="0" fontId="77" fillId="21" borderId="0" xfId="4" applyFont="1" applyFill="1" applyAlignment="1">
      <alignment vertical="center"/>
    </xf>
    <xf numFmtId="0" fontId="12" fillId="21" borderId="0" xfId="4" applyFont="1" applyFill="1" applyAlignment="1">
      <alignment vertical="center"/>
    </xf>
    <xf numFmtId="0" fontId="77" fillId="21" borderId="0" xfId="4" applyFont="1" applyFill="1" applyAlignment="1">
      <alignment horizontal="center" vertical="center"/>
    </xf>
    <xf numFmtId="0" fontId="12" fillId="21" borderId="0" xfId="4" applyFont="1" applyFill="1" applyAlignment="1">
      <alignment horizontal="left" vertical="center"/>
    </xf>
    <xf numFmtId="0" fontId="5" fillId="21" borderId="0" xfId="4" applyFont="1" applyFill="1" applyAlignment="1">
      <alignment horizontal="left"/>
    </xf>
    <xf numFmtId="0" fontId="14" fillId="21" borderId="0" xfId="4" applyFont="1" applyFill="1" applyAlignment="1">
      <alignment horizontal="left" vertical="center"/>
    </xf>
    <xf numFmtId="0" fontId="15" fillId="21" borderId="0" xfId="4" applyFont="1" applyFill="1" applyAlignment="1">
      <alignment vertical="center"/>
    </xf>
    <xf numFmtId="49" fontId="78" fillId="21" borderId="0" xfId="4" applyNumberFormat="1" applyFont="1" applyFill="1" applyAlignment="1">
      <alignment horizontal="center" vertical="center"/>
    </xf>
    <xf numFmtId="0" fontId="16" fillId="21" borderId="0" xfId="4" applyFont="1" applyFill="1" applyAlignment="1">
      <alignment horizontal="left" vertical="center"/>
    </xf>
    <xf numFmtId="0" fontId="17" fillId="21" borderId="0" xfId="4" applyFont="1" applyFill="1" applyAlignment="1">
      <alignment horizontal="left"/>
    </xf>
    <xf numFmtId="0" fontId="18" fillId="21" borderId="0" xfId="4" applyFont="1" applyFill="1" applyAlignment="1">
      <alignment horizontal="left" vertical="center"/>
    </xf>
    <xf numFmtId="0" fontId="19" fillId="21" borderId="0" xfId="4" applyFont="1" applyFill="1"/>
    <xf numFmtId="3" fontId="5" fillId="35" borderId="22" xfId="4" applyNumberFormat="1" applyFont="1" applyFill="1" applyBorder="1" applyAlignment="1">
      <alignment horizontal="center" vertical="top" wrapText="1"/>
    </xf>
    <xf numFmtId="174" fontId="38" fillId="35" borderId="22" xfId="4" applyNumberFormat="1" applyFont="1" applyFill="1" applyBorder="1" applyAlignment="1">
      <alignment horizontal="center" vertical="top" wrapText="1"/>
    </xf>
    <xf numFmtId="3" fontId="5" fillId="35" borderId="1" xfId="4" applyNumberFormat="1" applyFont="1" applyFill="1" applyBorder="1" applyAlignment="1">
      <alignment horizontal="center" vertical="top" wrapText="1"/>
    </xf>
    <xf numFmtId="3" fontId="5" fillId="35" borderId="14" xfId="4" applyNumberFormat="1" applyFont="1" applyFill="1" applyBorder="1" applyAlignment="1">
      <alignment horizontal="center" vertical="top" wrapText="1"/>
    </xf>
    <xf numFmtId="168" fontId="5" fillId="14" borderId="53" xfId="4" applyNumberFormat="1" applyFont="1" applyFill="1" applyBorder="1" applyAlignment="1">
      <alignment horizontal="center" vertical="top" wrapText="1"/>
    </xf>
    <xf numFmtId="3" fontId="5" fillId="35" borderId="20" xfId="4" applyNumberFormat="1" applyFont="1" applyFill="1" applyBorder="1" applyAlignment="1">
      <alignment horizontal="center" vertical="top" wrapText="1"/>
    </xf>
    <xf numFmtId="168" fontId="5" fillId="14" borderId="21" xfId="4" applyNumberFormat="1" applyFont="1" applyFill="1" applyBorder="1" applyAlignment="1">
      <alignment horizontal="center" vertical="top" wrapText="1"/>
    </xf>
    <xf numFmtId="174" fontId="38" fillId="35" borderId="20" xfId="4" applyNumberFormat="1" applyFont="1" applyFill="1" applyBorder="1" applyAlignment="1">
      <alignment horizontal="center" vertical="top" wrapText="1"/>
    </xf>
    <xf numFmtId="0" fontId="26" fillId="6" borderId="36" xfId="4" applyFont="1" applyFill="1" applyBorder="1" applyAlignment="1">
      <alignment vertical="top" wrapText="1"/>
    </xf>
    <xf numFmtId="3" fontId="5" fillId="35" borderId="26" xfId="4" applyNumberFormat="1" applyFont="1" applyFill="1" applyBorder="1" applyAlignment="1">
      <alignment horizontal="center" vertical="top" wrapText="1"/>
    </xf>
    <xf numFmtId="0" fontId="26" fillId="6" borderId="33" xfId="4" applyFont="1" applyFill="1" applyBorder="1" applyAlignment="1">
      <alignment horizontal="left" vertical="top"/>
    </xf>
    <xf numFmtId="168" fontId="38" fillId="14" borderId="53" xfId="4" applyNumberFormat="1" applyFont="1" applyFill="1" applyBorder="1" applyAlignment="1">
      <alignment horizontal="center" vertical="top" wrapText="1"/>
    </xf>
    <xf numFmtId="0" fontId="26" fillId="6" borderId="0" xfId="4" applyFont="1" applyFill="1" applyAlignment="1">
      <alignment horizontal="left" vertical="top"/>
    </xf>
    <xf numFmtId="168" fontId="38" fillId="14" borderId="21" xfId="4" applyNumberFormat="1" applyFont="1" applyFill="1" applyBorder="1" applyAlignment="1">
      <alignment horizontal="center" vertical="top" wrapText="1"/>
    </xf>
    <xf numFmtId="0" fontId="26" fillId="6" borderId="37" xfId="4" applyFont="1" applyFill="1" applyBorder="1" applyAlignment="1">
      <alignment horizontal="left" vertical="top"/>
    </xf>
    <xf numFmtId="168" fontId="38" fillId="14" borderId="27" xfId="4" applyNumberFormat="1" applyFont="1" applyFill="1" applyBorder="1" applyAlignment="1">
      <alignment horizontal="center" vertical="top" wrapText="1"/>
    </xf>
    <xf numFmtId="3" fontId="5" fillId="35" borderId="39" xfId="4" applyNumberFormat="1" applyFont="1" applyFill="1" applyBorder="1" applyAlignment="1">
      <alignment horizontal="center" vertical="top" wrapText="1"/>
    </xf>
    <xf numFmtId="3" fontId="5" fillId="35" borderId="34" xfId="4" applyNumberFormat="1" applyFont="1" applyFill="1" applyBorder="1" applyAlignment="1">
      <alignment horizontal="center" vertical="top" wrapText="1"/>
    </xf>
    <xf numFmtId="3" fontId="5" fillId="35" borderId="8" xfId="4" applyNumberFormat="1" applyFont="1" applyFill="1" applyBorder="1" applyAlignment="1">
      <alignment horizontal="center" vertical="top" wrapText="1"/>
    </xf>
    <xf numFmtId="4" fontId="5" fillId="13" borderId="14" xfId="5" applyNumberFormat="1" applyFont="1" applyFill="1" applyBorder="1" applyAlignment="1">
      <alignment horizontal="center" vertical="top" wrapText="1"/>
    </xf>
    <xf numFmtId="3" fontId="23" fillId="11" borderId="8" xfId="4" applyNumberFormat="1" applyFont="1" applyFill="1" applyBorder="1" applyAlignment="1">
      <alignment horizontal="center" vertical="top" wrapText="1"/>
    </xf>
    <xf numFmtId="4" fontId="5" fillId="11" borderId="14" xfId="5" applyNumberFormat="1" applyFont="1" applyFill="1" applyBorder="1" applyAlignment="1">
      <alignment horizontal="center" vertical="top" wrapText="1"/>
    </xf>
    <xf numFmtId="4" fontId="5" fillId="11" borderId="8" xfId="4" applyNumberFormat="1" applyFont="1" applyFill="1" applyBorder="1" applyAlignment="1">
      <alignment horizontal="center" vertical="top" wrapText="1"/>
    </xf>
    <xf numFmtId="4" fontId="5" fillId="13" borderId="53" xfId="5" applyNumberFormat="1" applyFont="1" applyFill="1" applyBorder="1" applyAlignment="1">
      <alignment horizontal="center" vertical="top" wrapText="1"/>
    </xf>
    <xf numFmtId="4" fontId="5" fillId="13" borderId="21" xfId="5" applyNumberFormat="1" applyFont="1" applyFill="1" applyBorder="1" applyAlignment="1">
      <alignment horizontal="center" vertical="top" wrapText="1"/>
    </xf>
    <xf numFmtId="4" fontId="5" fillId="13" borderId="27" xfId="5" applyNumberFormat="1" applyFont="1" applyFill="1" applyBorder="1" applyAlignment="1">
      <alignment horizontal="center" vertical="top" wrapText="1"/>
    </xf>
    <xf numFmtId="3" fontId="5" fillId="11" borderId="1" xfId="4" applyNumberFormat="1" applyFont="1" applyFill="1" applyBorder="1" applyAlignment="1">
      <alignment horizontal="center" vertical="top" wrapText="1"/>
    </xf>
    <xf numFmtId="0" fontId="84" fillId="7" borderId="0" xfId="0" applyFont="1" applyFill="1"/>
    <xf numFmtId="0" fontId="85" fillId="7" borderId="0" xfId="0" applyFont="1" applyFill="1"/>
    <xf numFmtId="0" fontId="87" fillId="7" borderId="0" xfId="0" applyFont="1" applyFill="1"/>
    <xf numFmtId="0" fontId="59" fillId="0" borderId="0" xfId="0" applyFont="1"/>
    <xf numFmtId="0" fontId="69" fillId="0" borderId="0" xfId="0" applyFont="1"/>
    <xf numFmtId="3" fontId="59" fillId="0" borderId="0" xfId="4" applyNumberFormat="1" applyFont="1" applyAlignment="1">
      <alignment horizontal="center" vertical="top" wrapText="1"/>
    </xf>
    <xf numFmtId="0" fontId="8" fillId="0" borderId="0" xfId="0" applyFont="1"/>
    <xf numFmtId="0" fontId="68" fillId="0" borderId="0" xfId="0" applyFont="1"/>
    <xf numFmtId="0" fontId="75" fillId="0" borderId="0" xfId="5" applyFont="1" applyAlignment="1">
      <alignment wrapText="1"/>
    </xf>
    <xf numFmtId="0" fontId="71" fillId="0" borderId="0" xfId="6" applyFont="1" applyProtection="1">
      <alignment vertical="top"/>
    </xf>
    <xf numFmtId="0" fontId="72" fillId="0" borderId="0" xfId="6" applyFont="1" applyProtection="1">
      <alignment vertical="top"/>
    </xf>
    <xf numFmtId="0" fontId="59" fillId="0" borderId="0" xfId="0" applyFont="1" applyAlignment="1">
      <alignment vertical="top"/>
    </xf>
    <xf numFmtId="0" fontId="76" fillId="0" borderId="0" xfId="5" applyFont="1" applyAlignment="1">
      <alignment wrapText="1"/>
    </xf>
    <xf numFmtId="0" fontId="71" fillId="0" borderId="0" xfId="6" applyFont="1" applyAlignment="1" applyProtection="1">
      <alignment horizontal="left" vertical="top" wrapText="1"/>
    </xf>
    <xf numFmtId="0" fontId="72" fillId="0" borderId="0" xfId="6" applyFont="1" applyAlignment="1" applyProtection="1">
      <alignment horizontal="left" vertical="top" wrapText="1"/>
    </xf>
    <xf numFmtId="0" fontId="59" fillId="0" borderId="0" xfId="0" applyFont="1" applyAlignment="1">
      <alignment vertical="top" wrapText="1"/>
    </xf>
    <xf numFmtId="0" fontId="59" fillId="0" borderId="0" xfId="0" applyFont="1" applyAlignment="1">
      <alignment horizontal="left" vertical="top"/>
    </xf>
    <xf numFmtId="0" fontId="59" fillId="0" borderId="0" xfId="0" applyFont="1" applyAlignment="1">
      <alignment horizontal="left" vertical="top" wrapText="1"/>
    </xf>
    <xf numFmtId="0" fontId="59" fillId="0" borderId="0" xfId="0" applyFont="1" applyAlignment="1">
      <alignment wrapText="1"/>
    </xf>
    <xf numFmtId="0" fontId="49" fillId="0" borderId="0" xfId="0" applyFont="1"/>
    <xf numFmtId="0" fontId="5" fillId="0" borderId="0" xfId="0" applyFont="1"/>
    <xf numFmtId="0" fontId="5" fillId="0" borderId="0" xfId="0" applyFont="1" applyProtection="1">
      <protection locked="0"/>
    </xf>
    <xf numFmtId="0" fontId="39" fillId="0" borderId="0" xfId="4" applyFont="1"/>
    <xf numFmtId="168" fontId="5" fillId="0" borderId="0" xfId="4" applyNumberFormat="1" applyFont="1"/>
    <xf numFmtId="2" fontId="5" fillId="0" borderId="0" xfId="5" applyNumberFormat="1" applyFont="1"/>
    <xf numFmtId="0" fontId="33" fillId="0" borderId="0" xfId="4" applyFont="1"/>
    <xf numFmtId="0" fontId="12" fillId="0" borderId="0" xfId="4" applyFont="1" applyAlignment="1">
      <alignment vertical="center"/>
    </xf>
    <xf numFmtId="0" fontId="19" fillId="0" borderId="0" xfId="4" applyFont="1"/>
    <xf numFmtId="0" fontId="5" fillId="0" borderId="0" xfId="7" applyFont="1"/>
    <xf numFmtId="0" fontId="45" fillId="0" borderId="0" xfId="7" applyFont="1"/>
    <xf numFmtId="0" fontId="45" fillId="0" borderId="0" xfId="4" applyFont="1"/>
    <xf numFmtId="0" fontId="46" fillId="0" borderId="0" xfId="7" applyFont="1"/>
    <xf numFmtId="0" fontId="5" fillId="0" borderId="0" xfId="0" applyFont="1" applyAlignment="1">
      <alignment wrapText="1"/>
    </xf>
    <xf numFmtId="0" fontId="5" fillId="0" borderId="0" xfId="0" applyFont="1" applyAlignment="1" applyProtection="1">
      <alignment wrapText="1"/>
      <protection locked="0"/>
    </xf>
    <xf numFmtId="3" fontId="23" fillId="3" borderId="22" xfId="0" applyNumberFormat="1" applyFont="1" applyFill="1" applyBorder="1" applyAlignment="1">
      <alignment horizontal="center" vertical="center"/>
    </xf>
    <xf numFmtId="3" fontId="23" fillId="3" borderId="28" xfId="0" applyNumberFormat="1" applyFont="1" applyFill="1" applyBorder="1" applyAlignment="1">
      <alignment horizontal="center" vertical="center"/>
    </xf>
    <xf numFmtId="0" fontId="11" fillId="3" borderId="0" xfId="5" applyFont="1" applyFill="1" applyAlignment="1">
      <alignment wrapText="1"/>
    </xf>
    <xf numFmtId="0" fontId="85" fillId="19" borderId="0" xfId="0" applyFont="1" applyFill="1"/>
    <xf numFmtId="0" fontId="0" fillId="4" borderId="0" xfId="0" applyFill="1"/>
    <xf numFmtId="0" fontId="0" fillId="18" borderId="0" xfId="0" applyFill="1"/>
    <xf numFmtId="0" fontId="90" fillId="3" borderId="0" xfId="0" applyFont="1" applyFill="1" applyAlignment="1">
      <alignment horizontal="left"/>
    </xf>
    <xf numFmtId="0" fontId="60" fillId="3" borderId="0" xfId="5" applyFont="1" applyFill="1" applyAlignment="1">
      <alignment horizontal="left" wrapText="1" indent="1"/>
    </xf>
    <xf numFmtId="0" fontId="59" fillId="3" borderId="0" xfId="0" applyFont="1" applyFill="1" applyAlignment="1">
      <alignment horizontal="left" wrapText="1" indent="3"/>
    </xf>
    <xf numFmtId="0" fontId="37" fillId="0" borderId="67" xfId="0" applyFont="1" applyBorder="1"/>
    <xf numFmtId="0" fontId="5" fillId="0" borderId="74" xfId="0" applyFont="1" applyBorder="1"/>
    <xf numFmtId="0" fontId="5" fillId="0" borderId="55" xfId="0" applyFont="1" applyBorder="1"/>
    <xf numFmtId="0" fontId="22" fillId="0" borderId="68" xfId="0" applyFont="1" applyBorder="1"/>
    <xf numFmtId="0" fontId="22" fillId="0" borderId="73" xfId="0" applyFont="1" applyBorder="1"/>
    <xf numFmtId="0" fontId="5" fillId="0" borderId="66" xfId="0" applyFont="1" applyBorder="1"/>
    <xf numFmtId="2" fontId="5" fillId="0" borderId="49" xfId="0" applyNumberFormat="1" applyFont="1" applyBorder="1"/>
    <xf numFmtId="0" fontId="5" fillId="0" borderId="62" xfId="0" applyFont="1" applyBorder="1"/>
    <xf numFmtId="0" fontId="5" fillId="0" borderId="68" xfId="0" applyFont="1" applyBorder="1"/>
    <xf numFmtId="0" fontId="5" fillId="0" borderId="73" xfId="0" applyFont="1" applyBorder="1"/>
    <xf numFmtId="2" fontId="5" fillId="0" borderId="73" xfId="0" applyNumberFormat="1" applyFont="1" applyBorder="1"/>
    <xf numFmtId="169" fontId="5" fillId="0" borderId="62" xfId="0" applyNumberFormat="1" applyFont="1" applyBorder="1"/>
    <xf numFmtId="0" fontId="20" fillId="0" borderId="0" xfId="6" applyAlignment="1" applyProtection="1">
      <alignment horizontal="center"/>
    </xf>
    <xf numFmtId="0" fontId="5" fillId="0" borderId="0" xfId="0" applyFont="1" applyAlignment="1">
      <alignment horizontal="center"/>
    </xf>
    <xf numFmtId="3" fontId="23" fillId="3" borderId="7" xfId="0" applyNumberFormat="1" applyFont="1" applyFill="1" applyBorder="1" applyAlignment="1">
      <alignment horizontal="center" vertical="center"/>
    </xf>
    <xf numFmtId="4" fontId="23" fillId="3" borderId="36" xfId="0" applyNumberFormat="1" applyFont="1" applyFill="1" applyBorder="1" applyAlignment="1">
      <alignment horizontal="center" vertical="center"/>
    </xf>
    <xf numFmtId="4" fontId="23" fillId="3" borderId="13" xfId="0" applyNumberFormat="1" applyFont="1" applyFill="1" applyBorder="1" applyAlignment="1">
      <alignment horizontal="center" vertical="center"/>
    </xf>
    <xf numFmtId="175" fontId="29" fillId="0" borderId="14" xfId="2" applyNumberFormat="1" applyFont="1" applyBorder="1" applyAlignment="1">
      <alignment horizontal="center" vertical="center" wrapText="1"/>
    </xf>
    <xf numFmtId="175" fontId="23" fillId="3" borderId="8" xfId="2" applyNumberFormat="1" applyFont="1" applyFill="1" applyBorder="1" applyAlignment="1">
      <alignment horizontal="center" vertical="center" wrapText="1"/>
    </xf>
    <xf numFmtId="175" fontId="29" fillId="3" borderId="39" xfId="2" applyNumberFormat="1" applyFont="1" applyFill="1" applyBorder="1" applyAlignment="1">
      <alignment horizontal="center" vertical="center" wrapText="1"/>
    </xf>
    <xf numFmtId="175" fontId="23" fillId="3" borderId="1" xfId="2" applyNumberFormat="1" applyFont="1" applyFill="1" applyBorder="1" applyAlignment="1">
      <alignment horizontal="center" vertical="center" wrapText="1"/>
    </xf>
    <xf numFmtId="175" fontId="23" fillId="3" borderId="5" xfId="2" applyNumberFormat="1" applyFont="1" applyFill="1" applyBorder="1" applyAlignment="1">
      <alignment horizontal="center" vertical="center" wrapText="1"/>
    </xf>
    <xf numFmtId="175" fontId="23" fillId="3" borderId="3" xfId="2" applyNumberFormat="1" applyFont="1" applyFill="1" applyBorder="1" applyAlignment="1">
      <alignment horizontal="center" vertical="center" wrapText="1"/>
    </xf>
    <xf numFmtId="175" fontId="23" fillId="0" borderId="1" xfId="2" applyNumberFormat="1" applyFont="1" applyBorder="1" applyAlignment="1">
      <alignment horizontal="center" vertical="center"/>
    </xf>
    <xf numFmtId="175" fontId="29" fillId="3" borderId="14" xfId="2" applyNumberFormat="1" applyFont="1" applyFill="1" applyBorder="1" applyAlignment="1">
      <alignment horizontal="center" vertical="center" wrapText="1"/>
    </xf>
    <xf numFmtId="175" fontId="29" fillId="3" borderId="20" xfId="2" applyNumberFormat="1" applyFont="1" applyFill="1" applyBorder="1" applyAlignment="1">
      <alignment horizontal="center" vertical="center" wrapText="1"/>
    </xf>
    <xf numFmtId="175" fontId="29" fillId="3" borderId="26" xfId="2" applyNumberFormat="1" applyFont="1" applyFill="1" applyBorder="1" applyAlignment="1">
      <alignment horizontal="center" vertical="center" wrapText="1"/>
    </xf>
    <xf numFmtId="175" fontId="23" fillId="3" borderId="7" xfId="2" applyNumberFormat="1" applyFont="1" applyFill="1" applyBorder="1" applyAlignment="1">
      <alignment horizontal="center" vertical="center" wrapText="1"/>
    </xf>
    <xf numFmtId="175" fontId="23" fillId="3" borderId="36" xfId="2" applyNumberFormat="1" applyFont="1" applyFill="1" applyBorder="1" applyAlignment="1">
      <alignment horizontal="center" vertical="center" wrapText="1"/>
    </xf>
    <xf numFmtId="175" fontId="23" fillId="3" borderId="22" xfId="2" applyNumberFormat="1" applyFont="1" applyFill="1" applyBorder="1" applyAlignment="1">
      <alignment horizontal="center" vertical="center"/>
    </xf>
    <xf numFmtId="175" fontId="23" fillId="3" borderId="50" xfId="2" applyNumberFormat="1" applyFont="1" applyFill="1" applyBorder="1" applyAlignment="1">
      <alignment horizontal="center" vertical="center" wrapText="1"/>
    </xf>
    <xf numFmtId="175" fontId="23" fillId="3" borderId="20" xfId="2" applyNumberFormat="1" applyFont="1" applyFill="1" applyBorder="1" applyAlignment="1">
      <alignment horizontal="center" vertical="center" wrapText="1"/>
    </xf>
    <xf numFmtId="175" fontId="23" fillId="3" borderId="21" xfId="2" applyNumberFormat="1" applyFont="1" applyFill="1" applyBorder="1" applyAlignment="1">
      <alignment horizontal="center" vertical="center"/>
    </xf>
    <xf numFmtId="175" fontId="23" fillId="3" borderId="51" xfId="2" applyNumberFormat="1" applyFont="1" applyFill="1" applyBorder="1" applyAlignment="1">
      <alignment horizontal="center" vertical="center" wrapText="1"/>
    </xf>
    <xf numFmtId="175" fontId="23" fillId="3" borderId="26" xfId="2" applyNumberFormat="1" applyFont="1" applyFill="1" applyBorder="1" applyAlignment="1">
      <alignment horizontal="center" vertical="center" wrapText="1"/>
    </xf>
    <xf numFmtId="3" fontId="23" fillId="3" borderId="14" xfId="0" applyNumberFormat="1" applyFont="1" applyFill="1" applyBorder="1" applyAlignment="1">
      <alignment horizontal="center" vertical="center"/>
    </xf>
    <xf numFmtId="175" fontId="23" fillId="3" borderId="53" xfId="2" applyNumberFormat="1" applyFont="1" applyFill="1" applyBorder="1" applyAlignment="1">
      <alignment horizontal="center" vertical="center"/>
    </xf>
    <xf numFmtId="3" fontId="23" fillId="3" borderId="20" xfId="0" applyNumberFormat="1" applyFont="1" applyFill="1" applyBorder="1" applyAlignment="1">
      <alignment horizontal="center" vertical="center"/>
    </xf>
    <xf numFmtId="0" fontId="26" fillId="6" borderId="6" xfId="4" applyFont="1" applyFill="1" applyBorder="1" applyAlignment="1">
      <alignment vertical="top" wrapText="1"/>
    </xf>
    <xf numFmtId="0" fontId="26" fillId="3" borderId="34" xfId="4" applyFont="1" applyFill="1" applyBorder="1" applyAlignment="1">
      <alignment vertical="top" wrapText="1"/>
    </xf>
    <xf numFmtId="0" fontId="26" fillId="9" borderId="0" xfId="4" applyFont="1" applyFill="1" applyAlignment="1">
      <alignment horizontal="left" vertical="top" wrapText="1"/>
    </xf>
    <xf numFmtId="4" fontId="5" fillId="11" borderId="8" xfId="5" applyNumberFormat="1" applyFont="1" applyFill="1" applyBorder="1" applyAlignment="1">
      <alignment horizontal="center" vertical="top" wrapText="1"/>
    </xf>
    <xf numFmtId="4" fontId="5" fillId="11" borderId="16" xfId="5" applyNumberFormat="1" applyFont="1" applyFill="1" applyBorder="1" applyAlignment="1">
      <alignment horizontal="center" vertical="top" wrapText="1"/>
    </xf>
    <xf numFmtId="0" fontId="5" fillId="4" borderId="13" xfId="4" applyFont="1" applyFill="1" applyBorder="1"/>
    <xf numFmtId="3" fontId="5" fillId="10" borderId="36" xfId="4" applyNumberFormat="1" applyFont="1" applyFill="1" applyBorder="1" applyAlignment="1">
      <alignment horizontal="center" vertical="top" wrapText="1"/>
    </xf>
    <xf numFmtId="0" fontId="5" fillId="0" borderId="13" xfId="0" applyFont="1" applyBorder="1" applyAlignment="1">
      <alignment horizontal="center" vertical="top" wrapText="1"/>
    </xf>
    <xf numFmtId="0" fontId="26" fillId="0" borderId="8" xfId="4" applyFont="1" applyBorder="1" applyAlignment="1">
      <alignment vertical="top" wrapText="1"/>
    </xf>
    <xf numFmtId="0" fontId="22" fillId="6" borderId="36" xfId="4" applyFont="1" applyFill="1" applyBorder="1" applyAlignment="1">
      <alignment horizontal="center" vertical="top" wrapText="1"/>
    </xf>
    <xf numFmtId="0" fontId="26" fillId="0" borderId="2" xfId="4" applyFont="1" applyBorder="1" applyAlignment="1">
      <alignment vertical="top" wrapText="1"/>
    </xf>
    <xf numFmtId="0" fontId="26" fillId="9" borderId="0" xfId="4" applyFont="1" applyFill="1" applyAlignment="1">
      <alignment horizontal="left" vertical="top"/>
    </xf>
    <xf numFmtId="4" fontId="23" fillId="12" borderId="5" xfId="4" applyNumberFormat="1" applyFont="1" applyFill="1" applyBorder="1" applyAlignment="1">
      <alignment horizontal="center" vertical="top" wrapText="1"/>
    </xf>
    <xf numFmtId="4" fontId="5" fillId="13" borderId="20" xfId="5" applyNumberFormat="1" applyFont="1" applyFill="1" applyBorder="1" applyAlignment="1">
      <alignment horizontal="center" vertical="top" wrapText="1"/>
    </xf>
    <xf numFmtId="4" fontId="5" fillId="13" borderId="26" xfId="5" applyNumberFormat="1" applyFont="1" applyFill="1" applyBorder="1" applyAlignment="1">
      <alignment horizontal="center" vertical="top" wrapText="1"/>
    </xf>
    <xf numFmtId="2" fontId="23" fillId="0" borderId="13" xfId="5" applyNumberFormat="1" applyFont="1" applyBorder="1" applyAlignment="1">
      <alignment horizontal="center" vertical="top" wrapText="1"/>
    </xf>
    <xf numFmtId="3" fontId="38" fillId="4" borderId="26" xfId="4" applyNumberFormat="1" applyFont="1" applyFill="1" applyBorder="1" applyAlignment="1" applyProtection="1">
      <alignment horizontal="center" vertical="top" wrapText="1"/>
      <protection locked="0"/>
    </xf>
    <xf numFmtId="4" fontId="5" fillId="6" borderId="0" xfId="4" applyNumberFormat="1" applyFont="1" applyFill="1" applyAlignment="1">
      <alignment horizontal="center"/>
    </xf>
    <xf numFmtId="3" fontId="22" fillId="3" borderId="0" xfId="4" applyNumberFormat="1" applyFont="1" applyFill="1" applyAlignment="1">
      <alignment horizontal="center" vertical="top" wrapText="1"/>
    </xf>
    <xf numFmtId="0" fontId="5" fillId="3" borderId="0" xfId="4" applyFont="1" applyFill="1" applyAlignment="1">
      <alignment horizontal="center" vertical="top"/>
    </xf>
    <xf numFmtId="0" fontId="22" fillId="4" borderId="17" xfId="4" applyFont="1" applyFill="1" applyBorder="1" applyAlignment="1">
      <alignment horizontal="left"/>
    </xf>
    <xf numFmtId="0" fontId="22" fillId="4" borderId="38" xfId="4" applyFont="1" applyFill="1" applyBorder="1"/>
    <xf numFmtId="169" fontId="5" fillId="4" borderId="18" xfId="1" applyNumberFormat="1" applyFont="1" applyFill="1" applyBorder="1" applyAlignment="1">
      <alignment horizontal="center" vertical="center"/>
    </xf>
    <xf numFmtId="169" fontId="5" fillId="6" borderId="0" xfId="1" applyNumberFormat="1" applyFont="1" applyFill="1" applyAlignment="1">
      <alignment horizontal="center"/>
    </xf>
    <xf numFmtId="2" fontId="5" fillId="6" borderId="0" xfId="5" applyNumberFormat="1" applyFont="1" applyFill="1" applyAlignment="1">
      <alignment horizontal="center"/>
    </xf>
    <xf numFmtId="0" fontId="5" fillId="6" borderId="0" xfId="4" applyFont="1" applyFill="1"/>
    <xf numFmtId="168" fontId="5" fillId="6" borderId="0" xfId="4" applyNumberFormat="1" applyFont="1" applyFill="1" applyAlignment="1">
      <alignment horizontal="center"/>
    </xf>
    <xf numFmtId="2" fontId="9" fillId="6" borderId="0" xfId="5" applyNumberFormat="1" applyFont="1" applyFill="1" applyAlignment="1">
      <alignment horizontal="center"/>
    </xf>
    <xf numFmtId="0" fontId="22" fillId="18" borderId="17" xfId="4" applyFont="1" applyFill="1" applyBorder="1" applyAlignment="1">
      <alignment horizontal="left"/>
    </xf>
    <xf numFmtId="0" fontId="22" fillId="18" borderId="38" xfId="4" applyFont="1" applyFill="1" applyBorder="1"/>
    <xf numFmtId="169" fontId="5" fillId="18" borderId="18" xfId="1" applyNumberFormat="1" applyFont="1" applyFill="1" applyBorder="1" applyAlignment="1">
      <alignment horizontal="center" vertical="center"/>
    </xf>
    <xf numFmtId="0" fontId="5" fillId="4" borderId="23" xfId="4" applyFont="1" applyFill="1" applyBorder="1" applyAlignment="1">
      <alignment horizontal="left"/>
    </xf>
    <xf numFmtId="9" fontId="5" fillId="0" borderId="40" xfId="4" applyNumberFormat="1" applyFont="1" applyBorder="1"/>
    <xf numFmtId="9" fontId="5" fillId="0" borderId="24" xfId="2" applyFont="1" applyBorder="1" applyAlignment="1">
      <alignment horizontal="center" vertical="center"/>
    </xf>
    <xf numFmtId="2" fontId="22" fillId="6" borderId="69" xfId="5" applyNumberFormat="1" applyFont="1" applyFill="1" applyBorder="1" applyAlignment="1">
      <alignment horizontal="center" vertical="center"/>
    </xf>
    <xf numFmtId="0" fontId="22" fillId="6" borderId="69" xfId="4" applyFont="1" applyFill="1" applyBorder="1" applyAlignment="1">
      <alignment horizontal="center" vertical="center"/>
    </xf>
    <xf numFmtId="168" fontId="22" fillId="6" borderId="46" xfId="4" applyNumberFormat="1" applyFont="1" applyFill="1" applyBorder="1" applyAlignment="1">
      <alignment horizontal="center" vertical="center"/>
    </xf>
    <xf numFmtId="0" fontId="5" fillId="18" borderId="23" xfId="4" applyFont="1" applyFill="1" applyBorder="1" applyAlignment="1">
      <alignment horizontal="left"/>
    </xf>
    <xf numFmtId="2" fontId="22" fillId="6" borderId="38" xfId="5" applyNumberFormat="1" applyFont="1" applyFill="1" applyBorder="1" applyAlignment="1">
      <alignment horizontal="center"/>
    </xf>
    <xf numFmtId="0" fontId="5" fillId="0" borderId="40" xfId="4" applyFont="1" applyBorder="1"/>
    <xf numFmtId="9" fontId="5" fillId="0" borderId="57" xfId="2" applyFont="1" applyBorder="1" applyAlignment="1">
      <alignment horizontal="center"/>
    </xf>
    <xf numFmtId="9" fontId="5" fillId="6" borderId="58" xfId="2" applyFont="1" applyFill="1" applyBorder="1" applyAlignment="1">
      <alignment horizontal="right"/>
    </xf>
    <xf numFmtId="9" fontId="5" fillId="0" borderId="23" xfId="2" applyFont="1" applyBorder="1" applyAlignment="1">
      <alignment horizontal="center"/>
    </xf>
    <xf numFmtId="9" fontId="5" fillId="6" borderId="40" xfId="2" applyFont="1" applyFill="1" applyBorder="1" applyAlignment="1">
      <alignment horizontal="right"/>
    </xf>
    <xf numFmtId="9" fontId="5" fillId="0" borderId="40" xfId="2" applyFont="1" applyBorder="1" applyAlignment="1">
      <alignment horizontal="left"/>
    </xf>
    <xf numFmtId="9" fontId="5" fillId="0" borderId="24" xfId="2" applyFont="1" applyBorder="1" applyAlignment="1">
      <alignment horizontal="left"/>
    </xf>
    <xf numFmtId="0" fontId="5" fillId="4" borderId="23" xfId="4" applyFont="1" applyFill="1" applyBorder="1" applyAlignment="1">
      <alignment vertical="top" wrapText="1"/>
    </xf>
    <xf numFmtId="0" fontId="5" fillId="18" borderId="29" xfId="4" applyFont="1" applyFill="1" applyBorder="1" applyAlignment="1">
      <alignment vertical="top" wrapText="1"/>
    </xf>
    <xf numFmtId="0" fontId="5" fillId="0" borderId="45" xfId="4" applyFont="1" applyBorder="1"/>
    <xf numFmtId="9" fontId="5" fillId="0" borderId="30" xfId="2" applyFont="1" applyBorder="1" applyAlignment="1">
      <alignment horizontal="center" vertical="center"/>
    </xf>
    <xf numFmtId="2" fontId="5" fillId="0" borderId="0" xfId="5" applyNumberFormat="1" applyFont="1" applyAlignment="1">
      <alignment horizontal="left" vertical="center"/>
    </xf>
    <xf numFmtId="9" fontId="5" fillId="0" borderId="29" xfId="2" applyFont="1" applyBorder="1" applyAlignment="1">
      <alignment horizontal="center"/>
    </xf>
    <xf numFmtId="9" fontId="5" fillId="6" borderId="45" xfId="2" applyFont="1" applyFill="1" applyBorder="1" applyAlignment="1">
      <alignment horizontal="right"/>
    </xf>
    <xf numFmtId="175" fontId="5" fillId="0" borderId="45" xfId="2" applyNumberFormat="1" applyFont="1" applyBorder="1" applyAlignment="1">
      <alignment horizontal="left"/>
    </xf>
    <xf numFmtId="175" fontId="5" fillId="0" borderId="30" xfId="2" applyNumberFormat="1" applyFont="1" applyBorder="1" applyAlignment="1">
      <alignment horizontal="left"/>
    </xf>
    <xf numFmtId="0" fontId="22" fillId="0" borderId="0" xfId="4" applyFont="1" applyAlignment="1">
      <alignment vertical="center"/>
    </xf>
    <xf numFmtId="0" fontId="5" fillId="4" borderId="29" xfId="4" applyFont="1" applyFill="1" applyBorder="1" applyAlignment="1">
      <alignment vertical="top" wrapText="1"/>
    </xf>
    <xf numFmtId="0" fontId="91" fillId="3" borderId="0" xfId="4" applyFont="1" applyFill="1" applyAlignment="1">
      <alignment horizontal="left" vertical="center"/>
    </xf>
    <xf numFmtId="0" fontId="91" fillId="3" borderId="0" xfId="4" applyFont="1" applyFill="1" applyAlignment="1">
      <alignment horizontal="center" vertical="center"/>
    </xf>
    <xf numFmtId="169" fontId="5" fillId="0" borderId="0" xfId="1" applyNumberFormat="1" applyFont="1" applyAlignment="1">
      <alignment horizontal="center"/>
    </xf>
    <xf numFmtId="0" fontId="22" fillId="6" borderId="61" xfId="4" applyFont="1" applyFill="1" applyBorder="1" applyAlignment="1">
      <alignment horizontal="center" vertical="top" wrapText="1"/>
    </xf>
    <xf numFmtId="175" fontId="5" fillId="3" borderId="0" xfId="2" applyNumberFormat="1" applyFont="1" applyFill="1" applyAlignment="1">
      <alignment horizontal="center"/>
    </xf>
    <xf numFmtId="9" fontId="5" fillId="3" borderId="0" xfId="2" applyFont="1" applyFill="1" applyAlignment="1">
      <alignment horizontal="center"/>
    </xf>
    <xf numFmtId="9" fontId="5" fillId="3" borderId="0" xfId="2" applyFont="1" applyFill="1" applyAlignment="1">
      <alignment horizontal="right"/>
    </xf>
    <xf numFmtId="0" fontId="5" fillId="38" borderId="57" xfId="4" applyFont="1" applyFill="1" applyBorder="1" applyAlignment="1">
      <alignment horizontal="center" vertical="top" wrapText="1"/>
    </xf>
    <xf numFmtId="9" fontId="5" fillId="6" borderId="0" xfId="2" applyFont="1" applyFill="1" applyAlignment="1">
      <alignment horizontal="center"/>
    </xf>
    <xf numFmtId="0" fontId="5" fillId="38" borderId="29" xfId="4" applyFont="1" applyFill="1" applyBorder="1" applyAlignment="1">
      <alignment horizontal="center" vertical="top"/>
    </xf>
    <xf numFmtId="4" fontId="9" fillId="6" borderId="0" xfId="4" applyNumberFormat="1" applyFont="1" applyFill="1" applyAlignment="1">
      <alignment horizontal="center"/>
    </xf>
    <xf numFmtId="0" fontId="6" fillId="6" borderId="0" xfId="4" applyFont="1" applyFill="1" applyAlignment="1">
      <alignment horizontal="center"/>
    </xf>
    <xf numFmtId="169" fontId="22" fillId="6" borderId="0" xfId="1" applyNumberFormat="1" applyFont="1" applyFill="1" applyAlignment="1">
      <alignment horizontal="center" vertical="top" wrapText="1"/>
    </xf>
    <xf numFmtId="0" fontId="5" fillId="6" borderId="0" xfId="4" applyFont="1" applyFill="1" applyAlignment="1">
      <alignment horizontal="center" vertical="top"/>
    </xf>
    <xf numFmtId="167" fontId="5" fillId="6" borderId="0" xfId="1" applyFont="1" applyFill="1" applyAlignment="1">
      <alignment horizontal="center" vertical="top" wrapText="1"/>
    </xf>
    <xf numFmtId="3" fontId="5" fillId="6" borderId="0" xfId="4" applyNumberFormat="1" applyFont="1" applyFill="1"/>
    <xf numFmtId="169" fontId="22" fillId="4" borderId="29" xfId="1" applyNumberFormat="1" applyFont="1" applyFill="1" applyBorder="1" applyAlignment="1">
      <alignment horizontal="center" vertical="top" wrapText="1"/>
    </xf>
    <xf numFmtId="169" fontId="22" fillId="4" borderId="45" xfId="1" applyNumberFormat="1" applyFont="1" applyFill="1" applyBorder="1" applyAlignment="1">
      <alignment horizontal="center" vertical="top" wrapText="1"/>
    </xf>
    <xf numFmtId="169" fontId="22" fillId="4" borderId="30" xfId="1" applyNumberFormat="1" applyFont="1" applyFill="1" applyBorder="1" applyAlignment="1">
      <alignment horizontal="center" vertical="top" wrapText="1"/>
    </xf>
    <xf numFmtId="0" fontId="22" fillId="4" borderId="29" xfId="4" applyFont="1" applyFill="1" applyBorder="1" applyAlignment="1">
      <alignment horizontal="center" vertical="center" wrapText="1"/>
    </xf>
    <xf numFmtId="0" fontId="22" fillId="4" borderId="30" xfId="4" applyFont="1" applyFill="1" applyBorder="1" applyAlignment="1">
      <alignment horizontal="center" vertical="center" wrapText="1"/>
    </xf>
    <xf numFmtId="2" fontId="22" fillId="4" borderId="45" xfId="5" applyNumberFormat="1" applyFont="1" applyFill="1" applyBorder="1" applyAlignment="1">
      <alignment horizontal="center" vertical="center"/>
    </xf>
    <xf numFmtId="2" fontId="22" fillId="4" borderId="30" xfId="5" applyNumberFormat="1" applyFont="1" applyFill="1" applyBorder="1" applyAlignment="1">
      <alignment vertical="center" wrapText="1"/>
    </xf>
    <xf numFmtId="9" fontId="22" fillId="4" borderId="29" xfId="2" applyFont="1" applyFill="1" applyBorder="1" applyAlignment="1">
      <alignment vertical="center" wrapText="1"/>
    </xf>
    <xf numFmtId="2" fontId="22" fillId="4" borderId="30" xfId="5" applyNumberFormat="1" applyFont="1" applyFill="1" applyBorder="1" applyAlignment="1">
      <alignment horizontal="center" vertical="center" wrapText="1"/>
    </xf>
    <xf numFmtId="0" fontId="22" fillId="18" borderId="78" xfId="4" applyFont="1" applyFill="1" applyBorder="1" applyAlignment="1">
      <alignment horizontal="center" vertical="top" wrapText="1"/>
    </xf>
    <xf numFmtId="9" fontId="22" fillId="18" borderId="29" xfId="2" applyFont="1" applyFill="1" applyBorder="1" applyAlignment="1">
      <alignment vertical="center" wrapText="1"/>
    </xf>
    <xf numFmtId="2" fontId="22" fillId="18" borderId="30" xfId="5" applyNumberFormat="1" applyFont="1" applyFill="1" applyBorder="1" applyAlignment="1">
      <alignment horizontal="center" vertical="center" wrapText="1"/>
    </xf>
    <xf numFmtId="169" fontId="22" fillId="6" borderId="61" xfId="1" applyNumberFormat="1" applyFont="1" applyFill="1" applyBorder="1" applyAlignment="1">
      <alignment horizontal="center" vertical="top" wrapText="1"/>
    </xf>
    <xf numFmtId="169" fontId="22" fillId="6" borderId="69" xfId="1" applyNumberFormat="1" applyFont="1" applyFill="1" applyBorder="1" applyAlignment="1">
      <alignment horizontal="center" vertical="top" wrapText="1"/>
    </xf>
    <xf numFmtId="169" fontId="22" fillId="6" borderId="46" xfId="1" applyNumberFormat="1" applyFont="1" applyFill="1" applyBorder="1" applyAlignment="1">
      <alignment horizontal="center" vertical="top" wrapText="1"/>
    </xf>
    <xf numFmtId="0" fontId="22" fillId="13" borderId="61" xfId="4" applyFont="1" applyFill="1" applyBorder="1" applyAlignment="1">
      <alignment horizontal="center" vertical="center" wrapText="1"/>
    </xf>
    <xf numFmtId="0" fontId="22" fillId="13" borderId="46" xfId="4" applyFont="1" applyFill="1" applyBorder="1" applyAlignment="1">
      <alignment horizontal="center" vertical="center" wrapText="1"/>
    </xf>
    <xf numFmtId="9" fontId="22" fillId="6" borderId="61" xfId="9" applyFont="1" applyFill="1" applyBorder="1" applyAlignment="1">
      <alignment horizontal="center" vertical="center" wrapText="1"/>
    </xf>
    <xf numFmtId="9" fontId="22" fillId="6" borderId="69" xfId="9" applyFont="1" applyFill="1" applyBorder="1" applyAlignment="1">
      <alignment horizontal="center" vertical="center" wrapText="1"/>
    </xf>
    <xf numFmtId="9" fontId="22" fillId="6" borderId="46" xfId="9" applyFont="1" applyFill="1" applyBorder="1" applyAlignment="1">
      <alignment horizontal="center" vertical="center" wrapText="1"/>
    </xf>
    <xf numFmtId="9" fontId="22" fillId="39" borderId="46" xfId="2" applyFont="1" applyFill="1" applyBorder="1" applyAlignment="1">
      <alignment horizontal="center" vertical="center" wrapText="1"/>
    </xf>
    <xf numFmtId="0" fontId="5" fillId="3" borderId="8" xfId="4" applyFont="1" applyFill="1" applyBorder="1"/>
    <xf numFmtId="169" fontId="5" fillId="6" borderId="69" xfId="1" applyNumberFormat="1" applyFont="1" applyFill="1" applyBorder="1" applyAlignment="1">
      <alignment horizontal="center" vertical="top" wrapText="1"/>
    </xf>
    <xf numFmtId="2" fontId="22" fillId="39" borderId="69" xfId="1" applyNumberFormat="1" applyFont="1" applyFill="1" applyBorder="1" applyAlignment="1">
      <alignment horizontal="center" vertical="center"/>
    </xf>
    <xf numFmtId="9" fontId="5" fillId="6" borderId="69" xfId="9" applyFont="1" applyFill="1" applyBorder="1" applyAlignment="1">
      <alignment horizontal="center" vertical="center" wrapText="1"/>
    </xf>
    <xf numFmtId="9" fontId="22" fillId="13" borderId="69" xfId="2" applyFont="1" applyFill="1" applyBorder="1"/>
    <xf numFmtId="0" fontId="5" fillId="4" borderId="59" xfId="4" applyFont="1" applyFill="1" applyBorder="1" applyAlignment="1">
      <alignment vertical="top" wrapText="1"/>
    </xf>
    <xf numFmtId="169" fontId="5" fillId="6" borderId="57" xfId="1" applyNumberFormat="1" applyFont="1" applyFill="1" applyBorder="1" applyAlignment="1">
      <alignment horizontal="center" vertical="top" wrapText="1"/>
    </xf>
    <xf numFmtId="169" fontId="5" fillId="6" borderId="58" xfId="1" applyNumberFormat="1" applyFont="1" applyFill="1" applyBorder="1" applyAlignment="1">
      <alignment horizontal="center" vertical="top" wrapText="1"/>
    </xf>
    <xf numFmtId="169" fontId="5" fillId="6" borderId="59" xfId="1" applyNumberFormat="1" applyFont="1" applyFill="1" applyBorder="1" applyAlignment="1">
      <alignment horizontal="center" vertical="top" wrapText="1"/>
    </xf>
    <xf numFmtId="0" fontId="22" fillId="40" borderId="59" xfId="4" applyFont="1" applyFill="1" applyBorder="1" applyAlignment="1">
      <alignment horizontal="center" vertical="center" wrapText="1"/>
    </xf>
    <xf numFmtId="176" fontId="22" fillId="39" borderId="57" xfId="1" applyNumberFormat="1" applyFont="1" applyFill="1" applyBorder="1" applyAlignment="1">
      <alignment horizontal="center" vertical="center" wrapText="1"/>
    </xf>
    <xf numFmtId="2" fontId="22" fillId="39" borderId="58" xfId="1" applyNumberFormat="1" applyFont="1" applyFill="1" applyBorder="1" applyAlignment="1">
      <alignment horizontal="center" vertical="center"/>
    </xf>
    <xf numFmtId="0" fontId="22" fillId="39" borderId="59" xfId="4" applyFont="1" applyFill="1" applyBorder="1" applyAlignment="1">
      <alignment horizontal="center" vertical="center" wrapText="1"/>
    </xf>
    <xf numFmtId="9" fontId="5" fillId="6" borderId="57" xfId="9" applyFont="1" applyFill="1" applyBorder="1" applyAlignment="1">
      <alignment horizontal="center" vertical="center" wrapText="1"/>
    </xf>
    <xf numFmtId="9" fontId="5" fillId="6" borderId="58" xfId="9" applyFont="1" applyFill="1" applyBorder="1" applyAlignment="1">
      <alignment horizontal="center" vertical="center" wrapText="1"/>
    </xf>
    <xf numFmtId="9" fontId="5" fillId="6" borderId="59" xfId="9" applyFont="1" applyFill="1" applyBorder="1" applyAlignment="1">
      <alignment horizontal="center" vertical="center" wrapText="1"/>
    </xf>
    <xf numFmtId="9" fontId="22" fillId="6" borderId="14" xfId="9" applyFont="1" applyFill="1" applyBorder="1" applyAlignment="1">
      <alignment horizontal="center" vertical="center" wrapText="1"/>
    </xf>
    <xf numFmtId="169" fontId="5" fillId="3" borderId="14" xfId="1" applyNumberFormat="1" applyFont="1" applyFill="1" applyBorder="1"/>
    <xf numFmtId="169" fontId="5" fillId="6" borderId="72" xfId="1" applyNumberFormat="1" applyFont="1" applyFill="1" applyBorder="1" applyAlignment="1">
      <alignment horizontal="center" vertical="top" wrapText="1"/>
    </xf>
    <xf numFmtId="169" fontId="5" fillId="6" borderId="38" xfId="1" applyNumberFormat="1" applyFont="1" applyFill="1" applyBorder="1" applyAlignment="1">
      <alignment horizontal="center" vertical="top" wrapText="1"/>
    </xf>
    <xf numFmtId="0" fontId="22" fillId="40" borderId="19" xfId="4" applyFont="1" applyFill="1" applyBorder="1" applyAlignment="1">
      <alignment horizontal="center" vertical="center" wrapText="1"/>
    </xf>
    <xf numFmtId="2" fontId="22" fillId="39" borderId="38" xfId="1" applyNumberFormat="1" applyFont="1" applyFill="1" applyBorder="1" applyAlignment="1">
      <alignment horizontal="center" vertical="center"/>
    </xf>
    <xf numFmtId="9" fontId="5" fillId="6" borderId="38" xfId="9" applyFont="1" applyFill="1" applyBorder="1" applyAlignment="1">
      <alignment horizontal="center" vertical="center" wrapText="1"/>
    </xf>
    <xf numFmtId="9" fontId="22" fillId="6" borderId="38" xfId="9" applyFont="1" applyFill="1" applyBorder="1" applyAlignment="1">
      <alignment horizontal="center" vertical="center" wrapText="1"/>
    </xf>
    <xf numFmtId="9" fontId="5" fillId="6" borderId="38" xfId="2" applyFont="1" applyFill="1" applyBorder="1" applyAlignment="1">
      <alignment horizontal="center"/>
    </xf>
    <xf numFmtId="0" fontId="5" fillId="4" borderId="24" xfId="4" applyFont="1" applyFill="1" applyBorder="1" applyAlignment="1">
      <alignment vertical="top" wrapText="1"/>
    </xf>
    <xf numFmtId="169" fontId="5" fillId="6" borderId="23" xfId="1" applyNumberFormat="1" applyFont="1" applyFill="1" applyBorder="1" applyAlignment="1">
      <alignment horizontal="center" vertical="top" wrapText="1"/>
    </xf>
    <xf numFmtId="169" fontId="5" fillId="6" borderId="40" xfId="1" applyNumberFormat="1" applyFont="1" applyFill="1" applyBorder="1" applyAlignment="1">
      <alignment horizontal="center" vertical="top" wrapText="1"/>
    </xf>
    <xf numFmtId="169" fontId="5" fillId="6" borderId="24" xfId="1" applyNumberFormat="1" applyFont="1" applyFill="1" applyBorder="1" applyAlignment="1">
      <alignment horizontal="center" vertical="top" wrapText="1"/>
    </xf>
    <xf numFmtId="0" fontId="22" fillId="6" borderId="23" xfId="4" applyFont="1" applyFill="1" applyBorder="1" applyAlignment="1">
      <alignment horizontal="center" vertical="center" wrapText="1"/>
    </xf>
    <xf numFmtId="0" fontId="22" fillId="40" borderId="24" xfId="4" applyFont="1" applyFill="1" applyBorder="1" applyAlignment="1">
      <alignment horizontal="center" vertical="center" wrapText="1"/>
    </xf>
    <xf numFmtId="176" fontId="22" fillId="39" borderId="23" xfId="1" applyNumberFormat="1" applyFont="1" applyFill="1" applyBorder="1" applyAlignment="1">
      <alignment horizontal="center" vertical="center" wrapText="1"/>
    </xf>
    <xf numFmtId="2" fontId="22" fillId="39" borderId="40" xfId="1" applyNumberFormat="1" applyFont="1" applyFill="1" applyBorder="1" applyAlignment="1">
      <alignment horizontal="center" vertical="center"/>
    </xf>
    <xf numFmtId="0" fontId="22" fillId="39" borderId="24" xfId="4" applyFont="1" applyFill="1" applyBorder="1" applyAlignment="1">
      <alignment horizontal="center" vertical="center" wrapText="1"/>
    </xf>
    <xf numFmtId="9" fontId="5" fillId="6" borderId="23" xfId="9" applyFont="1" applyFill="1" applyBorder="1" applyAlignment="1">
      <alignment horizontal="center" vertical="center" wrapText="1"/>
    </xf>
    <xf numFmtId="9" fontId="5" fillId="6" borderId="40" xfId="9" applyFont="1" applyFill="1" applyBorder="1" applyAlignment="1">
      <alignment horizontal="center" vertical="center" wrapText="1"/>
    </xf>
    <xf numFmtId="9" fontId="5" fillId="6" borderId="24" xfId="9" applyFont="1" applyFill="1" applyBorder="1" applyAlignment="1">
      <alignment horizontal="center" vertical="center" wrapText="1"/>
    </xf>
    <xf numFmtId="9" fontId="22" fillId="6" borderId="20" xfId="9" applyFont="1" applyFill="1" applyBorder="1" applyAlignment="1">
      <alignment horizontal="center" vertical="center" wrapText="1"/>
    </xf>
    <xf numFmtId="169" fontId="5" fillId="3" borderId="20" xfId="1" applyNumberFormat="1" applyFont="1" applyFill="1" applyBorder="1"/>
    <xf numFmtId="169" fontId="5" fillId="6" borderId="47" xfId="1" applyNumberFormat="1" applyFont="1" applyFill="1" applyBorder="1" applyAlignment="1">
      <alignment horizontal="center" vertical="top" wrapText="1"/>
    </xf>
    <xf numFmtId="0" fontId="22" fillId="40" borderId="25" xfId="4" applyFont="1" applyFill="1" applyBorder="1" applyAlignment="1">
      <alignment horizontal="center" vertical="center" wrapText="1"/>
    </xf>
    <xf numFmtId="9" fontId="22" fillId="6" borderId="40" xfId="9" applyFont="1" applyFill="1" applyBorder="1" applyAlignment="1">
      <alignment horizontal="center" vertical="center" wrapText="1"/>
    </xf>
    <xf numFmtId="176" fontId="22" fillId="6" borderId="23" xfId="1" applyNumberFormat="1" applyFont="1" applyFill="1" applyBorder="1" applyAlignment="1">
      <alignment horizontal="center" vertical="center" wrapText="1"/>
    </xf>
    <xf numFmtId="2" fontId="22" fillId="6" borderId="40" xfId="1" applyNumberFormat="1" applyFont="1" applyFill="1" applyBorder="1" applyAlignment="1">
      <alignment horizontal="center" vertical="center"/>
    </xf>
    <xf numFmtId="169" fontId="5" fillId="6" borderId="29" xfId="1" applyNumberFormat="1" applyFont="1" applyFill="1" applyBorder="1" applyAlignment="1">
      <alignment horizontal="center" vertical="top" wrapText="1"/>
    </xf>
    <xf numFmtId="169" fontId="5" fillId="6" borderId="45" xfId="1" applyNumberFormat="1" applyFont="1" applyFill="1" applyBorder="1" applyAlignment="1">
      <alignment horizontal="center" vertical="top" wrapText="1"/>
    </xf>
    <xf numFmtId="169" fontId="5" fillId="6" borderId="30" xfId="1" applyNumberFormat="1" applyFont="1" applyFill="1" applyBorder="1" applyAlignment="1">
      <alignment horizontal="center" vertical="top" wrapText="1"/>
    </xf>
    <xf numFmtId="0" fontId="22" fillId="6" borderId="9" xfId="4" applyFont="1" applyFill="1" applyBorder="1" applyAlignment="1">
      <alignment horizontal="center" vertical="center" wrapText="1"/>
    </xf>
    <xf numFmtId="0" fontId="22" fillId="40" borderId="30" xfId="4" applyFont="1" applyFill="1" applyBorder="1" applyAlignment="1">
      <alignment horizontal="center" vertical="center" wrapText="1"/>
    </xf>
    <xf numFmtId="176" fontId="22" fillId="6" borderId="29" xfId="1" applyNumberFormat="1" applyFont="1" applyFill="1" applyBorder="1" applyAlignment="1">
      <alignment horizontal="center" vertical="center" wrapText="1"/>
    </xf>
    <xf numFmtId="2" fontId="22" fillId="6" borderId="45" xfId="1" applyNumberFormat="1" applyFont="1" applyFill="1" applyBorder="1" applyAlignment="1">
      <alignment horizontal="center" vertical="center"/>
    </xf>
    <xf numFmtId="9" fontId="5" fillId="6" borderId="29" xfId="9" applyFont="1" applyFill="1" applyBorder="1" applyAlignment="1">
      <alignment horizontal="center" vertical="center" wrapText="1"/>
    </xf>
    <xf numFmtId="9" fontId="22" fillId="6" borderId="26" xfId="9" applyFont="1" applyFill="1" applyBorder="1" applyAlignment="1">
      <alignment horizontal="center" vertical="center" wrapText="1"/>
    </xf>
    <xf numFmtId="169" fontId="5" fillId="6" borderId="48" xfId="1" applyNumberFormat="1" applyFont="1" applyFill="1" applyBorder="1" applyAlignment="1">
      <alignment horizontal="center" vertical="top" wrapText="1"/>
    </xf>
    <xf numFmtId="0" fontId="22" fillId="40" borderId="31" xfId="4" applyFont="1" applyFill="1" applyBorder="1" applyAlignment="1">
      <alignment horizontal="center" vertical="center" wrapText="1"/>
    </xf>
    <xf numFmtId="9" fontId="5" fillId="6" borderId="60" xfId="9" applyFont="1" applyFill="1" applyBorder="1" applyAlignment="1">
      <alignment horizontal="center" vertical="center" wrapText="1"/>
    </xf>
    <xf numFmtId="169" fontId="5" fillId="6" borderId="17" xfId="1" applyNumberFormat="1" applyFont="1" applyFill="1" applyBorder="1" applyAlignment="1">
      <alignment horizontal="center" vertical="top" wrapText="1"/>
    </xf>
    <xf numFmtId="169" fontId="5" fillId="6" borderId="18" xfId="1" applyNumberFormat="1" applyFont="1" applyFill="1" applyBorder="1" applyAlignment="1">
      <alignment horizontal="center" vertical="top" wrapText="1"/>
    </xf>
    <xf numFmtId="0" fontId="22" fillId="6" borderId="17" xfId="4" applyFont="1" applyFill="1" applyBorder="1" applyAlignment="1">
      <alignment horizontal="center" vertical="center" wrapText="1"/>
    </xf>
    <xf numFmtId="0" fontId="22" fillId="40" borderId="18" xfId="4" applyFont="1" applyFill="1" applyBorder="1" applyAlignment="1">
      <alignment horizontal="center" vertical="center" wrapText="1"/>
    </xf>
    <xf numFmtId="9" fontId="5" fillId="6" borderId="17" xfId="9" applyFont="1" applyFill="1" applyBorder="1" applyAlignment="1">
      <alignment horizontal="center" vertical="center" wrapText="1"/>
    </xf>
    <xf numFmtId="9" fontId="5" fillId="6" borderId="18" xfId="9" applyFont="1" applyFill="1" applyBorder="1" applyAlignment="1">
      <alignment horizontal="center" vertical="center" wrapText="1"/>
    </xf>
    <xf numFmtId="9" fontId="22" fillId="6" borderId="12" xfId="9" applyFont="1" applyFill="1" applyBorder="1" applyAlignment="1">
      <alignment horizontal="center" vertical="center" wrapText="1"/>
    </xf>
    <xf numFmtId="0" fontId="5" fillId="3" borderId="12" xfId="4" applyFont="1" applyFill="1" applyBorder="1"/>
    <xf numFmtId="169" fontId="5" fillId="6" borderId="62" xfId="1" applyNumberFormat="1" applyFont="1" applyFill="1" applyBorder="1" applyAlignment="1">
      <alignment horizontal="center" vertical="top" wrapText="1"/>
    </xf>
    <xf numFmtId="2" fontId="22" fillId="6" borderId="58" xfId="1" applyNumberFormat="1" applyFont="1" applyFill="1" applyBorder="1" applyAlignment="1">
      <alignment horizontal="center" vertical="center"/>
    </xf>
    <xf numFmtId="9" fontId="22" fillId="6" borderId="58" xfId="9" applyFont="1" applyFill="1" applyBorder="1" applyAlignment="1">
      <alignment horizontal="center" vertical="center" wrapText="1"/>
    </xf>
    <xf numFmtId="0" fontId="22" fillId="40" borderId="66" xfId="4" applyFont="1" applyFill="1" applyBorder="1" applyAlignment="1">
      <alignment horizontal="center" vertical="center" wrapText="1"/>
    </xf>
    <xf numFmtId="9" fontId="22" fillId="6" borderId="23" xfId="9" applyFont="1" applyFill="1" applyBorder="1" applyAlignment="1">
      <alignment horizontal="center" vertical="center" wrapText="1"/>
    </xf>
    <xf numFmtId="9" fontId="22" fillId="6" borderId="24" xfId="9" applyFont="1" applyFill="1" applyBorder="1" applyAlignment="1">
      <alignment horizontal="center" vertical="center" wrapText="1"/>
    </xf>
    <xf numFmtId="0" fontId="22" fillId="6" borderId="29" xfId="4" applyFont="1" applyFill="1" applyBorder="1" applyAlignment="1">
      <alignment horizontal="center" vertical="center" wrapText="1"/>
    </xf>
    <xf numFmtId="9" fontId="22" fillId="6" borderId="29" xfId="9" applyFont="1" applyFill="1" applyBorder="1" applyAlignment="1">
      <alignment horizontal="center" vertical="center" wrapText="1"/>
    </xf>
    <xf numFmtId="169" fontId="5" fillId="6" borderId="0" xfId="1" applyNumberFormat="1" applyFont="1" applyFill="1" applyAlignment="1">
      <alignment horizontal="center" vertical="top" wrapText="1"/>
    </xf>
    <xf numFmtId="0" fontId="5" fillId="6" borderId="0" xfId="4" applyFont="1" applyFill="1" applyAlignment="1">
      <alignment vertical="top"/>
    </xf>
    <xf numFmtId="0" fontId="93" fillId="19" borderId="0" xfId="4" applyFont="1" applyFill="1" applyAlignment="1">
      <alignment horizontal="left" vertical="center"/>
    </xf>
    <xf numFmtId="0" fontId="53" fillId="19" borderId="0" xfId="4" applyFont="1" applyFill="1" applyAlignment="1">
      <alignment horizontal="left"/>
    </xf>
    <xf numFmtId="169" fontId="93" fillId="19" borderId="0" xfId="1" applyNumberFormat="1" applyFont="1" applyFill="1" applyAlignment="1">
      <alignment horizontal="center" vertical="center"/>
    </xf>
    <xf numFmtId="169" fontId="91" fillId="19" borderId="0" xfId="1" applyNumberFormat="1" applyFont="1" applyFill="1" applyAlignment="1">
      <alignment horizontal="center" vertical="center"/>
    </xf>
    <xf numFmtId="169" fontId="5" fillId="3" borderId="0" xfId="1" applyNumberFormat="1" applyFont="1" applyFill="1" applyAlignment="1">
      <alignment horizontal="center" vertical="top" wrapText="1"/>
    </xf>
    <xf numFmtId="169" fontId="22" fillId="4" borderId="42" xfId="1" applyNumberFormat="1" applyFont="1" applyFill="1" applyBorder="1" applyAlignment="1">
      <alignment horizontal="center" vertical="top" wrapText="1"/>
    </xf>
    <xf numFmtId="169" fontId="22" fillId="4" borderId="43" xfId="1" applyNumberFormat="1" applyFont="1" applyFill="1" applyBorder="1" applyAlignment="1">
      <alignment horizontal="center" vertical="top" wrapText="1"/>
    </xf>
    <xf numFmtId="169" fontId="22" fillId="4" borderId="44" xfId="1" applyNumberFormat="1" applyFont="1" applyFill="1" applyBorder="1" applyAlignment="1">
      <alignment horizontal="center" vertical="top" wrapText="1"/>
    </xf>
    <xf numFmtId="0" fontId="22" fillId="4" borderId="42" xfId="4" applyFont="1" applyFill="1" applyBorder="1" applyAlignment="1">
      <alignment horizontal="center" vertical="center" wrapText="1"/>
    </xf>
    <xf numFmtId="0" fontId="22" fillId="4" borderId="44" xfId="4" applyFont="1" applyFill="1" applyBorder="1" applyAlignment="1">
      <alignment horizontal="center" vertical="center" wrapText="1"/>
    </xf>
    <xf numFmtId="2" fontId="22" fillId="4" borderId="43" xfId="5" applyNumberFormat="1" applyFont="1" applyFill="1" applyBorder="1" applyAlignment="1">
      <alignment horizontal="center" vertical="center"/>
    </xf>
    <xf numFmtId="2" fontId="22" fillId="4" borderId="67" xfId="5" applyNumberFormat="1" applyFont="1" applyFill="1" applyBorder="1" applyAlignment="1">
      <alignment vertical="center" wrapText="1"/>
    </xf>
    <xf numFmtId="9" fontId="22" fillId="4" borderId="42" xfId="2" applyFont="1" applyFill="1" applyBorder="1" applyAlignment="1">
      <alignment vertical="center" wrapText="1"/>
    </xf>
    <xf numFmtId="2" fontId="22" fillId="4" borderId="43" xfId="5" applyNumberFormat="1" applyFont="1" applyFill="1" applyBorder="1" applyAlignment="1">
      <alignment horizontal="center" vertical="center" wrapText="1"/>
    </xf>
    <xf numFmtId="2" fontId="22" fillId="4" borderId="44" xfId="5" applyNumberFormat="1" applyFont="1" applyFill="1" applyBorder="1" applyAlignment="1">
      <alignment horizontal="center" vertical="center" wrapText="1"/>
    </xf>
    <xf numFmtId="2" fontId="22" fillId="4" borderId="42" xfId="5" applyNumberFormat="1" applyFont="1" applyFill="1" applyBorder="1" applyAlignment="1">
      <alignment horizontal="center" vertical="center" wrapText="1"/>
    </xf>
    <xf numFmtId="0" fontId="22" fillId="18" borderId="29" xfId="4" applyFont="1" applyFill="1" applyBorder="1" applyAlignment="1">
      <alignment horizontal="center" vertical="top" wrapText="1"/>
    </xf>
    <xf numFmtId="0" fontId="22" fillId="18" borderId="45" xfId="4" applyFont="1" applyFill="1" applyBorder="1" applyAlignment="1">
      <alignment vertical="top" wrapText="1"/>
    </xf>
    <xf numFmtId="3" fontId="22" fillId="18" borderId="30" xfId="4" applyNumberFormat="1" applyFont="1" applyFill="1" applyBorder="1" applyAlignment="1">
      <alignment vertical="top" wrapText="1"/>
    </xf>
    <xf numFmtId="0" fontId="22" fillId="18" borderId="48" xfId="4" applyFont="1" applyFill="1" applyBorder="1" applyAlignment="1">
      <alignment horizontal="center" vertical="center" wrapText="1"/>
    </xf>
    <xf numFmtId="0" fontId="22" fillId="18" borderId="31" xfId="4" applyFont="1" applyFill="1" applyBorder="1" applyAlignment="1">
      <alignment horizontal="center" vertical="center" wrapText="1"/>
    </xf>
    <xf numFmtId="2" fontId="22" fillId="18" borderId="45" xfId="5" applyNumberFormat="1" applyFont="1" applyFill="1" applyBorder="1" applyAlignment="1">
      <alignment horizontal="center" vertical="center"/>
    </xf>
    <xf numFmtId="2" fontId="22" fillId="18" borderId="31" xfId="5" applyNumberFormat="1" applyFont="1" applyFill="1" applyBorder="1" applyAlignment="1">
      <alignment vertical="center" wrapText="1"/>
    </xf>
    <xf numFmtId="2" fontId="22" fillId="18" borderId="43" xfId="5" applyNumberFormat="1" applyFont="1" applyFill="1" applyBorder="1" applyAlignment="1">
      <alignment horizontal="center" vertical="center" wrapText="1"/>
    </xf>
    <xf numFmtId="169" fontId="5" fillId="6" borderId="61" xfId="1" applyNumberFormat="1" applyFont="1" applyFill="1" applyBorder="1" applyAlignment="1">
      <alignment horizontal="center" vertical="top" wrapText="1"/>
    </xf>
    <xf numFmtId="169" fontId="5" fillId="6" borderId="46" xfId="1" applyNumberFormat="1" applyFont="1" applyFill="1" applyBorder="1" applyAlignment="1">
      <alignment horizontal="center" vertical="top" wrapText="1"/>
    </xf>
    <xf numFmtId="0" fontId="22" fillId="6" borderId="61" xfId="4" applyFont="1" applyFill="1" applyBorder="1" applyAlignment="1">
      <alignment horizontal="center" vertical="center" wrapText="1"/>
    </xf>
    <xf numFmtId="0" fontId="22" fillId="40" borderId="46" xfId="4" applyFont="1" applyFill="1" applyBorder="1" applyAlignment="1">
      <alignment horizontal="center" vertical="center" wrapText="1"/>
    </xf>
    <xf numFmtId="0" fontId="22" fillId="39" borderId="77" xfId="4" applyFont="1" applyFill="1" applyBorder="1" applyAlignment="1">
      <alignment horizontal="center" vertical="center" wrapText="1"/>
    </xf>
    <xf numFmtId="0" fontId="22" fillId="39" borderId="76" xfId="4" applyFont="1" applyFill="1" applyBorder="1" applyAlignment="1">
      <alignment horizontal="center" vertical="center" wrapText="1"/>
    </xf>
    <xf numFmtId="9" fontId="5" fillId="6" borderId="61" xfId="9" applyFont="1" applyFill="1" applyBorder="1" applyAlignment="1">
      <alignment horizontal="center" vertical="center" wrapText="1"/>
    </xf>
    <xf numFmtId="9" fontId="5" fillId="6" borderId="69" xfId="2" applyFont="1" applyFill="1" applyBorder="1" applyAlignment="1">
      <alignment horizontal="center"/>
    </xf>
    <xf numFmtId="169" fontId="5" fillId="3" borderId="51" xfId="1" applyNumberFormat="1" applyFont="1" applyFill="1" applyBorder="1"/>
    <xf numFmtId="0" fontId="22" fillId="6" borderId="48" xfId="4" applyFont="1" applyFill="1" applyBorder="1" applyAlignment="1">
      <alignment horizontal="center" vertical="center" wrapText="1"/>
    </xf>
    <xf numFmtId="176" fontId="22" fillId="39" borderId="61" xfId="1" applyNumberFormat="1" applyFont="1" applyFill="1" applyBorder="1" applyAlignment="1">
      <alignment horizontal="center" vertical="center" wrapText="1"/>
    </xf>
    <xf numFmtId="176" fontId="22" fillId="39" borderId="76" xfId="1" applyNumberFormat="1" applyFont="1" applyFill="1" applyBorder="1" applyAlignment="1">
      <alignment horizontal="center" vertical="center" wrapText="1"/>
    </xf>
    <xf numFmtId="0" fontId="22" fillId="6" borderId="0" xfId="4" applyFont="1" applyFill="1" applyAlignment="1">
      <alignment horizontal="center" vertical="center" wrapText="1"/>
    </xf>
    <xf numFmtId="2" fontId="22" fillId="6" borderId="0" xfId="1" applyNumberFormat="1" applyFont="1" applyFill="1" applyAlignment="1">
      <alignment horizontal="center" vertical="center"/>
    </xf>
    <xf numFmtId="9" fontId="22" fillId="6" borderId="0" xfId="9" applyFont="1" applyFill="1" applyAlignment="1">
      <alignment horizontal="center" vertical="center" wrapText="1"/>
    </xf>
    <xf numFmtId="9" fontId="5" fillId="6" borderId="0" xfId="2" applyFont="1" applyFill="1"/>
    <xf numFmtId="9" fontId="22" fillId="6" borderId="0" xfId="2" applyFont="1" applyFill="1" applyAlignment="1">
      <alignment horizontal="center" vertical="center" wrapText="1"/>
    </xf>
    <xf numFmtId="169" fontId="53" fillId="19" borderId="0" xfId="1" applyNumberFormat="1" applyFont="1" applyFill="1" applyAlignment="1">
      <alignment horizontal="center"/>
    </xf>
    <xf numFmtId="0" fontId="22" fillId="4" borderId="74" xfId="4" applyFont="1" applyFill="1" applyBorder="1" applyAlignment="1">
      <alignment horizontal="center" vertical="center" wrapText="1"/>
    </xf>
    <xf numFmtId="0" fontId="22" fillId="4" borderId="67" xfId="4" applyFont="1" applyFill="1" applyBorder="1" applyAlignment="1">
      <alignment horizontal="center" vertical="center" wrapText="1"/>
    </xf>
    <xf numFmtId="2" fontId="22" fillId="4" borderId="44" xfId="5" applyNumberFormat="1" applyFont="1" applyFill="1" applyBorder="1" applyAlignment="1">
      <alignment vertical="center" wrapText="1"/>
    </xf>
    <xf numFmtId="0" fontId="22" fillId="39" borderId="61" xfId="4" applyFont="1" applyFill="1" applyBorder="1" applyAlignment="1">
      <alignment horizontal="center" vertical="center" wrapText="1"/>
    </xf>
    <xf numFmtId="0" fontId="22" fillId="39" borderId="69" xfId="4" applyFont="1" applyFill="1" applyBorder="1" applyAlignment="1">
      <alignment horizontal="center" vertical="center"/>
    </xf>
    <xf numFmtId="0" fontId="22" fillId="39" borderId="46" xfId="4" applyFont="1" applyFill="1" applyBorder="1" applyAlignment="1">
      <alignment horizontal="center" vertical="center" wrapText="1"/>
    </xf>
    <xf numFmtId="9" fontId="22" fillId="13" borderId="61" xfId="2" applyFont="1" applyFill="1" applyBorder="1"/>
    <xf numFmtId="9" fontId="22" fillId="13" borderId="69" xfId="2" applyFont="1" applyFill="1" applyBorder="1" applyAlignment="1">
      <alignment horizontal="center"/>
    </xf>
    <xf numFmtId="9" fontId="22" fillId="13" borderId="46" xfId="2" applyFont="1" applyFill="1" applyBorder="1" applyAlignment="1">
      <alignment horizontal="center" vertical="center" wrapText="1"/>
    </xf>
    <xf numFmtId="9" fontId="22" fillId="13" borderId="3" xfId="9" applyFont="1" applyFill="1" applyBorder="1" applyAlignment="1">
      <alignment horizontal="center" vertical="center" wrapText="1"/>
    </xf>
    <xf numFmtId="0" fontId="22" fillId="6" borderId="62" xfId="4" applyFont="1" applyFill="1" applyBorder="1" applyAlignment="1">
      <alignment horizontal="center" vertical="center" wrapText="1"/>
    </xf>
    <xf numFmtId="0" fontId="22" fillId="39" borderId="57" xfId="4" applyFont="1" applyFill="1" applyBorder="1" applyAlignment="1">
      <alignment horizontal="center" vertical="center" wrapText="1"/>
    </xf>
    <xf numFmtId="0" fontId="22" fillId="39" borderId="58" xfId="4" applyFont="1" applyFill="1" applyBorder="1" applyAlignment="1">
      <alignment horizontal="center" vertical="center"/>
    </xf>
    <xf numFmtId="9" fontId="22" fillId="6" borderId="15" xfId="9" applyFont="1" applyFill="1" applyBorder="1" applyAlignment="1">
      <alignment horizontal="center" vertical="center" wrapText="1"/>
    </xf>
    <xf numFmtId="0" fontId="22" fillId="6" borderId="47" xfId="4" applyFont="1" applyFill="1" applyBorder="1" applyAlignment="1">
      <alignment horizontal="center" vertical="center" wrapText="1"/>
    </xf>
    <xf numFmtId="0" fontId="22" fillId="39" borderId="23" xfId="4" applyFont="1" applyFill="1" applyBorder="1" applyAlignment="1">
      <alignment horizontal="center" vertical="center" wrapText="1"/>
    </xf>
    <xf numFmtId="0" fontId="22" fillId="39" borderId="40" xfId="4" applyFont="1" applyFill="1" applyBorder="1" applyAlignment="1">
      <alignment horizontal="center" vertical="center"/>
    </xf>
    <xf numFmtId="9" fontId="22" fillId="3" borderId="0" xfId="9" applyFont="1" applyFill="1" applyAlignment="1">
      <alignment horizontal="center" vertical="center" wrapText="1"/>
    </xf>
    <xf numFmtId="0" fontId="22" fillId="6" borderId="74" xfId="4" applyFont="1" applyFill="1" applyBorder="1" applyAlignment="1">
      <alignment horizontal="center" vertical="center" wrapText="1"/>
    </xf>
    <xf numFmtId="0" fontId="22" fillId="40" borderId="67" xfId="4" applyFont="1" applyFill="1" applyBorder="1" applyAlignment="1">
      <alignment horizontal="center" vertical="center" wrapText="1"/>
    </xf>
    <xf numFmtId="176" fontId="22" fillId="6" borderId="42" xfId="1" applyNumberFormat="1" applyFont="1" applyFill="1" applyBorder="1" applyAlignment="1">
      <alignment horizontal="center" vertical="center" wrapText="1"/>
    </xf>
    <xf numFmtId="2" fontId="22" fillId="6" borderId="43" xfId="1" applyNumberFormat="1" applyFont="1" applyFill="1" applyBorder="1" applyAlignment="1">
      <alignment horizontal="center" vertical="center"/>
    </xf>
    <xf numFmtId="0" fontId="22" fillId="40" borderId="44" xfId="4" applyFont="1" applyFill="1" applyBorder="1" applyAlignment="1">
      <alignment horizontal="center" vertical="center" wrapText="1"/>
    </xf>
    <xf numFmtId="9" fontId="5" fillId="6" borderId="42" xfId="9" applyFont="1" applyFill="1" applyBorder="1" applyAlignment="1">
      <alignment horizontal="center" vertical="center" wrapText="1"/>
    </xf>
    <xf numFmtId="9" fontId="5" fillId="6" borderId="43" xfId="9" applyFont="1" applyFill="1" applyBorder="1" applyAlignment="1">
      <alignment horizontal="center" vertical="center" wrapText="1"/>
    </xf>
    <xf numFmtId="9" fontId="5" fillId="6" borderId="44" xfId="9" applyFont="1" applyFill="1" applyBorder="1" applyAlignment="1">
      <alignment horizontal="center" vertical="center" wrapText="1"/>
    </xf>
    <xf numFmtId="9" fontId="5" fillId="6" borderId="43" xfId="2" applyFont="1" applyFill="1" applyBorder="1" applyAlignment="1">
      <alignment horizontal="center"/>
    </xf>
    <xf numFmtId="176" fontId="22" fillId="39" borderId="77" xfId="1" applyNumberFormat="1" applyFont="1" applyFill="1" applyBorder="1" applyAlignment="1">
      <alignment horizontal="center" vertical="center" wrapText="1"/>
    </xf>
    <xf numFmtId="9" fontId="5" fillId="39" borderId="61" xfId="2" applyFont="1" applyFill="1" applyBorder="1"/>
    <xf numFmtId="9" fontId="5" fillId="39" borderId="69" xfId="2" applyFont="1" applyFill="1" applyBorder="1"/>
    <xf numFmtId="9" fontId="5" fillId="39" borderId="69" xfId="2" applyFont="1" applyFill="1" applyBorder="1" applyAlignment="1">
      <alignment horizontal="center"/>
    </xf>
    <xf numFmtId="9" fontId="22" fillId="39" borderId="3" xfId="2" applyFont="1" applyFill="1" applyBorder="1" applyAlignment="1">
      <alignment horizontal="center" vertical="center" wrapText="1"/>
    </xf>
    <xf numFmtId="3" fontId="91" fillId="3" borderId="0" xfId="4" applyNumberFormat="1" applyFont="1" applyFill="1" applyAlignment="1">
      <alignment vertical="top" wrapText="1"/>
    </xf>
    <xf numFmtId="176" fontId="22" fillId="6" borderId="57" xfId="1" applyNumberFormat="1" applyFont="1" applyFill="1" applyBorder="1" applyAlignment="1">
      <alignment horizontal="center" vertical="center" wrapText="1"/>
    </xf>
    <xf numFmtId="9" fontId="22" fillId="39" borderId="3" xfId="9" applyFont="1" applyFill="1" applyBorder="1" applyAlignment="1">
      <alignment horizontal="center" vertical="center" wrapText="1"/>
    </xf>
    <xf numFmtId="0" fontId="5" fillId="4" borderId="18" xfId="4" applyFont="1" applyFill="1" applyBorder="1" applyAlignment="1">
      <alignment vertical="top" wrapText="1"/>
    </xf>
    <xf numFmtId="0" fontId="22" fillId="6" borderId="72" xfId="4" applyFont="1" applyFill="1" applyBorder="1" applyAlignment="1">
      <alignment horizontal="center" vertical="center" wrapText="1"/>
    </xf>
    <xf numFmtId="176" fontId="22" fillId="39" borderId="17" xfId="1" applyNumberFormat="1" applyFont="1" applyFill="1" applyBorder="1" applyAlignment="1">
      <alignment horizontal="center" vertical="center" wrapText="1"/>
    </xf>
    <xf numFmtId="0" fontId="22" fillId="39" borderId="18" xfId="4" applyFont="1" applyFill="1" applyBorder="1" applyAlignment="1">
      <alignment horizontal="center" vertical="center" wrapText="1"/>
    </xf>
    <xf numFmtId="9" fontId="22" fillId="6" borderId="13" xfId="9" applyFont="1" applyFill="1" applyBorder="1" applyAlignment="1">
      <alignment horizontal="center" vertical="center" wrapText="1"/>
    </xf>
    <xf numFmtId="169" fontId="22" fillId="6" borderId="0" xfId="1" applyNumberFormat="1" applyFont="1" applyFill="1" applyAlignment="1">
      <alignment horizontal="center" vertical="center" wrapText="1"/>
    </xf>
    <xf numFmtId="9" fontId="22" fillId="6" borderId="0" xfId="9" applyFont="1" applyFill="1" applyAlignment="1">
      <alignment horizontal="center" vertical="center"/>
    </xf>
    <xf numFmtId="2" fontId="22" fillId="3" borderId="0" xfId="5" applyNumberFormat="1" applyFont="1" applyFill="1" applyAlignment="1">
      <alignment horizontal="center" vertical="center" wrapText="1"/>
    </xf>
    <xf numFmtId="0" fontId="5" fillId="4" borderId="34" xfId="4" applyFont="1" applyFill="1" applyBorder="1"/>
    <xf numFmtId="2" fontId="22" fillId="4" borderId="31" xfId="5" applyNumberFormat="1" applyFont="1" applyFill="1" applyBorder="1" applyAlignment="1">
      <alignment vertical="center" wrapText="1"/>
    </xf>
    <xf numFmtId="0" fontId="5" fillId="4" borderId="18" xfId="4" applyFont="1" applyFill="1" applyBorder="1"/>
    <xf numFmtId="176" fontId="22" fillId="39" borderId="72" xfId="1" applyNumberFormat="1" applyFont="1" applyFill="1" applyBorder="1" applyAlignment="1">
      <alignment horizontal="center" vertical="center" wrapText="1"/>
    </xf>
    <xf numFmtId="0" fontId="22" fillId="39" borderId="19" xfId="4" applyFont="1" applyFill="1" applyBorder="1" applyAlignment="1">
      <alignment horizontal="center" vertical="center" wrapText="1"/>
    </xf>
    <xf numFmtId="9" fontId="22" fillId="6" borderId="17" xfId="9" applyFont="1" applyFill="1" applyBorder="1" applyAlignment="1">
      <alignment horizontal="center" vertical="center" wrapText="1"/>
    </xf>
    <xf numFmtId="9" fontId="22" fillId="6" borderId="18" xfId="9" applyFont="1" applyFill="1" applyBorder="1" applyAlignment="1">
      <alignment horizontal="center" vertical="center" wrapText="1"/>
    </xf>
    <xf numFmtId="0" fontId="5" fillId="4" borderId="24" xfId="4" applyFont="1" applyFill="1" applyBorder="1"/>
    <xf numFmtId="176" fontId="22" fillId="39" borderId="47" xfId="1" applyNumberFormat="1" applyFont="1" applyFill="1" applyBorder="1" applyAlignment="1">
      <alignment horizontal="center" vertical="center" wrapText="1"/>
    </xf>
    <xf numFmtId="0" fontId="22" fillId="39" borderId="25" xfId="4" applyFont="1" applyFill="1" applyBorder="1" applyAlignment="1">
      <alignment horizontal="center" vertical="center" wrapText="1"/>
    </xf>
    <xf numFmtId="0" fontId="5" fillId="4" borderId="30" xfId="4" applyFont="1" applyFill="1" applyBorder="1"/>
    <xf numFmtId="176" fontId="22" fillId="39" borderId="48" xfId="1" applyNumberFormat="1" applyFont="1" applyFill="1" applyBorder="1" applyAlignment="1">
      <alignment horizontal="center" vertical="center" wrapText="1"/>
    </xf>
    <xf numFmtId="2" fontId="22" fillId="39" borderId="45" xfId="1" applyNumberFormat="1" applyFont="1" applyFill="1" applyBorder="1" applyAlignment="1">
      <alignment horizontal="center" vertical="center"/>
    </xf>
    <xf numFmtId="0" fontId="22" fillId="39" borderId="31" xfId="4" applyFont="1" applyFill="1" applyBorder="1" applyAlignment="1">
      <alignment horizontal="center" vertical="center" wrapText="1"/>
    </xf>
    <xf numFmtId="9" fontId="22" fillId="6" borderId="7" xfId="9" applyFont="1" applyFill="1" applyBorder="1" applyAlignment="1">
      <alignment horizontal="center" vertical="center" wrapText="1"/>
    </xf>
    <xf numFmtId="2" fontId="35" fillId="3" borderId="0" xfId="5" applyNumberFormat="1" applyFont="1" applyFill="1" applyAlignment="1">
      <alignment horizontal="center" vertical="top"/>
    </xf>
    <xf numFmtId="2" fontId="22" fillId="3" borderId="0" xfId="5" applyNumberFormat="1" applyFont="1" applyFill="1" applyAlignment="1">
      <alignment vertical="center" wrapText="1"/>
    </xf>
    <xf numFmtId="3" fontId="22" fillId="3" borderId="0" xfId="5" applyNumberFormat="1" applyFont="1" applyFill="1" applyAlignment="1">
      <alignment horizontal="center" vertical="center" wrapText="1"/>
    </xf>
    <xf numFmtId="0" fontId="5" fillId="3" borderId="0" xfId="4" applyFont="1" applyFill="1" applyAlignment="1">
      <alignment vertical="center" wrapText="1"/>
    </xf>
    <xf numFmtId="169" fontId="5" fillId="3" borderId="0" xfId="1" applyNumberFormat="1" applyFont="1" applyFill="1" applyAlignment="1">
      <alignment horizontal="center" vertical="center" wrapText="1"/>
    </xf>
    <xf numFmtId="9" fontId="5" fillId="3" borderId="0" xfId="9" applyFont="1" applyFill="1" applyAlignment="1">
      <alignment horizontal="center" vertical="center" wrapText="1"/>
    </xf>
    <xf numFmtId="9" fontId="5" fillId="3" borderId="0" xfId="9" applyFont="1" applyFill="1" applyAlignment="1">
      <alignment vertical="center" wrapText="1"/>
    </xf>
    <xf numFmtId="0" fontId="91" fillId="19" borderId="0" xfId="4" applyFont="1" applyFill="1" applyAlignment="1">
      <alignment horizontal="left" vertical="center"/>
    </xf>
    <xf numFmtId="169" fontId="92" fillId="19" borderId="0" xfId="1" applyNumberFormat="1" applyFont="1" applyFill="1" applyAlignment="1">
      <alignment horizontal="center" vertical="center"/>
    </xf>
    <xf numFmtId="169" fontId="22" fillId="4" borderId="48" xfId="1" applyNumberFormat="1" applyFont="1" applyFill="1" applyBorder="1" applyAlignment="1">
      <alignment horizontal="center" vertical="top" wrapText="1"/>
    </xf>
    <xf numFmtId="169" fontId="22" fillId="4" borderId="31" xfId="1" applyNumberFormat="1" applyFont="1" applyFill="1" applyBorder="1" applyAlignment="1">
      <alignment horizontal="center" vertical="top" wrapText="1"/>
    </xf>
    <xf numFmtId="2" fontId="22" fillId="18" borderId="30" xfId="5" applyNumberFormat="1" applyFont="1" applyFill="1" applyBorder="1" applyAlignment="1">
      <alignment vertical="center" wrapText="1"/>
    </xf>
    <xf numFmtId="9" fontId="22" fillId="18" borderId="48" xfId="2" applyFont="1" applyFill="1" applyBorder="1" applyAlignment="1">
      <alignment vertical="center" wrapText="1"/>
    </xf>
    <xf numFmtId="0" fontId="22" fillId="40" borderId="10" xfId="4" applyFont="1" applyFill="1" applyBorder="1" applyAlignment="1">
      <alignment horizontal="center" vertical="center" wrapText="1"/>
    </xf>
    <xf numFmtId="0" fontId="5" fillId="39" borderId="11" xfId="4" applyFont="1" applyFill="1" applyBorder="1" applyAlignment="1">
      <alignment vertical="top" wrapText="1"/>
    </xf>
    <xf numFmtId="9" fontId="5" fillId="6" borderId="9" xfId="9" applyFont="1" applyFill="1" applyBorder="1" applyAlignment="1">
      <alignment horizontal="center" vertical="center" wrapText="1"/>
    </xf>
    <xf numFmtId="9" fontId="5" fillId="6" borderId="10" xfId="9" applyFont="1" applyFill="1" applyBorder="1" applyAlignment="1">
      <alignment horizontal="center" vertical="center" wrapText="1"/>
    </xf>
    <xf numFmtId="9" fontId="22" fillId="6" borderId="37" xfId="9" applyFont="1" applyFill="1" applyBorder="1" applyAlignment="1">
      <alignment horizontal="center" vertical="center" wrapText="1"/>
    </xf>
    <xf numFmtId="0" fontId="5" fillId="3" borderId="7" xfId="4" applyFont="1" applyFill="1" applyBorder="1"/>
    <xf numFmtId="2" fontId="22" fillId="41" borderId="57" xfId="5" applyNumberFormat="1" applyFont="1" applyFill="1" applyBorder="1" applyAlignment="1">
      <alignment horizontal="center" vertical="center" wrapText="1"/>
    </xf>
    <xf numFmtId="2" fontId="22" fillId="41" borderId="58" xfId="5" applyNumberFormat="1" applyFont="1" applyFill="1" applyBorder="1" applyAlignment="1">
      <alignment horizontal="center" vertical="center" wrapText="1"/>
    </xf>
    <xf numFmtId="2" fontId="22" fillId="41" borderId="59" xfId="5" applyNumberFormat="1" applyFont="1" applyFill="1" applyBorder="1" applyAlignment="1">
      <alignment horizontal="center" vertical="center" wrapText="1"/>
    </xf>
    <xf numFmtId="9" fontId="5" fillId="6" borderId="62" xfId="9" applyFont="1" applyFill="1" applyBorder="1" applyAlignment="1">
      <alignment horizontal="center" vertical="center" wrapText="1"/>
    </xf>
    <xf numFmtId="9" fontId="5" fillId="6" borderId="66" xfId="9" applyFont="1" applyFill="1" applyBorder="1" applyAlignment="1">
      <alignment horizontal="center" vertical="center" wrapText="1"/>
    </xf>
    <xf numFmtId="0" fontId="5" fillId="20" borderId="12" xfId="4" applyFont="1" applyFill="1" applyBorder="1" applyAlignment="1">
      <alignment vertical="top" wrapText="1"/>
    </xf>
    <xf numFmtId="167" fontId="5" fillId="41" borderId="23" xfId="1" applyFont="1" applyFill="1" applyBorder="1" applyAlignment="1">
      <alignment vertical="center" wrapText="1"/>
    </xf>
    <xf numFmtId="2" fontId="5" fillId="41" borderId="40" xfId="5" applyNumberFormat="1" applyFont="1" applyFill="1" applyBorder="1" applyAlignment="1">
      <alignment horizontal="center"/>
    </xf>
    <xf numFmtId="0" fontId="5" fillId="41" borderId="24" xfId="4" applyFont="1" applyFill="1" applyBorder="1"/>
    <xf numFmtId="9" fontId="5" fillId="6" borderId="47" xfId="9" applyFont="1" applyFill="1" applyBorder="1" applyAlignment="1">
      <alignment horizontal="center" vertical="center" wrapText="1"/>
    </xf>
    <xf numFmtId="9" fontId="5" fillId="6" borderId="25" xfId="9" applyFont="1" applyFill="1" applyBorder="1" applyAlignment="1">
      <alignment horizontal="center" vertical="center" wrapText="1"/>
    </xf>
    <xf numFmtId="9" fontId="22" fillId="6" borderId="21" xfId="9" applyFont="1" applyFill="1" applyBorder="1" applyAlignment="1">
      <alignment horizontal="center" vertical="center" wrapText="1"/>
    </xf>
    <xf numFmtId="0" fontId="5" fillId="20" borderId="26" xfId="4" applyFont="1" applyFill="1" applyBorder="1" applyAlignment="1">
      <alignment vertical="top" wrapText="1"/>
    </xf>
    <xf numFmtId="167" fontId="5" fillId="0" borderId="28" xfId="1" applyFont="1" applyBorder="1" applyAlignment="1">
      <alignment vertical="center" wrapText="1"/>
    </xf>
    <xf numFmtId="167" fontId="5" fillId="0" borderId="29" xfId="1" applyFont="1" applyBorder="1" applyAlignment="1">
      <alignment vertical="center" wrapText="1"/>
    </xf>
    <xf numFmtId="167" fontId="5" fillId="0" borderId="45" xfId="1" applyFont="1" applyBorder="1" applyAlignment="1">
      <alignment vertical="center" wrapText="1"/>
    </xf>
    <xf numFmtId="167" fontId="5" fillId="0" borderId="30" xfId="1" applyFont="1" applyBorder="1" applyAlignment="1">
      <alignment vertical="center" wrapText="1"/>
    </xf>
    <xf numFmtId="9" fontId="5" fillId="6" borderId="48" xfId="9" applyFont="1" applyFill="1" applyBorder="1" applyAlignment="1">
      <alignment horizontal="center" vertical="center" wrapText="1"/>
    </xf>
    <xf numFmtId="9" fontId="5" fillId="6" borderId="31" xfId="9" applyFont="1" applyFill="1" applyBorder="1" applyAlignment="1">
      <alignment horizontal="center" vertical="center" wrapText="1"/>
    </xf>
    <xf numFmtId="9" fontId="22" fillId="6" borderId="27" xfId="9" applyFont="1" applyFill="1" applyBorder="1" applyAlignment="1">
      <alignment horizontal="center" vertical="center" wrapText="1"/>
    </xf>
    <xf numFmtId="169" fontId="22" fillId="18" borderId="48" xfId="1" applyNumberFormat="1" applyFont="1" applyFill="1" applyBorder="1" applyAlignment="1">
      <alignment horizontal="center" vertical="top" wrapText="1"/>
    </xf>
    <xf numFmtId="169" fontId="22" fillId="18" borderId="45" xfId="1" applyNumberFormat="1" applyFont="1" applyFill="1" applyBorder="1" applyAlignment="1">
      <alignment horizontal="center" vertical="top" wrapText="1"/>
    </xf>
    <xf numFmtId="169" fontId="22" fillId="18" borderId="31" xfId="1" applyNumberFormat="1" applyFont="1" applyFill="1" applyBorder="1" applyAlignment="1">
      <alignment horizontal="center" vertical="top" wrapText="1"/>
    </xf>
    <xf numFmtId="0" fontId="22" fillId="18" borderId="29" xfId="4" applyFont="1" applyFill="1" applyBorder="1" applyAlignment="1">
      <alignment horizontal="center" vertical="center" wrapText="1"/>
    </xf>
    <xf numFmtId="0" fontId="22" fillId="18" borderId="30" xfId="4" applyFont="1" applyFill="1" applyBorder="1" applyAlignment="1">
      <alignment horizontal="center" vertical="center" wrapText="1"/>
    </xf>
    <xf numFmtId="0" fontId="5" fillId="4" borderId="17" xfId="4" applyFont="1" applyFill="1" applyBorder="1"/>
    <xf numFmtId="169" fontId="5" fillId="6" borderId="19" xfId="1" applyNumberFormat="1" applyFont="1" applyFill="1" applyBorder="1" applyAlignment="1">
      <alignment horizontal="center" vertical="top" wrapText="1"/>
    </xf>
    <xf numFmtId="9" fontId="22" fillId="39" borderId="72" xfId="9" applyFont="1" applyFill="1" applyBorder="1" applyAlignment="1">
      <alignment horizontal="center" vertical="center" wrapText="1"/>
    </xf>
    <xf numFmtId="9" fontId="22" fillId="39" borderId="38" xfId="9" applyFont="1" applyFill="1" applyBorder="1" applyAlignment="1">
      <alignment horizontal="center" vertical="center"/>
    </xf>
    <xf numFmtId="0" fontId="5" fillId="39" borderId="19" xfId="4" applyFont="1" applyFill="1" applyBorder="1" applyAlignment="1">
      <alignment horizontal="left" vertical="top"/>
    </xf>
    <xf numFmtId="0" fontId="5" fillId="3" borderId="52" xfId="4" applyFont="1" applyFill="1" applyBorder="1"/>
    <xf numFmtId="0" fontId="5" fillId="4" borderId="23" xfId="4" applyFont="1" applyFill="1" applyBorder="1"/>
    <xf numFmtId="169" fontId="5" fillId="6" borderId="25" xfId="1" applyNumberFormat="1" applyFont="1" applyFill="1" applyBorder="1" applyAlignment="1">
      <alignment horizontal="center" vertical="top" wrapText="1"/>
    </xf>
    <xf numFmtId="9" fontId="22" fillId="39" borderId="47" xfId="9" applyFont="1" applyFill="1" applyBorder="1" applyAlignment="1">
      <alignment horizontal="center" vertical="center" wrapText="1"/>
    </xf>
    <xf numFmtId="9" fontId="22" fillId="39" borderId="40" xfId="9" applyFont="1" applyFill="1" applyBorder="1" applyAlignment="1">
      <alignment horizontal="center" vertical="center"/>
    </xf>
    <xf numFmtId="0" fontId="5" fillId="39" borderId="25" xfId="4" applyFont="1" applyFill="1" applyBorder="1" applyAlignment="1">
      <alignment horizontal="left" vertical="top"/>
    </xf>
    <xf numFmtId="0" fontId="5" fillId="3" borderId="50" xfId="4" applyFont="1" applyFill="1" applyBorder="1"/>
    <xf numFmtId="169" fontId="5" fillId="6" borderId="66" xfId="1" applyNumberFormat="1" applyFont="1" applyFill="1" applyBorder="1" applyAlignment="1">
      <alignment horizontal="center" vertical="top" wrapText="1"/>
    </xf>
    <xf numFmtId="0" fontId="22" fillId="6" borderId="57" xfId="4" applyFont="1" applyFill="1" applyBorder="1" applyAlignment="1">
      <alignment horizontal="center" vertical="center" wrapText="1"/>
    </xf>
    <xf numFmtId="9" fontId="22" fillId="6" borderId="59" xfId="9" applyFont="1" applyFill="1" applyBorder="1" applyAlignment="1">
      <alignment horizontal="center" vertical="center" wrapText="1"/>
    </xf>
    <xf numFmtId="0" fontId="22" fillId="39" borderId="25" xfId="4" applyFont="1" applyFill="1" applyBorder="1" applyAlignment="1">
      <alignment horizontal="left" vertical="top"/>
    </xf>
    <xf numFmtId="9" fontId="22" fillId="39" borderId="25" xfId="9" applyFont="1" applyFill="1" applyBorder="1" applyAlignment="1">
      <alignment horizontal="center" vertical="center" wrapText="1"/>
    </xf>
    <xf numFmtId="9" fontId="22" fillId="39" borderId="20" xfId="9" applyFont="1" applyFill="1" applyBorder="1" applyAlignment="1">
      <alignment horizontal="center" vertical="center" wrapText="1"/>
    </xf>
    <xf numFmtId="9" fontId="22" fillId="39" borderId="50" xfId="9" applyFont="1" applyFill="1" applyBorder="1" applyAlignment="1">
      <alignment horizontal="center" vertical="center" wrapText="1"/>
    </xf>
    <xf numFmtId="9" fontId="22" fillId="39" borderId="23" xfId="9" applyFont="1" applyFill="1" applyBorder="1" applyAlignment="1">
      <alignment horizontal="center" vertical="center" wrapText="1"/>
    </xf>
    <xf numFmtId="9" fontId="22" fillId="39" borderId="24" xfId="9" applyFont="1" applyFill="1" applyBorder="1" applyAlignment="1">
      <alignment horizontal="center" vertical="center" wrapText="1"/>
    </xf>
    <xf numFmtId="9" fontId="22" fillId="39" borderId="40" xfId="9" applyFont="1" applyFill="1" applyBorder="1" applyAlignment="1">
      <alignment horizontal="center" vertical="center" wrapText="1"/>
    </xf>
    <xf numFmtId="9" fontId="5" fillId="41" borderId="40" xfId="2" applyFont="1" applyFill="1" applyBorder="1" applyAlignment="1">
      <alignment horizontal="center"/>
    </xf>
    <xf numFmtId="9" fontId="22" fillId="41" borderId="25" xfId="9" applyFont="1" applyFill="1" applyBorder="1" applyAlignment="1">
      <alignment horizontal="center" vertical="center" wrapText="1"/>
    </xf>
    <xf numFmtId="9" fontId="22" fillId="41" borderId="12" xfId="9" applyFont="1" applyFill="1" applyBorder="1" applyAlignment="1">
      <alignment horizontal="center" vertical="center" wrapText="1"/>
    </xf>
    <xf numFmtId="0" fontId="5" fillId="4" borderId="29" xfId="4" applyFont="1" applyFill="1" applyBorder="1"/>
    <xf numFmtId="169" fontId="5" fillId="6" borderId="31" xfId="1" applyNumberFormat="1" applyFont="1" applyFill="1" applyBorder="1" applyAlignment="1">
      <alignment horizontal="center" vertical="top" wrapText="1"/>
    </xf>
    <xf numFmtId="9" fontId="22" fillId="39" borderId="29" xfId="9" applyFont="1" applyFill="1" applyBorder="1" applyAlignment="1">
      <alignment horizontal="center" vertical="center" wrapText="1"/>
    </xf>
    <xf numFmtId="9" fontId="22" fillId="39" borderId="30" xfId="9" applyFont="1" applyFill="1" applyBorder="1" applyAlignment="1">
      <alignment horizontal="center" vertical="center" wrapText="1"/>
    </xf>
    <xf numFmtId="9" fontId="22" fillId="39" borderId="48" xfId="9" applyFont="1" applyFill="1" applyBorder="1" applyAlignment="1">
      <alignment horizontal="center" vertical="center" wrapText="1"/>
    </xf>
    <xf numFmtId="9" fontId="22" fillId="39" borderId="45" xfId="9" applyFont="1" applyFill="1" applyBorder="1" applyAlignment="1">
      <alignment horizontal="center" vertical="center"/>
    </xf>
    <xf numFmtId="0" fontId="5" fillId="39" borderId="31" xfId="4" applyFont="1" applyFill="1" applyBorder="1" applyAlignment="1">
      <alignment vertical="top"/>
    </xf>
    <xf numFmtId="9" fontId="22" fillId="39" borderId="31" xfId="9" applyFont="1" applyFill="1" applyBorder="1" applyAlignment="1">
      <alignment horizontal="center" vertical="center" wrapText="1"/>
    </xf>
    <xf numFmtId="9" fontId="22" fillId="39" borderId="26" xfId="9" applyFont="1" applyFill="1" applyBorder="1" applyAlignment="1">
      <alignment horizontal="center" vertical="center" wrapText="1"/>
    </xf>
    <xf numFmtId="9" fontId="22" fillId="39" borderId="51" xfId="9" applyFont="1" applyFill="1" applyBorder="1" applyAlignment="1">
      <alignment horizontal="center" vertical="center" wrapText="1"/>
    </xf>
    <xf numFmtId="169" fontId="5" fillId="6" borderId="78" xfId="1" applyNumberFormat="1" applyFont="1" applyFill="1" applyBorder="1" applyAlignment="1">
      <alignment horizontal="center" vertical="top" wrapText="1"/>
    </xf>
    <xf numFmtId="169" fontId="5" fillId="6" borderId="60" xfId="1" applyNumberFormat="1" applyFont="1" applyFill="1" applyBorder="1" applyAlignment="1">
      <alignment horizontal="center" vertical="top" wrapText="1"/>
    </xf>
    <xf numFmtId="169" fontId="5" fillId="6" borderId="11" xfId="1" applyNumberFormat="1" applyFont="1" applyFill="1" applyBorder="1" applyAlignment="1">
      <alignment horizontal="center" vertical="top" wrapText="1"/>
    </xf>
    <xf numFmtId="0" fontId="5" fillId="39" borderId="31" xfId="4" applyFont="1" applyFill="1" applyBorder="1" applyAlignment="1">
      <alignment horizontal="left" vertical="top"/>
    </xf>
    <xf numFmtId="9" fontId="22" fillId="6" borderId="60" xfId="9" applyFont="1" applyFill="1" applyBorder="1" applyAlignment="1">
      <alignment horizontal="center" vertical="center" wrapText="1"/>
    </xf>
    <xf numFmtId="9" fontId="22" fillId="6" borderId="10" xfId="9" applyFont="1" applyFill="1" applyBorder="1" applyAlignment="1">
      <alignment horizontal="center" vertical="center" wrapText="1"/>
    </xf>
    <xf numFmtId="9" fontId="5" fillId="41" borderId="45" xfId="2" applyFont="1" applyFill="1" applyBorder="1" applyAlignment="1">
      <alignment horizontal="center"/>
    </xf>
    <xf numFmtId="9" fontId="22" fillId="41" borderId="7" xfId="9" applyFont="1" applyFill="1" applyBorder="1" applyAlignment="1">
      <alignment horizontal="center" vertical="center" wrapText="1"/>
    </xf>
    <xf numFmtId="0" fontId="5" fillId="19" borderId="0" xfId="4" applyFont="1" applyFill="1" applyAlignment="1">
      <alignment vertical="center" wrapText="1"/>
    </xf>
    <xf numFmtId="9" fontId="5" fillId="19" borderId="0" xfId="2" applyFont="1" applyFill="1" applyAlignment="1">
      <alignment horizontal="center"/>
    </xf>
    <xf numFmtId="9" fontId="5" fillId="19" borderId="0" xfId="2" applyFont="1" applyFill="1" applyAlignment="1">
      <alignment horizontal="right"/>
    </xf>
    <xf numFmtId="2" fontId="5" fillId="19" borderId="0" xfId="5" applyNumberFormat="1" applyFont="1" applyFill="1" applyAlignment="1">
      <alignment horizontal="center"/>
    </xf>
    <xf numFmtId="0" fontId="5" fillId="0" borderId="0" xfId="4" applyFont="1" applyAlignment="1">
      <alignment horizontal="center"/>
    </xf>
    <xf numFmtId="169" fontId="22" fillId="4" borderId="4" xfId="1" applyNumberFormat="1" applyFont="1" applyFill="1" applyBorder="1" applyAlignment="1">
      <alignment horizontal="center" vertical="center" wrapText="1"/>
    </xf>
    <xf numFmtId="0" fontId="5" fillId="4" borderId="61" xfId="4" applyFont="1" applyFill="1" applyBorder="1" applyAlignment="1">
      <alignment horizontal="left"/>
    </xf>
    <xf numFmtId="0" fontId="5" fillId="4" borderId="46" xfId="4" applyFont="1" applyFill="1" applyBorder="1" applyAlignment="1">
      <alignment horizontal="left"/>
    </xf>
    <xf numFmtId="9" fontId="22" fillId="39" borderId="61" xfId="9" applyFont="1" applyFill="1" applyBorder="1" applyAlignment="1">
      <alignment horizontal="center" vertical="center" wrapText="1"/>
    </xf>
    <xf numFmtId="9" fontId="22" fillId="39" borderId="69" xfId="9" applyFont="1" applyFill="1" applyBorder="1" applyAlignment="1">
      <alignment horizontal="center" vertical="center"/>
    </xf>
    <xf numFmtId="0" fontId="5" fillId="39" borderId="46" xfId="4" applyFont="1" applyFill="1" applyBorder="1" applyAlignment="1">
      <alignment vertical="top"/>
    </xf>
    <xf numFmtId="9" fontId="22" fillId="6" borderId="8" xfId="9" applyFont="1" applyFill="1" applyBorder="1" applyAlignment="1">
      <alignment horizontal="center" vertical="center" wrapText="1"/>
    </xf>
    <xf numFmtId="2" fontId="35" fillId="6" borderId="0" xfId="5" applyNumberFormat="1" applyFont="1" applyFill="1" applyAlignment="1">
      <alignment horizontal="center" vertical="top" wrapText="1"/>
    </xf>
    <xf numFmtId="2" fontId="35" fillId="6" borderId="0" xfId="5" applyNumberFormat="1" applyFont="1" applyFill="1" applyAlignment="1">
      <alignment horizontal="center" vertical="top"/>
    </xf>
    <xf numFmtId="2" fontId="5" fillId="0" borderId="0" xfId="5" applyNumberFormat="1" applyFont="1" applyAlignment="1">
      <alignment horizontal="center"/>
    </xf>
    <xf numFmtId="0" fontId="5" fillId="4" borderId="33" xfId="4" applyFont="1" applyFill="1" applyBorder="1"/>
    <xf numFmtId="0" fontId="5" fillId="4" borderId="37" xfId="4" applyFont="1" applyFill="1" applyBorder="1"/>
    <xf numFmtId="0" fontId="22" fillId="4" borderId="31" xfId="4" applyFont="1" applyFill="1" applyBorder="1" applyAlignment="1">
      <alignment horizontal="center" vertical="center" wrapText="1"/>
    </xf>
    <xf numFmtId="0" fontId="5" fillId="4" borderId="57" xfId="4" applyFont="1" applyFill="1" applyBorder="1" applyAlignment="1">
      <alignment horizontal="left"/>
    </xf>
    <xf numFmtId="0" fontId="5" fillId="4" borderId="66" xfId="4" applyFont="1" applyFill="1" applyBorder="1" applyAlignment="1">
      <alignment horizontal="left"/>
    </xf>
    <xf numFmtId="0" fontId="5" fillId="39" borderId="66" xfId="4" applyFont="1" applyFill="1" applyBorder="1" applyAlignment="1">
      <alignment vertical="top"/>
    </xf>
    <xf numFmtId="9" fontId="22" fillId="6" borderId="57" xfId="9" applyFont="1" applyFill="1" applyBorder="1" applyAlignment="1">
      <alignment horizontal="center" vertical="center" wrapText="1"/>
    </xf>
    <xf numFmtId="0" fontId="5" fillId="4" borderId="29" xfId="4" applyFont="1" applyFill="1" applyBorder="1" applyAlignment="1">
      <alignment horizontal="left"/>
    </xf>
    <xf numFmtId="0" fontId="5" fillId="4" borderId="31" xfId="4" applyFont="1" applyFill="1" applyBorder="1" applyAlignment="1">
      <alignment horizontal="left"/>
    </xf>
    <xf numFmtId="169" fontId="5" fillId="6" borderId="28" xfId="1" applyNumberFormat="1" applyFont="1" applyFill="1" applyBorder="1" applyAlignment="1">
      <alignment horizontal="center" vertical="center" wrapText="1"/>
    </xf>
    <xf numFmtId="169" fontId="5" fillId="6" borderId="29" xfId="1" applyNumberFormat="1" applyFont="1" applyFill="1" applyBorder="1" applyAlignment="1">
      <alignment horizontal="center" vertical="center" wrapText="1"/>
    </xf>
    <xf numFmtId="169" fontId="5" fillId="6" borderId="45" xfId="1" applyNumberFormat="1" applyFont="1" applyFill="1" applyBorder="1" applyAlignment="1">
      <alignment horizontal="center" vertical="center" wrapText="1"/>
    </xf>
    <xf numFmtId="169" fontId="5" fillId="6" borderId="31" xfId="1" applyNumberFormat="1" applyFont="1" applyFill="1" applyBorder="1" applyAlignment="1">
      <alignment horizontal="center" vertical="center" wrapText="1"/>
    </xf>
    <xf numFmtId="174" fontId="38" fillId="4" borderId="20" xfId="4" applyNumberFormat="1" applyFont="1" applyFill="1" applyBorder="1" applyAlignment="1" applyProtection="1">
      <alignment horizontal="center" vertical="top" wrapText="1"/>
      <protection locked="0"/>
    </xf>
    <xf numFmtId="0" fontId="5" fillId="4" borderId="40" xfId="7" applyFont="1" applyFill="1" applyBorder="1" applyProtection="1">
      <protection locked="0"/>
    </xf>
    <xf numFmtId="3" fontId="5" fillId="4" borderId="40" xfId="7" applyNumberFormat="1" applyFont="1" applyFill="1" applyBorder="1" applyProtection="1">
      <protection locked="0"/>
    </xf>
    <xf numFmtId="0" fontId="5" fillId="4" borderId="40" xfId="7" applyFont="1" applyFill="1" applyBorder="1" applyAlignment="1" applyProtection="1">
      <alignment horizontal="center"/>
      <protection locked="0"/>
    </xf>
    <xf numFmtId="2" fontId="29" fillId="4" borderId="8" xfId="5" applyNumberFormat="1" applyFont="1" applyFill="1" applyBorder="1" applyAlignment="1" applyProtection="1">
      <alignment horizontal="center" vertical="top" wrapText="1"/>
      <protection locked="0"/>
    </xf>
    <xf numFmtId="168" fontId="38" fillId="4" borderId="20" xfId="4" applyNumberFormat="1" applyFont="1" applyFill="1" applyBorder="1" applyAlignment="1" applyProtection="1">
      <alignment horizontal="center" vertical="top" wrapText="1"/>
      <protection locked="0"/>
    </xf>
    <xf numFmtId="3" fontId="5" fillId="4" borderId="14" xfId="4" applyNumberFormat="1" applyFont="1" applyFill="1" applyBorder="1" applyAlignment="1" applyProtection="1">
      <alignment horizontal="center" vertical="top" wrapText="1"/>
      <protection locked="0"/>
    </xf>
    <xf numFmtId="3" fontId="5" fillId="4" borderId="20" xfId="4" applyNumberFormat="1" applyFont="1" applyFill="1" applyBorder="1" applyAlignment="1" applyProtection="1">
      <alignment horizontal="center" vertical="top" wrapText="1"/>
      <protection locked="0"/>
    </xf>
    <xf numFmtId="3" fontId="5" fillId="4" borderId="22" xfId="4" applyNumberFormat="1" applyFont="1" applyFill="1" applyBorder="1" applyAlignment="1" applyProtection="1">
      <alignment horizontal="center" vertical="top" wrapText="1"/>
      <protection locked="0"/>
    </xf>
    <xf numFmtId="3" fontId="38" fillId="4" borderId="20" xfId="4" applyNumberFormat="1" applyFont="1" applyFill="1" applyBorder="1" applyAlignment="1" applyProtection="1">
      <alignment horizontal="center" vertical="top" wrapText="1"/>
      <protection locked="0"/>
    </xf>
    <xf numFmtId="3" fontId="38" fillId="4" borderId="14" xfId="4" applyNumberFormat="1" applyFont="1" applyFill="1" applyBorder="1" applyAlignment="1" applyProtection="1">
      <alignment horizontal="center" vertical="top" wrapText="1"/>
      <protection locked="0"/>
    </xf>
    <xf numFmtId="3" fontId="5" fillId="4" borderId="7" xfId="4" applyNumberFormat="1" applyFont="1" applyFill="1" applyBorder="1" applyAlignment="1" applyProtection="1">
      <alignment horizontal="center" vertical="top" wrapText="1"/>
      <protection locked="0"/>
    </xf>
    <xf numFmtId="3" fontId="5" fillId="18" borderId="7" xfId="4" applyNumberFormat="1" applyFont="1" applyFill="1" applyBorder="1" applyAlignment="1" applyProtection="1">
      <alignment horizontal="center" vertical="top" wrapText="1"/>
      <protection locked="0"/>
    </xf>
    <xf numFmtId="2" fontId="5" fillId="4" borderId="1" xfId="24" applyNumberFormat="1" applyFont="1" applyFill="1" applyBorder="1" applyAlignment="1" applyProtection="1">
      <alignment horizontal="center" vertical="center" wrapText="1"/>
      <protection locked="0"/>
    </xf>
    <xf numFmtId="3" fontId="5" fillId="4" borderId="55" xfId="4" applyNumberFormat="1" applyFont="1" applyFill="1" applyBorder="1" applyAlignment="1" applyProtection="1">
      <alignment horizontal="center" vertical="top" wrapText="1"/>
      <protection locked="0"/>
    </xf>
    <xf numFmtId="3" fontId="5" fillId="4" borderId="50" xfId="4" applyNumberFormat="1" applyFont="1" applyFill="1" applyBorder="1" applyAlignment="1" applyProtection="1">
      <alignment horizontal="center" vertical="top" wrapText="1"/>
      <protection locked="0"/>
    </xf>
    <xf numFmtId="3" fontId="5" fillId="4" borderId="3" xfId="4" applyNumberFormat="1" applyFont="1" applyFill="1" applyBorder="1" applyAlignment="1" applyProtection="1">
      <alignment horizontal="center" vertical="top" wrapText="1"/>
      <protection locked="0"/>
    </xf>
    <xf numFmtId="3" fontId="5" fillId="18" borderId="22" xfId="4" applyNumberFormat="1" applyFont="1" applyFill="1" applyBorder="1" applyAlignment="1" applyProtection="1">
      <alignment horizontal="center" vertical="top" wrapText="1"/>
      <protection locked="0"/>
    </xf>
    <xf numFmtId="3" fontId="5" fillId="4" borderId="8" xfId="4" applyNumberFormat="1" applyFont="1" applyFill="1" applyBorder="1" applyAlignment="1" applyProtection="1">
      <alignment horizontal="center" vertical="top" wrapText="1"/>
      <protection locked="0"/>
    </xf>
    <xf numFmtId="2" fontId="22" fillId="4" borderId="74" xfId="5" applyNumberFormat="1" applyFont="1" applyFill="1" applyBorder="1" applyAlignment="1">
      <alignment horizontal="center" vertical="center" wrapText="1"/>
    </xf>
    <xf numFmtId="9" fontId="5" fillId="6" borderId="60" xfId="2" applyFont="1" applyFill="1" applyBorder="1" applyAlignment="1">
      <alignment horizontal="center"/>
    </xf>
    <xf numFmtId="2" fontId="22" fillId="4" borderId="29" xfId="5" applyNumberFormat="1" applyFont="1" applyFill="1" applyBorder="1" applyAlignment="1">
      <alignment horizontal="center" vertical="center" wrapText="1"/>
    </xf>
    <xf numFmtId="3" fontId="5" fillId="13" borderId="54" xfId="4" applyNumberFormat="1" applyFont="1" applyFill="1" applyBorder="1" applyAlignment="1">
      <alignment horizontal="center" vertical="top" wrapText="1"/>
    </xf>
    <xf numFmtId="9" fontId="5" fillId="0" borderId="69" xfId="2" applyFont="1" applyBorder="1"/>
    <xf numFmtId="0" fontId="95" fillId="9" borderId="0" xfId="4" applyFont="1" applyFill="1"/>
    <xf numFmtId="4" fontId="95" fillId="12" borderId="20" xfId="5" applyNumberFormat="1" applyFont="1" applyFill="1" applyBorder="1" applyAlignment="1">
      <alignment horizontal="center" vertical="top" wrapText="1"/>
    </xf>
    <xf numFmtId="169" fontId="22" fillId="6" borderId="0" xfId="1" applyNumberFormat="1" applyFont="1" applyFill="1" applyAlignment="1">
      <alignment horizontal="center"/>
    </xf>
    <xf numFmtId="169" fontId="22" fillId="6" borderId="38" xfId="1" applyNumberFormat="1" applyFont="1" applyFill="1" applyBorder="1" applyAlignment="1">
      <alignment horizontal="center" vertical="top" wrapText="1"/>
    </xf>
    <xf numFmtId="169" fontId="22" fillId="6" borderId="18" xfId="1" applyNumberFormat="1" applyFont="1" applyFill="1" applyBorder="1" applyAlignment="1">
      <alignment horizontal="center" vertical="top" wrapText="1"/>
    </xf>
    <xf numFmtId="169" fontId="22" fillId="6" borderId="40" xfId="1" applyNumberFormat="1" applyFont="1" applyFill="1" applyBorder="1" applyAlignment="1">
      <alignment horizontal="center" vertical="top" wrapText="1"/>
    </xf>
    <xf numFmtId="169" fontId="22" fillId="6" borderId="24" xfId="1" applyNumberFormat="1" applyFont="1" applyFill="1" applyBorder="1" applyAlignment="1">
      <alignment horizontal="center" vertical="top" wrapText="1"/>
    </xf>
    <xf numFmtId="169" fontId="22" fillId="6" borderId="45" xfId="1" applyNumberFormat="1" applyFont="1" applyFill="1" applyBorder="1" applyAlignment="1">
      <alignment horizontal="center" vertical="top" wrapText="1"/>
    </xf>
    <xf numFmtId="169" fontId="22" fillId="6" borderId="30" xfId="1" applyNumberFormat="1" applyFont="1" applyFill="1" applyBorder="1" applyAlignment="1">
      <alignment horizontal="center" vertical="top" wrapText="1"/>
    </xf>
    <xf numFmtId="10" fontId="5" fillId="6" borderId="0" xfId="4" applyNumberFormat="1" applyFont="1" applyFill="1" applyAlignment="1">
      <alignment horizontal="center" vertical="top" wrapText="1"/>
    </xf>
    <xf numFmtId="9" fontId="22" fillId="6" borderId="0" xfId="2" applyFont="1" applyFill="1" applyAlignment="1">
      <alignment horizontal="center" vertical="top" wrapText="1"/>
    </xf>
    <xf numFmtId="9" fontId="5" fillId="6" borderId="22" xfId="2" applyFont="1" applyFill="1" applyBorder="1"/>
    <xf numFmtId="9" fontId="5" fillId="0" borderId="47" xfId="2" applyFont="1" applyBorder="1"/>
    <xf numFmtId="9" fontId="5" fillId="6" borderId="38" xfId="2" applyFont="1" applyFill="1" applyBorder="1"/>
    <xf numFmtId="9" fontId="5" fillId="6" borderId="40" xfId="2" applyFont="1" applyFill="1" applyBorder="1"/>
    <xf numFmtId="9" fontId="5" fillId="6" borderId="45" xfId="9" applyFont="1" applyFill="1" applyBorder="1" applyAlignment="1">
      <alignment horizontal="center" vertical="center" wrapText="1"/>
    </xf>
    <xf numFmtId="9" fontId="5" fillId="6" borderId="30" xfId="9" applyFont="1" applyFill="1" applyBorder="1" applyAlignment="1">
      <alignment horizontal="center" vertical="center" wrapText="1"/>
    </xf>
    <xf numFmtId="9" fontId="22" fillId="6" borderId="45" xfId="9" applyFont="1" applyFill="1" applyBorder="1" applyAlignment="1">
      <alignment horizontal="center" vertical="center" wrapText="1"/>
    </xf>
    <xf numFmtId="9" fontId="5" fillId="0" borderId="45" xfId="2" applyFont="1" applyBorder="1"/>
    <xf numFmtId="9" fontId="5" fillId="0" borderId="62" xfId="2" applyFont="1" applyBorder="1"/>
    <xf numFmtId="9" fontId="22" fillId="6" borderId="30" xfId="9" applyFont="1" applyFill="1" applyBorder="1" applyAlignment="1">
      <alignment horizontal="center" vertical="center" wrapText="1"/>
    </xf>
    <xf numFmtId="0" fontId="6" fillId="19" borderId="0" xfId="4" applyFont="1" applyFill="1" applyAlignment="1">
      <alignment horizontal="left"/>
    </xf>
    <xf numFmtId="9" fontId="22" fillId="39" borderId="40" xfId="9" applyFont="1" applyFill="1" applyBorder="1" applyAlignment="1">
      <alignment vertical="center" wrapText="1"/>
    </xf>
    <xf numFmtId="9" fontId="5" fillId="41" borderId="40" xfId="2" applyFont="1" applyFill="1" applyBorder="1"/>
    <xf numFmtId="9" fontId="22" fillId="39" borderId="45" xfId="9" applyFont="1" applyFill="1" applyBorder="1" applyAlignment="1">
      <alignment vertical="center" wrapText="1"/>
    </xf>
    <xf numFmtId="9" fontId="5" fillId="41" borderId="45" xfId="2" applyFont="1" applyFill="1" applyBorder="1"/>
    <xf numFmtId="170" fontId="60" fillId="0" borderId="24" xfId="1" applyNumberFormat="1" applyFont="1" applyBorder="1"/>
    <xf numFmtId="175" fontId="0" fillId="7" borderId="0" xfId="0" applyNumberFormat="1" applyFill="1"/>
    <xf numFmtId="0" fontId="22" fillId="11" borderId="8" xfId="0" applyFont="1" applyFill="1" applyBorder="1" applyAlignment="1">
      <alignment horizontal="center"/>
    </xf>
    <xf numFmtId="0" fontId="23" fillId="3" borderId="1" xfId="4" applyFont="1" applyFill="1" applyBorder="1" applyAlignment="1">
      <alignment horizontal="center" vertical="top" wrapText="1"/>
    </xf>
    <xf numFmtId="0" fontId="23" fillId="3" borderId="3" xfId="4" applyFont="1" applyFill="1" applyBorder="1" applyAlignment="1">
      <alignment horizontal="center" vertical="top" wrapText="1"/>
    </xf>
    <xf numFmtId="0" fontId="23" fillId="0" borderId="1" xfId="4" applyFont="1" applyBorder="1" applyAlignment="1">
      <alignment horizontal="center" vertical="top" wrapText="1"/>
    </xf>
    <xf numFmtId="0" fontId="23" fillId="6" borderId="4" xfId="4" applyFont="1" applyFill="1" applyBorder="1" applyAlignment="1">
      <alignment horizontal="center" vertical="top" wrapText="1"/>
    </xf>
    <xf numFmtId="0" fontId="5" fillId="9" borderId="0" xfId="4" applyFont="1" applyFill="1" applyAlignment="1">
      <alignment horizontal="left" wrapText="1"/>
    </xf>
    <xf numFmtId="0" fontId="5" fillId="3" borderId="1" xfId="4" applyFont="1" applyFill="1" applyBorder="1" applyAlignment="1">
      <alignment horizontal="left"/>
    </xf>
    <xf numFmtId="2" fontId="23" fillId="4" borderId="1" xfId="5" applyNumberFormat="1" applyFont="1" applyFill="1" applyBorder="1" applyAlignment="1">
      <alignment horizontal="center" vertical="top" wrapText="1"/>
    </xf>
    <xf numFmtId="2" fontId="23" fillId="4" borderId="2" xfId="5" applyNumberFormat="1" applyFont="1" applyFill="1" applyBorder="1" applyAlignment="1">
      <alignment horizontal="center" vertical="top" wrapText="1"/>
    </xf>
    <xf numFmtId="2" fontId="23" fillId="4" borderId="3" xfId="5" applyNumberFormat="1" applyFont="1" applyFill="1" applyBorder="1" applyAlignment="1">
      <alignment horizontal="center" vertical="top" wrapText="1"/>
    </xf>
    <xf numFmtId="0" fontId="22" fillId="6" borderId="1" xfId="4" applyFont="1" applyFill="1" applyBorder="1" applyAlignment="1">
      <alignment horizontal="center" vertical="top" wrapText="1"/>
    </xf>
    <xf numFmtId="0" fontId="26" fillId="6" borderId="2" xfId="4" applyFont="1" applyFill="1" applyBorder="1" applyAlignment="1">
      <alignment horizontal="left" vertical="top" wrapText="1"/>
    </xf>
    <xf numFmtId="2" fontId="23" fillId="4" borderId="1" xfId="5" applyNumberFormat="1" applyFont="1" applyFill="1" applyBorder="1" applyAlignment="1" applyProtection="1">
      <alignment horizontal="center" vertical="top" wrapText="1"/>
      <protection locked="0"/>
    </xf>
    <xf numFmtId="2" fontId="23" fillId="4" borderId="2" xfId="5" applyNumberFormat="1" applyFont="1" applyFill="1" applyBorder="1" applyAlignment="1" applyProtection="1">
      <alignment horizontal="center" vertical="top" wrapText="1"/>
      <protection locked="0"/>
    </xf>
    <xf numFmtId="2" fontId="23" fillId="4" borderId="3" xfId="5" applyNumberFormat="1" applyFont="1" applyFill="1" applyBorder="1" applyAlignment="1" applyProtection="1">
      <alignment horizontal="center" vertical="top" wrapText="1"/>
      <protection locked="0"/>
    </xf>
    <xf numFmtId="0" fontId="22" fillId="6" borderId="2" xfId="4" applyFont="1" applyFill="1" applyBorder="1" applyAlignment="1">
      <alignment horizontal="center" vertical="top" wrapText="1"/>
    </xf>
    <xf numFmtId="0" fontId="26" fillId="3" borderId="34" xfId="8" applyFont="1" applyFill="1" applyBorder="1"/>
    <xf numFmtId="0" fontId="26" fillId="3" borderId="35" xfId="8" applyFont="1" applyFill="1" applyBorder="1"/>
    <xf numFmtId="3" fontId="23" fillId="3" borderId="34" xfId="4" applyNumberFormat="1" applyFont="1" applyFill="1" applyBorder="1" applyAlignment="1">
      <alignment horizontal="center" vertical="top" wrapText="1"/>
    </xf>
    <xf numFmtId="3" fontId="23" fillId="3" borderId="35" xfId="4" applyNumberFormat="1" applyFont="1" applyFill="1" applyBorder="1" applyAlignment="1">
      <alignment horizontal="center" vertical="top" wrapText="1"/>
    </xf>
    <xf numFmtId="3" fontId="23" fillId="3" borderId="36" xfId="4" applyNumberFormat="1" applyFont="1" applyFill="1" applyBorder="1" applyAlignment="1">
      <alignment horizontal="center" vertical="top" wrapText="1"/>
    </xf>
    <xf numFmtId="3" fontId="23" fillId="3" borderId="13" xfId="4" applyNumberFormat="1" applyFont="1" applyFill="1" applyBorder="1" applyAlignment="1">
      <alignment horizontal="center" vertical="top" wrapText="1"/>
    </xf>
    <xf numFmtId="0" fontId="26" fillId="3" borderId="36" xfId="8" applyFont="1" applyFill="1" applyBorder="1"/>
    <xf numFmtId="0" fontId="26" fillId="3" borderId="13" xfId="8" applyFont="1" applyFill="1" applyBorder="1"/>
    <xf numFmtId="0" fontId="96" fillId="6" borderId="7" xfId="4" applyFont="1" applyFill="1" applyBorder="1" applyAlignment="1">
      <alignment horizontal="center" vertical="center" wrapText="1"/>
    </xf>
    <xf numFmtId="3" fontId="5" fillId="18" borderId="8" xfId="4" applyNumberFormat="1" applyFont="1" applyFill="1" applyBorder="1" applyAlignment="1" applyProtection="1">
      <alignment horizontal="center" vertical="top" wrapText="1"/>
      <protection locked="0"/>
    </xf>
    <xf numFmtId="3" fontId="5" fillId="18" borderId="54" xfId="4" applyNumberFormat="1" applyFont="1" applyFill="1" applyBorder="1" applyAlignment="1" applyProtection="1">
      <alignment horizontal="center" vertical="top" wrapText="1"/>
      <protection locked="0"/>
    </xf>
    <xf numFmtId="168" fontId="38" fillId="4" borderId="41" xfId="4" applyNumberFormat="1" applyFont="1" applyFill="1" applyBorder="1" applyAlignment="1" applyProtection="1">
      <alignment horizontal="center" vertical="top" wrapText="1"/>
      <protection locked="0"/>
    </xf>
    <xf numFmtId="4" fontId="5" fillId="12" borderId="7" xfId="4" applyNumberFormat="1" applyFont="1" applyFill="1" applyBorder="1" applyAlignment="1">
      <alignment horizontal="center" vertical="top" wrapText="1"/>
    </xf>
    <xf numFmtId="0" fontId="5" fillId="10" borderId="2" xfId="4" applyFont="1" applyFill="1" applyBorder="1"/>
    <xf numFmtId="0" fontId="5" fillId="10" borderId="3" xfId="4" applyFont="1" applyFill="1" applyBorder="1"/>
    <xf numFmtId="3" fontId="5" fillId="18" borderId="14" xfId="4" applyNumberFormat="1" applyFont="1" applyFill="1" applyBorder="1" applyAlignment="1" applyProtection="1">
      <alignment horizontal="center" vertical="top" wrapText="1"/>
      <protection locked="0"/>
    </xf>
    <xf numFmtId="3" fontId="5" fillId="18" borderId="20" xfId="4" applyNumberFormat="1" applyFont="1" applyFill="1" applyBorder="1" applyAlignment="1" applyProtection="1">
      <alignment horizontal="center" vertical="top" wrapText="1"/>
      <protection locked="0"/>
    </xf>
    <xf numFmtId="3" fontId="5" fillId="18" borderId="26" xfId="4" applyNumberFormat="1" applyFont="1" applyFill="1" applyBorder="1" applyAlignment="1" applyProtection="1">
      <alignment horizontal="center" vertical="top" wrapText="1"/>
      <protection locked="0"/>
    </xf>
    <xf numFmtId="3" fontId="5" fillId="4" borderId="54" xfId="4" applyNumberFormat="1" applyFont="1" applyFill="1" applyBorder="1" applyAlignment="1" applyProtection="1">
      <alignment horizontal="center" vertical="top" wrapText="1"/>
      <protection locked="0"/>
    </xf>
    <xf numFmtId="4" fontId="95" fillId="12" borderId="41" xfId="5" applyNumberFormat="1" applyFont="1" applyFill="1" applyBorder="1" applyAlignment="1">
      <alignment horizontal="center" vertical="top" wrapText="1"/>
    </xf>
    <xf numFmtId="4" fontId="95" fillId="12" borderId="8" xfId="5" applyNumberFormat="1" applyFont="1" applyFill="1" applyBorder="1" applyAlignment="1">
      <alignment horizontal="center" vertical="top" wrapText="1"/>
    </xf>
    <xf numFmtId="4" fontId="95" fillId="12" borderId="12" xfId="5" applyNumberFormat="1" applyFont="1" applyFill="1" applyBorder="1" applyAlignment="1">
      <alignment horizontal="center" vertical="top" wrapText="1"/>
    </xf>
    <xf numFmtId="4" fontId="95" fillId="12" borderId="14" xfId="5" applyNumberFormat="1" applyFont="1" applyFill="1" applyBorder="1" applyAlignment="1">
      <alignment horizontal="center" vertical="top" wrapText="1"/>
    </xf>
    <xf numFmtId="4" fontId="95" fillId="12" borderId="26" xfId="5" applyNumberFormat="1" applyFont="1" applyFill="1" applyBorder="1" applyAlignment="1">
      <alignment horizontal="center" vertical="top" wrapText="1"/>
    </xf>
    <xf numFmtId="10" fontId="0" fillId="7" borderId="0" xfId="0" applyNumberFormat="1" applyFill="1"/>
    <xf numFmtId="175" fontId="5" fillId="37" borderId="58" xfId="2" applyNumberFormat="1" applyFont="1" applyFill="1" applyBorder="1" applyAlignment="1">
      <alignment horizontal="left"/>
    </xf>
    <xf numFmtId="0" fontId="0" fillId="42" borderId="0" xfId="0" applyFill="1"/>
    <xf numFmtId="0" fontId="0" fillId="42" borderId="40" xfId="0" applyFill="1" applyBorder="1"/>
    <xf numFmtId="10" fontId="0" fillId="42" borderId="40" xfId="0" applyNumberFormat="1" applyFill="1" applyBorder="1"/>
    <xf numFmtId="0" fontId="3" fillId="42" borderId="17" xfId="0" applyFont="1" applyFill="1" applyBorder="1"/>
    <xf numFmtId="0" fontId="0" fillId="42" borderId="38" xfId="0" applyFill="1" applyBorder="1"/>
    <xf numFmtId="0" fontId="0" fillId="42" borderId="18" xfId="0" applyFill="1" applyBorder="1"/>
    <xf numFmtId="0" fontId="0" fillId="42" borderId="23" xfId="0" applyFill="1" applyBorder="1"/>
    <xf numFmtId="0" fontId="0" fillId="42" borderId="24" xfId="0" applyFill="1" applyBorder="1"/>
    <xf numFmtId="0" fontId="0" fillId="42" borderId="29" xfId="0" applyFill="1" applyBorder="1"/>
    <xf numFmtId="0" fontId="0" fillId="42" borderId="45" xfId="0" applyFill="1" applyBorder="1"/>
    <xf numFmtId="0" fontId="0" fillId="42" borderId="30" xfId="0" applyFill="1" applyBorder="1"/>
    <xf numFmtId="10" fontId="0" fillId="42" borderId="24" xfId="0" applyNumberFormat="1" applyFill="1" applyBorder="1"/>
    <xf numFmtId="10" fontId="0" fillId="42" borderId="45" xfId="0" applyNumberFormat="1" applyFill="1" applyBorder="1"/>
    <xf numFmtId="10" fontId="0" fillId="42" borderId="30" xfId="0" applyNumberFormat="1" applyFill="1" applyBorder="1"/>
    <xf numFmtId="4" fontId="5" fillId="12" borderId="6" xfId="5" applyNumberFormat="1" applyFont="1" applyFill="1" applyBorder="1" applyAlignment="1">
      <alignment horizontal="center" vertical="top" wrapText="1"/>
    </xf>
    <xf numFmtId="0" fontId="8" fillId="0" borderId="73" xfId="8" applyFont="1" applyBorder="1" applyAlignment="1">
      <alignment vertical="center"/>
    </xf>
    <xf numFmtId="0" fontId="8" fillId="0" borderId="0" xfId="8" applyFont="1" applyAlignment="1">
      <alignment vertical="center"/>
    </xf>
    <xf numFmtId="0" fontId="5" fillId="0" borderId="0" xfId="8" applyFont="1" applyAlignment="1">
      <alignment vertical="center"/>
    </xf>
    <xf numFmtId="0" fontId="5" fillId="0" borderId="0" xfId="8" applyFont="1" applyAlignment="1">
      <alignment vertical="center" wrapText="1"/>
    </xf>
    <xf numFmtId="0" fontId="5" fillId="0" borderId="0" xfId="8" applyFont="1" applyAlignment="1">
      <alignment vertical="top" wrapText="1"/>
    </xf>
    <xf numFmtId="0" fontId="35" fillId="21" borderId="40" xfId="8" applyFont="1" applyFill="1" applyBorder="1" applyAlignment="1">
      <alignment horizontal="center" vertical="center" wrapText="1"/>
    </xf>
    <xf numFmtId="0" fontId="35" fillId="21" borderId="47" xfId="8" applyFont="1" applyFill="1" applyBorder="1" applyAlignment="1">
      <alignment horizontal="center" vertical="center" wrapText="1"/>
    </xf>
    <xf numFmtId="0" fontId="35" fillId="22" borderId="40" xfId="8" applyFont="1" applyFill="1" applyBorder="1" applyAlignment="1">
      <alignment horizontal="center" vertical="center" wrapText="1"/>
    </xf>
    <xf numFmtId="0" fontId="5" fillId="23" borderId="40" xfId="8" applyFont="1" applyFill="1" applyBorder="1" applyAlignment="1">
      <alignment horizontal="center" vertical="center" wrapText="1"/>
    </xf>
    <xf numFmtId="0" fontId="5" fillId="23" borderId="50" xfId="8" applyFont="1" applyFill="1" applyBorder="1" applyAlignment="1">
      <alignment horizontal="center" vertical="center" wrapText="1"/>
    </xf>
    <xf numFmtId="0" fontId="5" fillId="23" borderId="25" xfId="8" applyFont="1" applyFill="1" applyBorder="1" applyAlignment="1">
      <alignment horizontal="center" vertical="center" wrapText="1"/>
    </xf>
    <xf numFmtId="0" fontId="5" fillId="0" borderId="43" xfId="8" applyFont="1" applyBorder="1"/>
    <xf numFmtId="14" fontId="5" fillId="0" borderId="0" xfId="8" applyNumberFormat="1" applyFont="1"/>
    <xf numFmtId="0" fontId="5" fillId="0" borderId="70" xfId="10" applyFont="1" applyBorder="1" applyAlignment="1">
      <alignment horizontal="left" vertical="top"/>
    </xf>
    <xf numFmtId="14" fontId="5" fillId="0" borderId="70" xfId="8" applyNumberFormat="1" applyFont="1" applyBorder="1" applyAlignment="1">
      <alignment vertical="center"/>
    </xf>
    <xf numFmtId="0" fontId="5" fillId="0" borderId="73" xfId="8" applyFont="1" applyBorder="1" applyAlignment="1" applyProtection="1">
      <alignment vertical="top" wrapText="1"/>
      <protection locked="0"/>
    </xf>
    <xf numFmtId="14" fontId="5" fillId="0" borderId="70" xfId="8" applyNumberFormat="1" applyFont="1" applyBorder="1" applyAlignment="1" applyProtection="1">
      <alignment vertical="center"/>
      <protection locked="0"/>
    </xf>
    <xf numFmtId="0" fontId="22" fillId="3" borderId="0" xfId="4" applyFont="1" applyFill="1" applyAlignment="1">
      <alignment horizontal="center" vertical="center"/>
    </xf>
    <xf numFmtId="2" fontId="22" fillId="4" borderId="48" xfId="5" applyNumberFormat="1" applyFont="1" applyFill="1" applyBorder="1" applyAlignment="1">
      <alignment horizontal="center" vertical="center" wrapText="1"/>
    </xf>
    <xf numFmtId="2" fontId="22" fillId="4" borderId="31" xfId="5" applyNumberFormat="1" applyFont="1" applyFill="1" applyBorder="1" applyAlignment="1">
      <alignment horizontal="center" vertical="center" wrapText="1"/>
    </xf>
    <xf numFmtId="9" fontId="5" fillId="6" borderId="77" xfId="2" applyFont="1" applyFill="1" applyBorder="1" applyAlignment="1">
      <alignment horizontal="center"/>
    </xf>
    <xf numFmtId="2" fontId="22" fillId="18" borderId="48" xfId="5" applyNumberFormat="1" applyFont="1" applyFill="1" applyBorder="1" applyAlignment="1">
      <alignment horizontal="center" vertical="center" wrapText="1"/>
    </xf>
    <xf numFmtId="2" fontId="22" fillId="18" borderId="31" xfId="5" applyNumberFormat="1" applyFont="1" applyFill="1" applyBorder="1" applyAlignment="1">
      <alignment horizontal="center" vertical="center" wrapText="1"/>
    </xf>
    <xf numFmtId="9" fontId="5" fillId="6" borderId="45" xfId="2" applyFont="1" applyFill="1" applyBorder="1" applyAlignment="1">
      <alignment horizontal="center"/>
    </xf>
    <xf numFmtId="0" fontId="5" fillId="3" borderId="0" xfId="4" applyFont="1" applyFill="1" applyAlignment="1">
      <alignment horizontal="center" vertical="center" wrapText="1"/>
    </xf>
    <xf numFmtId="9" fontId="5" fillId="6" borderId="40" xfId="2" applyFont="1" applyFill="1" applyBorder="1" applyAlignment="1">
      <alignment horizontal="center"/>
    </xf>
    <xf numFmtId="9" fontId="5" fillId="6" borderId="58" xfId="2" applyFont="1" applyFill="1" applyBorder="1" applyAlignment="1">
      <alignment horizontal="center"/>
    </xf>
    <xf numFmtId="2" fontId="22" fillId="18" borderId="29" xfId="5" applyNumberFormat="1" applyFont="1" applyFill="1" applyBorder="1" applyAlignment="1">
      <alignment horizontal="center" vertical="center" wrapText="1"/>
    </xf>
    <xf numFmtId="2" fontId="22" fillId="18" borderId="45" xfId="5" applyNumberFormat="1" applyFont="1" applyFill="1" applyBorder="1" applyAlignment="1">
      <alignment horizontal="center" vertical="center" wrapText="1"/>
    </xf>
    <xf numFmtId="2" fontId="22" fillId="4" borderId="45" xfId="5" applyNumberFormat="1" applyFont="1" applyFill="1" applyBorder="1" applyAlignment="1">
      <alignment horizontal="center" vertical="center" wrapText="1"/>
    </xf>
    <xf numFmtId="0" fontId="5" fillId="3" borderId="0" xfId="4" applyFont="1" applyFill="1" applyAlignment="1">
      <alignment horizontal="left"/>
    </xf>
    <xf numFmtId="4" fontId="5" fillId="11" borderId="12" xfId="5" applyNumberFormat="1" applyFont="1" applyFill="1" applyBorder="1" applyAlignment="1">
      <alignment horizontal="center" vertical="top" wrapText="1"/>
    </xf>
    <xf numFmtId="9" fontId="5" fillId="13" borderId="12" xfId="2" applyFont="1" applyFill="1" applyBorder="1" applyAlignment="1">
      <alignment horizontal="center" vertical="top" wrapText="1"/>
    </xf>
    <xf numFmtId="2" fontId="29" fillId="13" borderId="8" xfId="5" applyNumberFormat="1" applyFont="1" applyFill="1" applyBorder="1" applyAlignment="1">
      <alignment horizontal="center" vertical="top" wrapText="1"/>
    </xf>
    <xf numFmtId="0" fontId="22" fillId="0" borderId="69" xfId="8" applyFont="1" applyBorder="1" applyAlignment="1">
      <alignment vertical="center"/>
    </xf>
    <xf numFmtId="0" fontId="22" fillId="0" borderId="18" xfId="8" applyFont="1" applyBorder="1" applyAlignment="1">
      <alignment vertical="center"/>
    </xf>
    <xf numFmtId="0" fontId="5" fillId="6" borderId="0" xfId="4" applyFont="1" applyFill="1" applyAlignment="1">
      <alignment horizontal="left"/>
    </xf>
    <xf numFmtId="169" fontId="22" fillId="0" borderId="8" xfId="1" applyNumberFormat="1" applyFont="1" applyBorder="1" applyAlignment="1">
      <alignment horizontal="center" vertical="top" wrapText="1"/>
    </xf>
    <xf numFmtId="0" fontId="5" fillId="4" borderId="30" xfId="4" applyFont="1" applyFill="1" applyBorder="1" applyAlignment="1">
      <alignment vertical="top" wrapText="1"/>
    </xf>
    <xf numFmtId="169" fontId="5" fillId="0" borderId="20" xfId="1" applyNumberFormat="1" applyFont="1" applyBorder="1" applyAlignment="1">
      <alignment horizontal="center" vertical="top" wrapText="1"/>
    </xf>
    <xf numFmtId="169" fontId="5" fillId="0" borderId="14" xfId="1" applyNumberFormat="1" applyFont="1" applyBorder="1" applyAlignment="1">
      <alignment horizontal="center" vertical="top" wrapText="1"/>
    </xf>
    <xf numFmtId="169" fontId="5" fillId="0" borderId="26" xfId="1" applyNumberFormat="1" applyFont="1" applyBorder="1" applyAlignment="1">
      <alignment horizontal="center" vertical="top" wrapText="1"/>
    </xf>
    <xf numFmtId="2" fontId="5" fillId="3" borderId="0" xfId="5" applyNumberFormat="1" applyFont="1" applyFill="1" applyAlignment="1">
      <alignment horizontal="center" vertical="top" wrapText="1"/>
    </xf>
    <xf numFmtId="169" fontId="5" fillId="0" borderId="50" xfId="1" applyNumberFormat="1" applyFont="1" applyBorder="1" applyAlignment="1">
      <alignment horizontal="center" vertical="top" wrapText="1"/>
    </xf>
    <xf numFmtId="169" fontId="5" fillId="0" borderId="51" xfId="1" applyNumberFormat="1" applyFont="1" applyBorder="1" applyAlignment="1">
      <alignment horizontal="center" vertical="top" wrapText="1"/>
    </xf>
    <xf numFmtId="3" fontId="5" fillId="3" borderId="0" xfId="4" applyNumberFormat="1" applyFont="1" applyFill="1" applyAlignment="1">
      <alignment horizontal="center" vertical="center" wrapText="1"/>
    </xf>
    <xf numFmtId="3" fontId="5" fillId="3" borderId="0" xfId="4" applyNumberFormat="1" applyFont="1" applyFill="1" applyAlignment="1">
      <alignment horizontal="center" vertical="center"/>
    </xf>
    <xf numFmtId="9" fontId="5" fillId="3" borderId="0" xfId="9" applyFont="1" applyFill="1" applyAlignment="1">
      <alignment horizontal="center" vertical="top" wrapText="1"/>
    </xf>
    <xf numFmtId="9" fontId="5" fillId="3" borderId="0" xfId="9" applyFont="1" applyFill="1" applyAlignment="1">
      <alignment vertical="top" wrapText="1"/>
    </xf>
    <xf numFmtId="3" fontId="5" fillId="3" borderId="0" xfId="9" applyNumberFormat="1" applyFont="1" applyFill="1" applyAlignment="1">
      <alignment vertical="top" wrapText="1"/>
    </xf>
    <xf numFmtId="2" fontId="5" fillId="3" borderId="0" xfId="5" applyNumberFormat="1" applyFont="1" applyFill="1" applyAlignment="1">
      <alignment horizontal="left" vertical="top" wrapText="1"/>
    </xf>
    <xf numFmtId="3" fontId="5" fillId="3" borderId="0" xfId="5" applyNumberFormat="1" applyFont="1" applyFill="1" applyAlignment="1">
      <alignment horizontal="left" vertical="top" wrapText="1"/>
    </xf>
    <xf numFmtId="169" fontId="5" fillId="0" borderId="78" xfId="1" applyNumberFormat="1" applyFont="1" applyBorder="1" applyAlignment="1">
      <alignment horizontal="center" vertical="top" wrapText="1"/>
    </xf>
    <xf numFmtId="169" fontId="5" fillId="0" borderId="60" xfId="1" applyNumberFormat="1" applyFont="1" applyBorder="1" applyAlignment="1">
      <alignment horizontal="center" vertical="top" wrapText="1"/>
    </xf>
    <xf numFmtId="169" fontId="5" fillId="0" borderId="11" xfId="1" applyNumberFormat="1" applyFont="1" applyBorder="1" applyAlignment="1">
      <alignment horizontal="center" vertical="top" wrapText="1"/>
    </xf>
    <xf numFmtId="169" fontId="5" fillId="3" borderId="16" xfId="1" applyNumberFormat="1" applyFont="1" applyFill="1" applyBorder="1" applyAlignment="1">
      <alignment horizontal="center" vertical="center" wrapText="1"/>
    </xf>
    <xf numFmtId="169" fontId="5" fillId="3" borderId="57" xfId="1" applyNumberFormat="1" applyFont="1" applyFill="1" applyBorder="1" applyAlignment="1">
      <alignment horizontal="center" vertical="center" wrapText="1"/>
    </xf>
    <xf numFmtId="169" fontId="5" fillId="3" borderId="58" xfId="1" applyNumberFormat="1" applyFont="1" applyFill="1" applyBorder="1" applyAlignment="1">
      <alignment horizontal="center" vertical="center" wrapText="1"/>
    </xf>
    <xf numFmtId="169" fontId="5" fillId="0" borderId="59" xfId="1" applyNumberFormat="1" applyFont="1" applyBorder="1" applyAlignment="1">
      <alignment horizontal="center" vertical="top" wrapText="1"/>
    </xf>
    <xf numFmtId="169" fontId="5" fillId="3" borderId="22" xfId="1" applyNumberFormat="1" applyFont="1" applyFill="1" applyBorder="1" applyAlignment="1">
      <alignment horizontal="center" vertical="top" wrapText="1"/>
    </xf>
    <xf numFmtId="169" fontId="5" fillId="3" borderId="23" xfId="1" applyNumberFormat="1" applyFont="1" applyFill="1" applyBorder="1" applyAlignment="1">
      <alignment horizontal="center" vertical="top" wrapText="1"/>
    </xf>
    <xf numFmtId="169" fontId="5" fillId="3" borderId="40" xfId="1" applyNumberFormat="1" applyFont="1" applyFill="1" applyBorder="1" applyAlignment="1">
      <alignment horizontal="center" vertical="top" wrapText="1"/>
    </xf>
    <xf numFmtId="169" fontId="5" fillId="0" borderId="24" xfId="1" applyNumberFormat="1" applyFont="1" applyBorder="1" applyAlignment="1">
      <alignment horizontal="center" vertical="top" wrapText="1"/>
    </xf>
    <xf numFmtId="0" fontId="5" fillId="39" borderId="25" xfId="0" applyFont="1" applyFill="1" applyBorder="1" applyAlignment="1">
      <alignment horizontal="left" vertical="center"/>
    </xf>
    <xf numFmtId="0" fontId="5" fillId="3" borderId="0" xfId="0" applyFont="1" applyFill="1" applyAlignment="1">
      <alignment vertical="top" wrapText="1"/>
    </xf>
    <xf numFmtId="169" fontId="5" fillId="3" borderId="61" xfId="1" applyNumberFormat="1" applyFont="1" applyFill="1" applyBorder="1" applyAlignment="1">
      <alignment horizontal="center" vertical="top" wrapText="1"/>
    </xf>
    <xf numFmtId="169" fontId="5" fillId="3" borderId="69" xfId="1" applyNumberFormat="1" applyFont="1" applyFill="1" applyBorder="1" applyAlignment="1">
      <alignment horizontal="center" vertical="top" wrapText="1"/>
    </xf>
    <xf numFmtId="169" fontId="5" fillId="3" borderId="46" xfId="1" applyNumberFormat="1" applyFont="1" applyFill="1" applyBorder="1" applyAlignment="1">
      <alignment horizontal="center" vertical="top" wrapText="1"/>
    </xf>
    <xf numFmtId="169" fontId="5" fillId="3" borderId="66" xfId="1" applyNumberFormat="1" applyFont="1" applyFill="1" applyBorder="1" applyAlignment="1">
      <alignment horizontal="center" vertical="center" wrapText="1"/>
    </xf>
    <xf numFmtId="0" fontId="12" fillId="15" borderId="0" xfId="4" applyFont="1" applyFill="1" applyAlignment="1">
      <alignment horizontal="center" vertical="center"/>
    </xf>
    <xf numFmtId="0" fontId="16" fillId="15" borderId="0" xfId="4" applyFont="1" applyFill="1" applyAlignment="1">
      <alignment horizontal="center" vertical="center"/>
    </xf>
    <xf numFmtId="0" fontId="23" fillId="11" borderId="4" xfId="4" applyFont="1" applyFill="1" applyBorder="1" applyAlignment="1">
      <alignment horizontal="center" vertical="top" wrapText="1"/>
    </xf>
    <xf numFmtId="0" fontId="23" fillId="11" borderId="4" xfId="4" applyFont="1" applyFill="1" applyBorder="1" applyAlignment="1">
      <alignment horizontal="center" vertical="top"/>
    </xf>
    <xf numFmtId="0" fontId="28" fillId="11" borderId="4" xfId="4" applyFont="1" applyFill="1" applyBorder="1" applyAlignment="1">
      <alignment horizontal="center" vertical="top" wrapText="1"/>
    </xf>
    <xf numFmtId="2" fontId="23" fillId="11" borderId="8" xfId="5" applyNumberFormat="1" applyFont="1" applyFill="1" applyBorder="1" applyAlignment="1">
      <alignment horizontal="center" vertical="top" wrapText="1"/>
    </xf>
    <xf numFmtId="0" fontId="23" fillId="11" borderId="8" xfId="4" applyFont="1" applyFill="1" applyBorder="1" applyAlignment="1">
      <alignment horizontal="center" vertical="top" wrapText="1"/>
    </xf>
    <xf numFmtId="2" fontId="23" fillId="11" borderId="3" xfId="5" applyNumberFormat="1" applyFont="1" applyFill="1" applyBorder="1" applyAlignment="1">
      <alignment horizontal="center" vertical="top" wrapText="1"/>
    </xf>
    <xf numFmtId="174" fontId="38" fillId="35" borderId="26" xfId="4" applyNumberFormat="1" applyFont="1" applyFill="1" applyBorder="1" applyAlignment="1">
      <alignment horizontal="center" vertical="top" wrapText="1"/>
    </xf>
    <xf numFmtId="0" fontId="23" fillId="0" borderId="4" xfId="4" applyFont="1" applyBorder="1" applyAlignment="1">
      <alignment horizontal="center" vertical="center" wrapText="1"/>
    </xf>
    <xf numFmtId="0" fontId="5" fillId="4" borderId="39" xfId="4" applyFont="1" applyFill="1" applyBorder="1" applyAlignment="1" applyProtection="1">
      <alignment horizontal="center"/>
      <protection locked="0"/>
    </xf>
    <xf numFmtId="0" fontId="5" fillId="4" borderId="52" xfId="4" applyFont="1" applyFill="1" applyBorder="1" applyAlignment="1" applyProtection="1">
      <alignment horizontal="center"/>
      <protection locked="0"/>
    </xf>
    <xf numFmtId="0" fontId="5" fillId="4" borderId="22" xfId="4" applyFont="1" applyFill="1" applyBorder="1" applyAlignment="1" applyProtection="1">
      <alignment horizontal="center"/>
      <protection locked="0"/>
    </xf>
    <xf numFmtId="0" fontId="5" fillId="4" borderId="50" xfId="4" applyFont="1" applyFill="1" applyBorder="1" applyAlignment="1" applyProtection="1">
      <alignment horizontal="center"/>
      <protection locked="0"/>
    </xf>
    <xf numFmtId="0" fontId="5" fillId="4" borderId="28" xfId="4" applyFont="1" applyFill="1" applyBorder="1" applyAlignment="1" applyProtection="1">
      <alignment horizontal="center"/>
      <protection locked="0"/>
    </xf>
    <xf numFmtId="0" fontId="5" fillId="4" borderId="51" xfId="4" applyFont="1" applyFill="1" applyBorder="1" applyAlignment="1" applyProtection="1">
      <alignment horizontal="center"/>
      <protection locked="0"/>
    </xf>
    <xf numFmtId="169" fontId="22" fillId="4" borderId="26" xfId="1" applyNumberFormat="1" applyFont="1" applyFill="1" applyBorder="1" applyAlignment="1">
      <alignment horizontal="center" vertical="top" wrapText="1"/>
    </xf>
    <xf numFmtId="0" fontId="5" fillId="4" borderId="23" xfId="4" applyFont="1" applyFill="1" applyBorder="1" applyAlignment="1" applyProtection="1">
      <alignment vertical="top" wrapText="1"/>
      <protection locked="0"/>
    </xf>
    <xf numFmtId="0" fontId="5" fillId="4" borderId="29" xfId="4" applyFont="1" applyFill="1" applyBorder="1" applyAlignment="1" applyProtection="1">
      <alignment vertical="top" wrapText="1"/>
      <protection locked="0"/>
    </xf>
    <xf numFmtId="0" fontId="5" fillId="4" borderId="27" xfId="4" applyFont="1" applyFill="1" applyBorder="1" applyAlignment="1" applyProtection="1">
      <alignment horizontal="center"/>
      <protection locked="0"/>
    </xf>
    <xf numFmtId="0" fontId="5" fillId="4" borderId="21" xfId="4" applyFont="1" applyFill="1" applyBorder="1" applyAlignment="1" applyProtection="1">
      <alignment horizontal="center"/>
      <protection locked="0"/>
    </xf>
    <xf numFmtId="0" fontId="5" fillId="4" borderId="53" xfId="4" applyFont="1" applyFill="1" applyBorder="1" applyAlignment="1" applyProtection="1">
      <alignment horizontal="center"/>
      <protection locked="0"/>
    </xf>
    <xf numFmtId="0" fontId="5" fillId="3" borderId="14" xfId="4" applyFont="1" applyFill="1" applyBorder="1" applyAlignment="1">
      <alignment horizontal="left" vertical="center"/>
    </xf>
    <xf numFmtId="0" fontId="5" fillId="3" borderId="20" xfId="4" applyFont="1" applyFill="1" applyBorder="1" applyAlignment="1">
      <alignment horizontal="left" vertical="center"/>
    </xf>
    <xf numFmtId="0" fontId="23" fillId="0" borderId="4" xfId="4" applyFont="1" applyBorder="1" applyAlignment="1">
      <alignment horizontal="center" vertical="center"/>
    </xf>
    <xf numFmtId="0" fontId="23" fillId="11" borderId="4" xfId="4" applyFont="1" applyFill="1" applyBorder="1" applyAlignment="1">
      <alignment horizontal="center" vertical="center" wrapText="1"/>
    </xf>
    <xf numFmtId="0" fontId="23" fillId="11" borderId="4" xfId="4" applyFont="1" applyFill="1" applyBorder="1" applyAlignment="1">
      <alignment horizontal="center" vertical="center"/>
    </xf>
    <xf numFmtId="9" fontId="5" fillId="6" borderId="39" xfId="2" applyFont="1" applyFill="1" applyBorder="1"/>
    <xf numFmtId="9" fontId="5" fillId="0" borderId="72" xfId="2" applyFont="1" applyBorder="1"/>
    <xf numFmtId="9" fontId="5" fillId="6" borderId="28" xfId="2" applyFont="1" applyFill="1" applyBorder="1"/>
    <xf numFmtId="9" fontId="5" fillId="0" borderId="48" xfId="2" applyFont="1" applyBorder="1"/>
    <xf numFmtId="0" fontId="5" fillId="4" borderId="59" xfId="4" applyFont="1" applyFill="1" applyBorder="1"/>
    <xf numFmtId="176" fontId="22" fillId="39" borderId="62" xfId="1" applyNumberFormat="1" applyFont="1" applyFill="1" applyBorder="1" applyAlignment="1">
      <alignment horizontal="center" vertical="center" wrapText="1"/>
    </xf>
    <xf numFmtId="0" fontId="22" fillId="39" borderId="66" xfId="4" applyFont="1" applyFill="1" applyBorder="1" applyAlignment="1">
      <alignment horizontal="center" vertical="center" wrapText="1"/>
    </xf>
    <xf numFmtId="9" fontId="5" fillId="6" borderId="16" xfId="2" applyFont="1" applyFill="1" applyBorder="1"/>
    <xf numFmtId="169" fontId="22" fillId="4" borderId="14" xfId="1" applyNumberFormat="1" applyFont="1" applyFill="1" applyBorder="1" applyAlignment="1">
      <alignment vertical="top" wrapText="1"/>
    </xf>
    <xf numFmtId="169" fontId="22" fillId="4" borderId="26" xfId="1" applyNumberFormat="1" applyFont="1" applyFill="1" applyBorder="1" applyAlignment="1">
      <alignment vertical="top" wrapText="1"/>
    </xf>
    <xf numFmtId="0" fontId="5" fillId="4" borderId="66" xfId="4" applyFont="1" applyFill="1" applyBorder="1" applyAlignment="1">
      <alignment vertical="top" wrapText="1"/>
    </xf>
    <xf numFmtId="0" fontId="5" fillId="4" borderId="19" xfId="4" applyFont="1" applyFill="1" applyBorder="1" applyAlignment="1">
      <alignment vertical="top" wrapText="1"/>
    </xf>
    <xf numFmtId="0" fontId="5" fillId="4" borderId="25" xfId="4" applyFont="1" applyFill="1" applyBorder="1" applyAlignment="1">
      <alignment vertical="top" wrapText="1"/>
    </xf>
    <xf numFmtId="0" fontId="5" fillId="4" borderId="31" xfId="4" applyFont="1" applyFill="1" applyBorder="1" applyAlignment="1">
      <alignment vertical="top" wrapText="1"/>
    </xf>
    <xf numFmtId="169" fontId="22" fillId="4" borderId="41" xfId="1" applyNumberFormat="1" applyFont="1" applyFill="1" applyBorder="1" applyAlignment="1">
      <alignment vertical="top" wrapText="1"/>
    </xf>
    <xf numFmtId="169" fontId="22" fillId="4" borderId="74" xfId="1" applyNumberFormat="1" applyFont="1" applyFill="1" applyBorder="1" applyAlignment="1">
      <alignment horizontal="center" vertical="top" wrapText="1"/>
    </xf>
    <xf numFmtId="169" fontId="22" fillId="0" borderId="20" xfId="1" applyNumberFormat="1" applyFont="1" applyBorder="1" applyAlignment="1">
      <alignment horizontal="center" vertical="top" wrapText="1"/>
    </xf>
    <xf numFmtId="169" fontId="22" fillId="0" borderId="26" xfId="1" applyNumberFormat="1" applyFont="1" applyBorder="1" applyAlignment="1">
      <alignment horizontal="center" vertical="top" wrapText="1"/>
    </xf>
    <xf numFmtId="0" fontId="5" fillId="4" borderId="68" xfId="4" applyFont="1" applyFill="1" applyBorder="1" applyAlignment="1">
      <alignment vertical="top" wrapText="1"/>
    </xf>
    <xf numFmtId="169" fontId="22" fillId="0" borderId="41" xfId="1" applyNumberFormat="1" applyFont="1" applyBorder="1" applyAlignment="1">
      <alignment horizontal="center" vertical="top" wrapText="1"/>
    </xf>
    <xf numFmtId="169" fontId="22" fillId="6" borderId="43" xfId="1" applyNumberFormat="1" applyFont="1" applyFill="1" applyBorder="1" applyAlignment="1">
      <alignment horizontal="center" vertical="top" wrapText="1"/>
    </xf>
    <xf numFmtId="169" fontId="22" fillId="0" borderId="14" xfId="1" applyNumberFormat="1" applyFont="1" applyBorder="1" applyAlignment="1">
      <alignment horizontal="center" vertical="top" wrapText="1"/>
    </xf>
    <xf numFmtId="169" fontId="22" fillId="6" borderId="23" xfId="1" applyNumberFormat="1" applyFont="1" applyFill="1" applyBorder="1" applyAlignment="1">
      <alignment horizontal="center" vertical="top" wrapText="1"/>
    </xf>
    <xf numFmtId="169" fontId="22" fillId="6" borderId="42" xfId="1" applyNumberFormat="1" applyFont="1" applyFill="1" applyBorder="1" applyAlignment="1">
      <alignment horizontal="center" vertical="top" wrapText="1"/>
    </xf>
    <xf numFmtId="169" fontId="22" fillId="6" borderId="17" xfId="1" applyNumberFormat="1" applyFont="1" applyFill="1" applyBorder="1" applyAlignment="1">
      <alignment horizontal="center" vertical="top" wrapText="1"/>
    </xf>
    <xf numFmtId="169" fontId="22" fillId="6" borderId="29" xfId="1" applyNumberFormat="1" applyFont="1" applyFill="1" applyBorder="1" applyAlignment="1">
      <alignment horizontal="center" vertical="top" wrapText="1"/>
    </xf>
    <xf numFmtId="169" fontId="22" fillId="0" borderId="12" xfId="1" applyNumberFormat="1" applyFont="1" applyBorder="1" applyAlignment="1">
      <alignment horizontal="center" vertical="top" wrapText="1"/>
    </xf>
    <xf numFmtId="169" fontId="22" fillId="6" borderId="57" xfId="1" applyNumberFormat="1" applyFont="1" applyFill="1" applyBorder="1" applyAlignment="1">
      <alignment horizontal="center" vertical="top" wrapText="1"/>
    </xf>
    <xf numFmtId="169" fontId="22" fillId="6" borderId="58" xfId="1" applyNumberFormat="1" applyFont="1" applyFill="1" applyBorder="1" applyAlignment="1">
      <alignment horizontal="center" vertical="top" wrapText="1"/>
    </xf>
    <xf numFmtId="169" fontId="22" fillId="6" borderId="66" xfId="1" applyNumberFormat="1" applyFont="1" applyFill="1" applyBorder="1" applyAlignment="1">
      <alignment horizontal="center" vertical="top" wrapText="1"/>
    </xf>
    <xf numFmtId="169" fontId="22" fillId="6" borderId="25" xfId="1" applyNumberFormat="1" applyFont="1" applyFill="1" applyBorder="1" applyAlignment="1">
      <alignment horizontal="center" vertical="top" wrapText="1"/>
    </xf>
    <xf numFmtId="169" fontId="22" fillId="6" borderId="67" xfId="1" applyNumberFormat="1" applyFont="1" applyFill="1" applyBorder="1" applyAlignment="1">
      <alignment horizontal="center" vertical="top" wrapText="1"/>
    </xf>
    <xf numFmtId="0" fontId="5" fillId="3" borderId="53" xfId="4" applyFont="1" applyFill="1" applyBorder="1"/>
    <xf numFmtId="0" fontId="5" fillId="3" borderId="21" xfId="4" applyFont="1" applyFill="1" applyBorder="1"/>
    <xf numFmtId="0" fontId="5" fillId="3" borderId="27" xfId="4" applyFont="1" applyFill="1" applyBorder="1"/>
    <xf numFmtId="0" fontId="22" fillId="13" borderId="65" xfId="4" applyFont="1" applyFill="1" applyBorder="1" applyAlignment="1">
      <alignment horizontal="center" vertical="center" wrapText="1"/>
    </xf>
    <xf numFmtId="176" fontId="22" fillId="13" borderId="63" xfId="1" applyNumberFormat="1" applyFont="1" applyFill="1" applyBorder="1" applyAlignment="1">
      <alignment horizontal="center" vertical="center" wrapText="1"/>
    </xf>
    <xf numFmtId="2" fontId="22" fillId="13" borderId="64" xfId="1" applyNumberFormat="1" applyFont="1" applyFill="1" applyBorder="1" applyAlignment="1">
      <alignment horizontal="center" vertical="center"/>
    </xf>
    <xf numFmtId="0" fontId="22" fillId="13" borderId="5" xfId="4" applyFont="1" applyFill="1" applyBorder="1" applyAlignment="1">
      <alignment horizontal="center" vertical="center" wrapText="1"/>
    </xf>
    <xf numFmtId="9" fontId="22" fillId="6" borderId="63" xfId="9" applyFont="1" applyFill="1" applyBorder="1" applyAlignment="1">
      <alignment horizontal="center" vertical="center" wrapText="1"/>
    </xf>
    <xf numFmtId="9" fontId="22" fillId="6" borderId="64" xfId="9" applyFont="1" applyFill="1" applyBorder="1" applyAlignment="1">
      <alignment horizontal="center" vertical="center" wrapText="1"/>
    </xf>
    <xf numFmtId="9" fontId="22" fillId="6" borderId="65" xfId="9" applyFont="1" applyFill="1" applyBorder="1" applyAlignment="1">
      <alignment horizontal="center" vertical="center" wrapText="1"/>
    </xf>
    <xf numFmtId="9" fontId="22" fillId="39" borderId="5" xfId="9" applyFont="1" applyFill="1" applyBorder="1" applyAlignment="1">
      <alignment horizontal="center" vertical="center" wrapText="1"/>
    </xf>
    <xf numFmtId="9" fontId="22" fillId="6" borderId="53" xfId="9" applyFont="1" applyFill="1" applyBorder="1" applyAlignment="1">
      <alignment horizontal="center" vertical="center" wrapText="1"/>
    </xf>
    <xf numFmtId="9" fontId="5" fillId="6" borderId="22" xfId="9" applyFont="1" applyFill="1" applyBorder="1" applyAlignment="1">
      <alignment horizontal="center" vertical="center" wrapText="1"/>
    </xf>
    <xf numFmtId="0" fontId="22" fillId="13" borderId="63" xfId="4" applyFont="1" applyFill="1" applyBorder="1" applyAlignment="1">
      <alignment horizontal="center" vertical="center" wrapText="1"/>
    </xf>
    <xf numFmtId="169" fontId="22" fillId="4" borderId="39" xfId="1" applyNumberFormat="1" applyFont="1" applyFill="1" applyBorder="1" applyAlignment="1">
      <alignment vertical="top" wrapText="1"/>
    </xf>
    <xf numFmtId="169" fontId="22" fillId="4" borderId="28" xfId="1" applyNumberFormat="1" applyFont="1" applyFill="1" applyBorder="1" applyAlignment="1">
      <alignment vertical="top" wrapText="1"/>
    </xf>
    <xf numFmtId="0" fontId="26" fillId="3" borderId="36" xfId="8" applyFont="1" applyFill="1" applyBorder="1" applyAlignment="1">
      <alignment vertical="center"/>
    </xf>
    <xf numFmtId="0" fontId="26" fillId="3" borderId="37" xfId="8" applyFont="1" applyFill="1" applyBorder="1" applyAlignment="1">
      <alignment vertical="center"/>
    </xf>
    <xf numFmtId="0" fontId="26" fillId="3" borderId="13" xfId="8" applyFont="1" applyFill="1" applyBorder="1" applyAlignment="1">
      <alignment vertical="center"/>
    </xf>
    <xf numFmtId="0" fontId="26" fillId="3" borderId="34" xfId="8" applyFont="1" applyFill="1" applyBorder="1" applyAlignment="1">
      <alignment vertical="center"/>
    </xf>
    <xf numFmtId="0" fontId="26" fillId="3" borderId="35" xfId="8" applyFont="1" applyFill="1" applyBorder="1" applyAlignment="1">
      <alignment vertical="center"/>
    </xf>
    <xf numFmtId="0" fontId="26" fillId="3" borderId="32" xfId="8" applyFont="1" applyFill="1" applyBorder="1" applyAlignment="1">
      <alignment vertical="center"/>
    </xf>
    <xf numFmtId="0" fontId="26" fillId="3" borderId="5" xfId="8" applyFont="1" applyFill="1" applyBorder="1" applyAlignment="1">
      <alignment vertical="center"/>
    </xf>
    <xf numFmtId="0" fontId="26" fillId="6" borderId="39" xfId="4" applyFont="1" applyFill="1" applyBorder="1" applyAlignment="1">
      <alignment vertical="top"/>
    </xf>
    <xf numFmtId="0" fontId="26" fillId="6" borderId="22" xfId="4" applyFont="1" applyFill="1" applyBorder="1" applyAlignment="1">
      <alignment vertical="top"/>
    </xf>
    <xf numFmtId="0" fontId="26" fillId="16" borderId="22" xfId="0" applyFont="1" applyFill="1" applyBorder="1" applyAlignment="1">
      <alignment vertical="center"/>
    </xf>
    <xf numFmtId="0" fontId="26" fillId="6" borderId="54" xfId="4" applyFont="1" applyFill="1" applyBorder="1" applyAlignment="1">
      <alignment vertical="top"/>
    </xf>
    <xf numFmtId="0" fontId="26" fillId="6" borderId="1" xfId="4" applyFont="1" applyFill="1" applyBorder="1" applyAlignment="1">
      <alignment vertical="top"/>
    </xf>
    <xf numFmtId="0" fontId="28" fillId="6" borderId="1" xfId="4" applyFont="1" applyFill="1" applyBorder="1" applyAlignment="1">
      <alignment vertical="top"/>
    </xf>
    <xf numFmtId="0" fontId="28" fillId="6" borderId="34" xfId="4" applyFont="1" applyFill="1" applyBorder="1" applyAlignment="1">
      <alignment vertical="top"/>
    </xf>
    <xf numFmtId="0" fontId="22" fillId="6" borderId="1" xfId="4" applyFont="1" applyFill="1" applyBorder="1" applyAlignment="1">
      <alignment vertical="top"/>
    </xf>
    <xf numFmtId="0" fontId="22" fillId="6" borderId="36" xfId="4" applyFont="1" applyFill="1" applyBorder="1" applyAlignment="1">
      <alignment vertical="top"/>
    </xf>
    <xf numFmtId="0" fontId="26" fillId="6" borderId="53" xfId="4" applyFont="1" applyFill="1" applyBorder="1" applyAlignment="1">
      <alignment vertical="top"/>
    </xf>
    <xf numFmtId="0" fontId="26" fillId="6" borderId="21" xfId="4" applyFont="1" applyFill="1" applyBorder="1" applyAlignment="1">
      <alignment vertical="top"/>
    </xf>
    <xf numFmtId="0" fontId="26" fillId="16" borderId="21" xfId="0" applyFont="1" applyFill="1" applyBorder="1" applyAlignment="1">
      <alignment vertical="center"/>
    </xf>
    <xf numFmtId="0" fontId="26" fillId="6" borderId="56" xfId="4" applyFont="1" applyFill="1" applyBorder="1" applyAlignment="1">
      <alignment vertical="top"/>
    </xf>
    <xf numFmtId="0" fontId="26" fillId="6" borderId="3" xfId="4" applyFont="1" applyFill="1" applyBorder="1" applyAlignment="1">
      <alignment vertical="top"/>
    </xf>
    <xf numFmtId="0" fontId="28" fillId="6" borderId="3" xfId="4" applyFont="1" applyFill="1" applyBorder="1" applyAlignment="1">
      <alignment vertical="top"/>
    </xf>
    <xf numFmtId="0" fontId="28" fillId="6" borderId="35" xfId="4" applyFont="1" applyFill="1" applyBorder="1" applyAlignment="1">
      <alignment vertical="top"/>
    </xf>
    <xf numFmtId="0" fontId="22" fillId="6" borderId="3" xfId="4" applyFont="1" applyFill="1" applyBorder="1" applyAlignment="1">
      <alignment vertical="top"/>
    </xf>
    <xf numFmtId="0" fontId="22" fillId="6" borderId="13" xfId="4" applyFont="1" applyFill="1" applyBorder="1" applyAlignment="1">
      <alignment vertical="top"/>
    </xf>
    <xf numFmtId="0" fontId="28" fillId="6" borderId="0" xfId="4" applyFont="1" applyFill="1" applyAlignment="1">
      <alignment vertical="top"/>
    </xf>
    <xf numFmtId="0" fontId="26" fillId="6" borderId="52" xfId="4" applyFont="1" applyFill="1" applyBorder="1" applyAlignment="1">
      <alignment vertical="top"/>
    </xf>
    <xf numFmtId="0" fontId="26" fillId="6" borderId="50" xfId="4" applyFont="1" applyFill="1" applyBorder="1" applyAlignment="1">
      <alignment vertical="top"/>
    </xf>
    <xf numFmtId="0" fontId="26" fillId="16" borderId="50" xfId="0" applyFont="1" applyFill="1" applyBorder="1" applyAlignment="1">
      <alignment vertical="center"/>
    </xf>
    <xf numFmtId="0" fontId="26" fillId="6" borderId="55" xfId="4" applyFont="1" applyFill="1" applyBorder="1" applyAlignment="1">
      <alignment vertical="top"/>
    </xf>
    <xf numFmtId="0" fontId="26" fillId="6" borderId="2" xfId="4" applyFont="1" applyFill="1" applyBorder="1" applyAlignment="1">
      <alignment vertical="top"/>
    </xf>
    <xf numFmtId="0" fontId="28" fillId="6" borderId="2" xfId="4" applyFont="1" applyFill="1" applyBorder="1" applyAlignment="1">
      <alignment vertical="top"/>
    </xf>
    <xf numFmtId="0" fontId="22" fillId="6" borderId="2" xfId="4" applyFont="1" applyFill="1" applyBorder="1" applyAlignment="1">
      <alignment vertical="top"/>
    </xf>
    <xf numFmtId="0" fontId="22" fillId="6" borderId="37" xfId="4" applyFont="1" applyFill="1" applyBorder="1" applyAlignment="1">
      <alignment vertical="top"/>
    </xf>
    <xf numFmtId="0" fontId="22" fillId="18" borderId="52" xfId="4" applyFont="1" applyFill="1" applyBorder="1" applyAlignment="1">
      <alignment vertical="top" wrapText="1"/>
    </xf>
    <xf numFmtId="0" fontId="22" fillId="18" borderId="51" xfId="4" applyFont="1" applyFill="1" applyBorder="1" applyAlignment="1">
      <alignment vertical="top" wrapText="1"/>
    </xf>
    <xf numFmtId="0" fontId="22" fillId="18" borderId="39" xfId="4" applyFont="1" applyFill="1" applyBorder="1" applyAlignment="1">
      <alignment vertical="top" wrapText="1"/>
    </xf>
    <xf numFmtId="0" fontId="22" fillId="18" borderId="28" xfId="4" applyFont="1" applyFill="1" applyBorder="1" applyAlignment="1">
      <alignment vertical="top" wrapText="1"/>
    </xf>
    <xf numFmtId="0" fontId="5" fillId="4" borderId="22" xfId="4" applyFont="1" applyFill="1" applyBorder="1" applyAlignment="1" applyProtection="1">
      <alignment horizontal="center" vertical="top" wrapText="1"/>
      <protection locked="0"/>
    </xf>
    <xf numFmtId="0" fontId="5" fillId="4" borderId="50" xfId="4" applyFont="1" applyFill="1" applyBorder="1" applyAlignment="1" applyProtection="1">
      <alignment horizontal="center" vertical="top" wrapText="1"/>
      <protection locked="0"/>
    </xf>
    <xf numFmtId="0" fontId="5" fillId="4" borderId="21" xfId="4" applyFont="1" applyFill="1" applyBorder="1" applyAlignment="1" applyProtection="1">
      <alignment horizontal="center" vertical="top" wrapText="1"/>
      <protection locked="0"/>
    </xf>
    <xf numFmtId="0" fontId="13" fillId="30" borderId="0" xfId="4" applyFont="1" applyFill="1" applyAlignment="1">
      <alignment horizontal="left" vertical="center"/>
    </xf>
    <xf numFmtId="2" fontId="22" fillId="6" borderId="46" xfId="5" applyNumberFormat="1" applyFont="1" applyFill="1" applyBorder="1"/>
    <xf numFmtId="2" fontId="5" fillId="0" borderId="59" xfId="5" applyNumberFormat="1" applyFont="1" applyBorder="1"/>
    <xf numFmtId="2" fontId="5" fillId="0" borderId="30" xfId="5" applyNumberFormat="1" applyFont="1" applyBorder="1"/>
    <xf numFmtId="2" fontId="22" fillId="3" borderId="0" xfId="5" applyNumberFormat="1" applyFont="1" applyFill="1"/>
    <xf numFmtId="2" fontId="5" fillId="3" borderId="0" xfId="5" applyNumberFormat="1" applyFont="1" applyFill="1"/>
    <xf numFmtId="0" fontId="0" fillId="3" borderId="0" xfId="0" applyFill="1"/>
    <xf numFmtId="4" fontId="5" fillId="4" borderId="18" xfId="4" applyNumberFormat="1" applyFont="1" applyFill="1" applyBorder="1" applyAlignment="1">
      <alignment horizontal="center"/>
    </xf>
    <xf numFmtId="4" fontId="5" fillId="4" borderId="24" xfId="4" applyNumberFormat="1" applyFont="1" applyFill="1" applyBorder="1" applyAlignment="1">
      <alignment horizontal="center"/>
    </xf>
    <xf numFmtId="4" fontId="5" fillId="4" borderId="30" xfId="4" applyNumberFormat="1" applyFont="1" applyFill="1" applyBorder="1" applyAlignment="1">
      <alignment horizontal="center"/>
    </xf>
    <xf numFmtId="0" fontId="22" fillId="6" borderId="40" xfId="4" applyFont="1" applyFill="1" applyBorder="1"/>
    <xf numFmtId="169" fontId="22" fillId="6" borderId="40" xfId="4" applyNumberFormat="1" applyFont="1" applyFill="1" applyBorder="1"/>
    <xf numFmtId="169" fontId="22" fillId="6" borderId="38" xfId="4" applyNumberFormat="1" applyFont="1" applyFill="1" applyBorder="1"/>
    <xf numFmtId="0" fontId="22" fillId="6" borderId="45" xfId="4" applyFont="1" applyFill="1" applyBorder="1"/>
    <xf numFmtId="169" fontId="22" fillId="4" borderId="67" xfId="1" applyNumberFormat="1" applyFont="1" applyFill="1" applyBorder="1" applyAlignment="1">
      <alignment horizontal="center" vertical="top" wrapText="1"/>
    </xf>
    <xf numFmtId="169" fontId="22" fillId="6" borderId="19" xfId="1" applyNumberFormat="1" applyFont="1" applyFill="1" applyBorder="1" applyAlignment="1">
      <alignment horizontal="center" vertical="top" wrapText="1"/>
    </xf>
    <xf numFmtId="169" fontId="22" fillId="6" borderId="31" xfId="1" applyNumberFormat="1" applyFont="1" applyFill="1" applyBorder="1" applyAlignment="1">
      <alignment horizontal="center" vertical="top" wrapText="1"/>
    </xf>
    <xf numFmtId="9" fontId="22" fillId="6" borderId="31" xfId="9" applyFont="1" applyFill="1" applyBorder="1" applyAlignment="1">
      <alignment horizontal="center" vertical="center" wrapText="1"/>
    </xf>
    <xf numFmtId="9" fontId="22" fillId="39" borderId="1" xfId="2" applyFont="1" applyFill="1" applyBorder="1"/>
    <xf numFmtId="9" fontId="22" fillId="39" borderId="69" xfId="2" applyFont="1" applyFill="1" applyBorder="1"/>
    <xf numFmtId="9" fontId="22" fillId="39" borderId="77" xfId="2" applyFont="1" applyFill="1" applyBorder="1"/>
    <xf numFmtId="9" fontId="5" fillId="6" borderId="54" xfId="9" applyFont="1" applyFill="1" applyBorder="1" applyAlignment="1">
      <alignment horizontal="center" vertical="center" wrapText="1"/>
    </xf>
    <xf numFmtId="9" fontId="5" fillId="0" borderId="74" xfId="2" applyFont="1" applyBorder="1"/>
    <xf numFmtId="9" fontId="22" fillId="6" borderId="28" xfId="9" applyFont="1" applyFill="1" applyBorder="1" applyAlignment="1">
      <alignment horizontal="center" vertical="center" wrapText="1"/>
    </xf>
    <xf numFmtId="169" fontId="5" fillId="6" borderId="38" xfId="2" applyNumberFormat="1" applyFont="1" applyFill="1" applyBorder="1" applyAlignment="1">
      <alignment horizontal="center"/>
    </xf>
    <xf numFmtId="169" fontId="5" fillId="6" borderId="40" xfId="2" applyNumberFormat="1" applyFont="1" applyFill="1" applyBorder="1" applyAlignment="1">
      <alignment horizontal="center"/>
    </xf>
    <xf numFmtId="169" fontId="5" fillId="6" borderId="45" xfId="2" applyNumberFormat="1" applyFont="1" applyFill="1" applyBorder="1" applyAlignment="1">
      <alignment horizontal="center"/>
    </xf>
    <xf numFmtId="0" fontId="28" fillId="6" borderId="2" xfId="4" applyFont="1" applyFill="1" applyBorder="1" applyAlignment="1">
      <alignment vertical="top" wrapText="1"/>
    </xf>
    <xf numFmtId="0" fontId="28" fillId="6" borderId="3" xfId="4" applyFont="1" applyFill="1" applyBorder="1" applyAlignment="1">
      <alignment vertical="top" wrapText="1"/>
    </xf>
    <xf numFmtId="0" fontId="22" fillId="6" borderId="2" xfId="4" applyFont="1" applyFill="1" applyBorder="1" applyAlignment="1">
      <alignment vertical="top" wrapText="1"/>
    </xf>
    <xf numFmtId="0" fontId="22" fillId="6" borderId="3" xfId="4" applyFont="1" applyFill="1" applyBorder="1" applyAlignment="1">
      <alignment vertical="top" wrapText="1"/>
    </xf>
    <xf numFmtId="9" fontId="5" fillId="6" borderId="76" xfId="9" applyFont="1" applyFill="1" applyBorder="1" applyAlignment="1">
      <alignment horizontal="center" vertical="center" wrapText="1"/>
    </xf>
    <xf numFmtId="9" fontId="5" fillId="0" borderId="40" xfId="2" applyFont="1" applyBorder="1"/>
    <xf numFmtId="176" fontId="22" fillId="6" borderId="47" xfId="1" applyNumberFormat="1" applyFont="1" applyFill="1" applyBorder="1" applyAlignment="1">
      <alignment horizontal="center" vertical="center" wrapText="1"/>
    </xf>
    <xf numFmtId="176" fontId="22" fillId="6" borderId="48" xfId="1" applyNumberFormat="1" applyFont="1" applyFill="1" applyBorder="1" applyAlignment="1">
      <alignment horizontal="center" vertical="center" wrapText="1"/>
    </xf>
    <xf numFmtId="176" fontId="22" fillId="6" borderId="62" xfId="1" applyNumberFormat="1" applyFont="1" applyFill="1" applyBorder="1" applyAlignment="1">
      <alignment horizontal="center" vertical="center" wrapText="1"/>
    </xf>
    <xf numFmtId="0" fontId="22" fillId="6" borderId="63" xfId="4" applyFont="1" applyFill="1" applyBorder="1" applyAlignment="1">
      <alignment horizontal="center" vertical="center" wrapText="1"/>
    </xf>
    <xf numFmtId="4" fontId="5" fillId="18" borderId="18" xfId="4" applyNumberFormat="1" applyFont="1" applyFill="1" applyBorder="1" applyAlignment="1">
      <alignment horizontal="center"/>
    </xf>
    <xf numFmtId="4" fontId="5" fillId="18" borderId="24" xfId="4" applyNumberFormat="1" applyFont="1" applyFill="1" applyBorder="1" applyAlignment="1">
      <alignment horizontal="center"/>
    </xf>
    <xf numFmtId="4" fontId="5" fillId="18" borderId="30" xfId="4" applyNumberFormat="1" applyFont="1" applyFill="1" applyBorder="1" applyAlignment="1">
      <alignment horizontal="center"/>
    </xf>
    <xf numFmtId="9" fontId="22" fillId="6" borderId="76" xfId="9" applyFont="1" applyFill="1" applyBorder="1" applyAlignment="1">
      <alignment horizontal="center" vertical="center" wrapText="1"/>
    </xf>
    <xf numFmtId="9" fontId="22" fillId="6" borderId="19" xfId="9" applyFont="1" applyFill="1" applyBorder="1" applyAlignment="1">
      <alignment horizontal="center" vertical="center" wrapText="1"/>
    </xf>
    <xf numFmtId="9" fontId="22" fillId="6" borderId="25" xfId="9" applyFont="1" applyFill="1" applyBorder="1" applyAlignment="1">
      <alignment horizontal="center" vertical="center" wrapText="1"/>
    </xf>
    <xf numFmtId="9" fontId="22" fillId="13" borderId="5" xfId="9" applyFont="1" applyFill="1" applyBorder="1" applyAlignment="1">
      <alignment horizontal="center" vertical="center" wrapText="1"/>
    </xf>
    <xf numFmtId="9" fontId="5" fillId="0" borderId="23" xfId="2" applyFont="1" applyBorder="1"/>
    <xf numFmtId="9" fontId="5" fillId="6" borderId="23" xfId="2" applyFont="1" applyFill="1" applyBorder="1"/>
    <xf numFmtId="9" fontId="22" fillId="13" borderId="75" xfId="2" applyFont="1" applyFill="1" applyBorder="1"/>
    <xf numFmtId="9" fontId="22" fillId="13" borderId="70" xfId="2" applyFont="1" applyFill="1" applyBorder="1"/>
    <xf numFmtId="9" fontId="22" fillId="13" borderId="71" xfId="2" applyFont="1" applyFill="1" applyBorder="1" applyAlignment="1">
      <alignment horizontal="center" vertical="center" wrapText="1"/>
    </xf>
    <xf numFmtId="9" fontId="5" fillId="6" borderId="57" xfId="2" applyFont="1" applyFill="1" applyBorder="1"/>
    <xf numFmtId="9" fontId="5" fillId="0" borderId="58" xfId="2" applyFont="1" applyBorder="1"/>
    <xf numFmtId="9" fontId="5" fillId="0" borderId="17" xfId="2" applyFont="1" applyBorder="1"/>
    <xf numFmtId="9" fontId="5" fillId="0" borderId="38" xfId="2" applyFont="1" applyBorder="1"/>
    <xf numFmtId="2" fontId="22" fillId="18" borderId="74" xfId="5" applyNumberFormat="1" applyFont="1" applyFill="1" applyBorder="1" applyAlignment="1">
      <alignment horizontal="center" vertical="center" wrapText="1"/>
    </xf>
    <xf numFmtId="2" fontId="22" fillId="18" borderId="67" xfId="5" applyNumberFormat="1" applyFont="1" applyFill="1" applyBorder="1" applyAlignment="1">
      <alignment horizontal="center" vertical="center" wrapText="1"/>
    </xf>
    <xf numFmtId="9" fontId="5" fillId="0" borderId="61" xfId="2" applyFont="1" applyBorder="1"/>
    <xf numFmtId="169" fontId="5" fillId="3" borderId="7" xfId="1" applyNumberFormat="1" applyFont="1" applyFill="1" applyBorder="1"/>
    <xf numFmtId="0" fontId="22" fillId="39" borderId="9" xfId="4" applyFont="1" applyFill="1" applyBorder="1" applyAlignment="1">
      <alignment horizontal="center" vertical="center" wrapText="1"/>
    </xf>
    <xf numFmtId="0" fontId="22" fillId="39" borderId="10" xfId="4" applyFont="1" applyFill="1" applyBorder="1" applyAlignment="1">
      <alignment horizontal="center" vertical="center" wrapText="1"/>
    </xf>
    <xf numFmtId="2" fontId="22" fillId="39" borderId="60" xfId="1" applyNumberFormat="1" applyFont="1" applyFill="1" applyBorder="1" applyAlignment="1">
      <alignment horizontal="center" vertical="center"/>
    </xf>
    <xf numFmtId="0" fontId="22" fillId="18" borderId="45" xfId="4" applyFont="1" applyFill="1" applyBorder="1" applyAlignment="1">
      <alignment horizontal="center" vertical="top" wrapText="1"/>
    </xf>
    <xf numFmtId="169" fontId="22" fillId="18" borderId="28" xfId="4" applyNumberFormat="1" applyFont="1" applyFill="1" applyBorder="1" applyAlignment="1">
      <alignment vertical="top" wrapText="1"/>
    </xf>
    <xf numFmtId="9" fontId="5" fillId="6" borderId="77" xfId="9" applyFont="1" applyFill="1" applyBorder="1" applyAlignment="1">
      <alignment horizontal="center" vertical="center" wrapText="1"/>
    </xf>
    <xf numFmtId="9" fontId="5" fillId="6" borderId="72" xfId="9" applyFont="1" applyFill="1" applyBorder="1" applyAlignment="1">
      <alignment horizontal="center" vertical="center" wrapText="1"/>
    </xf>
    <xf numFmtId="176" fontId="22" fillId="39" borderId="9" xfId="1" applyNumberFormat="1" applyFont="1" applyFill="1" applyBorder="1" applyAlignment="1">
      <alignment horizontal="center" vertical="center" wrapText="1"/>
    </xf>
    <xf numFmtId="2" fontId="22" fillId="39" borderId="10" xfId="1" applyNumberFormat="1" applyFont="1" applyFill="1" applyBorder="1" applyAlignment="1">
      <alignment horizontal="center" vertical="center"/>
    </xf>
    <xf numFmtId="176" fontId="22" fillId="39" borderId="18" xfId="1" applyNumberFormat="1" applyFont="1" applyFill="1" applyBorder="1" applyAlignment="1">
      <alignment horizontal="center" vertical="center" wrapText="1"/>
    </xf>
    <xf numFmtId="176" fontId="22" fillId="39" borderId="24" xfId="1" applyNumberFormat="1" applyFont="1" applyFill="1" applyBorder="1" applyAlignment="1">
      <alignment horizontal="center" vertical="center" wrapText="1"/>
    </xf>
    <xf numFmtId="167" fontId="5" fillId="3" borderId="0" xfId="1" applyFont="1" applyFill="1" applyAlignment="1">
      <alignment vertical="center" wrapText="1"/>
    </xf>
    <xf numFmtId="2" fontId="22" fillId="10" borderId="51" xfId="5" applyNumberFormat="1" applyFont="1" applyFill="1" applyBorder="1" applyAlignment="1">
      <alignment horizontal="center" vertical="center" wrapText="1"/>
    </xf>
    <xf numFmtId="9" fontId="5" fillId="10" borderId="38" xfId="2" applyFont="1" applyFill="1" applyBorder="1" applyAlignment="1">
      <alignment horizontal="center"/>
    </xf>
    <xf numFmtId="9" fontId="5" fillId="10" borderId="40" xfId="2" applyFont="1" applyFill="1" applyBorder="1" applyAlignment="1">
      <alignment horizontal="center"/>
    </xf>
    <xf numFmtId="9" fontId="22" fillId="10" borderId="40" xfId="9" applyFont="1" applyFill="1" applyBorder="1" applyAlignment="1">
      <alignment vertical="center" wrapText="1"/>
    </xf>
    <xf numFmtId="9" fontId="22" fillId="10" borderId="45" xfId="9" applyFont="1" applyFill="1" applyBorder="1" applyAlignment="1">
      <alignment vertical="center" wrapText="1"/>
    </xf>
    <xf numFmtId="9" fontId="5" fillId="10" borderId="2" xfId="2" applyFont="1" applyFill="1" applyBorder="1" applyAlignment="1">
      <alignment horizontal="center"/>
    </xf>
    <xf numFmtId="9" fontId="5" fillId="10" borderId="66" xfId="2" applyFont="1" applyFill="1" applyBorder="1" applyAlignment="1">
      <alignment horizontal="center"/>
    </xf>
    <xf numFmtId="9" fontId="5" fillId="10" borderId="31" xfId="2" applyFont="1" applyFill="1" applyBorder="1" applyAlignment="1">
      <alignment horizontal="center"/>
    </xf>
    <xf numFmtId="9" fontId="5" fillId="10" borderId="11" xfId="2" applyFont="1" applyFill="1" applyBorder="1" applyAlignment="1">
      <alignment horizontal="center"/>
    </xf>
    <xf numFmtId="2" fontId="22" fillId="10" borderId="43" xfId="5" applyNumberFormat="1" applyFont="1" applyFill="1" applyBorder="1" applyAlignment="1">
      <alignment horizontal="center" vertical="center" wrapText="1"/>
    </xf>
    <xf numFmtId="9" fontId="5" fillId="10" borderId="69" xfId="2" applyFont="1" applyFill="1" applyBorder="1" applyAlignment="1">
      <alignment horizontal="center"/>
    </xf>
    <xf numFmtId="9" fontId="5" fillId="10" borderId="45" xfId="2" applyFont="1" applyFill="1" applyBorder="1" applyAlignment="1">
      <alignment horizontal="center"/>
    </xf>
    <xf numFmtId="2" fontId="22" fillId="10" borderId="45" xfId="5" applyNumberFormat="1" applyFont="1" applyFill="1" applyBorder="1" applyAlignment="1">
      <alignment horizontal="center" vertical="center" wrapText="1"/>
    </xf>
    <xf numFmtId="9" fontId="5" fillId="10" borderId="58" xfId="2" applyFont="1" applyFill="1" applyBorder="1" applyAlignment="1">
      <alignment horizontal="center"/>
    </xf>
    <xf numFmtId="169" fontId="22" fillId="18" borderId="14" xfId="1" applyNumberFormat="1" applyFont="1" applyFill="1" applyBorder="1" applyAlignment="1">
      <alignment vertical="top" wrapText="1"/>
    </xf>
    <xf numFmtId="169" fontId="22" fillId="18" borderId="26" xfId="1" applyNumberFormat="1" applyFont="1" applyFill="1" applyBorder="1" applyAlignment="1">
      <alignment vertical="top" wrapText="1"/>
    </xf>
    <xf numFmtId="173" fontId="23" fillId="3" borderId="54" xfId="0" applyNumberFormat="1" applyFont="1" applyFill="1" applyBorder="1" applyAlignment="1">
      <alignment horizontal="center" vertical="center"/>
    </xf>
    <xf numFmtId="4" fontId="23" fillId="3" borderId="53" xfId="0" applyNumberFormat="1" applyFont="1" applyFill="1" applyBorder="1" applyAlignment="1">
      <alignment horizontal="center" vertical="center"/>
    </xf>
    <xf numFmtId="4" fontId="23" fillId="3" borderId="21" xfId="0" applyNumberFormat="1" applyFont="1" applyFill="1" applyBorder="1" applyAlignment="1">
      <alignment horizontal="center" vertical="center"/>
    </xf>
    <xf numFmtId="2" fontId="23" fillId="3" borderId="21" xfId="0" applyNumberFormat="1" applyFont="1" applyFill="1" applyBorder="1" applyAlignment="1">
      <alignment horizontal="center" vertical="center" wrapText="1"/>
    </xf>
    <xf numFmtId="2" fontId="23" fillId="3" borderId="27" xfId="0" applyNumberFormat="1" applyFont="1" applyFill="1" applyBorder="1" applyAlignment="1">
      <alignment horizontal="center" vertical="center" wrapText="1"/>
    </xf>
    <xf numFmtId="0" fontId="15" fillId="26" borderId="5" xfId="0" applyFont="1" applyFill="1" applyBorder="1" applyAlignment="1">
      <alignment horizontal="center" vertical="center"/>
    </xf>
    <xf numFmtId="0" fontId="23" fillId="3" borderId="14" xfId="0" applyFont="1" applyFill="1" applyBorder="1" applyAlignment="1">
      <alignment horizontal="center" vertical="center" wrapText="1"/>
    </xf>
    <xf numFmtId="173" fontId="23" fillId="3" borderId="20" xfId="0" applyNumberFormat="1" applyFont="1" applyFill="1" applyBorder="1" applyAlignment="1">
      <alignment horizontal="center" vertical="center"/>
    </xf>
    <xf numFmtId="0" fontId="5" fillId="10" borderId="34" xfId="0" applyFont="1" applyFill="1" applyBorder="1"/>
    <xf numFmtId="0" fontId="5" fillId="10" borderId="20" xfId="0" applyFont="1" applyFill="1" applyBorder="1"/>
    <xf numFmtId="3" fontId="5" fillId="13" borderId="22" xfId="4" applyNumberFormat="1" applyFont="1" applyFill="1" applyBorder="1" applyAlignment="1" applyProtection="1">
      <alignment horizontal="center" vertical="top" wrapText="1"/>
      <protection locked="0"/>
    </xf>
    <xf numFmtId="168" fontId="38" fillId="13" borderId="14" xfId="7" applyNumberFormat="1" applyFont="1" applyFill="1" applyBorder="1" applyAlignment="1">
      <alignment horizontal="center" vertical="top" wrapText="1"/>
    </xf>
    <xf numFmtId="168" fontId="38" fillId="13" borderId="12" xfId="7" applyNumberFormat="1" applyFont="1" applyFill="1" applyBorder="1" applyAlignment="1">
      <alignment horizontal="center" vertical="top" wrapText="1"/>
    </xf>
    <xf numFmtId="168" fontId="38" fillId="13" borderId="20" xfId="7" applyNumberFormat="1" applyFont="1" applyFill="1" applyBorder="1" applyAlignment="1">
      <alignment horizontal="center" vertical="top" wrapText="1"/>
    </xf>
    <xf numFmtId="174" fontId="38" fillId="13" borderId="20" xfId="4" applyNumberFormat="1" applyFont="1" applyFill="1" applyBorder="1" applyAlignment="1" applyProtection="1">
      <alignment horizontal="center" vertical="top" wrapText="1"/>
      <protection locked="0"/>
    </xf>
    <xf numFmtId="2" fontId="5" fillId="13" borderId="39" xfId="4" applyNumberFormat="1" applyFont="1" applyFill="1" applyBorder="1" applyAlignment="1" applyProtection="1">
      <alignment horizontal="center"/>
      <protection locked="0"/>
    </xf>
    <xf numFmtId="2" fontId="5" fillId="13" borderId="22" xfId="4" applyNumberFormat="1" applyFont="1" applyFill="1" applyBorder="1" applyAlignment="1" applyProtection="1">
      <alignment horizontal="center"/>
      <protection locked="0"/>
    </xf>
    <xf numFmtId="2" fontId="5" fillId="13" borderId="28" xfId="4" applyNumberFormat="1" applyFont="1" applyFill="1" applyBorder="1" applyAlignment="1" applyProtection="1">
      <alignment horizontal="center"/>
      <protection locked="0"/>
    </xf>
    <xf numFmtId="168" fontId="38" fillId="13" borderId="26" xfId="4" applyNumberFormat="1" applyFont="1" applyFill="1" applyBorder="1" applyAlignment="1">
      <alignment horizontal="center" wrapText="1"/>
    </xf>
    <xf numFmtId="3" fontId="5" fillId="13" borderId="16" xfId="4" applyNumberFormat="1" applyFont="1" applyFill="1" applyBorder="1" applyAlignment="1">
      <alignment horizontal="center" vertical="top" wrapText="1"/>
    </xf>
    <xf numFmtId="168" fontId="38" fillId="14" borderId="12" xfId="4" applyNumberFormat="1" applyFont="1" applyFill="1" applyBorder="1" applyAlignment="1">
      <alignment horizontal="center" vertical="top" wrapText="1"/>
    </xf>
    <xf numFmtId="3" fontId="23" fillId="33" borderId="8" xfId="4" applyNumberFormat="1" applyFont="1" applyFill="1" applyBorder="1" applyAlignment="1">
      <alignment horizontal="center" vertical="top" wrapText="1"/>
    </xf>
    <xf numFmtId="0" fontId="23" fillId="10" borderId="1" xfId="4" applyFont="1" applyFill="1" applyBorder="1" applyAlignment="1">
      <alignment horizontal="center" vertical="center" wrapText="1"/>
    </xf>
    <xf numFmtId="168" fontId="38" fillId="13" borderId="20" xfId="4" applyNumberFormat="1" applyFont="1" applyFill="1" applyBorder="1" applyAlignment="1" applyProtection="1">
      <alignment horizontal="center" vertical="top" wrapText="1"/>
      <protection locked="0"/>
    </xf>
    <xf numFmtId="168" fontId="38" fillId="13" borderId="26" xfId="4" applyNumberFormat="1" applyFont="1" applyFill="1" applyBorder="1" applyAlignment="1" applyProtection="1">
      <alignment horizontal="center" vertical="top" wrapText="1"/>
      <protection locked="0"/>
    </xf>
    <xf numFmtId="3" fontId="5" fillId="13" borderId="54" xfId="4" applyNumberFormat="1" applyFont="1" applyFill="1" applyBorder="1" applyAlignment="1" applyProtection="1">
      <alignment horizontal="center" vertical="top" wrapText="1"/>
      <protection locked="0"/>
    </xf>
    <xf numFmtId="168" fontId="38" fillId="13" borderId="41" xfId="4" applyNumberFormat="1" applyFont="1" applyFill="1" applyBorder="1" applyAlignment="1" applyProtection="1">
      <alignment horizontal="center" vertical="top" wrapText="1"/>
      <protection locked="0"/>
    </xf>
    <xf numFmtId="3" fontId="40" fillId="33" borderId="8" xfId="4" applyNumberFormat="1" applyFont="1" applyFill="1" applyBorder="1" applyAlignment="1">
      <alignment horizontal="center" vertical="top" wrapText="1"/>
    </xf>
    <xf numFmtId="0" fontId="40" fillId="6" borderId="4" xfId="4" applyFont="1" applyFill="1" applyBorder="1" applyAlignment="1">
      <alignment horizontal="center" vertical="center"/>
    </xf>
    <xf numFmtId="3" fontId="5" fillId="13" borderId="8" xfId="4" applyNumberFormat="1" applyFont="1" applyFill="1" applyBorder="1" applyAlignment="1" applyProtection="1">
      <alignment horizontal="center" vertical="top" wrapText="1"/>
      <protection locked="0"/>
    </xf>
    <xf numFmtId="168" fontId="0" fillId="0" borderId="3" xfId="0" applyNumberFormat="1" applyBorder="1"/>
    <xf numFmtId="168" fontId="0" fillId="0" borderId="53" xfId="1" applyNumberFormat="1" applyFont="1" applyBorder="1"/>
    <xf numFmtId="168" fontId="0" fillId="0" borderId="21" xfId="1" applyNumberFormat="1" applyFont="1" applyBorder="1"/>
    <xf numFmtId="168" fontId="0" fillId="0" borderId="21" xfId="0" applyNumberFormat="1" applyBorder="1"/>
    <xf numFmtId="168" fontId="0" fillId="0" borderId="15" xfId="0" applyNumberFormat="1" applyBorder="1"/>
    <xf numFmtId="168" fontId="0" fillId="0" borderId="69" xfId="0" applyNumberFormat="1" applyBorder="1"/>
    <xf numFmtId="168" fontId="0" fillId="0" borderId="38" xfId="1" applyNumberFormat="1" applyFont="1" applyBorder="1"/>
    <xf numFmtId="168" fontId="0" fillId="0" borderId="40" xfId="1" applyNumberFormat="1" applyFont="1" applyBorder="1"/>
    <xf numFmtId="168" fontId="0" fillId="0" borderId="40" xfId="0" applyNumberFormat="1" applyBorder="1"/>
    <xf numFmtId="168" fontId="0" fillId="19" borderId="40" xfId="1" applyNumberFormat="1" applyFont="1" applyFill="1" applyBorder="1"/>
    <xf numFmtId="168" fontId="0" fillId="19" borderId="40" xfId="0" applyNumberFormat="1" applyFill="1" applyBorder="1"/>
    <xf numFmtId="168" fontId="0" fillId="0" borderId="58" xfId="0" applyNumberFormat="1" applyBorder="1"/>
    <xf numFmtId="170" fontId="0" fillId="0" borderId="21" xfId="1" applyNumberFormat="1" applyFont="1" applyBorder="1"/>
    <xf numFmtId="170" fontId="60" fillId="0" borderId="21" xfId="1" applyNumberFormat="1" applyFont="1" applyBorder="1"/>
    <xf numFmtId="170" fontId="0" fillId="0" borderId="27" xfId="1" applyNumberFormat="1" applyFont="1" applyBorder="1"/>
    <xf numFmtId="0" fontId="0" fillId="35" borderId="64" xfId="0" applyFill="1" applyBorder="1"/>
    <xf numFmtId="0" fontId="0" fillId="35" borderId="70" xfId="0" applyFill="1" applyBorder="1"/>
    <xf numFmtId="170" fontId="0" fillId="0" borderId="40" xfId="1" applyNumberFormat="1" applyFont="1" applyBorder="1"/>
    <xf numFmtId="170" fontId="60" fillId="19" borderId="40" xfId="1" applyNumberFormat="1" applyFont="1" applyFill="1" applyBorder="1"/>
    <xf numFmtId="170" fontId="0" fillId="0" borderId="45" xfId="1" applyNumberFormat="1" applyFont="1" applyBorder="1"/>
    <xf numFmtId="170" fontId="0" fillId="0" borderId="53" xfId="1" applyNumberFormat="1" applyFont="1" applyBorder="1"/>
    <xf numFmtId="170" fontId="0" fillId="0" borderId="38" xfId="1" applyNumberFormat="1" applyFont="1" applyBorder="1"/>
    <xf numFmtId="168" fontId="0" fillId="0" borderId="53" xfId="0" applyNumberFormat="1" applyBorder="1"/>
    <xf numFmtId="168" fontId="0" fillId="0" borderId="38" xfId="0" applyNumberFormat="1" applyBorder="1"/>
    <xf numFmtId="168" fontId="0" fillId="39" borderId="24" xfId="0" applyNumberFormat="1" applyFill="1" applyBorder="1"/>
    <xf numFmtId="168" fontId="0" fillId="35" borderId="24" xfId="0" applyNumberFormat="1" applyFill="1" applyBorder="1"/>
    <xf numFmtId="0" fontId="0" fillId="39" borderId="40" xfId="0" applyFill="1" applyBorder="1"/>
    <xf numFmtId="168" fontId="0" fillId="39" borderId="40" xfId="0" applyNumberFormat="1" applyFill="1" applyBorder="1"/>
    <xf numFmtId="168" fontId="0" fillId="39" borderId="21" xfId="0" applyNumberFormat="1" applyFill="1" applyBorder="1"/>
    <xf numFmtId="0" fontId="0" fillId="39" borderId="43" xfId="0" applyFill="1" applyBorder="1"/>
    <xf numFmtId="168" fontId="0" fillId="39" borderId="43" xfId="0" applyNumberFormat="1" applyFill="1" applyBorder="1"/>
    <xf numFmtId="168" fontId="0" fillId="39" borderId="56" xfId="0" applyNumberFormat="1" applyFill="1" applyBorder="1"/>
    <xf numFmtId="168" fontId="0" fillId="39" borderId="44" xfId="0" applyNumberFormat="1" applyFill="1" applyBorder="1"/>
    <xf numFmtId="0" fontId="0" fillId="39" borderId="45" xfId="0" applyFill="1" applyBorder="1"/>
    <xf numFmtId="168" fontId="0" fillId="39" borderId="45" xfId="0" applyNumberFormat="1" applyFill="1" applyBorder="1"/>
    <xf numFmtId="168" fontId="0" fillId="39" borderId="27" xfId="0" applyNumberFormat="1" applyFill="1" applyBorder="1"/>
    <xf numFmtId="168" fontId="0" fillId="39" borderId="30" xfId="0" applyNumberFormat="1" applyFill="1" applyBorder="1"/>
    <xf numFmtId="168" fontId="0" fillId="0" borderId="50" xfId="0" applyNumberFormat="1" applyBorder="1"/>
    <xf numFmtId="168" fontId="0" fillId="0" borderId="52" xfId="1" applyNumberFormat="1" applyFont="1" applyBorder="1"/>
    <xf numFmtId="168" fontId="0" fillId="0" borderId="26" xfId="0" applyNumberFormat="1" applyBorder="1"/>
    <xf numFmtId="168" fontId="0" fillId="0" borderId="20" xfId="1" applyNumberFormat="1" applyFont="1" applyBorder="1"/>
    <xf numFmtId="168" fontId="0" fillId="0" borderId="14" xfId="1" applyNumberFormat="1" applyFont="1" applyBorder="1"/>
    <xf numFmtId="168" fontId="0" fillId="0" borderId="50" xfId="1" applyNumberFormat="1" applyFont="1" applyBorder="1"/>
    <xf numFmtId="168" fontId="0" fillId="0" borderId="31" xfId="0" applyNumberFormat="1" applyBorder="1"/>
    <xf numFmtId="168" fontId="0" fillId="19" borderId="45" xfId="0" applyNumberFormat="1" applyFill="1" applyBorder="1"/>
    <xf numFmtId="0" fontId="134" fillId="0" borderId="0" xfId="0" applyFont="1" applyAlignment="1">
      <alignment wrapText="1"/>
    </xf>
    <xf numFmtId="0" fontId="134" fillId="0" borderId="0" xfId="0" applyFont="1" applyAlignment="1">
      <alignment horizontal="left" vertical="center" wrapText="1"/>
    </xf>
    <xf numFmtId="0" fontId="135" fillId="0" borderId="0" xfId="0" applyFont="1" applyAlignment="1">
      <alignment wrapText="1"/>
    </xf>
    <xf numFmtId="168" fontId="38" fillId="4" borderId="26" xfId="4" applyNumberFormat="1" applyFont="1" applyFill="1" applyBorder="1" applyAlignment="1" applyProtection="1">
      <alignment horizontal="center" wrapText="1"/>
      <protection locked="0"/>
    </xf>
    <xf numFmtId="0" fontId="5" fillId="0" borderId="70" xfId="8" quotePrefix="1" applyFont="1" applyBorder="1" applyAlignment="1">
      <alignment vertical="center" wrapText="1"/>
    </xf>
    <xf numFmtId="0" fontId="5" fillId="4" borderId="39" xfId="4" applyFont="1" applyFill="1" applyBorder="1" applyAlignment="1" applyProtection="1">
      <alignment horizontal="center"/>
      <protection locked="0"/>
    </xf>
    <xf numFmtId="0" fontId="5" fillId="4" borderId="52" xfId="4" applyFont="1" applyFill="1" applyBorder="1" applyAlignment="1" applyProtection="1">
      <alignment horizontal="center"/>
      <protection locked="0"/>
    </xf>
    <xf numFmtId="0" fontId="5" fillId="4" borderId="53" xfId="4" applyFont="1" applyFill="1" applyBorder="1" applyAlignment="1" applyProtection="1">
      <alignment horizontal="center"/>
      <protection locked="0"/>
    </xf>
    <xf numFmtId="0" fontId="5" fillId="4" borderId="22" xfId="4" applyFont="1" applyFill="1" applyBorder="1" applyAlignment="1" applyProtection="1">
      <alignment horizontal="center"/>
      <protection locked="0"/>
    </xf>
    <xf numFmtId="0" fontId="5" fillId="4" borderId="50" xfId="4" applyFont="1" applyFill="1" applyBorder="1" applyAlignment="1" applyProtection="1">
      <alignment horizontal="center"/>
      <protection locked="0"/>
    </xf>
    <xf numFmtId="0" fontId="5" fillId="4" borderId="21" xfId="4" applyFont="1" applyFill="1" applyBorder="1" applyAlignment="1" applyProtection="1">
      <alignment horizontal="center"/>
      <protection locked="0"/>
    </xf>
    <xf numFmtId="0" fontId="5" fillId="4" borderId="28" xfId="4" applyFont="1" applyFill="1" applyBorder="1" applyAlignment="1" applyProtection="1">
      <alignment horizontal="center"/>
      <protection locked="0"/>
    </xf>
    <xf numFmtId="0" fontId="5" fillId="4" borderId="51" xfId="4" applyFont="1" applyFill="1" applyBorder="1" applyAlignment="1" applyProtection="1">
      <alignment horizontal="center"/>
      <protection locked="0"/>
    </xf>
    <xf numFmtId="0" fontId="5" fillId="4" borderId="27" xfId="4" applyFont="1" applyFill="1" applyBorder="1" applyAlignment="1" applyProtection="1">
      <alignment horizontal="center"/>
      <protection locked="0"/>
    </xf>
    <xf numFmtId="0" fontId="5" fillId="4" borderId="22" xfId="4" applyFont="1" applyFill="1" applyBorder="1" applyAlignment="1" applyProtection="1">
      <alignment horizontal="center" vertical="top" wrapText="1"/>
      <protection locked="0"/>
    </xf>
    <xf numFmtId="0" fontId="5" fillId="4" borderId="50" xfId="4" applyFont="1" applyFill="1" applyBorder="1" applyAlignment="1" applyProtection="1">
      <alignment horizontal="center" vertical="top" wrapText="1"/>
      <protection locked="0"/>
    </xf>
    <xf numFmtId="0" fontId="5" fillId="4" borderId="21" xfId="4" applyFont="1" applyFill="1" applyBorder="1" applyAlignment="1" applyProtection="1">
      <alignment horizontal="center" vertical="top" wrapText="1"/>
      <protection locked="0"/>
    </xf>
    <xf numFmtId="0" fontId="5" fillId="3" borderId="1" xfId="4" applyFont="1" applyFill="1" applyBorder="1" applyAlignment="1">
      <alignment horizontal="left"/>
    </xf>
    <xf numFmtId="0" fontId="26" fillId="6" borderId="2" xfId="4" applyFont="1" applyFill="1" applyBorder="1" applyAlignment="1">
      <alignment horizontal="left" vertical="top" wrapText="1"/>
    </xf>
    <xf numFmtId="0" fontId="23" fillId="6" borderId="4" xfId="4" applyFont="1" applyFill="1" applyBorder="1" applyAlignment="1">
      <alignment horizontal="center" vertical="top" wrapText="1"/>
    </xf>
    <xf numFmtId="2" fontId="23" fillId="4" borderId="1" xfId="5" applyNumberFormat="1" applyFont="1" applyFill="1" applyBorder="1" applyAlignment="1" applyProtection="1">
      <alignment horizontal="center" vertical="top" wrapText="1"/>
      <protection locked="0"/>
    </xf>
    <xf numFmtId="2" fontId="23" fillId="4" borderId="2" xfId="5" applyNumberFormat="1" applyFont="1" applyFill="1" applyBorder="1" applyAlignment="1" applyProtection="1">
      <alignment horizontal="center" vertical="top" wrapText="1"/>
      <protection locked="0"/>
    </xf>
    <xf numFmtId="2" fontId="23" fillId="4" borderId="3" xfId="5" applyNumberFormat="1" applyFont="1" applyFill="1" applyBorder="1" applyAlignment="1" applyProtection="1">
      <alignment horizontal="center" vertical="top" wrapText="1"/>
      <protection locked="0"/>
    </xf>
    <xf numFmtId="0" fontId="5" fillId="9" borderId="0" xfId="4" applyFont="1" applyFill="1" applyAlignment="1">
      <alignment vertical="top" wrapText="1"/>
    </xf>
    <xf numFmtId="0" fontId="5" fillId="9" borderId="0" xfId="4" applyFont="1" applyFill="1" applyAlignment="1">
      <alignment horizontal="left" wrapText="1"/>
    </xf>
    <xf numFmtId="3" fontId="23" fillId="11" borderId="1" xfId="4" applyNumberFormat="1" applyFont="1" applyFill="1" applyBorder="1" applyAlignment="1">
      <alignment horizontal="center" vertical="top" wrapText="1"/>
    </xf>
    <xf numFmtId="0" fontId="23" fillId="6" borderId="4" xfId="4" applyFont="1" applyFill="1" applyBorder="1" applyAlignment="1">
      <alignment horizontal="center" vertical="center" wrapText="1"/>
    </xf>
    <xf numFmtId="0" fontId="11" fillId="9" borderId="0" xfId="4" applyFont="1" applyFill="1" applyProtection="1"/>
    <xf numFmtId="0" fontId="11" fillId="9" borderId="0" xfId="0" applyFont="1" applyFill="1" applyProtection="1"/>
    <xf numFmtId="0" fontId="5" fillId="9" borderId="0" xfId="4" applyFont="1" applyFill="1" applyProtection="1"/>
    <xf numFmtId="168" fontId="5" fillId="9" borderId="0" xfId="4" applyNumberFormat="1" applyFont="1" applyFill="1" applyProtection="1"/>
    <xf numFmtId="2" fontId="5" fillId="9" borderId="0" xfId="5" applyNumberFormat="1" applyFont="1" applyFill="1" applyProtection="1"/>
    <xf numFmtId="0" fontId="5" fillId="0" borderId="0" xfId="4" applyFont="1" applyProtection="1"/>
    <xf numFmtId="0" fontId="33" fillId="15" borderId="0" xfId="4" applyFont="1" applyFill="1" applyProtection="1"/>
    <xf numFmtId="0" fontId="5" fillId="15" borderId="0" xfId="4" applyFont="1" applyFill="1" applyProtection="1"/>
    <xf numFmtId="168" fontId="5" fillId="15" borderId="0" xfId="4" applyNumberFormat="1" applyFont="1" applyFill="1" applyProtection="1"/>
    <xf numFmtId="2" fontId="5" fillId="15" borderId="0" xfId="5" applyNumberFormat="1" applyFont="1" applyFill="1" applyProtection="1"/>
    <xf numFmtId="0" fontId="33" fillId="9" borderId="0" xfId="4" applyFont="1" applyFill="1" applyProtection="1"/>
    <xf numFmtId="2" fontId="5" fillId="9" borderId="0" xfId="5" applyNumberFormat="1" applyFont="1" applyFill="1" applyAlignment="1" applyProtection="1">
      <alignment horizontal="left" vertical="center"/>
    </xf>
    <xf numFmtId="0" fontId="77" fillId="15" borderId="0" xfId="4" applyFont="1" applyFill="1" applyAlignment="1" applyProtection="1">
      <alignment vertical="center"/>
    </xf>
    <xf numFmtId="0" fontId="12" fillId="15" borderId="0" xfId="4" applyFont="1" applyFill="1" applyAlignment="1" applyProtection="1">
      <alignment vertical="center"/>
    </xf>
    <xf numFmtId="0" fontId="12" fillId="0" borderId="0" xfId="4" applyFont="1" applyAlignment="1" applyProtection="1">
      <alignment vertical="center"/>
    </xf>
    <xf numFmtId="0" fontId="12" fillId="9" borderId="0" xfId="4" applyFont="1" applyFill="1" applyAlignment="1" applyProtection="1">
      <alignment horizontal="left" vertical="center"/>
    </xf>
    <xf numFmtId="0" fontId="7" fillId="9" borderId="0" xfId="4" applyFont="1" applyFill="1" applyAlignment="1" applyProtection="1">
      <alignment vertical="center"/>
    </xf>
    <xf numFmtId="0" fontId="12" fillId="15" borderId="0" xfId="4" applyFont="1" applyFill="1" applyAlignment="1" applyProtection="1">
      <alignment horizontal="center" vertical="center"/>
    </xf>
    <xf numFmtId="0" fontId="12" fillId="15" borderId="0" xfId="4" applyFont="1" applyFill="1" applyAlignment="1" applyProtection="1">
      <alignment horizontal="left" vertical="center"/>
    </xf>
    <xf numFmtId="0" fontId="5" fillId="15" borderId="0" xfId="4" applyFont="1" applyFill="1" applyAlignment="1" applyProtection="1">
      <alignment horizontal="left"/>
    </xf>
    <xf numFmtId="0" fontId="14" fillId="15" borderId="0" xfId="4" applyFont="1" applyFill="1" applyAlignment="1" applyProtection="1">
      <alignment horizontal="left" vertical="center"/>
    </xf>
    <xf numFmtId="0" fontId="15" fillId="15" borderId="0" xfId="4" applyFont="1" applyFill="1" applyAlignment="1" applyProtection="1">
      <alignment vertical="center"/>
    </xf>
    <xf numFmtId="0" fontId="5" fillId="9" borderId="0" xfId="4" applyFont="1" applyFill="1" applyAlignment="1" applyProtection="1">
      <alignment horizontal="left"/>
    </xf>
    <xf numFmtId="0" fontId="5" fillId="9" borderId="0" xfId="4" applyFont="1" applyFill="1" applyAlignment="1" applyProtection="1">
      <alignment vertical="top" wrapText="1"/>
    </xf>
    <xf numFmtId="0" fontId="5" fillId="0" borderId="8" xfId="4" applyFont="1" applyBorder="1" applyAlignment="1" applyProtection="1">
      <alignment horizontal="center"/>
    </xf>
    <xf numFmtId="0" fontId="22" fillId="11" borderId="8" xfId="0" applyFont="1" applyFill="1" applyBorder="1" applyAlignment="1" applyProtection="1">
      <alignment horizontal="center"/>
    </xf>
    <xf numFmtId="0" fontId="26" fillId="9" borderId="0" xfId="4" applyFont="1" applyFill="1" applyAlignment="1" applyProtection="1">
      <alignment vertical="top" wrapText="1"/>
    </xf>
    <xf numFmtId="3" fontId="23" fillId="0" borderId="8" xfId="4" applyNumberFormat="1" applyFont="1" applyBorder="1" applyAlignment="1" applyProtection="1">
      <alignment horizontal="center" vertical="center" wrapText="1"/>
    </xf>
    <xf numFmtId="3" fontId="23" fillId="11" borderId="8" xfId="4" applyNumberFormat="1" applyFont="1" applyFill="1" applyBorder="1" applyAlignment="1" applyProtection="1">
      <alignment horizontal="center" vertical="center" wrapText="1"/>
    </xf>
    <xf numFmtId="3" fontId="5" fillId="4" borderId="7" xfId="4" applyNumberFormat="1" applyFont="1" applyFill="1" applyBorder="1" applyAlignment="1" applyProtection="1">
      <alignment horizontal="center" vertical="top" wrapText="1"/>
    </xf>
    <xf numFmtId="3" fontId="5" fillId="18" borderId="7" xfId="4" applyNumberFormat="1" applyFont="1" applyFill="1" applyBorder="1" applyAlignment="1" applyProtection="1">
      <alignment horizontal="center" vertical="top" wrapText="1"/>
    </xf>
    <xf numFmtId="168" fontId="5" fillId="9" borderId="0" xfId="4" applyNumberFormat="1" applyFont="1" applyFill="1" applyAlignment="1" applyProtection="1">
      <alignment vertical="top" wrapText="1"/>
    </xf>
    <xf numFmtId="2" fontId="5" fillId="9" borderId="0" xfId="5" applyNumberFormat="1" applyFont="1" applyFill="1" applyAlignment="1" applyProtection="1">
      <alignment vertical="top" wrapText="1"/>
    </xf>
    <xf numFmtId="0" fontId="16" fillId="15" borderId="0" xfId="4" applyFont="1" applyFill="1" applyAlignment="1" applyProtection="1">
      <alignment horizontal="center" vertical="center"/>
    </xf>
    <xf numFmtId="0" fontId="16" fillId="15" borderId="0" xfId="4" applyFont="1" applyFill="1" applyAlignment="1" applyProtection="1">
      <alignment horizontal="left" vertical="center"/>
    </xf>
    <xf numFmtId="0" fontId="17" fillId="15" borderId="0" xfId="4" applyFont="1" applyFill="1" applyAlignment="1" applyProtection="1">
      <alignment horizontal="left"/>
    </xf>
    <xf numFmtId="0" fontId="18" fillId="15" borderId="0" xfId="4" applyFont="1" applyFill="1" applyAlignment="1" applyProtection="1">
      <alignment horizontal="left" vertical="center"/>
    </xf>
    <xf numFmtId="0" fontId="19" fillId="15" borderId="0" xfId="4" applyFont="1" applyFill="1" applyProtection="1"/>
    <xf numFmtId="0" fontId="19" fillId="0" borderId="0" xfId="4" applyFont="1" applyProtection="1"/>
    <xf numFmtId="0" fontId="5" fillId="9" borderId="0" xfId="4" applyFont="1" applyFill="1" applyAlignment="1" applyProtection="1">
      <alignment horizontal="center"/>
    </xf>
    <xf numFmtId="0" fontId="23" fillId="6" borderId="8" xfId="4" applyFont="1" applyFill="1" applyBorder="1" applyAlignment="1" applyProtection="1">
      <alignment horizontal="center" vertical="top" wrapText="1"/>
    </xf>
    <xf numFmtId="0" fontId="23" fillId="6" borderId="4" xfId="4" applyFont="1" applyFill="1" applyBorder="1" applyAlignment="1" applyProtection="1">
      <alignment horizontal="center" vertical="top" wrapText="1"/>
    </xf>
    <xf numFmtId="2" fontId="23" fillId="6" borderId="8" xfId="5" applyNumberFormat="1" applyFont="1" applyFill="1" applyBorder="1" applyAlignment="1" applyProtection="1">
      <alignment horizontal="center" vertical="top" wrapText="1"/>
    </xf>
    <xf numFmtId="168" fontId="22" fillId="11" borderId="8" xfId="4" applyNumberFormat="1" applyFont="1" applyFill="1" applyBorder="1" applyAlignment="1" applyProtection="1">
      <alignment horizontal="center" vertical="center" wrapText="1"/>
    </xf>
    <xf numFmtId="3" fontId="23" fillId="12" borderId="2" xfId="4" applyNumberFormat="1" applyFont="1" applyFill="1" applyBorder="1" applyAlignment="1" applyProtection="1">
      <alignment horizontal="center" vertical="top" wrapText="1"/>
    </xf>
    <xf numFmtId="0" fontId="96" fillId="6" borderId="7" xfId="4" applyFont="1" applyFill="1" applyBorder="1" applyAlignment="1" applyProtection="1">
      <alignment horizontal="center" vertical="center" wrapText="1"/>
    </xf>
    <xf numFmtId="4" fontId="23" fillId="12" borderId="3" xfId="5" applyNumberFormat="1" applyFont="1" applyFill="1" applyBorder="1" applyAlignment="1" applyProtection="1">
      <alignment horizontal="center" vertical="top" wrapText="1"/>
    </xf>
    <xf numFmtId="3" fontId="23" fillId="11" borderId="1" xfId="4" applyNumberFormat="1" applyFont="1" applyFill="1" applyBorder="1" applyAlignment="1" applyProtection="1">
      <alignment horizontal="center" vertical="top" wrapText="1"/>
    </xf>
    <xf numFmtId="4" fontId="95" fillId="12" borderId="8" xfId="5" applyNumberFormat="1" applyFont="1" applyFill="1" applyBorder="1" applyAlignment="1" applyProtection="1">
      <alignment horizontal="center" vertical="top" wrapText="1"/>
    </xf>
    <xf numFmtId="0" fontId="23" fillId="0" borderId="4" xfId="4" applyFont="1" applyBorder="1" applyAlignment="1" applyProtection="1">
      <alignment horizontal="center" vertical="center" wrapText="1"/>
    </xf>
    <xf numFmtId="0" fontId="23" fillId="0" borderId="4" xfId="4" applyFont="1" applyBorder="1" applyAlignment="1" applyProtection="1">
      <alignment horizontal="center" vertical="center"/>
    </xf>
    <xf numFmtId="0" fontId="5" fillId="9" borderId="0" xfId="5" applyFont="1" applyFill="1" applyAlignment="1" applyProtection="1">
      <alignment horizontal="left" vertical="top" wrapText="1"/>
    </xf>
    <xf numFmtId="0" fontId="23" fillId="11" borderId="4" xfId="4" applyFont="1" applyFill="1" applyBorder="1" applyAlignment="1" applyProtection="1">
      <alignment horizontal="center" vertical="center" wrapText="1"/>
    </xf>
    <xf numFmtId="0" fontId="23" fillId="11" borderId="4" xfId="4" applyFont="1" applyFill="1" applyBorder="1" applyAlignment="1" applyProtection="1">
      <alignment horizontal="center" vertical="center"/>
    </xf>
    <xf numFmtId="0" fontId="26" fillId="3" borderId="34" xfId="4" applyFont="1" applyFill="1" applyBorder="1" applyAlignment="1" applyProtection="1">
      <alignment vertical="top" wrapText="1"/>
    </xf>
    <xf numFmtId="3" fontId="5" fillId="4" borderId="22" xfId="4" applyNumberFormat="1" applyFont="1" applyFill="1" applyBorder="1" applyAlignment="1" applyProtection="1">
      <alignment horizontal="center" vertical="top" wrapText="1"/>
    </xf>
    <xf numFmtId="168" fontId="38" fillId="17" borderId="14" xfId="7" applyNumberFormat="1" applyFont="1" applyFill="1" applyBorder="1" applyAlignment="1" applyProtection="1">
      <alignment horizontal="center" vertical="top" wrapText="1"/>
    </xf>
    <xf numFmtId="4" fontId="5" fillId="12" borderId="16" xfId="5" applyNumberFormat="1" applyFont="1" applyFill="1" applyBorder="1" applyAlignment="1" applyProtection="1">
      <alignment horizontal="center" vertical="top" wrapText="1"/>
    </xf>
    <xf numFmtId="3" fontId="5" fillId="18" borderId="22" xfId="4" applyNumberFormat="1" applyFont="1" applyFill="1" applyBorder="1" applyAlignment="1" applyProtection="1">
      <alignment horizontal="center" vertical="top" wrapText="1"/>
    </xf>
    <xf numFmtId="4" fontId="5" fillId="11" borderId="14" xfId="5" applyNumberFormat="1" applyFont="1" applyFill="1" applyBorder="1" applyAlignment="1" applyProtection="1">
      <alignment horizontal="center" vertical="top" wrapText="1"/>
    </xf>
    <xf numFmtId="4" fontId="95" fillId="12" borderId="12" xfId="5" applyNumberFormat="1" applyFont="1" applyFill="1" applyBorder="1" applyAlignment="1" applyProtection="1">
      <alignment horizontal="center" vertical="top" wrapText="1"/>
    </xf>
    <xf numFmtId="168" fontId="38" fillId="14" borderId="22" xfId="5" applyNumberFormat="1" applyFont="1" applyFill="1" applyBorder="1" applyAlignment="1" applyProtection="1">
      <alignment horizontal="center" vertical="top" wrapText="1"/>
    </xf>
    <xf numFmtId="2" fontId="5" fillId="12" borderId="20" xfId="5" applyNumberFormat="1" applyFont="1" applyFill="1" applyBorder="1" applyAlignment="1" applyProtection="1">
      <alignment horizontal="center" vertical="top" wrapText="1"/>
    </xf>
    <xf numFmtId="0" fontId="38" fillId="14" borderId="22" xfId="5" applyFont="1" applyFill="1" applyBorder="1" applyAlignment="1" applyProtection="1">
      <alignment horizontal="center" vertical="top" wrapText="1"/>
    </xf>
    <xf numFmtId="168" fontId="38" fillId="11" borderId="14" xfId="5" applyNumberFormat="1" applyFont="1" applyFill="1" applyBorder="1" applyAlignment="1" applyProtection="1">
      <alignment horizontal="center" vertical="top" wrapText="1"/>
    </xf>
    <xf numFmtId="2" fontId="5" fillId="11" borderId="53" xfId="5" applyNumberFormat="1" applyFont="1" applyFill="1" applyBorder="1" applyAlignment="1" applyProtection="1">
      <alignment horizontal="center" vertical="top" wrapText="1"/>
    </xf>
    <xf numFmtId="2" fontId="5" fillId="11" borderId="14" xfId="5" applyNumberFormat="1" applyFont="1" applyFill="1" applyBorder="1" applyAlignment="1" applyProtection="1">
      <alignment horizontal="center" vertical="top" wrapText="1"/>
    </xf>
    <xf numFmtId="168" fontId="38" fillId="17" borderId="12" xfId="7" applyNumberFormat="1" applyFont="1" applyFill="1" applyBorder="1" applyAlignment="1" applyProtection="1">
      <alignment horizontal="center" vertical="top" wrapText="1"/>
    </xf>
    <xf numFmtId="4" fontId="5" fillId="11" borderId="12" xfId="5" applyNumberFormat="1" applyFont="1" applyFill="1" applyBorder="1" applyAlignment="1" applyProtection="1">
      <alignment horizontal="center" vertical="top" wrapText="1"/>
    </xf>
    <xf numFmtId="4" fontId="95" fillId="12" borderId="20" xfId="5" applyNumberFormat="1" applyFont="1" applyFill="1" applyBorder="1" applyAlignment="1" applyProtection="1">
      <alignment horizontal="center" vertical="top" wrapText="1"/>
    </xf>
    <xf numFmtId="168" fontId="38" fillId="11" borderId="20" xfId="5" applyNumberFormat="1" applyFont="1" applyFill="1" applyBorder="1" applyAlignment="1" applyProtection="1">
      <alignment horizontal="center" vertical="top" wrapText="1"/>
    </xf>
    <xf numFmtId="2" fontId="5" fillId="11" borderId="21" xfId="5" applyNumberFormat="1" applyFont="1" applyFill="1" applyBorder="1" applyAlignment="1" applyProtection="1">
      <alignment horizontal="center" vertical="top" wrapText="1"/>
    </xf>
    <xf numFmtId="2" fontId="5" fillId="11" borderId="20" xfId="5" applyNumberFormat="1" applyFont="1" applyFill="1" applyBorder="1" applyAlignment="1" applyProtection="1">
      <alignment horizontal="center" vertical="top" wrapText="1"/>
    </xf>
    <xf numFmtId="168" fontId="38" fillId="14" borderId="28" xfId="5" applyNumberFormat="1" applyFont="1" applyFill="1" applyBorder="1" applyAlignment="1" applyProtection="1">
      <alignment horizontal="center" vertical="top" wrapText="1"/>
    </xf>
    <xf numFmtId="2" fontId="5" fillId="12" borderId="26" xfId="5" applyNumberFormat="1" applyFont="1" applyFill="1" applyBorder="1" applyAlignment="1" applyProtection="1">
      <alignment horizontal="center" vertical="top" wrapText="1"/>
    </xf>
    <xf numFmtId="0" fontId="38" fillId="14" borderId="28" xfId="5" applyFont="1" applyFill="1" applyBorder="1" applyAlignment="1" applyProtection="1">
      <alignment horizontal="center" vertical="top" wrapText="1"/>
    </xf>
    <xf numFmtId="168" fontId="38" fillId="11" borderId="26" xfId="5" applyNumberFormat="1" applyFont="1" applyFill="1" applyBorder="1" applyAlignment="1" applyProtection="1">
      <alignment horizontal="center" vertical="top" wrapText="1"/>
    </xf>
    <xf numFmtId="2" fontId="5" fillId="11" borderId="27" xfId="5" applyNumberFormat="1" applyFont="1" applyFill="1" applyBorder="1" applyAlignment="1" applyProtection="1">
      <alignment horizontal="center" vertical="top" wrapText="1"/>
    </xf>
    <xf numFmtId="2" fontId="5" fillId="11" borderId="26" xfId="5" applyNumberFormat="1" applyFont="1" applyFill="1" applyBorder="1" applyAlignment="1" applyProtection="1">
      <alignment horizontal="center" vertical="top" wrapText="1"/>
    </xf>
    <xf numFmtId="0" fontId="26" fillId="6" borderId="34" xfId="4" applyFont="1" applyFill="1" applyBorder="1" applyAlignment="1" applyProtection="1">
      <alignment vertical="top" wrapText="1"/>
    </xf>
    <xf numFmtId="168" fontId="38" fillId="17" borderId="20" xfId="7" applyNumberFormat="1" applyFont="1" applyFill="1" applyBorder="1" applyAlignment="1" applyProtection="1">
      <alignment horizontal="center" vertical="top" wrapText="1"/>
    </xf>
    <xf numFmtId="168" fontId="38" fillId="14" borderId="1" xfId="5" applyNumberFormat="1" applyFont="1" applyFill="1" applyBorder="1" applyAlignment="1" applyProtection="1">
      <alignment horizontal="center" wrapText="1"/>
    </xf>
    <xf numFmtId="2" fontId="5" fillId="12" borderId="8" xfId="5" applyNumberFormat="1" applyFont="1" applyFill="1" applyBorder="1" applyAlignment="1" applyProtection="1">
      <alignment horizontal="center" vertical="top" wrapText="1"/>
    </xf>
    <xf numFmtId="168" fontId="38" fillId="14" borderId="1" xfId="5" applyNumberFormat="1" applyFont="1" applyFill="1" applyBorder="1" applyAlignment="1" applyProtection="1">
      <alignment horizontal="center" vertical="top" wrapText="1"/>
    </xf>
    <xf numFmtId="168" fontId="38" fillId="11" borderId="1" xfId="5" applyNumberFormat="1" applyFont="1" applyFill="1" applyBorder="1" applyAlignment="1" applyProtection="1">
      <alignment horizontal="center" wrapText="1"/>
    </xf>
    <xf numFmtId="2" fontId="5" fillId="11" borderId="8" xfId="5" applyNumberFormat="1" applyFont="1" applyFill="1" applyBorder="1" applyAlignment="1" applyProtection="1">
      <alignment horizontal="center" vertical="top" wrapText="1"/>
    </xf>
    <xf numFmtId="168" fontId="38" fillId="11" borderId="1" xfId="5" applyNumberFormat="1" applyFont="1" applyFill="1" applyBorder="1" applyAlignment="1" applyProtection="1">
      <alignment horizontal="center" vertical="top" wrapText="1"/>
    </xf>
    <xf numFmtId="174" fontId="38" fillId="4" borderId="20" xfId="4" applyNumberFormat="1" applyFont="1" applyFill="1" applyBorder="1" applyAlignment="1" applyProtection="1">
      <alignment horizontal="center" vertical="top" wrapText="1"/>
    </xf>
    <xf numFmtId="0" fontId="5" fillId="4" borderId="23" xfId="4" applyFont="1" applyFill="1" applyBorder="1" applyAlignment="1" applyProtection="1">
      <alignment vertical="top" wrapText="1"/>
    </xf>
    <xf numFmtId="0" fontId="5" fillId="4" borderId="29" xfId="4" applyFont="1" applyFill="1" applyBorder="1" applyAlignment="1" applyProtection="1">
      <alignment vertical="top" wrapText="1"/>
    </xf>
    <xf numFmtId="0" fontId="26" fillId="6" borderId="32" xfId="4" applyFont="1" applyFill="1" applyBorder="1" applyAlignment="1" applyProtection="1">
      <alignment vertical="top" wrapText="1"/>
    </xf>
    <xf numFmtId="3" fontId="5" fillId="4" borderId="14" xfId="4" applyNumberFormat="1" applyFont="1" applyFill="1" applyBorder="1" applyAlignment="1" applyProtection="1">
      <alignment horizontal="center" vertical="top" wrapText="1"/>
    </xf>
    <xf numFmtId="4" fontId="5" fillId="12" borderId="14" xfId="5" applyNumberFormat="1" applyFont="1" applyFill="1" applyBorder="1" applyAlignment="1" applyProtection="1">
      <alignment horizontal="center" vertical="top" wrapText="1"/>
    </xf>
    <xf numFmtId="3" fontId="5" fillId="18" borderId="14" xfId="4" applyNumberFormat="1" applyFont="1" applyFill="1" applyBorder="1" applyAlignment="1" applyProtection="1">
      <alignment horizontal="center" vertical="top" wrapText="1"/>
    </xf>
    <xf numFmtId="4" fontId="95" fillId="12" borderId="14" xfId="5" applyNumberFormat="1" applyFont="1" applyFill="1" applyBorder="1" applyAlignment="1" applyProtection="1">
      <alignment horizontal="center" vertical="top" wrapText="1"/>
    </xf>
    <xf numFmtId="3" fontId="5" fillId="4" borderId="20" xfId="4" applyNumberFormat="1" applyFont="1" applyFill="1" applyBorder="1" applyAlignment="1" applyProtection="1">
      <alignment horizontal="center" vertical="top" wrapText="1"/>
    </xf>
    <xf numFmtId="4" fontId="5" fillId="12" borderId="12" xfId="5" applyNumberFormat="1" applyFont="1" applyFill="1" applyBorder="1" applyAlignment="1" applyProtection="1">
      <alignment horizontal="center" vertical="top" wrapText="1"/>
    </xf>
    <xf numFmtId="3" fontId="5" fillId="18" borderId="20" xfId="4" applyNumberFormat="1" applyFont="1" applyFill="1" applyBorder="1" applyAlignment="1" applyProtection="1">
      <alignment horizontal="center" vertical="top" wrapText="1"/>
    </xf>
    <xf numFmtId="168" fontId="38" fillId="4" borderId="20" xfId="7" applyNumberFormat="1" applyFont="1" applyFill="1" applyBorder="1" applyAlignment="1" applyProtection="1">
      <alignment horizontal="center" vertical="top" wrapText="1"/>
    </xf>
    <xf numFmtId="3" fontId="5" fillId="13" borderId="20" xfId="4" applyNumberFormat="1" applyFont="1" applyFill="1" applyBorder="1" applyAlignment="1" applyProtection="1">
      <alignment horizontal="center" vertical="top" wrapText="1"/>
    </xf>
    <xf numFmtId="4" fontId="5" fillId="11" borderId="16" xfId="5" applyNumberFormat="1" applyFont="1" applyFill="1" applyBorder="1" applyAlignment="1" applyProtection="1">
      <alignment horizontal="center" vertical="top" wrapText="1"/>
    </xf>
    <xf numFmtId="3" fontId="5" fillId="13" borderId="26" xfId="4" applyNumberFormat="1" applyFont="1" applyFill="1" applyBorder="1" applyAlignment="1" applyProtection="1">
      <alignment horizontal="center" vertical="top" wrapText="1"/>
    </xf>
    <xf numFmtId="168" fontId="38" fillId="17" borderId="26" xfId="7" applyNumberFormat="1" applyFont="1" applyFill="1" applyBorder="1" applyAlignment="1" applyProtection="1">
      <alignment horizontal="center" vertical="top" wrapText="1"/>
    </xf>
    <xf numFmtId="4" fontId="5" fillId="12" borderId="7" xfId="5" applyNumberFormat="1" applyFont="1" applyFill="1" applyBorder="1" applyAlignment="1" applyProtection="1">
      <alignment horizontal="center" vertical="top" wrapText="1"/>
    </xf>
    <xf numFmtId="3" fontId="5" fillId="18" borderId="26" xfId="4" applyNumberFormat="1" applyFont="1" applyFill="1" applyBorder="1" applyAlignment="1" applyProtection="1">
      <alignment horizontal="center" vertical="top" wrapText="1"/>
    </xf>
    <xf numFmtId="4" fontId="5" fillId="11" borderId="36" xfId="5" applyNumberFormat="1" applyFont="1" applyFill="1" applyBorder="1" applyAlignment="1" applyProtection="1">
      <alignment horizontal="center" vertical="top" wrapText="1"/>
    </xf>
    <xf numFmtId="4" fontId="95" fillId="12" borderId="26" xfId="5" applyNumberFormat="1" applyFont="1" applyFill="1" applyBorder="1" applyAlignment="1" applyProtection="1">
      <alignment horizontal="center" vertical="top" wrapText="1"/>
    </xf>
    <xf numFmtId="0" fontId="25" fillId="9" borderId="0" xfId="4" applyFont="1" applyFill="1" applyAlignment="1" applyProtection="1">
      <alignment horizontal="center" vertical="top" wrapText="1"/>
    </xf>
    <xf numFmtId="2" fontId="23" fillId="0" borderId="8" xfId="5" applyNumberFormat="1" applyFont="1" applyBorder="1" applyAlignment="1" applyProtection="1">
      <alignment horizontal="center" vertical="top" wrapText="1"/>
    </xf>
    <xf numFmtId="2" fontId="28" fillId="0" borderId="8" xfId="5" applyNumberFormat="1" applyFont="1" applyBorder="1" applyAlignment="1" applyProtection="1">
      <alignment horizontal="center" vertical="top" wrapText="1"/>
    </xf>
    <xf numFmtId="2" fontId="23" fillId="0" borderId="3" xfId="5" applyNumberFormat="1" applyFont="1" applyBorder="1" applyAlignment="1" applyProtection="1">
      <alignment horizontal="center" vertical="top" wrapText="1"/>
    </xf>
    <xf numFmtId="3" fontId="5" fillId="4" borderId="8" xfId="4" applyNumberFormat="1" applyFont="1" applyFill="1" applyBorder="1" applyAlignment="1" applyProtection="1">
      <alignment horizontal="center" vertical="top" wrapText="1"/>
    </xf>
    <xf numFmtId="2" fontId="29" fillId="4" borderId="8" xfId="5" applyNumberFormat="1" applyFont="1" applyFill="1" applyBorder="1" applyAlignment="1" applyProtection="1">
      <alignment horizontal="center" vertical="top" wrapText="1"/>
    </xf>
    <xf numFmtId="4" fontId="5" fillId="12" borderId="8" xfId="5" applyNumberFormat="1" applyFont="1" applyFill="1" applyBorder="1" applyAlignment="1" applyProtection="1">
      <alignment horizontal="center" vertical="top" wrapText="1"/>
    </xf>
    <xf numFmtId="3" fontId="5" fillId="18" borderId="8" xfId="4" applyNumberFormat="1" applyFont="1" applyFill="1" applyBorder="1" applyAlignment="1" applyProtection="1">
      <alignment horizontal="center" vertical="top" wrapText="1"/>
    </xf>
    <xf numFmtId="4" fontId="5" fillId="11" borderId="8" xfId="5" applyNumberFormat="1" applyFont="1" applyFill="1" applyBorder="1" applyAlignment="1" applyProtection="1">
      <alignment horizontal="center" vertical="top" wrapText="1"/>
    </xf>
    <xf numFmtId="0" fontId="33" fillId="9" borderId="0" xfId="4" applyFont="1" applyFill="1" applyAlignment="1" applyProtection="1">
      <alignment vertical="top" wrapText="1"/>
    </xf>
    <xf numFmtId="4" fontId="5" fillId="9" borderId="0" xfId="4" applyNumberFormat="1" applyFont="1" applyFill="1" applyAlignment="1" applyProtection="1">
      <alignment vertical="top" wrapText="1"/>
    </xf>
    <xf numFmtId="3" fontId="5" fillId="9" borderId="0" xfId="4" applyNumberFormat="1" applyFont="1" applyFill="1" applyAlignment="1" applyProtection="1">
      <alignment vertical="top" wrapText="1"/>
    </xf>
    <xf numFmtId="0" fontId="5" fillId="10" borderId="0" xfId="4" applyFont="1" applyFill="1" applyProtection="1"/>
    <xf numFmtId="3" fontId="23" fillId="0" borderId="1" xfId="4" applyNumberFormat="1" applyFont="1" applyBorder="1" applyAlignment="1" applyProtection="1">
      <alignment horizontal="center" vertical="top" wrapText="1"/>
    </xf>
    <xf numFmtId="0" fontId="23" fillId="6" borderId="4" xfId="4" applyFont="1" applyFill="1" applyBorder="1" applyAlignment="1" applyProtection="1">
      <alignment horizontal="center" vertical="center" wrapText="1"/>
    </xf>
    <xf numFmtId="2" fontId="23" fillId="0" borderId="46" xfId="5" applyNumberFormat="1" applyFont="1" applyBorder="1" applyAlignment="1" applyProtection="1">
      <alignment horizontal="center" vertical="top" wrapText="1"/>
    </xf>
    <xf numFmtId="3" fontId="23" fillId="12" borderId="8" xfId="4" applyNumberFormat="1" applyFont="1" applyFill="1" applyBorder="1" applyAlignment="1" applyProtection="1">
      <alignment horizontal="center" vertical="top" wrapText="1"/>
    </xf>
    <xf numFmtId="4" fontId="23" fillId="12" borderId="8" xfId="4" applyNumberFormat="1" applyFont="1" applyFill="1" applyBorder="1" applyAlignment="1" applyProtection="1">
      <alignment horizontal="center" vertical="top" wrapText="1"/>
    </xf>
    <xf numFmtId="0" fontId="26" fillId="6" borderId="4" xfId="4" applyFont="1" applyFill="1" applyBorder="1" applyAlignment="1" applyProtection="1">
      <alignment vertical="top" wrapText="1"/>
    </xf>
    <xf numFmtId="168" fontId="38" fillId="14" borderId="20" xfId="4" applyNumberFormat="1" applyFont="1" applyFill="1" applyBorder="1" applyAlignment="1" applyProtection="1">
      <alignment horizontal="center" vertical="top" wrapText="1"/>
    </xf>
    <xf numFmtId="0" fontId="5" fillId="3" borderId="34" xfId="4" applyFont="1" applyFill="1" applyBorder="1" applyProtection="1"/>
    <xf numFmtId="0" fontId="5" fillId="3" borderId="35" xfId="4" applyFont="1" applyFill="1" applyBorder="1" applyProtection="1"/>
    <xf numFmtId="0" fontId="26" fillId="6" borderId="6" xfId="4" applyFont="1" applyFill="1" applyBorder="1" applyAlignment="1" applyProtection="1">
      <alignment vertical="top" wrapText="1"/>
    </xf>
    <xf numFmtId="3" fontId="23" fillId="3" borderId="34" xfId="4" applyNumberFormat="1" applyFont="1" applyFill="1" applyBorder="1" applyAlignment="1" applyProtection="1">
      <alignment horizontal="center" vertical="top" wrapText="1"/>
    </xf>
    <xf numFmtId="3" fontId="23" fillId="3" borderId="35" xfId="4" applyNumberFormat="1" applyFont="1" applyFill="1" applyBorder="1" applyAlignment="1" applyProtection="1">
      <alignment horizontal="center" vertical="top" wrapText="1"/>
    </xf>
    <xf numFmtId="3" fontId="23" fillId="3" borderId="36" xfId="4" applyNumberFormat="1" applyFont="1" applyFill="1" applyBorder="1" applyAlignment="1" applyProtection="1">
      <alignment horizontal="center" vertical="top" wrapText="1"/>
    </xf>
    <xf numFmtId="3" fontId="23" fillId="3" borderId="13" xfId="4" applyNumberFormat="1" applyFont="1" applyFill="1" applyBorder="1" applyAlignment="1" applyProtection="1">
      <alignment horizontal="center" vertical="top" wrapText="1"/>
    </xf>
    <xf numFmtId="0" fontId="26" fillId="3" borderId="32" xfId="8" applyFont="1" applyFill="1" applyBorder="1" applyAlignment="1" applyProtection="1">
      <alignment vertical="center"/>
    </xf>
    <xf numFmtId="0" fontId="26" fillId="3" borderId="5" xfId="8" applyFont="1" applyFill="1" applyBorder="1" applyAlignment="1" applyProtection="1">
      <alignment vertical="center"/>
    </xf>
    <xf numFmtId="0" fontId="5" fillId="3" borderId="14" xfId="4" applyFont="1" applyFill="1" applyBorder="1" applyAlignment="1" applyProtection="1">
      <alignment horizontal="left" vertical="center"/>
    </xf>
    <xf numFmtId="2" fontId="5" fillId="4" borderId="39" xfId="4" applyNumberFormat="1" applyFont="1" applyFill="1" applyBorder="1" applyAlignment="1" applyProtection="1">
      <alignment horizontal="center"/>
    </xf>
    <xf numFmtId="168" fontId="38" fillId="14" borderId="14" xfId="4" applyNumberFormat="1" applyFont="1" applyFill="1" applyBorder="1" applyAlignment="1" applyProtection="1">
      <alignment horizontal="center" wrapText="1"/>
    </xf>
    <xf numFmtId="2" fontId="5" fillId="12" borderId="53" xfId="5" applyNumberFormat="1" applyFont="1" applyFill="1" applyBorder="1" applyAlignment="1" applyProtection="1">
      <alignment horizontal="center" wrapText="1"/>
    </xf>
    <xf numFmtId="168" fontId="38" fillId="14" borderId="12" xfId="4" applyNumberFormat="1" applyFont="1" applyFill="1" applyBorder="1" applyAlignment="1" applyProtection="1">
      <alignment horizontal="center" wrapText="1"/>
    </xf>
    <xf numFmtId="2" fontId="5" fillId="12" borderId="14" xfId="5" applyNumberFormat="1" applyFont="1" applyFill="1" applyBorder="1" applyAlignment="1" applyProtection="1">
      <alignment horizontal="center" wrapText="1"/>
    </xf>
    <xf numFmtId="0" fontId="26" fillId="3" borderId="34" xfId="8" applyFont="1" applyFill="1" applyBorder="1" applyAlignment="1" applyProtection="1">
      <alignment vertical="center"/>
    </xf>
    <xf numFmtId="0" fontId="26" fillId="3" borderId="35" xfId="8" applyFont="1" applyFill="1" applyBorder="1" applyAlignment="1" applyProtection="1">
      <alignment vertical="center"/>
    </xf>
    <xf numFmtId="0" fontId="5" fillId="3" borderId="20" xfId="4" applyFont="1" applyFill="1" applyBorder="1" applyAlignment="1" applyProtection="1">
      <alignment horizontal="left" vertical="center"/>
    </xf>
    <xf numFmtId="2" fontId="5" fillId="4" borderId="22" xfId="4" applyNumberFormat="1" applyFont="1" applyFill="1" applyBorder="1" applyAlignment="1" applyProtection="1">
      <alignment horizontal="center"/>
    </xf>
    <xf numFmtId="168" fontId="38" fillId="14" borderId="20" xfId="4" applyNumberFormat="1" applyFont="1" applyFill="1" applyBorder="1" applyAlignment="1" applyProtection="1">
      <alignment horizontal="center" wrapText="1"/>
    </xf>
    <xf numFmtId="2" fontId="5" fillId="12" borderId="21" xfId="5" applyNumberFormat="1" applyFont="1" applyFill="1" applyBorder="1" applyAlignment="1" applyProtection="1">
      <alignment horizontal="center" wrapText="1"/>
    </xf>
    <xf numFmtId="2" fontId="5" fillId="12" borderId="20" xfId="5" applyNumberFormat="1" applyFont="1" applyFill="1" applyBorder="1" applyAlignment="1" applyProtection="1">
      <alignment horizontal="center" wrapText="1"/>
    </xf>
    <xf numFmtId="0" fontId="26" fillId="3" borderId="36" xfId="8" applyFont="1" applyFill="1" applyBorder="1" applyAlignment="1" applyProtection="1">
      <alignment vertical="center"/>
    </xf>
    <xf numFmtId="0" fontId="26" fillId="3" borderId="37" xfId="8" applyFont="1" applyFill="1" applyBorder="1" applyAlignment="1" applyProtection="1">
      <alignment vertical="center"/>
    </xf>
    <xf numFmtId="0" fontId="26" fillId="3" borderId="13" xfId="8" applyFont="1" applyFill="1" applyBorder="1" applyAlignment="1" applyProtection="1">
      <alignment vertical="center"/>
    </xf>
    <xf numFmtId="2" fontId="5" fillId="4" borderId="28" xfId="4" applyNumberFormat="1" applyFont="1" applyFill="1" applyBorder="1" applyAlignment="1" applyProtection="1">
      <alignment horizontal="center"/>
    </xf>
    <xf numFmtId="168" fontId="38" fillId="4" borderId="26" xfId="4" applyNumberFormat="1" applyFont="1" applyFill="1" applyBorder="1" applyAlignment="1" applyProtection="1">
      <alignment horizontal="center" wrapText="1"/>
    </xf>
    <xf numFmtId="2" fontId="5" fillId="12" borderId="27" xfId="5" applyNumberFormat="1" applyFont="1" applyFill="1" applyBorder="1" applyAlignment="1" applyProtection="1">
      <alignment horizontal="center" wrapText="1"/>
    </xf>
    <xf numFmtId="2" fontId="5" fillId="12" borderId="26" xfId="5" applyNumberFormat="1" applyFont="1" applyFill="1" applyBorder="1" applyAlignment="1" applyProtection="1">
      <alignment horizontal="center" wrapText="1"/>
    </xf>
    <xf numFmtId="168" fontId="38" fillId="4" borderId="20" xfId="4" applyNumberFormat="1" applyFont="1" applyFill="1" applyBorder="1" applyAlignment="1" applyProtection="1">
      <alignment horizontal="center" vertical="top" wrapText="1"/>
    </xf>
    <xf numFmtId="168" fontId="38" fillId="4" borderId="26" xfId="4" applyNumberFormat="1" applyFont="1" applyFill="1" applyBorder="1" applyAlignment="1" applyProtection="1">
      <alignment horizontal="center" vertical="top" wrapText="1"/>
    </xf>
    <xf numFmtId="0" fontId="23" fillId="10" borderId="7" xfId="4" applyFont="1" applyFill="1" applyBorder="1" applyAlignment="1" applyProtection="1">
      <alignment horizontal="center" vertical="center" wrapText="1"/>
    </xf>
    <xf numFmtId="0" fontId="23" fillId="10" borderId="6" xfId="4" applyFont="1" applyFill="1" applyBorder="1" applyAlignment="1" applyProtection="1">
      <alignment horizontal="center" vertical="center" wrapText="1"/>
    </xf>
    <xf numFmtId="168" fontId="38" fillId="14" borderId="14" xfId="4" applyNumberFormat="1" applyFont="1" applyFill="1" applyBorder="1" applyAlignment="1" applyProtection="1">
      <alignment horizontal="center" vertical="top" wrapText="1"/>
    </xf>
    <xf numFmtId="4" fontId="5" fillId="12" borderId="15" xfId="5" applyNumberFormat="1" applyFont="1" applyFill="1" applyBorder="1" applyAlignment="1" applyProtection="1">
      <alignment horizontal="center" vertical="top" wrapText="1"/>
    </xf>
    <xf numFmtId="0" fontId="26" fillId="0" borderId="8" xfId="4" applyFont="1" applyBorder="1" applyAlignment="1" applyProtection="1">
      <alignment vertical="top" wrapText="1"/>
    </xf>
    <xf numFmtId="0" fontId="26" fillId="0" borderId="2" xfId="4" applyFont="1" applyBorder="1" applyAlignment="1" applyProtection="1">
      <alignment vertical="top" wrapText="1"/>
    </xf>
    <xf numFmtId="0" fontId="23" fillId="10" borderId="8" xfId="4" applyFont="1" applyFill="1" applyBorder="1" applyAlignment="1" applyProtection="1">
      <alignment horizontal="center" vertical="center" wrapText="1"/>
    </xf>
    <xf numFmtId="0" fontId="5" fillId="10" borderId="2" xfId="4" applyFont="1" applyFill="1" applyBorder="1" applyProtection="1"/>
    <xf numFmtId="0" fontId="5" fillId="10" borderId="3" xfId="4" applyFont="1" applyFill="1" applyBorder="1" applyProtection="1"/>
    <xf numFmtId="0" fontId="22" fillId="6" borderId="1" xfId="4" applyFont="1" applyFill="1" applyBorder="1" applyAlignment="1" applyProtection="1">
      <alignment horizontal="center" vertical="top" wrapText="1"/>
    </xf>
    <xf numFmtId="0" fontId="5" fillId="0" borderId="3" xfId="0" applyFont="1" applyBorder="1" applyAlignment="1" applyProtection="1">
      <alignment horizontal="center" vertical="top" wrapText="1"/>
    </xf>
    <xf numFmtId="3" fontId="5" fillId="10" borderId="36" xfId="4" applyNumberFormat="1" applyFont="1" applyFill="1" applyBorder="1" applyAlignment="1" applyProtection="1">
      <alignment horizontal="center" vertical="top" wrapText="1"/>
    </xf>
    <xf numFmtId="4" fontId="5" fillId="12" borderId="7" xfId="4" applyNumberFormat="1" applyFont="1" applyFill="1" applyBorder="1" applyAlignment="1" applyProtection="1">
      <alignment horizontal="center" vertical="top" wrapText="1"/>
    </xf>
    <xf numFmtId="0" fontId="79" fillId="9" borderId="0" xfId="4" applyFont="1" applyFill="1" applyProtection="1"/>
    <xf numFmtId="0" fontId="39" fillId="9" borderId="0" xfId="4" applyFont="1" applyFill="1" applyAlignment="1" applyProtection="1">
      <alignment horizontal="left"/>
    </xf>
    <xf numFmtId="0" fontId="39" fillId="9" borderId="0" xfId="4" applyFont="1" applyFill="1" applyAlignment="1" applyProtection="1">
      <alignment vertical="top" wrapText="1"/>
    </xf>
    <xf numFmtId="168" fontId="39" fillId="9" borderId="0" xfId="4" applyNumberFormat="1" applyFont="1" applyFill="1" applyAlignment="1" applyProtection="1">
      <alignment vertical="top" wrapText="1"/>
    </xf>
    <xf numFmtId="2" fontId="42" fillId="9" borderId="0" xfId="5" applyNumberFormat="1" applyFont="1" applyFill="1" applyAlignment="1" applyProtection="1">
      <alignment vertical="top" wrapText="1"/>
    </xf>
    <xf numFmtId="0" fontId="39" fillId="9" borderId="0" xfId="4" applyFont="1" applyFill="1" applyProtection="1"/>
    <xf numFmtId="0" fontId="39" fillId="0" borderId="0" xfId="4" applyFont="1" applyProtection="1"/>
    <xf numFmtId="0" fontId="38" fillId="9" borderId="0" xfId="4" applyFont="1" applyFill="1" applyProtection="1"/>
    <xf numFmtId="0" fontId="38" fillId="9" borderId="0" xfId="4" applyFont="1" applyFill="1" applyAlignment="1" applyProtection="1">
      <alignment vertical="top" wrapText="1"/>
    </xf>
    <xf numFmtId="0" fontId="5" fillId="10" borderId="33" xfId="4" applyFont="1" applyFill="1" applyBorder="1" applyProtection="1"/>
    <xf numFmtId="3" fontId="40" fillId="0" borderId="8" xfId="4" applyNumberFormat="1" applyFont="1" applyBorder="1" applyAlignment="1" applyProtection="1">
      <alignment horizontal="center" vertical="top" wrapText="1"/>
    </xf>
    <xf numFmtId="0" fontId="40" fillId="6" borderId="4" xfId="4" applyFont="1" applyFill="1" applyBorder="1" applyAlignment="1" applyProtection="1">
      <alignment horizontal="center" vertical="center" wrapText="1"/>
    </xf>
    <xf numFmtId="2" fontId="40" fillId="0" borderId="46" xfId="5" applyNumberFormat="1" applyFont="1" applyBorder="1" applyAlignment="1" applyProtection="1">
      <alignment horizontal="center" vertical="top" wrapText="1"/>
    </xf>
    <xf numFmtId="2" fontId="23" fillId="0" borderId="13" xfId="5" applyNumberFormat="1" applyFont="1" applyBorder="1" applyAlignment="1" applyProtection="1">
      <alignment horizontal="center" vertical="top" wrapText="1"/>
    </xf>
    <xf numFmtId="0" fontId="37" fillId="6" borderId="1" xfId="4" applyFont="1" applyFill="1" applyBorder="1" applyAlignment="1" applyProtection="1">
      <alignment horizontal="center" vertical="top" wrapText="1"/>
    </xf>
    <xf numFmtId="0" fontId="37" fillId="6" borderId="3" xfId="4" applyFont="1" applyFill="1" applyBorder="1" applyAlignment="1" applyProtection="1">
      <alignment horizontal="center" vertical="top" wrapText="1"/>
    </xf>
    <xf numFmtId="3" fontId="40" fillId="12" borderId="8" xfId="4" applyNumberFormat="1" applyFont="1" applyFill="1" applyBorder="1" applyAlignment="1" applyProtection="1">
      <alignment horizontal="center" vertical="top" wrapText="1"/>
    </xf>
    <xf numFmtId="0" fontId="40" fillId="6" borderId="6" xfId="4" applyFont="1" applyFill="1" applyBorder="1" applyAlignment="1" applyProtection="1">
      <alignment horizontal="center" vertical="center" wrapText="1"/>
    </xf>
    <xf numFmtId="4" fontId="40" fillId="12" borderId="8" xfId="4" applyNumberFormat="1" applyFont="1" applyFill="1" applyBorder="1" applyAlignment="1" applyProtection="1">
      <alignment horizontal="center" vertical="top" wrapText="1"/>
    </xf>
    <xf numFmtId="4" fontId="23" fillId="12" borderId="5" xfId="4" applyNumberFormat="1" applyFont="1" applyFill="1" applyBorder="1" applyAlignment="1" applyProtection="1">
      <alignment horizontal="center" vertical="top" wrapText="1"/>
    </xf>
    <xf numFmtId="0" fontId="26" fillId="6" borderId="32" xfId="4" applyFont="1" applyFill="1" applyBorder="1" applyAlignment="1" applyProtection="1">
      <alignment horizontal="left" vertical="top"/>
    </xf>
    <xf numFmtId="0" fontId="26" fillId="6" borderId="5" xfId="4" applyFont="1" applyFill="1" applyBorder="1" applyAlignment="1" applyProtection="1">
      <alignment horizontal="left" vertical="top"/>
    </xf>
    <xf numFmtId="3" fontId="38" fillId="4" borderId="14" xfId="4" applyNumberFormat="1" applyFont="1" applyFill="1" applyBorder="1" applyAlignment="1" applyProtection="1">
      <alignment horizontal="center" vertical="top" wrapText="1"/>
    </xf>
    <xf numFmtId="4" fontId="5" fillId="13" borderId="53" xfId="5" applyNumberFormat="1" applyFont="1" applyFill="1" applyBorder="1" applyAlignment="1" applyProtection="1">
      <alignment horizontal="center" vertical="top" wrapText="1"/>
    </xf>
    <xf numFmtId="4" fontId="5" fillId="13" borderId="14" xfId="5" applyNumberFormat="1" applyFont="1" applyFill="1" applyBorder="1" applyAlignment="1" applyProtection="1">
      <alignment horizontal="center" vertical="top" wrapText="1"/>
    </xf>
    <xf numFmtId="0" fontId="26" fillId="6" borderId="34" xfId="4" applyFont="1" applyFill="1" applyBorder="1" applyAlignment="1" applyProtection="1">
      <alignment horizontal="left" vertical="top"/>
    </xf>
    <xf numFmtId="0" fontId="26" fillId="6" borderId="35" xfId="4" applyFont="1" applyFill="1" applyBorder="1" applyAlignment="1" applyProtection="1">
      <alignment horizontal="left" vertical="top"/>
    </xf>
    <xf numFmtId="3" fontId="38" fillId="4" borderId="20" xfId="4" applyNumberFormat="1" applyFont="1" applyFill="1" applyBorder="1" applyAlignment="1" applyProtection="1">
      <alignment horizontal="center" vertical="top" wrapText="1"/>
    </xf>
    <xf numFmtId="4" fontId="5" fillId="13" borderId="21" xfId="5" applyNumberFormat="1" applyFont="1" applyFill="1" applyBorder="1" applyAlignment="1" applyProtection="1">
      <alignment horizontal="center" vertical="top" wrapText="1"/>
    </xf>
    <xf numFmtId="4" fontId="5" fillId="13" borderId="20" xfId="5" applyNumberFormat="1" applyFont="1" applyFill="1" applyBorder="1" applyAlignment="1" applyProtection="1">
      <alignment horizontal="center" vertical="top" wrapText="1"/>
    </xf>
    <xf numFmtId="4" fontId="5" fillId="13" borderId="26" xfId="5" applyNumberFormat="1" applyFont="1" applyFill="1" applyBorder="1" applyAlignment="1" applyProtection="1">
      <alignment horizontal="center" vertical="top" wrapText="1"/>
    </xf>
    <xf numFmtId="0" fontId="26" fillId="6" borderId="36" xfId="4" applyFont="1" applyFill="1" applyBorder="1" applyAlignment="1" applyProtection="1">
      <alignment horizontal="left" vertical="top"/>
    </xf>
    <xf numFmtId="0" fontId="26" fillId="6" borderId="13" xfId="4" applyFont="1" applyFill="1" applyBorder="1" applyAlignment="1" applyProtection="1">
      <alignment horizontal="left" vertical="top"/>
    </xf>
    <xf numFmtId="3" fontId="38" fillId="4" borderId="26" xfId="4" applyNumberFormat="1" applyFont="1" applyFill="1" applyBorder="1" applyAlignment="1" applyProtection="1">
      <alignment horizontal="center" vertical="top" wrapText="1"/>
    </xf>
    <xf numFmtId="168" fontId="38" fillId="14" borderId="26" xfId="4" applyNumberFormat="1" applyFont="1" applyFill="1" applyBorder="1" applyAlignment="1" applyProtection="1">
      <alignment horizontal="center" vertical="top" wrapText="1"/>
    </xf>
    <xf numFmtId="4" fontId="5" fillId="13" borderId="27" xfId="5" applyNumberFormat="1" applyFont="1" applyFill="1" applyBorder="1" applyAlignment="1" applyProtection="1">
      <alignment horizontal="center" vertical="top" wrapText="1"/>
    </xf>
    <xf numFmtId="0" fontId="5" fillId="10" borderId="37" xfId="4" applyFont="1" applyFill="1" applyBorder="1" applyProtection="1"/>
    <xf numFmtId="0" fontId="26" fillId="9" borderId="0" xfId="4" applyFont="1" applyFill="1" applyAlignment="1" applyProtection="1">
      <alignment horizontal="left" vertical="top"/>
    </xf>
    <xf numFmtId="0" fontId="26" fillId="9" borderId="0" xfId="4" applyFont="1" applyFill="1" applyAlignment="1" applyProtection="1">
      <alignment horizontal="left" vertical="top" wrapText="1"/>
    </xf>
    <xf numFmtId="3" fontId="5" fillId="9" borderId="0" xfId="4" applyNumberFormat="1" applyFont="1" applyFill="1" applyAlignment="1" applyProtection="1">
      <alignment horizontal="center" vertical="top" wrapText="1"/>
    </xf>
    <xf numFmtId="168" fontId="5" fillId="9" borderId="0" xfId="4" applyNumberFormat="1" applyFont="1" applyFill="1" applyAlignment="1" applyProtection="1">
      <alignment horizontal="center" vertical="top" wrapText="1"/>
    </xf>
    <xf numFmtId="2" fontId="5" fillId="9" borderId="0" xfId="5" applyNumberFormat="1" applyFont="1" applyFill="1" applyAlignment="1" applyProtection="1">
      <alignment horizontal="center" vertical="top" wrapText="1"/>
    </xf>
    <xf numFmtId="0" fontId="5" fillId="9" borderId="0" xfId="4" applyFont="1" applyFill="1" applyAlignment="1" applyProtection="1">
      <alignment horizontal="left" vertical="top" wrapText="1"/>
    </xf>
    <xf numFmtId="4" fontId="5" fillId="9" borderId="0" xfId="4" applyNumberFormat="1" applyFont="1" applyFill="1" applyProtection="1"/>
    <xf numFmtId="167" fontId="5" fillId="9" borderId="0" xfId="1" applyFont="1" applyFill="1" applyProtection="1"/>
    <xf numFmtId="171" fontId="5" fillId="9" borderId="0" xfId="4" applyNumberFormat="1" applyFont="1" applyFill="1" applyProtection="1"/>
    <xf numFmtId="3" fontId="22" fillId="0" borderId="8" xfId="4" applyNumberFormat="1" applyFont="1" applyBorder="1" applyAlignment="1" applyProtection="1">
      <alignment horizontal="center" vertical="top" wrapText="1"/>
    </xf>
    <xf numFmtId="3" fontId="22" fillId="10" borderId="4" xfId="4" applyNumberFormat="1" applyFont="1" applyFill="1" applyBorder="1" applyAlignment="1" applyProtection="1">
      <alignment horizontal="center" vertical="top" wrapText="1"/>
    </xf>
    <xf numFmtId="168" fontId="22" fillId="11" borderId="4" xfId="4" applyNumberFormat="1" applyFont="1" applyFill="1" applyBorder="1" applyAlignment="1" applyProtection="1">
      <alignment horizontal="center" vertical="top" wrapText="1"/>
    </xf>
    <xf numFmtId="3" fontId="5" fillId="9" borderId="0" xfId="4" applyNumberFormat="1" applyFont="1" applyFill="1" applyProtection="1"/>
    <xf numFmtId="167" fontId="5" fillId="9" borderId="0" xfId="4" applyNumberFormat="1" applyFont="1" applyFill="1" applyProtection="1"/>
    <xf numFmtId="172" fontId="5" fillId="9" borderId="0" xfId="4" applyNumberFormat="1" applyFont="1" applyFill="1" applyProtection="1"/>
    <xf numFmtId="4" fontId="5" fillId="13" borderId="16" xfId="5" applyNumberFormat="1" applyFont="1" applyFill="1" applyBorder="1" applyAlignment="1" applyProtection="1">
      <alignment horizontal="center" vertical="top" wrapText="1"/>
    </xf>
    <xf numFmtId="3" fontId="22" fillId="10" borderId="14" xfId="4" applyNumberFormat="1" applyFont="1" applyFill="1" applyBorder="1" applyAlignment="1" applyProtection="1">
      <alignment horizontal="center" vertical="top" wrapText="1"/>
    </xf>
    <xf numFmtId="2" fontId="5" fillId="9" borderId="0" xfId="4" applyNumberFormat="1" applyFont="1" applyFill="1" applyProtection="1"/>
    <xf numFmtId="3" fontId="22" fillId="10" borderId="20" xfId="4" applyNumberFormat="1" applyFont="1" applyFill="1" applyBorder="1" applyAlignment="1" applyProtection="1">
      <alignment horizontal="center" vertical="top" wrapText="1"/>
    </xf>
    <xf numFmtId="4" fontId="5" fillId="13" borderId="34" xfId="5" applyNumberFormat="1" applyFont="1" applyFill="1" applyBorder="1" applyAlignment="1" applyProtection="1">
      <alignment horizontal="center" vertical="top" wrapText="1"/>
    </xf>
    <xf numFmtId="3" fontId="22" fillId="10" borderId="41" xfId="4" applyNumberFormat="1" applyFont="1" applyFill="1" applyBorder="1" applyAlignment="1" applyProtection="1">
      <alignment horizontal="center" vertical="top" wrapText="1"/>
    </xf>
    <xf numFmtId="4" fontId="5" fillId="11" borderId="34" xfId="5" applyNumberFormat="1" applyFont="1" applyFill="1" applyBorder="1" applyAlignment="1" applyProtection="1">
      <alignment horizontal="center" vertical="top" wrapText="1"/>
    </xf>
    <xf numFmtId="4" fontId="5" fillId="13" borderId="8" xfId="5" applyNumberFormat="1" applyFont="1" applyFill="1" applyBorder="1" applyAlignment="1" applyProtection="1">
      <alignment horizontal="center" vertical="top" wrapText="1"/>
    </xf>
    <xf numFmtId="3" fontId="22" fillId="10" borderId="8" xfId="4" applyNumberFormat="1" applyFont="1" applyFill="1" applyBorder="1" applyAlignment="1" applyProtection="1">
      <alignment horizontal="center" vertical="top" wrapText="1"/>
    </xf>
    <xf numFmtId="2" fontId="23" fillId="4" borderId="1" xfId="5" applyNumberFormat="1" applyFont="1" applyFill="1" applyBorder="1" applyAlignment="1" applyProtection="1">
      <alignment horizontal="center" vertical="top" wrapText="1"/>
    </xf>
    <xf numFmtId="2" fontId="23" fillId="4" borderId="2" xfId="5" applyNumberFormat="1" applyFont="1" applyFill="1" applyBorder="1" applyAlignment="1" applyProtection="1">
      <alignment horizontal="center" vertical="top" wrapText="1"/>
    </xf>
    <xf numFmtId="2" fontId="23" fillId="4" borderId="3" xfId="5" applyNumberFormat="1" applyFont="1" applyFill="1" applyBorder="1" applyAlignment="1" applyProtection="1">
      <alignment horizontal="center" vertical="top" wrapText="1"/>
    </xf>
    <xf numFmtId="0" fontId="5" fillId="9" borderId="0" xfId="4" applyFont="1" applyFill="1" applyAlignment="1" applyProtection="1">
      <alignment horizontal="left" wrapText="1"/>
    </xf>
    <xf numFmtId="9" fontId="5" fillId="12" borderId="8" xfId="2" applyFont="1" applyFill="1" applyBorder="1" applyAlignment="1" applyProtection="1">
      <alignment horizontal="center" vertical="top" wrapText="1"/>
    </xf>
    <xf numFmtId="2" fontId="35" fillId="9" borderId="0" xfId="5" applyNumberFormat="1" applyFont="1" applyFill="1" applyAlignment="1" applyProtection="1">
      <alignment vertical="top" wrapText="1"/>
    </xf>
    <xf numFmtId="3" fontId="5" fillId="11" borderId="8" xfId="4" applyNumberFormat="1" applyFont="1" applyFill="1" applyBorder="1" applyAlignment="1" applyProtection="1">
      <alignment horizontal="center" vertical="top" wrapText="1"/>
    </xf>
    <xf numFmtId="4" fontId="5" fillId="11" borderId="8" xfId="4" applyNumberFormat="1" applyFont="1" applyFill="1" applyBorder="1" applyAlignment="1" applyProtection="1">
      <alignment horizontal="center" vertical="top" wrapText="1"/>
    </xf>
    <xf numFmtId="2" fontId="33" fillId="9" borderId="0" xfId="5" applyNumberFormat="1" applyFont="1" applyFill="1" applyAlignment="1" applyProtection="1">
      <alignment horizontal="center" vertical="top" wrapText="1"/>
    </xf>
    <xf numFmtId="3" fontId="23" fillId="0" borderId="8" xfId="4" applyNumberFormat="1" applyFont="1" applyBorder="1" applyAlignment="1" applyProtection="1">
      <alignment horizontal="center" vertical="top" wrapText="1"/>
    </xf>
    <xf numFmtId="0" fontId="28" fillId="6" borderId="4" xfId="4" applyFont="1" applyFill="1" applyBorder="1" applyAlignment="1" applyProtection="1">
      <alignment horizontal="center" vertical="top" wrapText="1"/>
    </xf>
    <xf numFmtId="0" fontId="26" fillId="6" borderId="39" xfId="4" applyFont="1" applyFill="1" applyBorder="1" applyAlignment="1" applyProtection="1">
      <alignment vertical="top"/>
    </xf>
    <xf numFmtId="0" fontId="26" fillId="6" borderId="52" xfId="4" applyFont="1" applyFill="1" applyBorder="1" applyAlignment="1" applyProtection="1">
      <alignment vertical="top"/>
    </xf>
    <xf numFmtId="0" fontId="26" fillId="6" borderId="53" xfId="4" applyFont="1" applyFill="1" applyBorder="1" applyAlignment="1" applyProtection="1">
      <alignment vertical="top"/>
    </xf>
    <xf numFmtId="3" fontId="5" fillId="4" borderId="50" xfId="4" applyNumberFormat="1" applyFont="1" applyFill="1" applyBorder="1" applyAlignment="1" applyProtection="1">
      <alignment horizontal="center" vertical="top" wrapText="1"/>
    </xf>
    <xf numFmtId="9" fontId="5" fillId="12" borderId="14" xfId="2" applyFont="1" applyFill="1" applyBorder="1" applyAlignment="1" applyProtection="1">
      <alignment horizontal="center" vertical="top" wrapText="1"/>
    </xf>
    <xf numFmtId="9" fontId="5" fillId="11" borderId="39" xfId="2" applyFont="1" applyFill="1" applyBorder="1" applyAlignment="1" applyProtection="1">
      <alignment horizontal="center" vertical="top" wrapText="1"/>
    </xf>
    <xf numFmtId="0" fontId="26" fillId="6" borderId="22" xfId="4" applyFont="1" applyFill="1" applyBorder="1" applyAlignment="1" applyProtection="1">
      <alignment vertical="top"/>
    </xf>
    <xf numFmtId="0" fontId="26" fillId="6" borderId="50" xfId="4" applyFont="1" applyFill="1" applyBorder="1" applyAlignment="1" applyProtection="1">
      <alignment vertical="top"/>
    </xf>
    <xf numFmtId="0" fontId="26" fillId="6" borderId="21" xfId="4" applyFont="1" applyFill="1" applyBorder="1" applyAlignment="1" applyProtection="1">
      <alignment vertical="top"/>
    </xf>
    <xf numFmtId="9" fontId="5" fillId="10" borderId="20" xfId="2" applyFont="1" applyFill="1" applyBorder="1" applyAlignment="1" applyProtection="1">
      <alignment horizontal="center" vertical="top" wrapText="1"/>
    </xf>
    <xf numFmtId="9" fontId="5" fillId="10" borderId="22" xfId="2" applyFont="1" applyFill="1" applyBorder="1" applyAlignment="1" applyProtection="1">
      <alignment horizontal="center" vertical="top" wrapText="1"/>
    </xf>
    <xf numFmtId="0" fontId="26" fillId="16" borderId="22" xfId="0" applyFont="1" applyFill="1" applyBorder="1" applyAlignment="1" applyProtection="1">
      <alignment vertical="center"/>
    </xf>
    <xf numFmtId="0" fontId="26" fillId="16" borderId="50" xfId="0" applyFont="1" applyFill="1" applyBorder="1" applyAlignment="1" applyProtection="1">
      <alignment vertical="center"/>
    </xf>
    <xf numFmtId="0" fontId="26" fillId="16" borderId="21" xfId="0" applyFont="1" applyFill="1" applyBorder="1" applyAlignment="1" applyProtection="1">
      <alignment vertical="center"/>
    </xf>
    <xf numFmtId="9" fontId="5" fillId="12" borderId="20" xfId="2" applyFont="1" applyFill="1" applyBorder="1" applyAlignment="1" applyProtection="1">
      <alignment horizontal="center" vertical="top" wrapText="1"/>
    </xf>
    <xf numFmtId="9" fontId="5" fillId="11" borderId="22" xfId="2" applyFont="1" applyFill="1" applyBorder="1" applyAlignment="1" applyProtection="1">
      <alignment horizontal="center" vertical="top" wrapText="1"/>
    </xf>
    <xf numFmtId="0" fontId="26" fillId="6" borderId="54" xfId="4" applyFont="1" applyFill="1" applyBorder="1" applyAlignment="1" applyProtection="1">
      <alignment vertical="top"/>
    </xf>
    <xf numFmtId="0" fontId="26" fillId="6" borderId="55" xfId="4" applyFont="1" applyFill="1" applyBorder="1" applyAlignment="1" applyProtection="1">
      <alignment vertical="top"/>
    </xf>
    <xf numFmtId="0" fontId="26" fillId="6" borderId="56" xfId="4" applyFont="1" applyFill="1" applyBorder="1" applyAlignment="1" applyProtection="1">
      <alignment vertical="top"/>
    </xf>
    <xf numFmtId="3" fontId="5" fillId="4" borderId="55" xfId="4" applyNumberFormat="1" applyFont="1" applyFill="1" applyBorder="1" applyAlignment="1" applyProtection="1">
      <alignment horizontal="center" vertical="top" wrapText="1"/>
    </xf>
    <xf numFmtId="9" fontId="5" fillId="12" borderId="41" xfId="2" applyFont="1" applyFill="1" applyBorder="1" applyAlignment="1" applyProtection="1">
      <alignment horizontal="center" vertical="top" wrapText="1"/>
    </xf>
    <xf numFmtId="3" fontId="5" fillId="18" borderId="54" xfId="4" applyNumberFormat="1" applyFont="1" applyFill="1" applyBorder="1" applyAlignment="1" applyProtection="1">
      <alignment horizontal="center" vertical="top" wrapText="1"/>
    </xf>
    <xf numFmtId="9" fontId="5" fillId="11" borderId="54" xfId="2" applyFont="1" applyFill="1" applyBorder="1" applyAlignment="1" applyProtection="1">
      <alignment horizontal="center" vertical="top" wrapText="1"/>
    </xf>
    <xf numFmtId="4" fontId="95" fillId="12" borderId="41" xfId="5" applyNumberFormat="1" applyFont="1" applyFill="1" applyBorder="1" applyAlignment="1" applyProtection="1">
      <alignment horizontal="center" vertical="top" wrapText="1"/>
    </xf>
    <xf numFmtId="0" fontId="26" fillId="6" borderId="1" xfId="4" applyFont="1" applyFill="1" applyBorder="1" applyAlignment="1" applyProtection="1">
      <alignment vertical="top"/>
    </xf>
    <xf numFmtId="0" fontId="26" fillId="6" borderId="2" xfId="4" applyFont="1" applyFill="1" applyBorder="1" applyAlignment="1" applyProtection="1">
      <alignment vertical="top"/>
    </xf>
    <xf numFmtId="0" fontId="26" fillId="6" borderId="3" xfId="4" applyFont="1" applyFill="1" applyBorder="1" applyAlignment="1" applyProtection="1">
      <alignment vertical="top"/>
    </xf>
    <xf numFmtId="2" fontId="5" fillId="4" borderId="1" xfId="24" applyNumberFormat="1" applyFont="1" applyFill="1" applyBorder="1" applyAlignment="1" applyProtection="1">
      <alignment horizontal="center" vertical="center" wrapText="1"/>
    </xf>
    <xf numFmtId="9" fontId="5" fillId="11" borderId="1" xfId="2" applyFont="1" applyFill="1" applyBorder="1" applyAlignment="1" applyProtection="1">
      <alignment horizontal="center" vertical="top" wrapText="1"/>
    </xf>
    <xf numFmtId="0" fontId="28" fillId="6" borderId="1" xfId="4" applyFont="1" applyFill="1" applyBorder="1" applyAlignment="1" applyProtection="1">
      <alignment vertical="top"/>
    </xf>
    <xf numFmtId="0" fontId="28" fillId="6" borderId="2" xfId="4" applyFont="1" applyFill="1" applyBorder="1" applyAlignment="1" applyProtection="1">
      <alignment vertical="top"/>
    </xf>
    <xf numFmtId="0" fontId="28" fillId="6" borderId="3" xfId="4" applyFont="1" applyFill="1" applyBorder="1" applyAlignment="1" applyProtection="1">
      <alignment vertical="top"/>
    </xf>
    <xf numFmtId="2" fontId="5" fillId="12" borderId="1" xfId="1" applyNumberFormat="1" applyFont="1" applyFill="1" applyBorder="1" applyAlignment="1" applyProtection="1">
      <alignment horizontal="center" vertical="center" wrapText="1"/>
    </xf>
    <xf numFmtId="4" fontId="5" fillId="11" borderId="1" xfId="4" applyNumberFormat="1" applyFont="1" applyFill="1" applyBorder="1" applyAlignment="1" applyProtection="1">
      <alignment horizontal="center" vertical="top" wrapText="1"/>
    </xf>
    <xf numFmtId="9" fontId="5" fillId="11" borderId="8" xfId="2" applyFont="1" applyFill="1" applyBorder="1" applyAlignment="1" applyProtection="1">
      <alignment horizontal="center" vertical="top" wrapText="1"/>
    </xf>
    <xf numFmtId="0" fontId="28" fillId="6" borderId="34" xfId="4" applyFont="1" applyFill="1" applyBorder="1" applyAlignment="1" applyProtection="1">
      <alignment vertical="top"/>
    </xf>
    <xf numFmtId="0" fontId="28" fillId="6" borderId="0" xfId="4" applyFont="1" applyFill="1" applyAlignment="1" applyProtection="1">
      <alignment vertical="top"/>
    </xf>
    <xf numFmtId="0" fontId="28" fillId="6" borderId="35" xfId="4" applyFont="1" applyFill="1" applyBorder="1" applyAlignment="1" applyProtection="1">
      <alignment vertical="top"/>
    </xf>
    <xf numFmtId="2" fontId="5" fillId="12" borderId="3" xfId="1" applyNumberFormat="1" applyFont="1" applyFill="1" applyBorder="1" applyAlignment="1" applyProtection="1">
      <alignment horizontal="center" vertical="center" wrapText="1"/>
    </xf>
    <xf numFmtId="9" fontId="5" fillId="12" borderId="7" xfId="2" applyFont="1" applyFill="1" applyBorder="1" applyAlignment="1" applyProtection="1">
      <alignment horizontal="center" vertical="top" wrapText="1"/>
    </xf>
    <xf numFmtId="4" fontId="5" fillId="11" borderId="3" xfId="4" applyNumberFormat="1" applyFont="1" applyFill="1" applyBorder="1" applyAlignment="1" applyProtection="1">
      <alignment horizontal="center" vertical="top" wrapText="1"/>
    </xf>
    <xf numFmtId="9" fontId="5" fillId="11" borderId="36" xfId="2" applyFont="1" applyFill="1" applyBorder="1" applyAlignment="1" applyProtection="1">
      <alignment horizontal="center" vertical="top" wrapText="1"/>
    </xf>
    <xf numFmtId="0" fontId="22" fillId="6" borderId="1" xfId="4" applyFont="1" applyFill="1" applyBorder="1" applyAlignment="1" applyProtection="1">
      <alignment vertical="top"/>
    </xf>
    <xf numFmtId="0" fontId="22" fillId="6" borderId="2" xfId="4" applyFont="1" applyFill="1" applyBorder="1" applyAlignment="1" applyProtection="1">
      <alignment vertical="top"/>
    </xf>
    <xf numFmtId="0" fontId="22" fillId="6" borderId="3" xfId="4" applyFont="1" applyFill="1" applyBorder="1" applyAlignment="1" applyProtection="1">
      <alignment vertical="top"/>
    </xf>
    <xf numFmtId="0" fontId="5" fillId="10" borderId="8" xfId="4" applyFont="1" applyFill="1" applyBorder="1" applyAlignment="1" applyProtection="1">
      <alignment horizontal="center" vertical="top" wrapText="1"/>
    </xf>
    <xf numFmtId="3" fontId="5" fillId="11" borderId="3" xfId="4" applyNumberFormat="1" applyFont="1" applyFill="1" applyBorder="1" applyAlignment="1" applyProtection="1">
      <alignment horizontal="center" vertical="top" wrapText="1"/>
    </xf>
    <xf numFmtId="0" fontId="5" fillId="10" borderId="1" xfId="4" applyFont="1" applyFill="1" applyBorder="1" applyAlignment="1" applyProtection="1">
      <alignment horizontal="center" vertical="top" wrapText="1"/>
    </xf>
    <xf numFmtId="0" fontId="22" fillId="6" borderId="36" xfId="4" applyFont="1" applyFill="1" applyBorder="1" applyAlignment="1" applyProtection="1">
      <alignment vertical="top"/>
    </xf>
    <xf numFmtId="0" fontId="22" fillId="6" borderId="37" xfId="4" applyFont="1" applyFill="1" applyBorder="1" applyAlignment="1" applyProtection="1">
      <alignment vertical="top"/>
    </xf>
    <xf numFmtId="0" fontId="22" fillId="6" borderId="13" xfId="4" applyFont="1" applyFill="1" applyBorder="1" applyAlignment="1" applyProtection="1">
      <alignment vertical="top"/>
    </xf>
    <xf numFmtId="3" fontId="5" fillId="4" borderId="3" xfId="4" applyNumberFormat="1" applyFont="1" applyFill="1" applyBorder="1" applyAlignment="1" applyProtection="1">
      <alignment horizontal="center" vertical="top" wrapText="1"/>
    </xf>
    <xf numFmtId="0" fontId="23" fillId="0" borderId="1" xfId="4" applyFont="1" applyBorder="1" applyAlignment="1" applyProtection="1">
      <alignment horizontal="center" vertical="top" wrapText="1"/>
    </xf>
    <xf numFmtId="0" fontId="23" fillId="0" borderId="8" xfId="4" applyFont="1" applyBorder="1" applyAlignment="1" applyProtection="1">
      <alignment horizontal="center" vertical="top" wrapText="1"/>
    </xf>
    <xf numFmtId="0" fontId="22" fillId="6" borderId="2" xfId="4" applyFont="1" applyFill="1" applyBorder="1" applyAlignment="1" applyProtection="1">
      <alignment horizontal="center" vertical="top" wrapText="1"/>
    </xf>
    <xf numFmtId="168" fontId="23" fillId="6" borderId="8" xfId="4" applyNumberFormat="1" applyFont="1" applyFill="1" applyBorder="1" applyAlignment="1" applyProtection="1">
      <alignment horizontal="center" vertical="top" wrapText="1"/>
    </xf>
    <xf numFmtId="3" fontId="5" fillId="12" borderId="3" xfId="4" applyNumberFormat="1" applyFont="1" applyFill="1" applyBorder="1" applyAlignment="1" applyProtection="1">
      <alignment horizontal="center" vertical="top" wrapText="1"/>
    </xf>
    <xf numFmtId="0" fontId="15" fillId="9" borderId="0" xfId="4" applyFont="1" applyFill="1" applyAlignment="1" applyProtection="1">
      <alignment vertical="center"/>
    </xf>
    <xf numFmtId="0" fontId="33" fillId="0" borderId="0" xfId="4" applyFont="1" applyProtection="1"/>
    <xf numFmtId="168" fontId="5" fillId="0" borderId="0" xfId="4" applyNumberFormat="1" applyFont="1" applyProtection="1"/>
    <xf numFmtId="2" fontId="5" fillId="0" borderId="0" xfId="5" applyNumberFormat="1" applyFont="1" applyProtection="1"/>
    <xf numFmtId="3" fontId="5" fillId="4" borderId="54" xfId="4" applyNumberFormat="1" applyFont="1" applyFill="1" applyBorder="1" applyAlignment="1" applyProtection="1">
      <alignment horizontal="center" vertical="top" wrapText="1"/>
    </xf>
    <xf numFmtId="168" fontId="38" fillId="4" borderId="41" xfId="4" applyNumberFormat="1" applyFont="1" applyFill="1" applyBorder="1" applyAlignment="1" applyProtection="1">
      <alignment horizontal="center" vertical="top" wrapText="1"/>
    </xf>
    <xf numFmtId="4" fontId="5" fillId="12" borderId="6" xfId="5" applyNumberFormat="1" applyFont="1" applyFill="1" applyBorder="1" applyAlignment="1" applyProtection="1">
      <alignment horizontal="center" vertical="top" wrapText="1"/>
    </xf>
    <xf numFmtId="0" fontId="40" fillId="6" borderId="4" xfId="4" applyFont="1" applyFill="1" applyBorder="1" applyAlignment="1" applyProtection="1">
      <alignment horizontal="center" vertical="center"/>
    </xf>
    <xf numFmtId="0" fontId="5" fillId="4" borderId="39" xfId="4" applyFont="1" applyFill="1" applyBorder="1" applyAlignment="1" applyProtection="1">
      <alignment horizontal="center"/>
      <protection locked="0"/>
    </xf>
    <xf numFmtId="0" fontId="5" fillId="0" borderId="70" xfId="8" applyFont="1" applyBorder="1" applyAlignment="1" applyProtection="1">
      <alignment vertical="center" wrapText="1"/>
      <protection locked="0"/>
    </xf>
    <xf numFmtId="0" fontId="59" fillId="0" borderId="0" xfId="0" applyFont="1" applyAlignment="1">
      <alignment horizontal="left" vertical="top" wrapText="1"/>
    </xf>
    <xf numFmtId="0" fontId="8" fillId="3" borderId="1" xfId="0" applyFont="1" applyFill="1" applyBorder="1" applyAlignment="1">
      <alignment horizontal="left"/>
    </xf>
    <xf numFmtId="0" fontId="8" fillId="3" borderId="2" xfId="0" applyFont="1" applyFill="1" applyBorder="1" applyAlignment="1">
      <alignment horizontal="left"/>
    </xf>
    <xf numFmtId="0" fontId="8" fillId="3" borderId="3" xfId="0" applyFont="1" applyFill="1" applyBorder="1" applyAlignment="1">
      <alignment horizontal="left"/>
    </xf>
    <xf numFmtId="0" fontId="7" fillId="3" borderId="4" xfId="0" applyFont="1" applyFill="1" applyBorder="1" applyAlignment="1">
      <alignment horizontal="center" vertical="center"/>
    </xf>
    <xf numFmtId="0" fontId="7" fillId="3" borderId="6" xfId="0" applyFont="1" applyFill="1" applyBorder="1" applyAlignment="1">
      <alignment horizontal="center" vertical="center"/>
    </xf>
    <xf numFmtId="0" fontId="7" fillId="3" borderId="7" xfId="0" applyFont="1" applyFill="1" applyBorder="1" applyAlignment="1">
      <alignment horizontal="center" vertical="center"/>
    </xf>
    <xf numFmtId="0" fontId="22" fillId="0" borderId="2" xfId="0" applyFont="1" applyBorder="1" applyAlignment="1">
      <alignment horizontal="center"/>
    </xf>
    <xf numFmtId="0" fontId="22" fillId="0" borderId="3" xfId="0" applyFont="1" applyBorder="1" applyAlignment="1">
      <alignment horizontal="center"/>
    </xf>
    <xf numFmtId="0" fontId="22" fillId="8" borderId="1" xfId="0" applyFont="1" applyFill="1" applyBorder="1" applyAlignment="1">
      <alignment horizontal="center"/>
    </xf>
    <xf numFmtId="0" fontId="22" fillId="8" borderId="2" xfId="0" applyFont="1" applyFill="1" applyBorder="1" applyAlignment="1">
      <alignment horizontal="center"/>
    </xf>
    <xf numFmtId="0" fontId="22" fillId="8" borderId="3" xfId="0" applyFont="1" applyFill="1" applyBorder="1" applyAlignment="1">
      <alignment horizontal="center"/>
    </xf>
    <xf numFmtId="0" fontId="15" fillId="26" borderId="2" xfId="0" applyFont="1" applyFill="1" applyBorder="1" applyAlignment="1">
      <alignment horizontal="center" vertical="center"/>
    </xf>
    <xf numFmtId="0" fontId="8" fillId="4" borderId="1" xfId="0" applyFont="1" applyFill="1" applyBorder="1" applyAlignment="1" applyProtection="1">
      <alignment horizontal="left"/>
      <protection locked="0"/>
    </xf>
    <xf numFmtId="0" fontId="8" fillId="4" borderId="2" xfId="0" applyFont="1" applyFill="1" applyBorder="1" applyAlignment="1" applyProtection="1">
      <alignment horizontal="left"/>
      <protection locked="0"/>
    </xf>
    <xf numFmtId="0" fontId="8" fillId="4" borderId="3" xfId="0" applyFont="1" applyFill="1" applyBorder="1" applyAlignment="1" applyProtection="1">
      <alignment horizontal="left"/>
      <protection locked="0"/>
    </xf>
    <xf numFmtId="0" fontId="7" fillId="3" borderId="4" xfId="0" applyFont="1" applyFill="1" applyBorder="1" applyAlignment="1">
      <alignment horizontal="center" vertical="center" wrapText="1"/>
    </xf>
    <xf numFmtId="0" fontId="7" fillId="3" borderId="6" xfId="0" applyFont="1" applyFill="1" applyBorder="1" applyAlignment="1">
      <alignment horizontal="center" vertical="center" wrapText="1"/>
    </xf>
    <xf numFmtId="0" fontId="7" fillId="3" borderId="7" xfId="0" applyFont="1" applyFill="1" applyBorder="1" applyAlignment="1">
      <alignment horizontal="center" vertical="center" wrapText="1"/>
    </xf>
    <xf numFmtId="0" fontId="22" fillId="0" borderId="1" xfId="0" applyFont="1" applyBorder="1" applyAlignment="1">
      <alignment horizontal="center"/>
    </xf>
    <xf numFmtId="0" fontId="15" fillId="26" borderId="1" xfId="0" applyFont="1" applyFill="1" applyBorder="1" applyAlignment="1">
      <alignment horizontal="center" vertical="center"/>
    </xf>
    <xf numFmtId="0" fontId="5" fillId="0" borderId="2" xfId="0" applyFont="1" applyBorder="1" applyAlignment="1">
      <alignment horizontal="center" vertical="center"/>
    </xf>
    <xf numFmtId="0" fontId="54" fillId="3" borderId="4" xfId="0" applyFont="1" applyFill="1" applyBorder="1" applyAlignment="1">
      <alignment horizontal="center" vertical="center"/>
    </xf>
    <xf numFmtId="0" fontId="54" fillId="3" borderId="6" xfId="0" applyFont="1" applyFill="1" applyBorder="1" applyAlignment="1">
      <alignment horizontal="center" vertical="center"/>
    </xf>
    <xf numFmtId="0" fontId="54" fillId="3" borderId="7" xfId="0" applyFont="1" applyFill="1" applyBorder="1" applyAlignment="1">
      <alignment horizontal="center" vertical="center"/>
    </xf>
    <xf numFmtId="0" fontId="7" fillId="3" borderId="34" xfId="0" applyFont="1" applyFill="1" applyBorder="1" applyAlignment="1">
      <alignment horizontal="center" vertical="center" wrapText="1"/>
    </xf>
    <xf numFmtId="0" fontId="13" fillId="34" borderId="0" xfId="4" applyFont="1" applyFill="1" applyAlignment="1">
      <alignment horizontal="left" vertical="center"/>
    </xf>
    <xf numFmtId="0" fontId="23" fillId="6" borderId="32" xfId="4" applyFont="1" applyFill="1" applyBorder="1" applyAlignment="1">
      <alignment horizontal="center" vertical="center" wrapText="1"/>
    </xf>
    <xf numFmtId="0" fontId="23" fillId="6" borderId="33" xfId="4" applyFont="1" applyFill="1" applyBorder="1" applyAlignment="1">
      <alignment horizontal="center" vertical="center" wrapText="1"/>
    </xf>
    <xf numFmtId="0" fontId="23" fillId="6" borderId="5" xfId="4" applyFont="1" applyFill="1" applyBorder="1" applyAlignment="1">
      <alignment horizontal="center" vertical="center" wrapText="1"/>
    </xf>
    <xf numFmtId="0" fontId="23" fillId="6" borderId="34" xfId="4" applyFont="1" applyFill="1" applyBorder="1" applyAlignment="1">
      <alignment horizontal="center" vertical="center" wrapText="1"/>
    </xf>
    <xf numFmtId="0" fontId="23" fillId="6" borderId="0" xfId="4" applyFont="1" applyFill="1" applyAlignment="1">
      <alignment horizontal="center" vertical="center" wrapText="1"/>
    </xf>
    <xf numFmtId="0" fontId="23" fillId="6" borderId="35" xfId="4" applyFont="1" applyFill="1" applyBorder="1" applyAlignment="1">
      <alignment horizontal="center" vertical="center" wrapText="1"/>
    </xf>
    <xf numFmtId="0" fontId="5" fillId="3" borderId="1" xfId="4" applyFont="1" applyFill="1" applyBorder="1" applyAlignment="1">
      <alignment horizontal="left"/>
    </xf>
    <xf numFmtId="0" fontId="5" fillId="3" borderId="3" xfId="4" applyFont="1" applyFill="1" applyBorder="1" applyAlignment="1">
      <alignment horizontal="left"/>
    </xf>
    <xf numFmtId="0" fontId="5" fillId="4" borderId="61" xfId="4" applyFont="1" applyFill="1" applyBorder="1" applyAlignment="1" applyProtection="1">
      <alignment horizontal="center" vertical="top" wrapText="1"/>
      <protection locked="0"/>
    </xf>
    <xf numFmtId="0" fontId="5" fillId="4" borderId="69" xfId="4" applyFont="1" applyFill="1" applyBorder="1" applyAlignment="1" applyProtection="1">
      <alignment horizontal="center" vertical="top" wrapText="1"/>
      <protection locked="0"/>
    </xf>
    <xf numFmtId="0" fontId="5" fillId="4" borderId="46" xfId="4" applyFont="1" applyFill="1" applyBorder="1" applyAlignment="1" applyProtection="1">
      <alignment horizontal="center" vertical="top" wrapText="1"/>
      <protection locked="0"/>
    </xf>
    <xf numFmtId="0" fontId="22" fillId="0" borderId="1" xfId="4" applyFont="1" applyBorder="1" applyAlignment="1">
      <alignment horizontal="center"/>
    </xf>
    <xf numFmtId="0" fontId="22" fillId="0" borderId="2" xfId="4" applyFont="1" applyBorder="1" applyAlignment="1">
      <alignment horizontal="center"/>
    </xf>
    <xf numFmtId="0" fontId="22" fillId="0" borderId="3" xfId="4" applyFont="1" applyBorder="1" applyAlignment="1">
      <alignment horizontal="center"/>
    </xf>
    <xf numFmtId="0" fontId="22" fillId="11" borderId="1" xfId="4" applyFont="1" applyFill="1" applyBorder="1" applyAlignment="1">
      <alignment horizontal="center"/>
    </xf>
    <xf numFmtId="0" fontId="22" fillId="11" borderId="2" xfId="4" applyFont="1" applyFill="1" applyBorder="1" applyAlignment="1">
      <alignment horizontal="center"/>
    </xf>
    <xf numFmtId="0" fontId="22" fillId="11" borderId="3" xfId="4" applyFont="1" applyFill="1" applyBorder="1" applyAlignment="1">
      <alignment horizontal="center"/>
    </xf>
    <xf numFmtId="0" fontId="22" fillId="0" borderId="1" xfId="4" applyFont="1" applyBorder="1" applyAlignment="1">
      <alignment horizontal="center" vertical="center" wrapText="1"/>
    </xf>
    <xf numFmtId="0" fontId="22" fillId="0" borderId="2" xfId="4" applyFont="1" applyBorder="1" applyAlignment="1">
      <alignment horizontal="center" vertical="center" wrapText="1"/>
    </xf>
    <xf numFmtId="0" fontId="22" fillId="0" borderId="3" xfId="4" applyFont="1" applyBorder="1" applyAlignment="1">
      <alignment horizontal="center" vertical="center" wrapText="1"/>
    </xf>
    <xf numFmtId="0" fontId="23" fillId="11" borderId="1" xfId="4" applyFont="1" applyFill="1" applyBorder="1" applyAlignment="1">
      <alignment horizontal="center" vertical="center" wrapText="1"/>
    </xf>
    <xf numFmtId="0" fontId="23" fillId="11" borderId="3" xfId="4" applyFont="1" applyFill="1" applyBorder="1" applyAlignment="1">
      <alignment horizontal="center" vertical="center" wrapText="1"/>
    </xf>
    <xf numFmtId="0" fontId="23" fillId="6" borderId="36" xfId="4" applyFont="1" applyFill="1" applyBorder="1" applyAlignment="1">
      <alignment horizontal="center" vertical="center" wrapText="1"/>
    </xf>
    <xf numFmtId="0" fontId="23" fillId="6" borderId="37" xfId="4" applyFont="1" applyFill="1" applyBorder="1" applyAlignment="1">
      <alignment horizontal="center" vertical="center" wrapText="1"/>
    </xf>
    <xf numFmtId="0" fontId="23" fillId="6" borderId="13" xfId="4" applyFont="1" applyFill="1" applyBorder="1" applyAlignment="1">
      <alignment horizontal="center" vertical="center" wrapText="1"/>
    </xf>
    <xf numFmtId="0" fontId="23" fillId="3" borderId="1" xfId="4" applyFont="1" applyFill="1" applyBorder="1" applyAlignment="1">
      <alignment horizontal="center" vertical="top" wrapText="1"/>
    </xf>
    <xf numFmtId="0" fontId="23" fillId="3" borderId="3" xfId="4" applyFont="1" applyFill="1" applyBorder="1" applyAlignment="1">
      <alignment horizontal="center" vertical="top" wrapText="1"/>
    </xf>
    <xf numFmtId="3" fontId="23" fillId="11" borderId="1" xfId="4" applyNumberFormat="1" applyFont="1" applyFill="1" applyBorder="1" applyAlignment="1">
      <alignment horizontal="center" vertical="top" wrapText="1"/>
    </xf>
    <xf numFmtId="3" fontId="23" fillId="11" borderId="3" xfId="4" applyNumberFormat="1" applyFont="1" applyFill="1" applyBorder="1" applyAlignment="1">
      <alignment horizontal="center" vertical="top" wrapText="1"/>
    </xf>
    <xf numFmtId="0" fontId="5" fillId="4" borderId="22" xfId="4" applyFont="1" applyFill="1" applyBorder="1" applyAlignment="1" applyProtection="1">
      <alignment horizontal="center" vertical="top" wrapText="1"/>
      <protection locked="0"/>
    </xf>
    <xf numFmtId="0" fontId="5" fillId="4" borderId="50" xfId="4" applyFont="1" applyFill="1" applyBorder="1" applyAlignment="1" applyProtection="1">
      <alignment horizontal="center" vertical="top" wrapText="1"/>
      <protection locked="0"/>
    </xf>
    <xf numFmtId="0" fontId="5" fillId="4" borderId="21" xfId="4" applyFont="1" applyFill="1" applyBorder="1" applyAlignment="1" applyProtection="1">
      <alignment horizontal="center" vertical="top" wrapText="1"/>
      <protection locked="0"/>
    </xf>
    <xf numFmtId="0" fontId="22" fillId="6" borderId="1" xfId="4" applyFont="1" applyFill="1" applyBorder="1" applyAlignment="1">
      <alignment horizontal="center" vertical="top" wrapText="1"/>
    </xf>
    <xf numFmtId="0" fontId="22" fillId="6" borderId="3" xfId="4" applyFont="1" applyFill="1" applyBorder="1" applyAlignment="1">
      <alignment horizontal="center" vertical="top" wrapText="1"/>
    </xf>
    <xf numFmtId="0" fontId="25" fillId="6" borderId="4" xfId="4" applyFont="1" applyFill="1" applyBorder="1" applyAlignment="1">
      <alignment horizontal="center" vertical="center" wrapText="1"/>
    </xf>
    <xf numFmtId="0" fontId="25" fillId="6" borderId="6" xfId="4" applyFont="1" applyFill="1" applyBorder="1" applyAlignment="1">
      <alignment horizontal="center" vertical="center" wrapText="1"/>
    </xf>
    <xf numFmtId="0" fontId="25" fillId="6" borderId="7" xfId="4" applyFont="1" applyFill="1" applyBorder="1" applyAlignment="1">
      <alignment horizontal="center" vertical="center" wrapText="1"/>
    </xf>
    <xf numFmtId="0" fontId="5" fillId="4" borderId="39" xfId="4" applyFont="1" applyFill="1" applyBorder="1" applyAlignment="1" applyProtection="1">
      <alignment horizontal="center" vertical="top" wrapText="1"/>
      <protection locked="0"/>
    </xf>
    <xf numFmtId="0" fontId="5" fillId="4" borderId="52" xfId="4" applyFont="1" applyFill="1" applyBorder="1" applyAlignment="1" applyProtection="1">
      <alignment horizontal="center" vertical="top" wrapText="1"/>
      <protection locked="0"/>
    </xf>
    <xf numFmtId="0" fontId="5" fillId="4" borderId="53" xfId="4" applyFont="1" applyFill="1" applyBorder="1" applyAlignment="1" applyProtection="1">
      <alignment horizontal="center" vertical="top" wrapText="1"/>
      <protection locked="0"/>
    </xf>
    <xf numFmtId="3" fontId="23" fillId="11" borderId="4" xfId="4" applyNumberFormat="1" applyFont="1" applyFill="1" applyBorder="1" applyAlignment="1">
      <alignment horizontal="center" vertical="top" wrapText="1"/>
    </xf>
    <xf numFmtId="3" fontId="23" fillId="11" borderId="7" xfId="4" applyNumberFormat="1" applyFont="1" applyFill="1" applyBorder="1" applyAlignment="1">
      <alignment horizontal="center" vertical="top" wrapText="1"/>
    </xf>
    <xf numFmtId="0" fontId="23" fillId="6" borderId="4" xfId="4" applyFont="1" applyFill="1" applyBorder="1" applyAlignment="1">
      <alignment horizontal="center" vertical="top" wrapText="1"/>
    </xf>
    <xf numFmtId="0" fontId="23" fillId="6" borderId="7" xfId="4" applyFont="1" applyFill="1" applyBorder="1" applyAlignment="1">
      <alignment horizontal="center" vertical="top" wrapText="1"/>
    </xf>
    <xf numFmtId="0" fontId="23" fillId="3" borderId="4" xfId="4" applyFont="1" applyFill="1" applyBorder="1" applyAlignment="1">
      <alignment horizontal="center" vertical="top"/>
    </xf>
    <xf numFmtId="0" fontId="23" fillId="3" borderId="7" xfId="4" applyFont="1" applyFill="1" applyBorder="1" applyAlignment="1">
      <alignment horizontal="center" vertical="top"/>
    </xf>
    <xf numFmtId="0" fontId="5" fillId="4" borderId="28" xfId="4" applyFont="1" applyFill="1" applyBorder="1" applyAlignment="1" applyProtection="1">
      <alignment horizontal="center" vertical="top" wrapText="1"/>
      <protection locked="0"/>
    </xf>
    <xf numFmtId="0" fontId="5" fillId="4" borderId="51" xfId="4" applyFont="1" applyFill="1" applyBorder="1" applyAlignment="1" applyProtection="1">
      <alignment horizontal="center" vertical="top" wrapText="1"/>
      <protection locked="0"/>
    </xf>
    <xf numFmtId="0" fontId="5" fillId="4" borderId="27" xfId="4" applyFont="1" applyFill="1" applyBorder="1" applyAlignment="1" applyProtection="1">
      <alignment horizontal="center" vertical="top" wrapText="1"/>
      <protection locked="0"/>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4" fontId="22" fillId="11" borderId="1" xfId="5" applyNumberFormat="1" applyFont="1" applyFill="1" applyBorder="1" applyAlignment="1">
      <alignment horizontal="center" vertical="center" wrapText="1"/>
    </xf>
    <xf numFmtId="4" fontId="22" fillId="11" borderId="3" xfId="5" applyNumberFormat="1" applyFont="1" applyFill="1" applyBorder="1" applyAlignment="1">
      <alignment horizontal="center" vertical="center" wrapText="1"/>
    </xf>
    <xf numFmtId="0" fontId="22" fillId="0" borderId="32" xfId="0" applyFont="1" applyBorder="1" applyAlignment="1">
      <alignment horizontal="center" vertical="center"/>
    </xf>
    <xf numFmtId="0" fontId="22" fillId="0" borderId="33" xfId="0" applyFont="1" applyBorder="1" applyAlignment="1">
      <alignment horizontal="center" vertical="center"/>
    </xf>
    <xf numFmtId="0" fontId="22" fillId="0" borderId="5" xfId="0" applyFont="1" applyBorder="1" applyAlignment="1">
      <alignment horizontal="center" vertical="center"/>
    </xf>
    <xf numFmtId="0" fontId="22" fillId="0" borderId="36" xfId="0" applyFont="1" applyBorder="1" applyAlignment="1">
      <alignment horizontal="center" vertical="center"/>
    </xf>
    <xf numFmtId="0" fontId="22" fillId="0" borderId="37" xfId="0" applyFont="1" applyBorder="1" applyAlignment="1">
      <alignment horizontal="center" vertical="center"/>
    </xf>
    <xf numFmtId="0" fontId="22" fillId="0" borderId="13" xfId="0" applyFont="1" applyBorder="1" applyAlignment="1">
      <alignment horizontal="center" vertical="center"/>
    </xf>
    <xf numFmtId="2" fontId="23" fillId="6" borderId="4" xfId="5" applyNumberFormat="1" applyFont="1" applyFill="1" applyBorder="1" applyAlignment="1">
      <alignment horizontal="center" vertical="center" wrapText="1"/>
    </xf>
    <xf numFmtId="2" fontId="23" fillId="6" borderId="6" xfId="5" applyNumberFormat="1" applyFont="1" applyFill="1" applyBorder="1" applyAlignment="1">
      <alignment horizontal="center" vertical="center" wrapText="1"/>
    </xf>
    <xf numFmtId="2" fontId="23" fillId="6" borderId="7" xfId="5" applyNumberFormat="1" applyFont="1" applyFill="1" applyBorder="1" applyAlignment="1">
      <alignment horizontal="center" vertical="center" wrapText="1"/>
    </xf>
    <xf numFmtId="0" fontId="25" fillId="6" borderId="32" xfId="4" applyFont="1" applyFill="1" applyBorder="1" applyAlignment="1">
      <alignment horizontal="center" vertical="center" wrapText="1"/>
    </xf>
    <xf numFmtId="0" fontId="25" fillId="6" borderId="34" xfId="4" applyFont="1" applyFill="1" applyBorder="1" applyAlignment="1">
      <alignment horizontal="center" vertical="center" wrapText="1"/>
    </xf>
    <xf numFmtId="0" fontId="25" fillId="6" borderId="36" xfId="4" applyFont="1" applyFill="1" applyBorder="1" applyAlignment="1">
      <alignment horizontal="center" vertical="center" wrapText="1"/>
    </xf>
    <xf numFmtId="0" fontId="5" fillId="4" borderId="17" xfId="4" applyFont="1" applyFill="1" applyBorder="1" applyAlignment="1" applyProtection="1">
      <alignment horizontal="left" vertical="top" wrapText="1"/>
      <protection locked="0"/>
    </xf>
    <xf numFmtId="0" fontId="5" fillId="4" borderId="38" xfId="4" applyFont="1" applyFill="1" applyBorder="1" applyAlignment="1" applyProtection="1">
      <alignment horizontal="left" vertical="top" wrapText="1"/>
      <protection locked="0"/>
    </xf>
    <xf numFmtId="0" fontId="5" fillId="4" borderId="18" xfId="4" applyFont="1" applyFill="1" applyBorder="1" applyAlignment="1" applyProtection="1">
      <alignment horizontal="left" vertical="top" wrapText="1"/>
      <protection locked="0"/>
    </xf>
    <xf numFmtId="3" fontId="23" fillId="3" borderId="4" xfId="4" applyNumberFormat="1" applyFont="1" applyFill="1" applyBorder="1" applyAlignment="1">
      <alignment horizontal="center" vertical="center" wrapText="1"/>
    </xf>
    <xf numFmtId="3" fontId="23" fillId="3" borderId="6" xfId="4" applyNumberFormat="1" applyFont="1" applyFill="1" applyBorder="1" applyAlignment="1">
      <alignment horizontal="center" vertical="center" wrapText="1"/>
    </xf>
    <xf numFmtId="3" fontId="23" fillId="3" borderId="7" xfId="4" applyNumberFormat="1" applyFont="1" applyFill="1" applyBorder="1" applyAlignment="1">
      <alignment horizontal="center" vertical="center" wrapText="1"/>
    </xf>
    <xf numFmtId="0" fontId="23" fillId="3" borderId="4" xfId="4" applyFont="1" applyFill="1" applyBorder="1" applyAlignment="1">
      <alignment horizontal="center" vertical="center" wrapText="1"/>
    </xf>
    <xf numFmtId="0" fontId="23" fillId="3" borderId="6" xfId="4" applyFont="1" applyFill="1" applyBorder="1" applyAlignment="1">
      <alignment horizontal="center" vertical="center" wrapText="1"/>
    </xf>
    <xf numFmtId="0" fontId="23" fillId="3" borderId="7" xfId="4" applyFont="1" applyFill="1" applyBorder="1" applyAlignment="1">
      <alignment horizontal="center" vertical="center" wrapText="1"/>
    </xf>
    <xf numFmtId="0" fontId="25" fillId="6" borderId="1" xfId="4" applyFont="1" applyFill="1" applyBorder="1" applyAlignment="1">
      <alignment horizontal="left" vertical="center" wrapText="1"/>
    </xf>
    <xf numFmtId="0" fontId="25" fillId="6" borderId="3" xfId="4" applyFont="1" applyFill="1" applyBorder="1" applyAlignment="1">
      <alignment horizontal="left" vertical="center" wrapText="1"/>
    </xf>
    <xf numFmtId="0" fontId="5" fillId="4" borderId="1" xfId="0" applyFont="1" applyFill="1" applyBorder="1" applyAlignment="1" applyProtection="1">
      <alignment horizontal="center" vertical="top"/>
      <protection locked="0"/>
    </xf>
    <xf numFmtId="0" fontId="5" fillId="4" borderId="2" xfId="0" applyFont="1" applyFill="1" applyBorder="1" applyAlignment="1" applyProtection="1">
      <alignment horizontal="center" vertical="top"/>
      <protection locked="0"/>
    </xf>
    <xf numFmtId="0" fontId="5" fillId="4" borderId="3" xfId="0" applyFont="1" applyFill="1" applyBorder="1" applyAlignment="1" applyProtection="1">
      <alignment horizontal="center" vertical="top"/>
      <protection locked="0"/>
    </xf>
    <xf numFmtId="0" fontId="22" fillId="6" borderId="32" xfId="4" applyFont="1" applyFill="1" applyBorder="1" applyAlignment="1">
      <alignment horizontal="center" vertical="center" wrapText="1"/>
    </xf>
    <xf numFmtId="0" fontId="22" fillId="6" borderId="5" xfId="4" applyFont="1" applyFill="1" applyBorder="1" applyAlignment="1">
      <alignment horizontal="center" vertical="center" wrapText="1"/>
    </xf>
    <xf numFmtId="0" fontId="22" fillId="6" borderId="36" xfId="4" applyFont="1" applyFill="1" applyBorder="1" applyAlignment="1">
      <alignment horizontal="center" vertical="center" wrapText="1"/>
    </xf>
    <xf numFmtId="0" fontId="22" fillId="6" borderId="13" xfId="4" applyFont="1" applyFill="1" applyBorder="1" applyAlignment="1">
      <alignment horizontal="center" vertical="center" wrapText="1"/>
    </xf>
    <xf numFmtId="0" fontId="22" fillId="6" borderId="1" xfId="4" applyFont="1" applyFill="1" applyBorder="1" applyAlignment="1">
      <alignment horizontal="center" vertical="center" wrapText="1"/>
    </xf>
    <xf numFmtId="0" fontId="22" fillId="6" borderId="2" xfId="4" applyFont="1" applyFill="1" applyBorder="1" applyAlignment="1">
      <alignment horizontal="center" vertical="center" wrapText="1"/>
    </xf>
    <xf numFmtId="0" fontId="22" fillId="6" borderId="3" xfId="4" applyFont="1" applyFill="1" applyBorder="1" applyAlignment="1">
      <alignment horizontal="center" vertical="center" wrapText="1"/>
    </xf>
    <xf numFmtId="0" fontId="22" fillId="3" borderId="4" xfId="0" applyFont="1" applyFill="1" applyBorder="1" applyAlignment="1">
      <alignment horizontal="center" vertical="center" wrapText="1"/>
    </xf>
    <xf numFmtId="0" fontId="22" fillId="3" borderId="7" xfId="0" applyFont="1" applyFill="1" applyBorder="1" applyAlignment="1">
      <alignment horizontal="center" vertical="center" wrapText="1"/>
    </xf>
    <xf numFmtId="0" fontId="22" fillId="3" borderId="32" xfId="4" applyFont="1" applyFill="1" applyBorder="1" applyAlignment="1">
      <alignment horizontal="center" vertical="center"/>
    </xf>
    <xf numFmtId="0" fontId="22" fillId="3" borderId="33" xfId="4" applyFont="1" applyFill="1" applyBorder="1" applyAlignment="1">
      <alignment horizontal="center" vertical="center"/>
    </xf>
    <xf numFmtId="0" fontId="22" fillId="3" borderId="5" xfId="4" applyFont="1" applyFill="1" applyBorder="1" applyAlignment="1">
      <alignment horizontal="center" vertical="center"/>
    </xf>
    <xf numFmtId="0" fontId="22" fillId="3" borderId="34" xfId="4" applyFont="1" applyFill="1" applyBorder="1" applyAlignment="1">
      <alignment horizontal="center" vertical="center"/>
    </xf>
    <xf numFmtId="0" fontId="22" fillId="3" borderId="0" xfId="4" applyFont="1" applyFill="1" applyAlignment="1">
      <alignment horizontal="center" vertical="center"/>
    </xf>
    <xf numFmtId="0" fontId="22" fillId="3" borderId="35" xfId="4" applyFont="1" applyFill="1" applyBorder="1" applyAlignment="1">
      <alignment horizontal="center" vertical="center"/>
    </xf>
    <xf numFmtId="0" fontId="22" fillId="3" borderId="36" xfId="4" applyFont="1" applyFill="1" applyBorder="1" applyAlignment="1">
      <alignment horizontal="center" vertical="center"/>
    </xf>
    <xf numFmtId="0" fontId="22" fillId="3" borderId="37" xfId="4" applyFont="1" applyFill="1" applyBorder="1" applyAlignment="1">
      <alignment horizontal="center" vertical="center"/>
    </xf>
    <xf numFmtId="0" fontId="22" fillId="3" borderId="13" xfId="4" applyFont="1" applyFill="1" applyBorder="1" applyAlignment="1">
      <alignment horizontal="center" vertical="center"/>
    </xf>
    <xf numFmtId="0" fontId="23" fillId="0" borderId="4" xfId="4" applyFont="1" applyBorder="1" applyAlignment="1">
      <alignment horizontal="center" vertical="center" wrapText="1"/>
    </xf>
    <xf numFmtId="0" fontId="23" fillId="0" borderId="6" xfId="4" applyFont="1" applyBorder="1" applyAlignment="1">
      <alignment horizontal="center" vertical="center" wrapText="1"/>
    </xf>
    <xf numFmtId="0" fontId="23" fillId="0" borderId="7" xfId="4" applyFont="1" applyBorder="1" applyAlignment="1">
      <alignment horizontal="center" vertical="center" wrapText="1"/>
    </xf>
    <xf numFmtId="0" fontId="22" fillId="0" borderId="4" xfId="0" applyFont="1" applyBorder="1" applyAlignment="1">
      <alignment horizontal="center" vertical="center" wrapText="1"/>
    </xf>
    <xf numFmtId="0" fontId="22" fillId="0" borderId="7" xfId="0" applyFont="1" applyBorder="1" applyAlignment="1">
      <alignment horizontal="center" vertical="center" wrapText="1"/>
    </xf>
    <xf numFmtId="0" fontId="5" fillId="4" borderId="23" xfId="4" applyFont="1" applyFill="1" applyBorder="1" applyAlignment="1" applyProtection="1">
      <alignment horizontal="left" vertical="top" wrapText="1"/>
      <protection locked="0"/>
    </xf>
    <xf numFmtId="0" fontId="5" fillId="4" borderId="40" xfId="4" applyFont="1" applyFill="1" applyBorder="1" applyAlignment="1" applyProtection="1">
      <alignment horizontal="left" vertical="top" wrapText="1"/>
      <protection locked="0"/>
    </xf>
    <xf numFmtId="0" fontId="5" fillId="4" borderId="24" xfId="4" applyFont="1" applyFill="1" applyBorder="1" applyAlignment="1" applyProtection="1">
      <alignment horizontal="left" vertical="top" wrapText="1"/>
      <protection locked="0"/>
    </xf>
    <xf numFmtId="0" fontId="22" fillId="6" borderId="1" xfId="4" applyFont="1" applyFill="1" applyBorder="1" applyAlignment="1">
      <alignment horizontal="left" vertical="top" wrapText="1"/>
    </xf>
    <xf numFmtId="0" fontId="22" fillId="6" borderId="3" xfId="4" applyFont="1" applyFill="1" applyBorder="1" applyAlignment="1">
      <alignment horizontal="left" vertical="top" wrapText="1"/>
    </xf>
    <xf numFmtId="0" fontId="5" fillId="4" borderId="63" xfId="4" applyFont="1" applyFill="1" applyBorder="1" applyAlignment="1" applyProtection="1">
      <alignment horizontal="center" vertical="top" wrapText="1"/>
      <protection locked="0"/>
    </xf>
    <xf numFmtId="0" fontId="5" fillId="4" borderId="64" xfId="4" applyFont="1" applyFill="1" applyBorder="1" applyAlignment="1" applyProtection="1">
      <alignment horizontal="center" vertical="top" wrapText="1"/>
      <protection locked="0"/>
    </xf>
    <xf numFmtId="0" fontId="5" fillId="4" borderId="65" xfId="4" applyFont="1" applyFill="1" applyBorder="1" applyAlignment="1" applyProtection="1">
      <alignment horizontal="center" vertical="top" wrapText="1"/>
      <protection locked="0"/>
    </xf>
    <xf numFmtId="0" fontId="22" fillId="3" borderId="1" xfId="4" applyFont="1" applyFill="1" applyBorder="1" applyAlignment="1">
      <alignment horizontal="center" vertical="center" wrapText="1"/>
    </xf>
    <xf numFmtId="0" fontId="22" fillId="3" borderId="2" xfId="4" applyFont="1" applyFill="1" applyBorder="1" applyAlignment="1">
      <alignment horizontal="center" vertical="center" wrapText="1"/>
    </xf>
    <xf numFmtId="0" fontId="22" fillId="3" borderId="3" xfId="4" applyFont="1" applyFill="1" applyBorder="1" applyAlignment="1">
      <alignment horizontal="center" vertical="center" wrapText="1"/>
    </xf>
    <xf numFmtId="0" fontId="22" fillId="0" borderId="1" xfId="4" applyFont="1" applyBorder="1" applyAlignment="1">
      <alignment horizontal="center" vertical="center"/>
    </xf>
    <xf numFmtId="0" fontId="22" fillId="0" borderId="3" xfId="4" applyFont="1" applyBorder="1" applyAlignment="1">
      <alignment horizontal="center" vertical="center"/>
    </xf>
    <xf numFmtId="0" fontId="26" fillId="9" borderId="33" xfId="8" applyFont="1" applyFill="1" applyBorder="1" applyAlignment="1">
      <alignment horizontal="left" vertical="top" wrapText="1"/>
    </xf>
    <xf numFmtId="0" fontId="26" fillId="9" borderId="0" xfId="8" applyFont="1" applyFill="1" applyAlignment="1">
      <alignment horizontal="left" vertical="top" wrapText="1"/>
    </xf>
    <xf numFmtId="0" fontId="22" fillId="0" borderId="4" xfId="0" applyFont="1" applyBorder="1" applyAlignment="1">
      <alignment horizontal="center" wrapText="1"/>
    </xf>
    <xf numFmtId="0" fontId="22" fillId="0" borderId="7" xfId="0" applyFont="1" applyBorder="1" applyAlignment="1">
      <alignment horizontal="center" wrapText="1"/>
    </xf>
    <xf numFmtId="0" fontId="5" fillId="4" borderId="22" xfId="4" applyFont="1" applyFill="1" applyBorder="1" applyAlignment="1" applyProtection="1">
      <alignment horizontal="center"/>
      <protection locked="0"/>
    </xf>
    <xf numFmtId="0" fontId="5" fillId="4" borderId="50" xfId="4" applyFont="1" applyFill="1" applyBorder="1" applyAlignment="1" applyProtection="1">
      <alignment horizontal="center"/>
      <protection locked="0"/>
    </xf>
    <xf numFmtId="0" fontId="5" fillId="4" borderId="21" xfId="4" applyFont="1" applyFill="1" applyBorder="1" applyAlignment="1" applyProtection="1">
      <alignment horizontal="center"/>
      <protection locked="0"/>
    </xf>
    <xf numFmtId="0" fontId="5" fillId="4" borderId="39" xfId="4" applyFont="1" applyFill="1" applyBorder="1" applyAlignment="1" applyProtection="1">
      <alignment horizontal="center"/>
      <protection locked="0"/>
    </xf>
    <xf numFmtId="0" fontId="5" fillId="4" borderId="52" xfId="4" applyFont="1" applyFill="1" applyBorder="1" applyAlignment="1" applyProtection="1">
      <alignment horizontal="center"/>
      <protection locked="0"/>
    </xf>
    <xf numFmtId="0" fontId="5" fillId="4" borderId="53" xfId="4" applyFont="1" applyFill="1" applyBorder="1" applyAlignment="1" applyProtection="1">
      <alignment horizontal="center"/>
      <protection locked="0"/>
    </xf>
    <xf numFmtId="0" fontId="5" fillId="4" borderId="28" xfId="4" applyFont="1" applyFill="1" applyBorder="1" applyAlignment="1" applyProtection="1">
      <alignment horizontal="center"/>
      <protection locked="0"/>
    </xf>
    <xf numFmtId="0" fontId="5" fillId="4" borderId="51" xfId="4" applyFont="1" applyFill="1" applyBorder="1" applyAlignment="1" applyProtection="1">
      <alignment horizontal="center"/>
      <protection locked="0"/>
    </xf>
    <xf numFmtId="0" fontId="5" fillId="4" borderId="27" xfId="4" applyFont="1" applyFill="1" applyBorder="1" applyAlignment="1" applyProtection="1">
      <alignment horizontal="center"/>
      <protection locked="0"/>
    </xf>
    <xf numFmtId="0" fontId="5" fillId="4" borderId="22" xfId="4" applyFont="1" applyFill="1" applyBorder="1" applyAlignment="1" applyProtection="1">
      <alignment horizontal="left" vertical="top" wrapText="1"/>
      <protection locked="0"/>
    </xf>
    <xf numFmtId="0" fontId="5" fillId="4" borderId="50" xfId="4" applyFont="1" applyFill="1" applyBorder="1" applyAlignment="1" applyProtection="1">
      <alignment horizontal="left" vertical="top" wrapText="1"/>
      <protection locked="0"/>
    </xf>
    <xf numFmtId="0" fontId="5" fillId="4" borderId="21" xfId="4" applyFont="1" applyFill="1" applyBorder="1" applyAlignment="1" applyProtection="1">
      <alignment horizontal="left" vertical="top" wrapText="1"/>
      <protection locked="0"/>
    </xf>
    <xf numFmtId="0" fontId="5" fillId="4" borderId="42" xfId="4" applyFont="1" applyFill="1" applyBorder="1" applyAlignment="1" applyProtection="1">
      <alignment horizontal="left" vertical="top" wrapText="1"/>
      <protection locked="0"/>
    </xf>
    <xf numFmtId="0" fontId="5" fillId="4" borderId="43" xfId="4" applyFont="1" applyFill="1" applyBorder="1" applyAlignment="1" applyProtection="1">
      <alignment horizontal="left" vertical="top" wrapText="1"/>
      <protection locked="0"/>
    </xf>
    <xf numFmtId="0" fontId="5" fillId="4" borderId="44" xfId="4" applyFont="1" applyFill="1" applyBorder="1" applyAlignment="1" applyProtection="1">
      <alignment horizontal="left" vertical="top" wrapText="1"/>
      <protection locked="0"/>
    </xf>
    <xf numFmtId="0" fontId="5" fillId="4" borderId="1" xfId="4" applyFont="1" applyFill="1" applyBorder="1" applyAlignment="1" applyProtection="1">
      <alignment horizontal="left" vertical="top" wrapText="1"/>
      <protection locked="0"/>
    </xf>
    <xf numFmtId="0" fontId="5" fillId="4" borderId="2" xfId="4" applyFont="1" applyFill="1" applyBorder="1" applyAlignment="1" applyProtection="1">
      <alignment horizontal="left" vertical="top" wrapText="1"/>
      <protection locked="0"/>
    </xf>
    <xf numFmtId="0" fontId="5" fillId="4" borderId="3" xfId="4" applyFont="1" applyFill="1" applyBorder="1" applyAlignment="1" applyProtection="1">
      <alignment horizontal="left" vertical="top" wrapText="1"/>
      <protection locked="0"/>
    </xf>
    <xf numFmtId="0" fontId="5" fillId="4" borderId="16" xfId="4" applyFont="1" applyFill="1" applyBorder="1" applyAlignment="1" applyProtection="1">
      <alignment horizontal="left" vertical="top" wrapText="1"/>
      <protection locked="0"/>
    </xf>
    <xf numFmtId="0" fontId="5" fillId="4" borderId="49" xfId="4" applyFont="1" applyFill="1" applyBorder="1" applyAlignment="1" applyProtection="1">
      <alignment horizontal="left" vertical="top" wrapText="1"/>
      <protection locked="0"/>
    </xf>
    <xf numFmtId="0" fontId="5" fillId="4" borderId="15" xfId="4" applyFont="1" applyFill="1" applyBorder="1" applyAlignment="1" applyProtection="1">
      <alignment horizontal="left" vertical="top" wrapText="1"/>
      <protection locked="0"/>
    </xf>
    <xf numFmtId="0" fontId="38" fillId="4" borderId="22" xfId="4" applyFont="1" applyFill="1" applyBorder="1" applyAlignment="1" applyProtection="1">
      <alignment horizontal="center" vertical="top" wrapText="1"/>
      <protection locked="0"/>
    </xf>
    <xf numFmtId="0" fontId="38" fillId="4" borderId="50" xfId="4" applyFont="1" applyFill="1" applyBorder="1" applyAlignment="1" applyProtection="1">
      <alignment horizontal="center" vertical="top" wrapText="1"/>
      <protection locked="0"/>
    </xf>
    <xf numFmtId="0" fontId="38" fillId="4" borderId="21" xfId="4" applyFont="1" applyFill="1" applyBorder="1" applyAlignment="1" applyProtection="1">
      <alignment horizontal="center" vertical="top" wrapText="1"/>
      <protection locked="0"/>
    </xf>
    <xf numFmtId="0" fontId="5" fillId="4" borderId="28" xfId="4" applyFont="1" applyFill="1" applyBorder="1" applyAlignment="1" applyProtection="1">
      <alignment horizontal="left" vertical="top" wrapText="1"/>
      <protection locked="0"/>
    </xf>
    <xf numFmtId="0" fontId="5" fillId="4" borderId="51" xfId="4" applyFont="1" applyFill="1" applyBorder="1" applyAlignment="1" applyProtection="1">
      <alignment horizontal="left" vertical="top" wrapText="1"/>
      <protection locked="0"/>
    </xf>
    <xf numFmtId="0" fontId="5" fillId="4" borderId="27" xfId="4" applyFont="1" applyFill="1" applyBorder="1" applyAlignment="1" applyProtection="1">
      <alignment horizontal="left" vertical="top" wrapText="1"/>
      <protection locked="0"/>
    </xf>
    <xf numFmtId="0" fontId="5" fillId="4" borderId="61" xfId="4" applyFont="1" applyFill="1" applyBorder="1" applyAlignment="1" applyProtection="1">
      <alignment horizontal="left" vertical="top" wrapText="1"/>
      <protection locked="0"/>
    </xf>
    <xf numFmtId="0" fontId="5" fillId="4" borderId="69" xfId="4" applyFont="1" applyFill="1" applyBorder="1" applyAlignment="1" applyProtection="1">
      <alignment horizontal="left" vertical="top" wrapText="1"/>
      <protection locked="0"/>
    </xf>
    <xf numFmtId="0" fontId="5" fillId="4" borderId="46" xfId="4" applyFont="1" applyFill="1" applyBorder="1" applyAlignment="1" applyProtection="1">
      <alignment horizontal="left" vertical="top" wrapText="1"/>
      <protection locked="0"/>
    </xf>
    <xf numFmtId="0" fontId="37" fillId="6" borderId="1" xfId="4" applyFont="1" applyFill="1" applyBorder="1" applyAlignment="1">
      <alignment horizontal="center" vertical="center" wrapText="1"/>
    </xf>
    <xf numFmtId="0" fontId="37" fillId="6" borderId="2" xfId="4" applyFont="1" applyFill="1" applyBorder="1" applyAlignment="1">
      <alignment horizontal="center" vertical="center" wrapText="1"/>
    </xf>
    <xf numFmtId="0" fontId="37" fillId="6" borderId="3" xfId="4" applyFont="1" applyFill="1" applyBorder="1" applyAlignment="1">
      <alignment horizontal="center" vertical="center" wrapText="1"/>
    </xf>
    <xf numFmtId="0" fontId="23" fillId="6" borderId="32" xfId="4" applyFont="1" applyFill="1" applyBorder="1" applyAlignment="1">
      <alignment horizontal="center" wrapText="1"/>
    </xf>
    <xf numFmtId="0" fontId="23" fillId="6" borderId="33" xfId="4" applyFont="1" applyFill="1" applyBorder="1" applyAlignment="1">
      <alignment horizontal="center" wrapText="1"/>
    </xf>
    <xf numFmtId="0" fontId="23" fillId="6" borderId="5" xfId="4" applyFont="1" applyFill="1" applyBorder="1" applyAlignment="1">
      <alignment horizontal="center" wrapText="1"/>
    </xf>
    <xf numFmtId="0" fontId="23" fillId="6" borderId="34" xfId="4" applyFont="1" applyFill="1" applyBorder="1" applyAlignment="1">
      <alignment horizontal="center" wrapText="1"/>
    </xf>
    <xf numFmtId="0" fontId="23" fillId="6" borderId="0" xfId="4" applyFont="1" applyFill="1" applyAlignment="1">
      <alignment horizontal="center" wrapText="1"/>
    </xf>
    <xf numFmtId="0" fontId="23" fillId="6" borderId="35" xfId="4" applyFont="1" applyFill="1" applyBorder="1" applyAlignment="1">
      <alignment horizontal="center" wrapText="1"/>
    </xf>
    <xf numFmtId="0" fontId="23" fillId="6" borderId="36" xfId="4" applyFont="1" applyFill="1" applyBorder="1" applyAlignment="1">
      <alignment horizontal="center" wrapText="1"/>
    </xf>
    <xf numFmtId="0" fontId="23" fillId="6" borderId="37" xfId="4" applyFont="1" applyFill="1" applyBorder="1" applyAlignment="1">
      <alignment horizontal="center" wrapText="1"/>
    </xf>
    <xf numFmtId="0" fontId="23" fillId="6" borderId="13" xfId="4" applyFont="1" applyFill="1" applyBorder="1" applyAlignment="1">
      <alignment horizontal="center" wrapText="1"/>
    </xf>
    <xf numFmtId="0" fontId="38" fillId="4" borderId="39" xfId="4" applyFont="1" applyFill="1" applyBorder="1" applyAlignment="1" applyProtection="1">
      <alignment horizontal="center" vertical="top" wrapText="1"/>
      <protection locked="0"/>
    </xf>
    <xf numFmtId="0" fontId="38" fillId="4" borderId="52" xfId="4" applyFont="1" applyFill="1" applyBorder="1" applyAlignment="1" applyProtection="1">
      <alignment horizontal="center" vertical="top" wrapText="1"/>
      <protection locked="0"/>
    </xf>
    <xf numFmtId="0" fontId="38" fillId="4" borderId="53" xfId="4" applyFont="1" applyFill="1" applyBorder="1" applyAlignment="1" applyProtection="1">
      <alignment horizontal="center" vertical="top" wrapText="1"/>
      <protection locked="0"/>
    </xf>
    <xf numFmtId="2" fontId="23" fillId="4" borderId="28" xfId="5" applyNumberFormat="1" applyFont="1" applyFill="1" applyBorder="1" applyAlignment="1" applyProtection="1">
      <alignment horizontal="center" vertical="top" wrapText="1"/>
      <protection locked="0"/>
    </xf>
    <xf numFmtId="2" fontId="23" fillId="4" borderId="51" xfId="5" applyNumberFormat="1" applyFont="1" applyFill="1" applyBorder="1" applyAlignment="1" applyProtection="1">
      <alignment horizontal="center" vertical="top" wrapText="1"/>
      <protection locked="0"/>
    </xf>
    <xf numFmtId="2" fontId="23" fillId="4" borderId="27" xfId="5" applyNumberFormat="1" applyFont="1" applyFill="1" applyBorder="1" applyAlignment="1" applyProtection="1">
      <alignment horizontal="center" vertical="top" wrapText="1"/>
      <protection locked="0"/>
    </xf>
    <xf numFmtId="0" fontId="5" fillId="6" borderId="1" xfId="4" applyFont="1" applyFill="1" applyBorder="1" applyAlignment="1">
      <alignment horizontal="left" vertical="top"/>
    </xf>
    <xf numFmtId="0" fontId="5" fillId="6" borderId="3" xfId="4" applyFont="1" applyFill="1" applyBorder="1" applyAlignment="1">
      <alignment horizontal="left" vertical="top"/>
    </xf>
    <xf numFmtId="0" fontId="5" fillId="9" borderId="0" xfId="4" applyFont="1" applyFill="1" applyAlignment="1">
      <alignment horizontal="left" wrapText="1"/>
    </xf>
    <xf numFmtId="0" fontId="26" fillId="6" borderId="61" xfId="4" applyFont="1" applyFill="1" applyBorder="1" applyAlignment="1">
      <alignment horizontal="left" vertical="top" wrapText="1"/>
    </xf>
    <xf numFmtId="0" fontId="26" fillId="6" borderId="46" xfId="4" applyFont="1" applyFill="1" applyBorder="1" applyAlignment="1">
      <alignment horizontal="left" vertical="top" wrapText="1"/>
    </xf>
    <xf numFmtId="0" fontId="5" fillId="13" borderId="61" xfId="4" applyFont="1" applyFill="1" applyBorder="1" applyAlignment="1">
      <alignment horizontal="center" vertical="top" wrapText="1"/>
    </xf>
    <xf numFmtId="0" fontId="5" fillId="13" borderId="69" xfId="4" applyFont="1" applyFill="1" applyBorder="1" applyAlignment="1">
      <alignment horizontal="center" vertical="top" wrapText="1"/>
    </xf>
    <xf numFmtId="0" fontId="5" fillId="13" borderId="46" xfId="4" applyFont="1" applyFill="1" applyBorder="1" applyAlignment="1">
      <alignment horizontal="center" vertical="top" wrapText="1"/>
    </xf>
    <xf numFmtId="0" fontId="5" fillId="4" borderId="17" xfId="4" applyFont="1" applyFill="1" applyBorder="1" applyAlignment="1" applyProtection="1">
      <alignment horizontal="center" vertical="top" wrapText="1"/>
      <protection locked="0"/>
    </xf>
    <xf numFmtId="0" fontId="5" fillId="4" borderId="38" xfId="4" applyFont="1" applyFill="1" applyBorder="1" applyAlignment="1" applyProtection="1">
      <alignment horizontal="center" vertical="top" wrapText="1"/>
      <protection locked="0"/>
    </xf>
    <xf numFmtId="0" fontId="5" fillId="4" borderId="18" xfId="4" applyFont="1" applyFill="1" applyBorder="1" applyAlignment="1" applyProtection="1">
      <alignment horizontal="center" vertical="top" wrapText="1"/>
      <protection locked="0"/>
    </xf>
    <xf numFmtId="0" fontId="38" fillId="4" borderId="28" xfId="4" applyFont="1" applyFill="1" applyBorder="1" applyAlignment="1" applyProtection="1">
      <alignment horizontal="center" vertical="top" wrapText="1"/>
      <protection locked="0"/>
    </xf>
    <xf numFmtId="0" fontId="38" fillId="4" borderId="51" xfId="4" applyFont="1" applyFill="1" applyBorder="1" applyAlignment="1" applyProtection="1">
      <alignment horizontal="center" vertical="top" wrapText="1"/>
      <protection locked="0"/>
    </xf>
    <xf numFmtId="0" fontId="38" fillId="4" borderId="27" xfId="4" applyFont="1" applyFill="1" applyBorder="1" applyAlignment="1" applyProtection="1">
      <alignment horizontal="center" vertical="top" wrapText="1"/>
      <protection locked="0"/>
    </xf>
    <xf numFmtId="2" fontId="23" fillId="3" borderId="32" xfId="5" applyNumberFormat="1" applyFont="1" applyFill="1" applyBorder="1" applyAlignment="1">
      <alignment horizontal="center" vertical="top" wrapText="1"/>
    </xf>
    <xf numFmtId="2" fontId="23" fillId="3" borderId="33" xfId="5" applyNumberFormat="1" applyFont="1" applyFill="1" applyBorder="1" applyAlignment="1">
      <alignment horizontal="center" vertical="top" wrapText="1"/>
    </xf>
    <xf numFmtId="2" fontId="23" fillId="3" borderId="5" xfId="5" applyNumberFormat="1" applyFont="1" applyFill="1" applyBorder="1" applyAlignment="1">
      <alignment horizontal="center" vertical="top" wrapText="1"/>
    </xf>
    <xf numFmtId="2" fontId="23" fillId="3" borderId="36" xfId="5" applyNumberFormat="1" applyFont="1" applyFill="1" applyBorder="1" applyAlignment="1">
      <alignment horizontal="center" vertical="top" wrapText="1"/>
    </xf>
    <xf numFmtId="2" fontId="23" fillId="3" borderId="37" xfId="5" applyNumberFormat="1" applyFont="1" applyFill="1" applyBorder="1" applyAlignment="1">
      <alignment horizontal="center" vertical="top" wrapText="1"/>
    </xf>
    <xf numFmtId="2" fontId="23" fillId="3" borderId="13" xfId="5" applyNumberFormat="1" applyFont="1" applyFill="1" applyBorder="1" applyAlignment="1">
      <alignment horizontal="center" vertical="top" wrapText="1"/>
    </xf>
    <xf numFmtId="2" fontId="23" fillId="4" borderId="1" xfId="5" applyNumberFormat="1" applyFont="1" applyFill="1" applyBorder="1" applyAlignment="1" applyProtection="1">
      <alignment horizontal="center" vertical="top" wrapText="1"/>
      <protection locked="0"/>
    </xf>
    <xf numFmtId="2" fontId="23" fillId="4" borderId="2" xfId="5" applyNumberFormat="1" applyFont="1" applyFill="1" applyBorder="1" applyAlignment="1" applyProtection="1">
      <alignment horizontal="center" vertical="top" wrapText="1"/>
      <protection locked="0"/>
    </xf>
    <xf numFmtId="2" fontId="23" fillId="4" borderId="3" xfId="5" applyNumberFormat="1" applyFont="1" applyFill="1" applyBorder="1" applyAlignment="1" applyProtection="1">
      <alignment horizontal="center" vertical="top" wrapText="1"/>
      <protection locked="0"/>
    </xf>
    <xf numFmtId="2" fontId="23" fillId="4" borderId="39" xfId="5" applyNumberFormat="1" applyFont="1" applyFill="1" applyBorder="1" applyAlignment="1" applyProtection="1">
      <alignment horizontal="center" vertical="top" wrapText="1"/>
      <protection locked="0"/>
    </xf>
    <xf numFmtId="2" fontId="23" fillId="4" borderId="52" xfId="5" applyNumberFormat="1" applyFont="1" applyFill="1" applyBorder="1" applyAlignment="1" applyProtection="1">
      <alignment horizontal="center" vertical="top" wrapText="1"/>
      <protection locked="0"/>
    </xf>
    <xf numFmtId="2" fontId="23" fillId="4" borderId="53" xfId="5" applyNumberFormat="1" applyFont="1" applyFill="1" applyBorder="1" applyAlignment="1" applyProtection="1">
      <alignment horizontal="center" vertical="top" wrapText="1"/>
      <protection locked="0"/>
    </xf>
    <xf numFmtId="2" fontId="23" fillId="4" borderId="22" xfId="5" applyNumberFormat="1" applyFont="1" applyFill="1" applyBorder="1" applyAlignment="1" applyProtection="1">
      <alignment horizontal="center" vertical="top" wrapText="1"/>
      <protection locked="0"/>
    </xf>
    <xf numFmtId="2" fontId="23" fillId="4" borderId="50" xfId="5" applyNumberFormat="1" applyFont="1" applyFill="1" applyBorder="1" applyAlignment="1" applyProtection="1">
      <alignment horizontal="center" vertical="top" wrapText="1"/>
      <protection locked="0"/>
    </xf>
    <xf numFmtId="2" fontId="23" fillId="4" borderId="21" xfId="5" applyNumberFormat="1" applyFont="1" applyFill="1" applyBorder="1" applyAlignment="1" applyProtection="1">
      <alignment horizontal="center" vertical="top" wrapText="1"/>
      <protection locked="0"/>
    </xf>
    <xf numFmtId="0" fontId="22" fillId="11" borderId="1" xfId="0" applyFont="1" applyFill="1" applyBorder="1" applyAlignment="1">
      <alignment horizontal="center"/>
    </xf>
    <xf numFmtId="0" fontId="22" fillId="11" borderId="2" xfId="0" applyFont="1" applyFill="1" applyBorder="1" applyAlignment="1">
      <alignment horizontal="center"/>
    </xf>
    <xf numFmtId="0" fontId="22" fillId="11" borderId="3" xfId="0" applyFont="1" applyFill="1" applyBorder="1" applyAlignment="1">
      <alignment horizontal="center"/>
    </xf>
    <xf numFmtId="0" fontId="5" fillId="4" borderId="1" xfId="4" applyFont="1" applyFill="1" applyBorder="1" applyAlignment="1" applyProtection="1">
      <alignment horizontal="center" vertical="top" wrapText="1"/>
      <protection locked="0"/>
    </xf>
    <xf numFmtId="0" fontId="5" fillId="4" borderId="2" xfId="4" applyFont="1" applyFill="1" applyBorder="1" applyAlignment="1" applyProtection="1">
      <alignment horizontal="center" vertical="top" wrapText="1"/>
      <protection locked="0"/>
    </xf>
    <xf numFmtId="0" fontId="5" fillId="4" borderId="3" xfId="4" applyFont="1" applyFill="1" applyBorder="1" applyAlignment="1" applyProtection="1">
      <alignment horizontal="center" vertical="top" wrapText="1"/>
      <protection locked="0"/>
    </xf>
    <xf numFmtId="3" fontId="5" fillId="13" borderId="36" xfId="4" applyNumberFormat="1" applyFont="1" applyFill="1" applyBorder="1" applyAlignment="1">
      <alignment horizontal="center" vertical="top" wrapText="1"/>
    </xf>
    <xf numFmtId="3" fontId="5" fillId="13" borderId="13" xfId="4" applyNumberFormat="1" applyFont="1" applyFill="1" applyBorder="1" applyAlignment="1">
      <alignment horizontal="center" vertical="top" wrapText="1"/>
    </xf>
    <xf numFmtId="0" fontId="5" fillId="13" borderId="61" xfId="4" applyFont="1" applyFill="1" applyBorder="1" applyAlignment="1">
      <alignment horizontal="left" vertical="top" wrapText="1"/>
    </xf>
    <xf numFmtId="0" fontId="5" fillId="13" borderId="69" xfId="4" applyFont="1" applyFill="1" applyBorder="1" applyAlignment="1">
      <alignment horizontal="left" vertical="top" wrapText="1"/>
    </xf>
    <xf numFmtId="0" fontId="5" fillId="13" borderId="46" xfId="4" applyFont="1" applyFill="1" applyBorder="1" applyAlignment="1">
      <alignment horizontal="left" vertical="top" wrapText="1"/>
    </xf>
    <xf numFmtId="0" fontId="26" fillId="16" borderId="22" xfId="0" applyFont="1" applyFill="1" applyBorder="1" applyAlignment="1">
      <alignment horizontal="left" vertical="center" wrapText="1"/>
    </xf>
    <xf numFmtId="0" fontId="26" fillId="16" borderId="50" xfId="0" applyFont="1" applyFill="1" applyBorder="1" applyAlignment="1">
      <alignment horizontal="left" vertical="center" wrapText="1"/>
    </xf>
    <xf numFmtId="0" fontId="26" fillId="16" borderId="21" xfId="0" applyFont="1" applyFill="1" applyBorder="1" applyAlignment="1">
      <alignment horizontal="left" vertical="center" wrapText="1"/>
    </xf>
    <xf numFmtId="0" fontId="22" fillId="0" borderId="1" xfId="4" applyFont="1" applyBorder="1" applyAlignment="1">
      <alignment horizontal="center" vertical="top" wrapText="1"/>
    </xf>
    <xf numFmtId="0" fontId="22" fillId="0" borderId="3" xfId="4" applyFont="1" applyBorder="1" applyAlignment="1">
      <alignment horizontal="center" vertical="top" wrapText="1"/>
    </xf>
    <xf numFmtId="0" fontId="22" fillId="11" borderId="1" xfId="4" applyFont="1" applyFill="1" applyBorder="1" applyAlignment="1">
      <alignment horizontal="center" vertical="top" wrapText="1"/>
    </xf>
    <xf numFmtId="0" fontId="22" fillId="11" borderId="3" xfId="4" applyFont="1" applyFill="1" applyBorder="1" applyAlignment="1">
      <alignment horizontal="center" vertical="top" wrapText="1"/>
    </xf>
    <xf numFmtId="0" fontId="26" fillId="6" borderId="39" xfId="4" applyFont="1" applyFill="1" applyBorder="1" applyAlignment="1">
      <alignment horizontal="left" vertical="top" wrapText="1"/>
    </xf>
    <xf numFmtId="0" fontId="26" fillId="6" borderId="52" xfId="4" applyFont="1" applyFill="1" applyBorder="1" applyAlignment="1">
      <alignment horizontal="left" vertical="top" wrapText="1"/>
    </xf>
    <xf numFmtId="0" fontId="26" fillId="6" borderId="53" xfId="4" applyFont="1" applyFill="1" applyBorder="1" applyAlignment="1">
      <alignment horizontal="left" vertical="top" wrapText="1"/>
    </xf>
    <xf numFmtId="0" fontId="26" fillId="6" borderId="22" xfId="4" applyFont="1" applyFill="1" applyBorder="1" applyAlignment="1">
      <alignment horizontal="left" vertical="top" wrapText="1"/>
    </xf>
    <xf numFmtId="0" fontId="26" fillId="6" borderId="50" xfId="4" applyFont="1" applyFill="1" applyBorder="1" applyAlignment="1">
      <alignment horizontal="left" vertical="top" wrapText="1"/>
    </xf>
    <xf numFmtId="0" fontId="26" fillId="6" borderId="21" xfId="4" applyFont="1" applyFill="1" applyBorder="1" applyAlignment="1">
      <alignment horizontal="left" vertical="top" wrapText="1"/>
    </xf>
    <xf numFmtId="0" fontId="26" fillId="6" borderId="1" xfId="4" applyFont="1" applyFill="1" applyBorder="1" applyAlignment="1">
      <alignment horizontal="left" vertical="top" wrapText="1"/>
    </xf>
    <xf numFmtId="0" fontId="26" fillId="6" borderId="2" xfId="4" applyFont="1" applyFill="1" applyBorder="1" applyAlignment="1">
      <alignment horizontal="left" vertical="top" wrapText="1"/>
    </xf>
    <xf numFmtId="0" fontId="26" fillId="6" borderId="3" xfId="4" applyFont="1" applyFill="1" applyBorder="1" applyAlignment="1">
      <alignment horizontal="left" vertical="top" wrapText="1"/>
    </xf>
    <xf numFmtId="0" fontId="26" fillId="6" borderId="28" xfId="4" applyFont="1" applyFill="1" applyBorder="1" applyAlignment="1">
      <alignment horizontal="left" vertical="top" wrapText="1"/>
    </xf>
    <xf numFmtId="0" fontId="26" fillId="6" borderId="51" xfId="4" applyFont="1" applyFill="1" applyBorder="1" applyAlignment="1">
      <alignment horizontal="left" vertical="top" wrapText="1"/>
    </xf>
    <xf numFmtId="0" fontId="26" fillId="6" borderId="27" xfId="4" applyFont="1" applyFill="1" applyBorder="1" applyAlignment="1">
      <alignment horizontal="left" vertical="top" wrapText="1"/>
    </xf>
    <xf numFmtId="0" fontId="5" fillId="9" borderId="0" xfId="4" applyFont="1" applyFill="1" applyAlignment="1">
      <alignment vertical="top" wrapText="1"/>
    </xf>
    <xf numFmtId="0" fontId="5" fillId="6" borderId="36" xfId="4" applyFont="1" applyFill="1" applyBorder="1" applyAlignment="1">
      <alignment horizontal="left" vertical="top"/>
    </xf>
    <xf numFmtId="0" fontId="5" fillId="6" borderId="13" xfId="4" applyFont="1" applyFill="1" applyBorder="1" applyAlignment="1">
      <alignment horizontal="left" vertical="top"/>
    </xf>
    <xf numFmtId="0" fontId="5" fillId="6" borderId="34" xfId="4" applyFont="1" applyFill="1" applyBorder="1" applyAlignment="1">
      <alignment horizontal="left" vertical="top" wrapText="1"/>
    </xf>
    <xf numFmtId="0" fontId="5" fillId="6" borderId="35" xfId="4" applyFont="1" applyFill="1" applyBorder="1" applyAlignment="1">
      <alignment horizontal="left" vertical="top" wrapText="1"/>
    </xf>
    <xf numFmtId="0" fontId="5" fillId="6" borderId="32" xfId="4" applyFont="1" applyFill="1" applyBorder="1" applyAlignment="1">
      <alignment horizontal="left" vertical="top" wrapText="1"/>
    </xf>
    <xf numFmtId="0" fontId="5" fillId="6" borderId="5" xfId="4" applyFont="1" applyFill="1" applyBorder="1" applyAlignment="1">
      <alignment horizontal="left" vertical="top" wrapText="1"/>
    </xf>
    <xf numFmtId="0" fontId="5" fillId="4" borderId="34" xfId="4" applyFont="1" applyFill="1" applyBorder="1" applyAlignment="1" applyProtection="1">
      <alignment horizontal="left" vertical="top" wrapText="1"/>
      <protection locked="0"/>
    </xf>
    <xf numFmtId="0" fontId="5" fillId="4" borderId="0" xfId="4" applyFont="1" applyFill="1" applyAlignment="1" applyProtection="1">
      <alignment horizontal="left" vertical="top" wrapText="1"/>
      <protection locked="0"/>
    </xf>
    <xf numFmtId="0" fontId="5" fillId="4" borderId="35" xfId="4" applyFont="1" applyFill="1" applyBorder="1" applyAlignment="1" applyProtection="1">
      <alignment horizontal="left" vertical="top" wrapText="1"/>
      <protection locked="0"/>
    </xf>
    <xf numFmtId="2" fontId="23" fillId="6" borderId="32" xfId="5" applyNumberFormat="1" applyFont="1" applyFill="1" applyBorder="1" applyAlignment="1">
      <alignment horizontal="center" vertical="center" wrapText="1"/>
    </xf>
    <xf numFmtId="2" fontId="23" fillId="6" borderId="5" xfId="5" applyNumberFormat="1" applyFont="1" applyFill="1" applyBorder="1" applyAlignment="1">
      <alignment horizontal="center" vertical="center" wrapText="1"/>
    </xf>
    <xf numFmtId="2" fontId="23" fillId="6" borderId="36" xfId="5" applyNumberFormat="1" applyFont="1" applyFill="1" applyBorder="1" applyAlignment="1">
      <alignment horizontal="center" vertical="center" wrapText="1"/>
    </xf>
    <xf numFmtId="2" fontId="23" fillId="6" borderId="13" xfId="5" applyNumberFormat="1" applyFont="1" applyFill="1" applyBorder="1" applyAlignment="1">
      <alignment horizontal="center" vertical="center" wrapText="1"/>
    </xf>
    <xf numFmtId="0" fontId="13" fillId="15" borderId="0" xfId="4" applyFont="1" applyFill="1" applyAlignment="1">
      <alignment horizontal="left" vertical="center"/>
    </xf>
    <xf numFmtId="0" fontId="22" fillId="0" borderId="2" xfId="4" applyFont="1" applyBorder="1" applyAlignment="1">
      <alignment horizontal="center" vertical="center"/>
    </xf>
    <xf numFmtId="0" fontId="22" fillId="11" borderId="1" xfId="4" applyFont="1" applyFill="1" applyBorder="1" applyAlignment="1">
      <alignment horizontal="center" vertical="center"/>
    </xf>
    <xf numFmtId="0" fontId="22" fillId="11" borderId="2" xfId="4" applyFont="1" applyFill="1" applyBorder="1" applyAlignment="1">
      <alignment horizontal="center" vertical="center"/>
    </xf>
    <xf numFmtId="0" fontId="22" fillId="11" borderId="3" xfId="4" applyFont="1" applyFill="1" applyBorder="1" applyAlignment="1">
      <alignment horizontal="center" vertical="center"/>
    </xf>
    <xf numFmtId="0" fontId="23" fillId="3" borderId="1" xfId="4" applyFont="1" applyFill="1" applyBorder="1" applyAlignment="1">
      <alignment horizontal="center" vertical="center" wrapText="1"/>
    </xf>
    <xf numFmtId="0" fontId="23" fillId="3" borderId="3" xfId="4" applyFont="1" applyFill="1" applyBorder="1" applyAlignment="1">
      <alignment horizontal="center" vertical="center" wrapText="1"/>
    </xf>
    <xf numFmtId="0" fontId="22" fillId="11" borderId="36" xfId="4" applyFont="1" applyFill="1" applyBorder="1" applyAlignment="1">
      <alignment horizontal="center"/>
    </xf>
    <xf numFmtId="0" fontId="5" fillId="4" borderId="23" xfId="4" applyFont="1" applyFill="1" applyBorder="1" applyAlignment="1" applyProtection="1">
      <alignment horizontal="center" vertical="top" wrapText="1"/>
      <protection locked="0"/>
    </xf>
    <xf numFmtId="0" fontId="5" fillId="4" borderId="40" xfId="4" applyFont="1" applyFill="1" applyBorder="1" applyAlignment="1" applyProtection="1">
      <alignment horizontal="center" vertical="top" wrapText="1"/>
      <protection locked="0"/>
    </xf>
    <xf numFmtId="0" fontId="5" fillId="4" borderId="24" xfId="4" applyFont="1" applyFill="1" applyBorder="1" applyAlignment="1" applyProtection="1">
      <alignment horizontal="center" vertical="top" wrapText="1"/>
      <protection locked="0"/>
    </xf>
    <xf numFmtId="0" fontId="23" fillId="11" borderId="4" xfId="4" applyFont="1" applyFill="1" applyBorder="1" applyAlignment="1">
      <alignment horizontal="center" vertical="center"/>
    </xf>
    <xf numFmtId="0" fontId="23" fillId="11" borderId="7" xfId="4" applyFont="1" applyFill="1" applyBorder="1" applyAlignment="1">
      <alignment horizontal="center" vertical="center"/>
    </xf>
    <xf numFmtId="0" fontId="23" fillId="11" borderId="4" xfId="4" applyFont="1" applyFill="1" applyBorder="1" applyAlignment="1">
      <alignment horizontal="center" vertical="center" wrapText="1"/>
    </xf>
    <xf numFmtId="0" fontId="23" fillId="11" borderId="7" xfId="0" applyFont="1" applyFill="1" applyBorder="1" applyAlignment="1">
      <alignment horizontal="center" vertical="center" wrapText="1"/>
    </xf>
    <xf numFmtId="0" fontId="23" fillId="6" borderId="4" xfId="4" applyFont="1" applyFill="1" applyBorder="1" applyAlignment="1">
      <alignment horizontal="center" vertical="center" wrapText="1"/>
    </xf>
    <xf numFmtId="0" fontId="23" fillId="0" borderId="7" xfId="0" applyFont="1" applyBorder="1" applyAlignment="1">
      <alignment horizontal="center" vertical="center" wrapText="1"/>
    </xf>
    <xf numFmtId="0" fontId="23" fillId="3" borderId="4" xfId="4" applyFont="1" applyFill="1" applyBorder="1" applyAlignment="1">
      <alignment horizontal="center" vertical="center"/>
    </xf>
    <xf numFmtId="0" fontId="23" fillId="3" borderId="7" xfId="4" applyFont="1" applyFill="1" applyBorder="1" applyAlignment="1">
      <alignment horizontal="center" vertical="center"/>
    </xf>
    <xf numFmtId="0" fontId="5" fillId="4" borderId="29" xfId="4" applyFont="1" applyFill="1" applyBorder="1" applyAlignment="1" applyProtection="1">
      <alignment horizontal="left" vertical="top" wrapText="1"/>
      <protection locked="0"/>
    </xf>
    <xf numFmtId="0" fontId="5" fillId="4" borderId="45" xfId="4" applyFont="1" applyFill="1" applyBorder="1" applyAlignment="1" applyProtection="1">
      <alignment horizontal="left" vertical="top" wrapText="1"/>
      <protection locked="0"/>
    </xf>
    <xf numFmtId="0" fontId="5" fillId="4" borderId="30" xfId="4" applyFont="1" applyFill="1" applyBorder="1" applyAlignment="1" applyProtection="1">
      <alignment horizontal="left" vertical="top" wrapText="1"/>
      <protection locked="0"/>
    </xf>
    <xf numFmtId="0" fontId="5" fillId="4" borderId="25" xfId="4" applyFont="1" applyFill="1" applyBorder="1" applyAlignment="1" applyProtection="1">
      <alignment horizontal="center" vertical="top" wrapText="1"/>
      <protection locked="0"/>
    </xf>
    <xf numFmtId="0" fontId="5" fillId="4" borderId="29" xfId="4" applyFont="1" applyFill="1" applyBorder="1" applyAlignment="1" applyProtection="1">
      <alignment horizontal="center" vertical="top" wrapText="1"/>
      <protection locked="0"/>
    </xf>
    <xf numFmtId="0" fontId="5" fillId="4" borderId="45" xfId="4" applyFont="1" applyFill="1" applyBorder="1" applyAlignment="1" applyProtection="1">
      <alignment horizontal="center" vertical="top" wrapText="1"/>
      <protection locked="0"/>
    </xf>
    <xf numFmtId="0" fontId="5" fillId="4" borderId="30" xfId="4" applyFont="1" applyFill="1" applyBorder="1" applyAlignment="1" applyProtection="1">
      <alignment horizontal="center" vertical="top" wrapText="1"/>
      <protection locked="0"/>
    </xf>
    <xf numFmtId="0" fontId="38" fillId="4" borderId="23" xfId="4" applyFont="1" applyFill="1" applyBorder="1" applyAlignment="1" applyProtection="1">
      <alignment horizontal="center" vertical="top" wrapText="1"/>
      <protection locked="0"/>
    </xf>
    <xf numFmtId="0" fontId="38" fillId="4" borderId="40" xfId="4" applyFont="1" applyFill="1" applyBorder="1" applyAlignment="1" applyProtection="1">
      <alignment horizontal="center" vertical="top" wrapText="1"/>
      <protection locked="0"/>
    </xf>
    <xf numFmtId="0" fontId="38" fillId="4" borderId="24" xfId="4" applyFont="1" applyFill="1" applyBorder="1" applyAlignment="1" applyProtection="1">
      <alignment horizontal="center" vertical="top" wrapText="1"/>
      <protection locked="0"/>
    </xf>
    <xf numFmtId="4" fontId="95" fillId="12" borderId="36" xfId="5" applyNumberFormat="1" applyFont="1" applyFill="1" applyBorder="1" applyAlignment="1">
      <alignment horizontal="center" vertical="top" wrapText="1"/>
    </xf>
    <xf numFmtId="4" fontId="95" fillId="12" borderId="37" xfId="5" applyNumberFormat="1" applyFont="1" applyFill="1" applyBorder="1" applyAlignment="1">
      <alignment horizontal="center" vertical="top" wrapText="1"/>
    </xf>
    <xf numFmtId="4" fontId="95" fillId="12" borderId="13" xfId="5" applyNumberFormat="1" applyFont="1" applyFill="1" applyBorder="1" applyAlignment="1">
      <alignment horizontal="center" vertical="top" wrapText="1"/>
    </xf>
    <xf numFmtId="0" fontId="5" fillId="4" borderId="75" xfId="4" applyFont="1" applyFill="1" applyBorder="1" applyAlignment="1" applyProtection="1">
      <alignment horizontal="center" vertical="top" wrapText="1"/>
      <protection locked="0"/>
    </xf>
    <xf numFmtId="0" fontId="5" fillId="4" borderId="70" xfId="4" applyFont="1" applyFill="1" applyBorder="1" applyAlignment="1" applyProtection="1">
      <alignment horizontal="center" vertical="top" wrapText="1"/>
      <protection locked="0"/>
    </xf>
    <xf numFmtId="0" fontId="5" fillId="4" borderId="71" xfId="4" applyFont="1" applyFill="1" applyBorder="1" applyAlignment="1" applyProtection="1">
      <alignment horizontal="center" vertical="top" wrapText="1"/>
      <protection locked="0"/>
    </xf>
    <xf numFmtId="0" fontId="5" fillId="4" borderId="42" xfId="4" applyFont="1" applyFill="1" applyBorder="1" applyAlignment="1" applyProtection="1">
      <alignment horizontal="center" vertical="top" wrapText="1"/>
      <protection locked="0"/>
    </xf>
    <xf numFmtId="0" fontId="5" fillId="4" borderId="43" xfId="4" applyFont="1" applyFill="1" applyBorder="1" applyAlignment="1" applyProtection="1">
      <alignment horizontal="center" vertical="top" wrapText="1"/>
      <protection locked="0"/>
    </xf>
    <xf numFmtId="0" fontId="5" fillId="4" borderId="44" xfId="4" applyFont="1" applyFill="1" applyBorder="1" applyAlignment="1" applyProtection="1">
      <alignment horizontal="center" vertical="top" wrapText="1"/>
      <protection locked="0"/>
    </xf>
    <xf numFmtId="0" fontId="5" fillId="9" borderId="0" xfId="0" applyFont="1" applyFill="1" applyAlignment="1">
      <alignment vertical="top" wrapText="1"/>
    </xf>
    <xf numFmtId="4" fontId="95" fillId="12" borderId="1" xfId="5" applyNumberFormat="1" applyFont="1" applyFill="1" applyBorder="1" applyAlignment="1">
      <alignment horizontal="center" vertical="top" wrapText="1"/>
    </xf>
    <xf numFmtId="4" fontId="95" fillId="12" borderId="3" xfId="5" applyNumberFormat="1" applyFont="1" applyFill="1" applyBorder="1" applyAlignment="1">
      <alignment horizontal="center" vertical="top" wrapText="1"/>
    </xf>
    <xf numFmtId="0" fontId="5" fillId="4" borderId="9" xfId="4" applyFont="1" applyFill="1" applyBorder="1" applyAlignment="1" applyProtection="1">
      <alignment horizontal="center" vertical="top" wrapText="1"/>
      <protection locked="0"/>
    </xf>
    <xf numFmtId="0" fontId="5" fillId="4" borderId="60" xfId="4" applyFont="1" applyFill="1" applyBorder="1" applyAlignment="1" applyProtection="1">
      <alignment horizontal="center" vertical="top" wrapText="1"/>
      <protection locked="0"/>
    </xf>
    <xf numFmtId="0" fontId="5" fillId="4" borderId="10" xfId="4" applyFont="1" applyFill="1" applyBorder="1" applyAlignment="1" applyProtection="1">
      <alignment horizontal="center" vertical="top" wrapText="1"/>
      <protection locked="0"/>
    </xf>
    <xf numFmtId="0" fontId="38" fillId="4" borderId="29" xfId="4" applyFont="1" applyFill="1" applyBorder="1" applyAlignment="1" applyProtection="1">
      <alignment horizontal="center" vertical="top" wrapText="1"/>
      <protection locked="0"/>
    </xf>
    <xf numFmtId="0" fontId="38" fillId="4" borderId="45" xfId="4" applyFont="1" applyFill="1" applyBorder="1" applyAlignment="1" applyProtection="1">
      <alignment horizontal="center" vertical="top" wrapText="1"/>
      <protection locked="0"/>
    </xf>
    <xf numFmtId="0" fontId="38" fillId="4" borderId="30" xfId="4" applyFont="1" applyFill="1" applyBorder="1" applyAlignment="1" applyProtection="1">
      <alignment horizontal="center" vertical="top" wrapText="1"/>
      <protection locked="0"/>
    </xf>
    <xf numFmtId="0" fontId="22" fillId="11" borderId="2" xfId="4" applyFont="1" applyFill="1" applyBorder="1" applyAlignment="1">
      <alignment horizontal="center" vertical="top" wrapText="1"/>
    </xf>
    <xf numFmtId="2" fontId="23" fillId="4" borderId="54" xfId="5" applyNumberFormat="1" applyFont="1" applyFill="1" applyBorder="1" applyAlignment="1" applyProtection="1">
      <alignment horizontal="center" vertical="top" wrapText="1"/>
      <protection locked="0"/>
    </xf>
    <xf numFmtId="2" fontId="23" fillId="4" borderId="55" xfId="5" applyNumberFormat="1" applyFont="1" applyFill="1" applyBorder="1" applyAlignment="1" applyProtection="1">
      <alignment horizontal="center" vertical="top" wrapText="1"/>
      <protection locked="0"/>
    </xf>
    <xf numFmtId="2" fontId="23" fillId="4" borderId="56" xfId="5" applyNumberFormat="1" applyFont="1" applyFill="1" applyBorder="1" applyAlignment="1" applyProtection="1">
      <alignment horizontal="center" vertical="top" wrapText="1"/>
      <protection locked="0"/>
    </xf>
    <xf numFmtId="0" fontId="38" fillId="4" borderId="17" xfId="4" applyFont="1" applyFill="1" applyBorder="1" applyAlignment="1" applyProtection="1">
      <alignment horizontal="center" vertical="top" wrapText="1"/>
      <protection locked="0"/>
    </xf>
    <xf numFmtId="0" fontId="38" fillId="4" borderId="38" xfId="4" applyFont="1" applyFill="1" applyBorder="1" applyAlignment="1" applyProtection="1">
      <alignment horizontal="center" vertical="top" wrapText="1"/>
      <protection locked="0"/>
    </xf>
    <xf numFmtId="0" fontId="38" fillId="4" borderId="18" xfId="4" applyFont="1" applyFill="1" applyBorder="1" applyAlignment="1" applyProtection="1">
      <alignment horizontal="center" vertical="top" wrapText="1"/>
      <protection locked="0"/>
    </xf>
    <xf numFmtId="4" fontId="95" fillId="12" borderId="2" xfId="5" applyNumberFormat="1" applyFont="1" applyFill="1" applyBorder="1" applyAlignment="1">
      <alignment horizontal="center" vertical="top" wrapText="1"/>
    </xf>
    <xf numFmtId="0" fontId="22" fillId="6" borderId="2" xfId="4" applyFont="1" applyFill="1" applyBorder="1" applyAlignment="1">
      <alignment horizontal="center" vertical="top" wrapText="1"/>
    </xf>
    <xf numFmtId="3" fontId="5" fillId="4" borderId="1" xfId="4" applyNumberFormat="1" applyFont="1" applyFill="1" applyBorder="1" applyAlignment="1" applyProtection="1">
      <alignment horizontal="center" vertical="top" wrapText="1"/>
      <protection locked="0"/>
    </xf>
    <xf numFmtId="3" fontId="5" fillId="4" borderId="3" xfId="4" applyNumberFormat="1" applyFont="1" applyFill="1" applyBorder="1" applyAlignment="1" applyProtection="1">
      <alignment horizontal="center" vertical="top" wrapText="1"/>
      <protection locked="0"/>
    </xf>
    <xf numFmtId="0" fontId="5" fillId="6" borderId="48" xfId="4" applyFont="1" applyFill="1" applyBorder="1" applyAlignment="1">
      <alignment horizontal="center" vertical="top"/>
    </xf>
    <xf numFmtId="0" fontId="5" fillId="6" borderId="45" xfId="4" applyFont="1" applyFill="1" applyBorder="1" applyAlignment="1">
      <alignment horizontal="center" vertical="top"/>
    </xf>
    <xf numFmtId="9" fontId="5" fillId="6" borderId="31" xfId="2" applyFont="1" applyFill="1" applyBorder="1" applyAlignment="1">
      <alignment horizontal="center"/>
    </xf>
    <xf numFmtId="9" fontId="5" fillId="6" borderId="48" xfId="2" applyFont="1" applyFill="1" applyBorder="1" applyAlignment="1">
      <alignment horizontal="center"/>
    </xf>
    <xf numFmtId="2" fontId="22" fillId="4" borderId="53" xfId="5" applyNumberFormat="1" applyFont="1" applyFill="1" applyBorder="1" applyAlignment="1">
      <alignment horizontal="center" vertical="center" wrapText="1"/>
    </xf>
    <xf numFmtId="2" fontId="22" fillId="4" borderId="27" xfId="5" applyNumberFormat="1" applyFont="1" applyFill="1" applyBorder="1" applyAlignment="1">
      <alignment horizontal="center" vertical="center" wrapText="1"/>
    </xf>
    <xf numFmtId="2" fontId="22" fillId="4" borderId="51" xfId="5" applyNumberFormat="1" applyFont="1" applyFill="1" applyBorder="1" applyAlignment="1">
      <alignment horizontal="center" vertical="center" wrapText="1"/>
    </xf>
    <xf numFmtId="2" fontId="22" fillId="4" borderId="48" xfId="5" applyNumberFormat="1" applyFont="1" applyFill="1" applyBorder="1" applyAlignment="1">
      <alignment horizontal="center" vertical="center" wrapText="1"/>
    </xf>
    <xf numFmtId="2" fontId="22" fillId="4" borderId="28" xfId="5" applyNumberFormat="1" applyFont="1" applyFill="1" applyBorder="1" applyAlignment="1">
      <alignment horizontal="center" vertical="center" wrapText="1"/>
    </xf>
    <xf numFmtId="2" fontId="22" fillId="4" borderId="31" xfId="5" applyNumberFormat="1" applyFont="1" applyFill="1" applyBorder="1" applyAlignment="1">
      <alignment horizontal="center" vertical="center" wrapText="1"/>
    </xf>
    <xf numFmtId="9" fontId="22" fillId="39" borderId="49" xfId="9" applyFont="1" applyFill="1" applyBorder="1" applyAlignment="1">
      <alignment horizontal="center" vertical="center" wrapText="1"/>
    </xf>
    <xf numFmtId="9" fontId="22" fillId="39" borderId="62" xfId="9" applyFont="1" applyFill="1" applyBorder="1" applyAlignment="1">
      <alignment horizontal="center" vertical="center" wrapText="1"/>
    </xf>
    <xf numFmtId="9" fontId="5" fillId="6" borderId="19" xfId="2" applyFont="1" applyFill="1" applyBorder="1" applyAlignment="1">
      <alignment horizontal="center"/>
    </xf>
    <xf numFmtId="9" fontId="5" fillId="6" borderId="72" xfId="2" applyFont="1" applyFill="1" applyBorder="1" applyAlignment="1">
      <alignment horizontal="center"/>
    </xf>
    <xf numFmtId="9" fontId="5" fillId="6" borderId="76" xfId="2" applyFont="1" applyFill="1" applyBorder="1" applyAlignment="1">
      <alignment horizontal="center"/>
    </xf>
    <xf numFmtId="9" fontId="5" fillId="6" borderId="77" xfId="2" applyFont="1" applyFill="1" applyBorder="1" applyAlignment="1">
      <alignment horizontal="center"/>
    </xf>
    <xf numFmtId="169" fontId="22" fillId="4" borderId="17" xfId="1" applyNumberFormat="1" applyFont="1" applyFill="1" applyBorder="1" applyAlignment="1">
      <alignment horizontal="center" vertical="top" wrapText="1"/>
    </xf>
    <xf numFmtId="169" fontId="22" fillId="4" borderId="72" xfId="1" applyNumberFormat="1" applyFont="1" applyFill="1" applyBorder="1" applyAlignment="1">
      <alignment horizontal="center" vertical="top" wrapText="1"/>
    </xf>
    <xf numFmtId="169" fontId="22" fillId="4" borderId="38" xfId="1" applyNumberFormat="1" applyFont="1" applyFill="1" applyBorder="1" applyAlignment="1">
      <alignment horizontal="center" vertical="top" wrapText="1"/>
    </xf>
    <xf numFmtId="169" fontId="22" fillId="4" borderId="19" xfId="1" applyNumberFormat="1" applyFont="1" applyFill="1" applyBorder="1" applyAlignment="1">
      <alignment horizontal="center" vertical="top" wrapText="1"/>
    </xf>
    <xf numFmtId="0" fontId="22" fillId="4" borderId="17" xfId="4" applyFont="1" applyFill="1" applyBorder="1" applyAlignment="1">
      <alignment horizontal="center" vertical="center" wrapText="1"/>
    </xf>
    <xf numFmtId="0" fontId="22" fillId="4" borderId="18" xfId="4" applyFont="1" applyFill="1" applyBorder="1" applyAlignment="1">
      <alignment horizontal="center" vertical="center" wrapText="1"/>
    </xf>
    <xf numFmtId="2" fontId="22" fillId="4" borderId="72" xfId="5" applyNumberFormat="1" applyFont="1" applyFill="1" applyBorder="1" applyAlignment="1">
      <alignment horizontal="center" vertical="center" wrapText="1"/>
    </xf>
    <xf numFmtId="2" fontId="22" fillId="4" borderId="38" xfId="5" applyNumberFormat="1" applyFont="1" applyFill="1" applyBorder="1" applyAlignment="1">
      <alignment horizontal="center" vertical="center" wrapText="1"/>
    </xf>
    <xf numFmtId="2" fontId="22" fillId="4" borderId="19" xfId="5" applyNumberFormat="1" applyFont="1" applyFill="1" applyBorder="1" applyAlignment="1">
      <alignment horizontal="center" vertical="center" wrapText="1"/>
    </xf>
    <xf numFmtId="2" fontId="22" fillId="4" borderId="17" xfId="5" applyNumberFormat="1" applyFont="1" applyFill="1" applyBorder="1" applyAlignment="1">
      <alignment horizontal="center" vertical="center" wrapText="1"/>
    </xf>
    <xf numFmtId="2" fontId="22" fillId="4" borderId="18" xfId="5" applyNumberFormat="1" applyFont="1" applyFill="1" applyBorder="1" applyAlignment="1">
      <alignment horizontal="center" vertical="center" wrapText="1"/>
    </xf>
    <xf numFmtId="169" fontId="22" fillId="4" borderId="39" xfId="1" applyNumberFormat="1" applyFont="1" applyFill="1" applyBorder="1" applyAlignment="1">
      <alignment horizontal="center" vertical="top" wrapText="1"/>
    </xf>
    <xf numFmtId="169" fontId="22" fillId="4" borderId="52" xfId="1" applyNumberFormat="1" applyFont="1" applyFill="1" applyBorder="1" applyAlignment="1">
      <alignment horizontal="center" vertical="top" wrapText="1"/>
    </xf>
    <xf numFmtId="169" fontId="22" fillId="4" borderId="53" xfId="1" applyNumberFormat="1" applyFont="1" applyFill="1" applyBorder="1" applyAlignment="1">
      <alignment horizontal="center" vertical="top" wrapText="1"/>
    </xf>
    <xf numFmtId="2" fontId="22" fillId="4" borderId="39" xfId="5" applyNumberFormat="1" applyFont="1" applyFill="1" applyBorder="1" applyAlignment="1">
      <alignment horizontal="center" vertical="center" wrapText="1"/>
    </xf>
    <xf numFmtId="2" fontId="22" fillId="4" borderId="52" xfId="5" applyNumberFormat="1" applyFont="1" applyFill="1" applyBorder="1" applyAlignment="1">
      <alignment horizontal="center" vertical="center" wrapText="1"/>
    </xf>
    <xf numFmtId="2" fontId="22" fillId="4" borderId="14" xfId="5" applyNumberFormat="1" applyFont="1" applyFill="1" applyBorder="1" applyAlignment="1">
      <alignment horizontal="center" vertical="center" wrapText="1"/>
    </xf>
    <xf numFmtId="2" fontId="22" fillId="4" borderId="41" xfId="5" applyNumberFormat="1" applyFont="1" applyFill="1" applyBorder="1" applyAlignment="1">
      <alignment horizontal="center" vertical="center" wrapText="1"/>
    </xf>
    <xf numFmtId="2" fontId="22" fillId="18" borderId="72" xfId="5" applyNumberFormat="1" applyFont="1" applyFill="1" applyBorder="1" applyAlignment="1">
      <alignment horizontal="center" vertical="center" wrapText="1"/>
    </xf>
    <xf numFmtId="2" fontId="22" fillId="18" borderId="38" xfId="5" applyNumberFormat="1" applyFont="1" applyFill="1" applyBorder="1" applyAlignment="1">
      <alignment horizontal="center" vertical="center" wrapText="1"/>
    </xf>
    <xf numFmtId="2" fontId="22" fillId="18" borderId="19" xfId="5" applyNumberFormat="1" applyFont="1" applyFill="1" applyBorder="1" applyAlignment="1">
      <alignment horizontal="center" vertical="center" wrapText="1"/>
    </xf>
    <xf numFmtId="2" fontId="22" fillId="18" borderId="17" xfId="5" applyNumberFormat="1" applyFont="1" applyFill="1" applyBorder="1" applyAlignment="1">
      <alignment horizontal="center" vertical="center" wrapText="1"/>
    </xf>
    <xf numFmtId="2" fontId="22" fillId="18" borderId="18" xfId="5" applyNumberFormat="1" applyFont="1" applyFill="1" applyBorder="1" applyAlignment="1">
      <alignment horizontal="center" vertical="center" wrapText="1"/>
    </xf>
    <xf numFmtId="2" fontId="22" fillId="18" borderId="4" xfId="5" applyNumberFormat="1" applyFont="1" applyFill="1" applyBorder="1" applyAlignment="1">
      <alignment horizontal="center" vertical="center" wrapText="1"/>
    </xf>
    <xf numFmtId="2" fontId="22" fillId="18" borderId="7" xfId="5" applyNumberFormat="1" applyFont="1" applyFill="1" applyBorder="1" applyAlignment="1">
      <alignment horizontal="center" vertical="center" wrapText="1"/>
    </xf>
    <xf numFmtId="2" fontId="22" fillId="18" borderId="51" xfId="5" applyNumberFormat="1" applyFont="1" applyFill="1" applyBorder="1" applyAlignment="1">
      <alignment horizontal="center" vertical="center" wrapText="1"/>
    </xf>
    <xf numFmtId="2" fontId="22" fillId="18" borderId="48" xfId="5" applyNumberFormat="1" applyFont="1" applyFill="1" applyBorder="1" applyAlignment="1">
      <alignment horizontal="center" vertical="center" wrapText="1"/>
    </xf>
    <xf numFmtId="2" fontId="22" fillId="18" borderId="31" xfId="5" applyNumberFormat="1" applyFont="1" applyFill="1" applyBorder="1" applyAlignment="1">
      <alignment horizontal="center" vertical="center" wrapText="1"/>
    </xf>
    <xf numFmtId="2" fontId="22" fillId="4" borderId="4" xfId="5" applyNumberFormat="1" applyFont="1" applyFill="1" applyBorder="1" applyAlignment="1">
      <alignment horizontal="center" vertical="center" wrapText="1"/>
    </xf>
    <xf numFmtId="2" fontId="22" fillId="4" borderId="7" xfId="5" applyNumberFormat="1" applyFont="1" applyFill="1" applyBorder="1" applyAlignment="1">
      <alignment horizontal="center" vertical="center" wrapText="1"/>
    </xf>
    <xf numFmtId="2" fontId="22" fillId="18" borderId="52" xfId="5" applyNumberFormat="1" applyFont="1" applyFill="1" applyBorder="1" applyAlignment="1">
      <alignment horizontal="center" vertical="center" wrapText="1"/>
    </xf>
    <xf numFmtId="169" fontId="22" fillId="18" borderId="72" xfId="1" applyNumberFormat="1" applyFont="1" applyFill="1" applyBorder="1" applyAlignment="1">
      <alignment horizontal="center" vertical="top" wrapText="1"/>
    </xf>
    <xf numFmtId="169" fontId="22" fillId="18" borderId="38" xfId="1" applyNumberFormat="1" applyFont="1" applyFill="1" applyBorder="1" applyAlignment="1">
      <alignment horizontal="center" vertical="top" wrapText="1"/>
    </xf>
    <xf numFmtId="169" fontId="22" fillId="18" borderId="19" xfId="1" applyNumberFormat="1" applyFont="1" applyFill="1" applyBorder="1" applyAlignment="1">
      <alignment horizontal="center" vertical="top" wrapText="1"/>
    </xf>
    <xf numFmtId="0" fontId="22" fillId="18" borderId="17" xfId="4" applyFont="1" applyFill="1" applyBorder="1" applyAlignment="1">
      <alignment horizontal="center" vertical="center" wrapText="1"/>
    </xf>
    <xf numFmtId="0" fontId="22" fillId="18" borderId="18" xfId="4" applyFont="1" applyFill="1" applyBorder="1" applyAlignment="1">
      <alignment horizontal="center" vertical="center" wrapText="1"/>
    </xf>
    <xf numFmtId="0" fontId="5" fillId="0" borderId="29" xfId="4" applyFont="1" applyBorder="1" applyAlignment="1">
      <alignment horizontal="center" vertical="top" wrapText="1"/>
    </xf>
    <xf numFmtId="0" fontId="5" fillId="0" borderId="45" xfId="4" applyFont="1" applyBorder="1" applyAlignment="1">
      <alignment horizontal="center" vertical="top" wrapText="1"/>
    </xf>
    <xf numFmtId="9" fontId="5" fillId="6" borderId="29" xfId="2" applyFont="1" applyFill="1" applyBorder="1" applyAlignment="1">
      <alignment horizontal="center"/>
    </xf>
    <xf numFmtId="9" fontId="5" fillId="6" borderId="45" xfId="2" applyFont="1" applyFill="1" applyBorder="1" applyAlignment="1">
      <alignment horizontal="center"/>
    </xf>
    <xf numFmtId="9" fontId="22" fillId="39" borderId="78" xfId="9" applyFont="1" applyFill="1" applyBorder="1" applyAlignment="1">
      <alignment horizontal="center" vertical="center"/>
    </xf>
    <xf numFmtId="9" fontId="22" fillId="39" borderId="60" xfId="9" applyFont="1" applyFill="1" applyBorder="1" applyAlignment="1">
      <alignment horizontal="center" vertical="center"/>
    </xf>
    <xf numFmtId="9" fontId="5" fillId="6" borderId="23" xfId="2" applyFont="1" applyFill="1" applyBorder="1" applyAlignment="1">
      <alignment horizontal="center"/>
    </xf>
    <xf numFmtId="9" fontId="5" fillId="6" borderId="40" xfId="2" applyFont="1" applyFill="1" applyBorder="1" applyAlignment="1">
      <alignment horizontal="center"/>
    </xf>
    <xf numFmtId="9" fontId="5" fillId="6" borderId="58" xfId="2" applyFont="1" applyFill="1" applyBorder="1" applyAlignment="1">
      <alignment horizontal="center"/>
    </xf>
    <xf numFmtId="0" fontId="22" fillId="18" borderId="72" xfId="4" applyFont="1" applyFill="1" applyBorder="1" applyAlignment="1">
      <alignment horizontal="center" vertical="center" wrapText="1"/>
    </xf>
    <xf numFmtId="0" fontId="22" fillId="18" borderId="19" xfId="4" applyFont="1" applyFill="1" applyBorder="1" applyAlignment="1">
      <alignment horizontal="center" vertical="center" wrapText="1"/>
    </xf>
    <xf numFmtId="2" fontId="22" fillId="18" borderId="53" xfId="5" applyNumberFormat="1" applyFont="1" applyFill="1" applyBorder="1" applyAlignment="1">
      <alignment horizontal="center" vertical="center" wrapText="1"/>
    </xf>
    <xf numFmtId="2" fontId="22" fillId="18" borderId="27" xfId="5" applyNumberFormat="1" applyFont="1" applyFill="1" applyBorder="1" applyAlignment="1">
      <alignment horizontal="center" vertical="center" wrapText="1"/>
    </xf>
    <xf numFmtId="2" fontId="22" fillId="18" borderId="29" xfId="5" applyNumberFormat="1" applyFont="1" applyFill="1" applyBorder="1" applyAlignment="1">
      <alignment horizontal="center" vertical="center" wrapText="1"/>
    </xf>
    <xf numFmtId="2" fontId="22" fillId="18" borderId="45" xfId="5" applyNumberFormat="1" applyFont="1" applyFill="1" applyBorder="1" applyAlignment="1">
      <alignment horizontal="center" vertical="center" wrapText="1"/>
    </xf>
    <xf numFmtId="2" fontId="22" fillId="18" borderId="14" xfId="5" applyNumberFormat="1" applyFont="1" applyFill="1" applyBorder="1" applyAlignment="1">
      <alignment horizontal="center" vertical="center" wrapText="1"/>
    </xf>
    <xf numFmtId="2" fontId="22" fillId="18" borderId="26" xfId="5" applyNumberFormat="1" applyFont="1" applyFill="1" applyBorder="1" applyAlignment="1">
      <alignment horizontal="center" vertical="center" wrapText="1"/>
    </xf>
    <xf numFmtId="0" fontId="22" fillId="18" borderId="17" xfId="4" applyFont="1" applyFill="1" applyBorder="1" applyAlignment="1">
      <alignment horizontal="center" vertical="top" wrapText="1"/>
    </xf>
    <xf numFmtId="0" fontId="22" fillId="18" borderId="72" xfId="4" applyFont="1" applyFill="1" applyBorder="1" applyAlignment="1">
      <alignment horizontal="center" vertical="top" wrapText="1"/>
    </xf>
    <xf numFmtId="0" fontId="22" fillId="18" borderId="38" xfId="4" applyFont="1" applyFill="1" applyBorder="1" applyAlignment="1">
      <alignment horizontal="center" vertical="top" wrapText="1"/>
    </xf>
    <xf numFmtId="0" fontId="22" fillId="18" borderId="19" xfId="4" applyFont="1" applyFill="1" applyBorder="1" applyAlignment="1">
      <alignment horizontal="center" vertical="top" wrapText="1"/>
    </xf>
    <xf numFmtId="0" fontId="22" fillId="18" borderId="18" xfId="4" applyFont="1" applyFill="1" applyBorder="1" applyAlignment="1">
      <alignment horizontal="center" vertical="top" wrapText="1"/>
    </xf>
    <xf numFmtId="0" fontId="5" fillId="4" borderId="39" xfId="4" applyFont="1" applyFill="1" applyBorder="1" applyAlignment="1">
      <alignment horizontal="center"/>
    </xf>
    <xf numFmtId="0" fontId="5" fillId="4" borderId="28" xfId="4" applyFont="1" applyFill="1" applyBorder="1" applyAlignment="1">
      <alignment horizontal="center"/>
    </xf>
    <xf numFmtId="2" fontId="22" fillId="4" borderId="45" xfId="5" applyNumberFormat="1" applyFont="1" applyFill="1" applyBorder="1" applyAlignment="1">
      <alignment horizontal="center" vertical="center" wrapText="1"/>
    </xf>
    <xf numFmtId="0" fontId="22" fillId="4" borderId="61" xfId="4" applyFont="1" applyFill="1" applyBorder="1" applyAlignment="1">
      <alignment horizontal="center" vertical="top" wrapText="1"/>
    </xf>
    <xf numFmtId="0" fontId="22" fillId="4" borderId="46" xfId="4" applyFont="1" applyFill="1" applyBorder="1" applyAlignment="1">
      <alignment horizontal="center" vertical="top" wrapText="1"/>
    </xf>
    <xf numFmtId="0" fontId="5" fillId="3" borderId="0" xfId="4" applyFont="1" applyFill="1" applyAlignment="1">
      <alignment horizontal="center" vertical="center" wrapText="1"/>
    </xf>
    <xf numFmtId="0" fontId="94" fillId="4" borderId="17" xfId="4" applyFont="1" applyFill="1" applyBorder="1" applyAlignment="1">
      <alignment horizontal="center" vertical="top" wrapText="1"/>
    </xf>
    <xf numFmtId="0" fontId="94" fillId="4" borderId="23" xfId="4" applyFont="1" applyFill="1" applyBorder="1" applyAlignment="1">
      <alignment horizontal="center" vertical="top" wrapText="1"/>
    </xf>
    <xf numFmtId="0" fontId="94" fillId="4" borderId="29" xfId="4" applyFont="1" applyFill="1" applyBorder="1" applyAlignment="1">
      <alignment horizontal="center" vertical="top" wrapText="1"/>
    </xf>
    <xf numFmtId="169" fontId="22" fillId="4" borderId="18" xfId="1" applyNumberFormat="1" applyFont="1" applyFill="1" applyBorder="1" applyAlignment="1">
      <alignment horizontal="center" vertical="top" wrapText="1"/>
    </xf>
    <xf numFmtId="0" fontId="5" fillId="4" borderId="32" xfId="4" applyFont="1" applyFill="1" applyBorder="1" applyAlignment="1">
      <alignment horizontal="center" vertical="center" wrapText="1"/>
    </xf>
    <xf numFmtId="0" fontId="5" fillId="4" borderId="34" xfId="4" applyFont="1" applyFill="1" applyBorder="1" applyAlignment="1">
      <alignment horizontal="center" vertical="center" wrapText="1"/>
    </xf>
    <xf numFmtId="0" fontId="5" fillId="4" borderId="36" xfId="4" applyFont="1" applyFill="1" applyBorder="1" applyAlignment="1">
      <alignment horizontal="center" vertical="center" wrapText="1"/>
    </xf>
    <xf numFmtId="0" fontId="94" fillId="4" borderId="63" xfId="4" applyFont="1" applyFill="1" applyBorder="1" applyAlignment="1">
      <alignment horizontal="center" vertical="top" wrapText="1"/>
    </xf>
    <xf numFmtId="0" fontId="94" fillId="4" borderId="75" xfId="4" applyFont="1" applyFill="1" applyBorder="1" applyAlignment="1">
      <alignment horizontal="center" vertical="top" wrapText="1"/>
    </xf>
    <xf numFmtId="0" fontId="94" fillId="4" borderId="9" xfId="4" applyFont="1" applyFill="1" applyBorder="1" applyAlignment="1">
      <alignment horizontal="center" vertical="top" wrapText="1"/>
    </xf>
    <xf numFmtId="0" fontId="94" fillId="4" borderId="63" xfId="4" applyFont="1" applyFill="1" applyBorder="1" applyAlignment="1">
      <alignment horizontal="center" vertical="top"/>
    </xf>
    <xf numFmtId="0" fontId="94" fillId="4" borderId="75" xfId="4" applyFont="1" applyFill="1" applyBorder="1" applyAlignment="1">
      <alignment horizontal="center" vertical="top"/>
    </xf>
    <xf numFmtId="0" fontId="94" fillId="4" borderId="9" xfId="4" applyFont="1" applyFill="1" applyBorder="1" applyAlignment="1">
      <alignment horizontal="center" vertical="top"/>
    </xf>
    <xf numFmtId="0" fontId="94" fillId="4" borderId="1" xfId="4" applyFont="1" applyFill="1" applyBorder="1" applyAlignment="1">
      <alignment horizontal="center" vertical="center" wrapText="1"/>
    </xf>
    <xf numFmtId="0" fontId="94" fillId="4" borderId="2" xfId="4" applyFont="1" applyFill="1" applyBorder="1" applyAlignment="1">
      <alignment horizontal="center" vertical="center" wrapText="1"/>
    </xf>
    <xf numFmtId="0" fontId="22" fillId="4" borderId="17" xfId="4" applyFont="1" applyFill="1" applyBorder="1" applyAlignment="1">
      <alignment horizontal="center" vertical="top" wrapText="1"/>
    </xf>
    <xf numFmtId="0" fontId="22" fillId="4" borderId="18" xfId="4" applyFont="1" applyFill="1" applyBorder="1" applyAlignment="1">
      <alignment horizontal="center" vertical="top" wrapText="1"/>
    </xf>
    <xf numFmtId="0" fontId="22" fillId="4" borderId="42" xfId="4" applyFont="1" applyFill="1" applyBorder="1" applyAlignment="1">
      <alignment horizontal="center" vertical="top" wrapText="1"/>
    </xf>
    <xf numFmtId="0" fontId="22" fillId="4" borderId="44" xfId="4" applyFont="1" applyFill="1" applyBorder="1" applyAlignment="1">
      <alignment horizontal="center" vertical="top" wrapText="1"/>
    </xf>
    <xf numFmtId="0" fontId="22" fillId="4" borderId="72" xfId="4" applyFont="1" applyFill="1" applyBorder="1" applyAlignment="1">
      <alignment horizontal="center" vertical="center" wrapText="1"/>
    </xf>
    <xf numFmtId="0" fontId="22" fillId="4" borderId="19" xfId="4" applyFont="1" applyFill="1" applyBorder="1" applyAlignment="1">
      <alignment horizontal="center" vertical="center" wrapText="1"/>
    </xf>
    <xf numFmtId="2" fontId="22" fillId="4" borderId="6" xfId="5" applyNumberFormat="1" applyFont="1" applyFill="1" applyBorder="1" applyAlignment="1">
      <alignment horizontal="center" vertical="center" wrapText="1"/>
    </xf>
    <xf numFmtId="0" fontId="43" fillId="4" borderId="32" xfId="4" applyFont="1" applyFill="1" applyBorder="1" applyAlignment="1">
      <alignment horizontal="center" vertical="top" wrapText="1"/>
    </xf>
    <xf numFmtId="0" fontId="43" fillId="4" borderId="33" xfId="4" applyFont="1" applyFill="1" applyBorder="1" applyAlignment="1">
      <alignment horizontal="center" vertical="top" wrapText="1"/>
    </xf>
    <xf numFmtId="0" fontId="43" fillId="4" borderId="34" xfId="4" applyFont="1" applyFill="1" applyBorder="1" applyAlignment="1">
      <alignment horizontal="center" vertical="top" wrapText="1"/>
    </xf>
    <xf numFmtId="0" fontId="43" fillId="4" borderId="0" xfId="4" applyFont="1" applyFill="1" applyAlignment="1">
      <alignment horizontal="center" vertical="top" wrapText="1"/>
    </xf>
    <xf numFmtId="169" fontId="22" fillId="4" borderId="17" xfId="1" applyNumberFormat="1" applyFont="1" applyFill="1" applyBorder="1" applyAlignment="1">
      <alignment horizontal="center" vertical="center" wrapText="1"/>
    </xf>
    <xf numFmtId="169" fontId="22" fillId="4" borderId="72" xfId="1" applyNumberFormat="1" applyFont="1" applyFill="1" applyBorder="1" applyAlignment="1">
      <alignment horizontal="center" vertical="center" wrapText="1"/>
    </xf>
    <xf numFmtId="169" fontId="22" fillId="4" borderId="38" xfId="1" applyNumberFormat="1" applyFont="1" applyFill="1" applyBorder="1" applyAlignment="1">
      <alignment horizontal="center" vertical="center" wrapText="1"/>
    </xf>
    <xf numFmtId="169" fontId="22" fillId="4" borderId="19" xfId="1" applyNumberFormat="1" applyFont="1" applyFill="1" applyBorder="1" applyAlignment="1">
      <alignment horizontal="center" vertical="center" wrapText="1"/>
    </xf>
    <xf numFmtId="169" fontId="22" fillId="4" borderId="18" xfId="1" applyNumberFormat="1" applyFont="1" applyFill="1" applyBorder="1" applyAlignment="1">
      <alignment horizontal="center" vertical="center" wrapText="1"/>
    </xf>
    <xf numFmtId="2" fontId="22" fillId="4" borderId="5" xfId="5" applyNumberFormat="1" applyFont="1" applyFill="1" applyBorder="1" applyAlignment="1">
      <alignment horizontal="center" vertical="center" wrapText="1"/>
    </xf>
    <xf numFmtId="2" fontId="22" fillId="4" borderId="35" xfId="5" applyNumberFormat="1" applyFont="1" applyFill="1" applyBorder="1" applyAlignment="1">
      <alignment horizontal="center" vertical="center" wrapText="1"/>
    </xf>
    <xf numFmtId="2" fontId="22" fillId="4" borderId="54" xfId="5" applyNumberFormat="1" applyFont="1" applyFill="1" applyBorder="1" applyAlignment="1">
      <alignment horizontal="center" vertical="center" wrapText="1"/>
    </xf>
    <xf numFmtId="2" fontId="22" fillId="4" borderId="74" xfId="5" applyNumberFormat="1" applyFont="1" applyFill="1" applyBorder="1" applyAlignment="1">
      <alignment horizontal="center" vertical="center" wrapText="1"/>
    </xf>
    <xf numFmtId="2" fontId="22" fillId="4" borderId="67" xfId="5" applyNumberFormat="1" applyFont="1" applyFill="1" applyBorder="1" applyAlignment="1">
      <alignment horizontal="center" vertical="center" wrapText="1"/>
    </xf>
    <xf numFmtId="0" fontId="22" fillId="4" borderId="1" xfId="4" applyFont="1" applyFill="1" applyBorder="1" applyAlignment="1">
      <alignment horizontal="center" vertical="top" wrapText="1"/>
    </xf>
    <xf numFmtId="0" fontId="22" fillId="4" borderId="2" xfId="4" applyFont="1" applyFill="1" applyBorder="1" applyAlignment="1">
      <alignment horizontal="center" vertical="top" wrapText="1"/>
    </xf>
    <xf numFmtId="2" fontId="22" fillId="18" borderId="39" xfId="5" applyNumberFormat="1" applyFont="1" applyFill="1" applyBorder="1" applyAlignment="1">
      <alignment horizontal="center" vertical="center" wrapText="1"/>
    </xf>
    <xf numFmtId="2" fontId="22" fillId="18" borderId="28" xfId="5" applyNumberFormat="1" applyFont="1" applyFill="1" applyBorder="1" applyAlignment="1">
      <alignment horizontal="center" vertical="center" wrapText="1"/>
    </xf>
    <xf numFmtId="2" fontId="22" fillId="4" borderId="64" xfId="5" applyNumberFormat="1" applyFont="1" applyFill="1" applyBorder="1" applyAlignment="1">
      <alignment horizontal="center" vertical="center" wrapText="1"/>
    </xf>
    <xf numFmtId="0" fontId="22" fillId="6" borderId="1" xfId="4" applyFont="1" applyFill="1" applyBorder="1" applyAlignment="1">
      <alignment horizontal="center"/>
    </xf>
    <xf numFmtId="0" fontId="22" fillId="6" borderId="77" xfId="4" applyFont="1" applyFill="1" applyBorder="1" applyAlignment="1">
      <alignment horizontal="center"/>
    </xf>
    <xf numFmtId="0" fontId="22" fillId="6" borderId="39" xfId="4" applyFont="1" applyFill="1" applyBorder="1" applyAlignment="1">
      <alignment horizontal="center"/>
    </xf>
    <xf numFmtId="0" fontId="22" fillId="6" borderId="72" xfId="4" applyFont="1" applyFill="1" applyBorder="1" applyAlignment="1">
      <alignment horizontal="center"/>
    </xf>
    <xf numFmtId="0" fontId="5" fillId="3" borderId="0" xfId="4" applyFont="1" applyFill="1" applyAlignment="1">
      <alignment horizontal="left"/>
    </xf>
    <xf numFmtId="0" fontId="91" fillId="19" borderId="32" xfId="4" applyFont="1" applyFill="1" applyBorder="1" applyAlignment="1">
      <alignment horizontal="center" vertical="center"/>
    </xf>
    <xf numFmtId="0" fontId="91" fillId="19" borderId="33" xfId="4" applyFont="1" applyFill="1" applyBorder="1" applyAlignment="1">
      <alignment horizontal="center" vertical="center"/>
    </xf>
    <xf numFmtId="0" fontId="91" fillId="19" borderId="34" xfId="4" applyFont="1" applyFill="1" applyBorder="1" applyAlignment="1">
      <alignment horizontal="center" vertical="center"/>
    </xf>
    <xf numFmtId="0" fontId="91" fillId="19" borderId="0" xfId="4" applyFont="1" applyFill="1" applyAlignment="1">
      <alignment horizontal="center" vertical="center"/>
    </xf>
    <xf numFmtId="0" fontId="22" fillId="6" borderId="63" xfId="4" applyFont="1" applyFill="1" applyBorder="1" applyAlignment="1">
      <alignment horizontal="center" vertical="center"/>
    </xf>
    <xf numFmtId="0" fontId="22" fillId="6" borderId="75" xfId="4" applyFont="1" applyFill="1" applyBorder="1" applyAlignment="1">
      <alignment horizontal="center" vertical="center"/>
    </xf>
    <xf numFmtId="0" fontId="22" fillId="6" borderId="9" xfId="4" applyFont="1" applyFill="1" applyBorder="1" applyAlignment="1">
      <alignment horizontal="center" vertical="center"/>
    </xf>
    <xf numFmtId="3" fontId="5" fillId="4" borderId="17" xfId="4" applyNumberFormat="1" applyFont="1" applyFill="1" applyBorder="1" applyAlignment="1" applyProtection="1">
      <alignment horizontal="center" vertical="top" wrapText="1"/>
      <protection locked="0"/>
    </xf>
    <xf numFmtId="0" fontId="22" fillId="13" borderId="25" xfId="4" applyFont="1" applyFill="1" applyBorder="1" applyAlignment="1">
      <alignment horizontal="left"/>
    </xf>
    <xf numFmtId="0" fontId="22" fillId="13" borderId="50" xfId="4" applyFont="1" applyFill="1" applyBorder="1" applyAlignment="1">
      <alignment horizontal="left"/>
    </xf>
    <xf numFmtId="0" fontId="22" fillId="13" borderId="47" xfId="4" applyFont="1" applyFill="1" applyBorder="1" applyAlignment="1">
      <alignment horizontal="left"/>
    </xf>
    <xf numFmtId="0" fontId="22" fillId="13" borderId="25" xfId="7" applyFont="1" applyFill="1" applyBorder="1" applyAlignment="1">
      <alignment horizontal="left"/>
    </xf>
    <xf numFmtId="0" fontId="22" fillId="13" borderId="50" xfId="7" applyFont="1" applyFill="1" applyBorder="1" applyAlignment="1">
      <alignment horizontal="left"/>
    </xf>
    <xf numFmtId="0" fontId="22" fillId="13" borderId="47" xfId="7" applyFont="1" applyFill="1" applyBorder="1" applyAlignment="1">
      <alignment horizontal="left"/>
    </xf>
    <xf numFmtId="0" fontId="22" fillId="9" borderId="25" xfId="4" applyFont="1" applyFill="1" applyBorder="1" applyAlignment="1">
      <alignment horizontal="left"/>
    </xf>
    <xf numFmtId="0" fontId="22" fillId="9" borderId="50" xfId="4" applyFont="1" applyFill="1" applyBorder="1" applyAlignment="1">
      <alignment horizontal="left"/>
    </xf>
    <xf numFmtId="0" fontId="22" fillId="9" borderId="47" xfId="4" applyFont="1" applyFill="1" applyBorder="1" applyAlignment="1">
      <alignment horizontal="left"/>
    </xf>
    <xf numFmtId="0" fontId="22" fillId="4" borderId="25" xfId="7" applyFont="1" applyFill="1" applyBorder="1" applyAlignment="1" applyProtection="1">
      <alignment horizontal="left"/>
      <protection locked="0"/>
    </xf>
    <xf numFmtId="0" fontId="22" fillId="4" borderId="50" xfId="7" applyFont="1" applyFill="1" applyBorder="1" applyAlignment="1" applyProtection="1">
      <alignment horizontal="left"/>
      <protection locked="0"/>
    </xf>
    <xf numFmtId="0" fontId="22" fillId="4" borderId="47" xfId="7" applyFont="1" applyFill="1" applyBorder="1" applyAlignment="1" applyProtection="1">
      <alignment horizontal="left"/>
      <protection locked="0"/>
    </xf>
    <xf numFmtId="0" fontId="5" fillId="4" borderId="22" xfId="4" applyFont="1" applyFill="1" applyBorder="1" applyAlignment="1">
      <alignment horizontal="center"/>
    </xf>
    <xf numFmtId="0" fontId="5" fillId="4" borderId="50" xfId="4" applyFont="1" applyFill="1" applyBorder="1" applyAlignment="1">
      <alignment horizontal="center"/>
    </xf>
    <xf numFmtId="0" fontId="5" fillId="4" borderId="21" xfId="4" applyFont="1" applyFill="1" applyBorder="1" applyAlignment="1">
      <alignment horizontal="center"/>
    </xf>
    <xf numFmtId="0" fontId="5" fillId="4" borderId="51" xfId="4" applyFont="1" applyFill="1" applyBorder="1" applyAlignment="1">
      <alignment horizontal="center"/>
    </xf>
    <xf numFmtId="0" fontId="5" fillId="4" borderId="27" xfId="4" applyFont="1" applyFill="1" applyBorder="1" applyAlignment="1">
      <alignment horizontal="center"/>
    </xf>
    <xf numFmtId="0" fontId="5" fillId="4" borderId="61" xfId="4" applyFont="1" applyFill="1" applyBorder="1" applyAlignment="1">
      <alignment horizontal="center" vertical="top" wrapText="1"/>
    </xf>
    <xf numFmtId="0" fontId="5" fillId="4" borderId="69" xfId="4" applyFont="1" applyFill="1" applyBorder="1" applyAlignment="1">
      <alignment horizontal="center" vertical="top" wrapText="1"/>
    </xf>
    <xf numFmtId="0" fontId="5" fillId="4" borderId="46" xfId="4" applyFont="1" applyFill="1" applyBorder="1" applyAlignment="1">
      <alignment horizontal="center" vertical="top" wrapText="1"/>
    </xf>
    <xf numFmtId="0" fontId="5" fillId="4" borderId="17" xfId="4" applyFont="1" applyFill="1" applyBorder="1" applyAlignment="1">
      <alignment horizontal="center" vertical="top" wrapText="1"/>
    </xf>
    <xf numFmtId="0" fontId="5" fillId="4" borderId="38" xfId="4" applyFont="1" applyFill="1" applyBorder="1" applyAlignment="1">
      <alignment horizontal="center" vertical="top" wrapText="1"/>
    </xf>
    <xf numFmtId="0" fontId="5" fillId="4" borderId="18" xfId="4" applyFont="1" applyFill="1" applyBorder="1" applyAlignment="1">
      <alignment horizontal="center" vertical="top" wrapText="1"/>
    </xf>
    <xf numFmtId="0" fontId="23" fillId="11" borderId="1" xfId="4" applyFont="1" applyFill="1" applyBorder="1" applyAlignment="1">
      <alignment horizontal="center" vertical="top" wrapText="1"/>
    </xf>
    <xf numFmtId="0" fontId="23" fillId="11" borderId="3" xfId="4" applyFont="1" applyFill="1" applyBorder="1" applyAlignment="1">
      <alignment horizontal="center" vertical="top" wrapText="1"/>
    </xf>
    <xf numFmtId="0" fontId="23" fillId="11" borderId="4" xfId="4" applyFont="1" applyFill="1" applyBorder="1" applyAlignment="1">
      <alignment horizontal="center" vertical="top"/>
    </xf>
    <xf numFmtId="0" fontId="23" fillId="11" borderId="7" xfId="4" applyFont="1" applyFill="1" applyBorder="1" applyAlignment="1">
      <alignment horizontal="center" vertical="top"/>
    </xf>
    <xf numFmtId="0" fontId="23" fillId="11" borderId="4" xfId="4" applyFont="1" applyFill="1" applyBorder="1" applyAlignment="1">
      <alignment horizontal="center" vertical="top" wrapText="1"/>
    </xf>
    <xf numFmtId="0" fontId="23" fillId="11" borderId="7" xfId="0" applyFont="1" applyFill="1" applyBorder="1" applyAlignment="1">
      <alignment horizontal="center" vertical="top" wrapText="1"/>
    </xf>
    <xf numFmtId="0" fontId="13" fillId="21" borderId="0" xfId="4" applyFont="1" applyFill="1" applyAlignment="1">
      <alignment horizontal="left" vertical="center"/>
    </xf>
    <xf numFmtId="0" fontId="22" fillId="6" borderId="32" xfId="4" applyFont="1" applyFill="1" applyBorder="1" applyAlignment="1">
      <alignment horizontal="left" vertical="top" wrapText="1"/>
    </xf>
    <xf numFmtId="0" fontId="22" fillId="6" borderId="5" xfId="4" applyFont="1" applyFill="1" applyBorder="1" applyAlignment="1">
      <alignment horizontal="left" vertical="top" wrapText="1"/>
    </xf>
    <xf numFmtId="0" fontId="5" fillId="4" borderId="63" xfId="4" applyFont="1" applyFill="1" applyBorder="1" applyAlignment="1">
      <alignment horizontal="center" vertical="top" wrapText="1"/>
    </xf>
    <xf numFmtId="0" fontId="5" fillId="4" borderId="64" xfId="4" applyFont="1" applyFill="1" applyBorder="1" applyAlignment="1">
      <alignment horizontal="center" vertical="top" wrapText="1"/>
    </xf>
    <xf numFmtId="0" fontId="5" fillId="4" borderId="65" xfId="4" applyFont="1" applyFill="1" applyBorder="1" applyAlignment="1">
      <alignment horizontal="center" vertical="top" wrapText="1"/>
    </xf>
    <xf numFmtId="0" fontId="22" fillId="3" borderId="1" xfId="4" applyFont="1" applyFill="1" applyBorder="1" applyAlignment="1">
      <alignment horizontal="center" vertical="top" wrapText="1"/>
    </xf>
    <xf numFmtId="0" fontId="22" fillId="3" borderId="2" xfId="4" applyFont="1" applyFill="1" applyBorder="1" applyAlignment="1">
      <alignment horizontal="center" vertical="top" wrapText="1"/>
    </xf>
    <xf numFmtId="0" fontId="22" fillId="3" borderId="3" xfId="4" applyFont="1" applyFill="1" applyBorder="1" applyAlignment="1">
      <alignment horizontal="center" vertical="top" wrapText="1"/>
    </xf>
    <xf numFmtId="0" fontId="22" fillId="3" borderId="4" xfId="0" applyFont="1" applyFill="1" applyBorder="1" applyAlignment="1">
      <alignment horizontal="center" wrapText="1"/>
    </xf>
    <xf numFmtId="0" fontId="22" fillId="3" borderId="7" xfId="0" applyFont="1" applyFill="1" applyBorder="1" applyAlignment="1">
      <alignment horizontal="center" wrapText="1"/>
    </xf>
    <xf numFmtId="0" fontId="5" fillId="4" borderId="52" xfId="4" applyFont="1" applyFill="1" applyBorder="1" applyAlignment="1">
      <alignment horizontal="center"/>
    </xf>
    <xf numFmtId="0" fontId="5" fillId="4" borderId="53" xfId="4" applyFont="1" applyFill="1" applyBorder="1" applyAlignment="1">
      <alignment horizontal="center"/>
    </xf>
    <xf numFmtId="0" fontId="22" fillId="6" borderId="34" xfId="4" applyFont="1" applyFill="1" applyBorder="1" applyAlignment="1">
      <alignment horizontal="left" vertical="top" wrapText="1"/>
    </xf>
    <xf numFmtId="0" fontId="22" fillId="6" borderId="35" xfId="4" applyFont="1" applyFill="1" applyBorder="1" applyAlignment="1">
      <alignment horizontal="left" vertical="top" wrapText="1"/>
    </xf>
    <xf numFmtId="0" fontId="26" fillId="6" borderId="23" xfId="4" applyFont="1" applyFill="1" applyBorder="1" applyAlignment="1">
      <alignment horizontal="left" vertical="top" wrapText="1"/>
    </xf>
    <xf numFmtId="0" fontId="26" fillId="6" borderId="40" xfId="4" applyFont="1" applyFill="1" applyBorder="1" applyAlignment="1">
      <alignment horizontal="left" vertical="top" wrapText="1"/>
    </xf>
    <xf numFmtId="0" fontId="26" fillId="6" borderId="24" xfId="4" applyFont="1" applyFill="1" applyBorder="1" applyAlignment="1">
      <alignment horizontal="left" vertical="top" wrapText="1"/>
    </xf>
    <xf numFmtId="0" fontId="26" fillId="16" borderId="23" xfId="0" applyFont="1" applyFill="1" applyBorder="1" applyAlignment="1">
      <alignment horizontal="left" vertical="center" wrapText="1"/>
    </xf>
    <xf numFmtId="0" fontId="26" fillId="16" borderId="40" xfId="0" applyFont="1" applyFill="1" applyBorder="1" applyAlignment="1">
      <alignment horizontal="left" vertical="center" wrapText="1"/>
    </xf>
    <xf numFmtId="0" fontId="26" fillId="16" borderId="24" xfId="0" applyFont="1" applyFill="1" applyBorder="1" applyAlignment="1">
      <alignment horizontal="left" vertical="center" wrapText="1"/>
    </xf>
    <xf numFmtId="0" fontId="26" fillId="6" borderId="17" xfId="4" applyFont="1" applyFill="1" applyBorder="1" applyAlignment="1">
      <alignment horizontal="left" vertical="top" wrapText="1"/>
    </xf>
    <xf numFmtId="0" fontId="26" fillId="6" borderId="38" xfId="4" applyFont="1" applyFill="1" applyBorder="1" applyAlignment="1">
      <alignment horizontal="left" vertical="top" wrapText="1"/>
    </xf>
    <xf numFmtId="0" fontId="26" fillId="6" borderId="18" xfId="4" applyFont="1" applyFill="1" applyBorder="1" applyAlignment="1">
      <alignment horizontal="left" vertical="top" wrapText="1"/>
    </xf>
    <xf numFmtId="0" fontId="5" fillId="4" borderId="23" xfId="4" applyFont="1" applyFill="1" applyBorder="1" applyAlignment="1">
      <alignment horizontal="center" vertical="top" wrapText="1"/>
    </xf>
    <xf numFmtId="0" fontId="5" fillId="4" borderId="40" xfId="4" applyFont="1" applyFill="1" applyBorder="1" applyAlignment="1">
      <alignment horizontal="center" vertical="top" wrapText="1"/>
    </xf>
    <xf numFmtId="0" fontId="5" fillId="4" borderId="24" xfId="4" applyFont="1" applyFill="1" applyBorder="1" applyAlignment="1">
      <alignment horizontal="center" vertical="top" wrapText="1"/>
    </xf>
    <xf numFmtId="0" fontId="26" fillId="6" borderId="29" xfId="4" applyFont="1" applyFill="1" applyBorder="1" applyAlignment="1">
      <alignment horizontal="left" vertical="top" wrapText="1"/>
    </xf>
    <xf numFmtId="0" fontId="26" fillId="6" borderId="45" xfId="4" applyFont="1" applyFill="1" applyBorder="1" applyAlignment="1">
      <alignment horizontal="left" vertical="top" wrapText="1"/>
    </xf>
    <xf numFmtId="0" fontId="26" fillId="6" borderId="30" xfId="4" applyFont="1" applyFill="1" applyBorder="1" applyAlignment="1">
      <alignment horizontal="left" vertical="top" wrapText="1"/>
    </xf>
    <xf numFmtId="0" fontId="26" fillId="6" borderId="75" xfId="4" applyFont="1" applyFill="1" applyBorder="1" applyAlignment="1">
      <alignment horizontal="left" vertical="top" wrapText="1"/>
    </xf>
    <xf numFmtId="0" fontId="26" fillId="6" borderId="70" xfId="4" applyFont="1" applyFill="1" applyBorder="1" applyAlignment="1">
      <alignment horizontal="left" vertical="top" wrapText="1"/>
    </xf>
    <xf numFmtId="0" fontId="26" fillId="6" borderId="71" xfId="4" applyFont="1" applyFill="1" applyBorder="1" applyAlignment="1">
      <alignment horizontal="left" vertical="top" wrapText="1"/>
    </xf>
    <xf numFmtId="0" fontId="28" fillId="6" borderId="61" xfId="4" applyFont="1" applyFill="1" applyBorder="1" applyAlignment="1">
      <alignment horizontal="left" vertical="top" wrapText="1"/>
    </xf>
    <xf numFmtId="0" fontId="28" fillId="6" borderId="69" xfId="4" applyFont="1" applyFill="1" applyBorder="1" applyAlignment="1">
      <alignment horizontal="left" vertical="top" wrapText="1"/>
    </xf>
    <xf numFmtId="0" fontId="28" fillId="6" borderId="46" xfId="4" applyFont="1" applyFill="1" applyBorder="1" applyAlignment="1">
      <alignment horizontal="left" vertical="top" wrapText="1"/>
    </xf>
    <xf numFmtId="0" fontId="5" fillId="4" borderId="29" xfId="4" applyFont="1" applyFill="1" applyBorder="1" applyAlignment="1">
      <alignment horizontal="center" vertical="top" wrapText="1"/>
    </xf>
    <xf numFmtId="0" fontId="5" fillId="4" borderId="45" xfId="4" applyFont="1" applyFill="1" applyBorder="1" applyAlignment="1">
      <alignment horizontal="center" vertical="top" wrapText="1"/>
    </xf>
    <xf numFmtId="0" fontId="5" fillId="4" borderId="30" xfId="4" applyFont="1" applyFill="1" applyBorder="1" applyAlignment="1">
      <alignment horizontal="center" vertical="top" wrapText="1"/>
    </xf>
    <xf numFmtId="0" fontId="5" fillId="4" borderId="75" xfId="4" applyFont="1" applyFill="1" applyBorder="1" applyAlignment="1">
      <alignment horizontal="center" vertical="top" wrapText="1"/>
    </xf>
    <xf numFmtId="0" fontId="5" fillId="4" borderId="70" xfId="4" applyFont="1" applyFill="1" applyBorder="1" applyAlignment="1">
      <alignment horizontal="center" vertical="top" wrapText="1"/>
    </xf>
    <xf numFmtId="0" fontId="5" fillId="4" borderId="71" xfId="4" applyFont="1" applyFill="1" applyBorder="1" applyAlignment="1">
      <alignment horizontal="center" vertical="top" wrapText="1"/>
    </xf>
    <xf numFmtId="0" fontId="22" fillId="6" borderId="61" xfId="4" applyFont="1" applyFill="1" applyBorder="1" applyAlignment="1">
      <alignment horizontal="left" vertical="top" wrapText="1"/>
    </xf>
    <xf numFmtId="0" fontId="22" fillId="6" borderId="69" xfId="4" applyFont="1" applyFill="1" applyBorder="1" applyAlignment="1">
      <alignment horizontal="left" vertical="top" wrapText="1"/>
    </xf>
    <xf numFmtId="0" fontId="22" fillId="6" borderId="46" xfId="4" applyFont="1" applyFill="1" applyBorder="1" applyAlignment="1">
      <alignment horizontal="left" vertical="top" wrapText="1"/>
    </xf>
    <xf numFmtId="0" fontId="22" fillId="6" borderId="9" xfId="4" applyFont="1" applyFill="1" applyBorder="1" applyAlignment="1">
      <alignment horizontal="left" vertical="top" wrapText="1"/>
    </xf>
    <xf numFmtId="0" fontId="22" fillId="6" borderId="60" xfId="4" applyFont="1" applyFill="1" applyBorder="1" applyAlignment="1">
      <alignment horizontal="left" vertical="top" wrapText="1"/>
    </xf>
    <xf numFmtId="0" fontId="22" fillId="6" borderId="10" xfId="4" applyFont="1" applyFill="1" applyBorder="1" applyAlignment="1">
      <alignment horizontal="left" vertical="top" wrapText="1"/>
    </xf>
    <xf numFmtId="0" fontId="28" fillId="6" borderId="75" xfId="4" applyFont="1" applyFill="1" applyBorder="1" applyAlignment="1">
      <alignment horizontal="left" vertical="top" wrapText="1"/>
    </xf>
    <xf numFmtId="0" fontId="28" fillId="6" borderId="70" xfId="4" applyFont="1" applyFill="1" applyBorder="1" applyAlignment="1">
      <alignment horizontal="left" vertical="top" wrapText="1"/>
    </xf>
    <xf numFmtId="0" fontId="28" fillId="6" borderId="71" xfId="4" applyFont="1" applyFill="1" applyBorder="1" applyAlignment="1">
      <alignment horizontal="left" vertical="top" wrapText="1"/>
    </xf>
    <xf numFmtId="0" fontId="5" fillId="4" borderId="9" xfId="4" applyFont="1" applyFill="1" applyBorder="1" applyAlignment="1">
      <alignment horizontal="center" vertical="top" wrapText="1"/>
    </xf>
    <xf numFmtId="0" fontId="5" fillId="4" borderId="60" xfId="4" applyFont="1" applyFill="1" applyBorder="1" applyAlignment="1">
      <alignment horizontal="center" vertical="top" wrapText="1"/>
    </xf>
    <xf numFmtId="0" fontId="5" fillId="4" borderId="10" xfId="4" applyFont="1" applyFill="1" applyBorder="1" applyAlignment="1">
      <alignment horizontal="center" vertical="top" wrapText="1"/>
    </xf>
    <xf numFmtId="0" fontId="23" fillId="0" borderId="7" xfId="0" applyFont="1" applyBorder="1" applyAlignment="1">
      <alignment horizontal="center" vertical="top" wrapText="1"/>
    </xf>
    <xf numFmtId="2" fontId="23" fillId="4" borderId="1" xfId="5" applyNumberFormat="1" applyFont="1" applyFill="1" applyBorder="1" applyAlignment="1">
      <alignment horizontal="center" vertical="top" wrapText="1"/>
    </xf>
    <xf numFmtId="2" fontId="23" fillId="4" borderId="2" xfId="5" applyNumberFormat="1" applyFont="1" applyFill="1" applyBorder="1" applyAlignment="1">
      <alignment horizontal="center" vertical="top" wrapText="1"/>
    </xf>
    <xf numFmtId="2" fontId="23" fillId="4" borderId="3" xfId="5" applyNumberFormat="1" applyFont="1" applyFill="1" applyBorder="1" applyAlignment="1">
      <alignment horizontal="center" vertical="top" wrapText="1"/>
    </xf>
    <xf numFmtId="0" fontId="38" fillId="4" borderId="23" xfId="4" applyFont="1" applyFill="1" applyBorder="1" applyAlignment="1">
      <alignment horizontal="center" vertical="top" wrapText="1"/>
    </xf>
    <xf numFmtId="0" fontId="38" fillId="4" borderId="40" xfId="4" applyFont="1" applyFill="1" applyBorder="1" applyAlignment="1">
      <alignment horizontal="center" vertical="top" wrapText="1"/>
    </xf>
    <xf numFmtId="0" fontId="38" fillId="4" borderId="24" xfId="4" applyFont="1" applyFill="1" applyBorder="1" applyAlignment="1">
      <alignment horizontal="center" vertical="top" wrapText="1"/>
    </xf>
    <xf numFmtId="0" fontId="38" fillId="4" borderId="29" xfId="4" applyFont="1" applyFill="1" applyBorder="1" applyAlignment="1">
      <alignment horizontal="center" vertical="top" wrapText="1"/>
    </xf>
    <xf numFmtId="0" fontId="38" fillId="4" borderId="45" xfId="4" applyFont="1" applyFill="1" applyBorder="1" applyAlignment="1">
      <alignment horizontal="center" vertical="top" wrapText="1"/>
    </xf>
    <xf numFmtId="0" fontId="38" fillId="4" borderId="30" xfId="4" applyFont="1" applyFill="1" applyBorder="1" applyAlignment="1">
      <alignment horizontal="center" vertical="top" wrapText="1"/>
    </xf>
    <xf numFmtId="2" fontId="23" fillId="4" borderId="39" xfId="5" applyNumberFormat="1" applyFont="1" applyFill="1" applyBorder="1" applyAlignment="1">
      <alignment horizontal="center" vertical="top" wrapText="1"/>
    </xf>
    <xf numFmtId="2" fontId="23" fillId="4" borderId="52" xfId="5" applyNumberFormat="1" applyFont="1" applyFill="1" applyBorder="1" applyAlignment="1">
      <alignment horizontal="center" vertical="top" wrapText="1"/>
    </xf>
    <xf numFmtId="2" fontId="23" fillId="4" borderId="53" xfId="5" applyNumberFormat="1" applyFont="1" applyFill="1" applyBorder="1" applyAlignment="1">
      <alignment horizontal="center" vertical="top" wrapText="1"/>
    </xf>
    <xf numFmtId="2" fontId="23" fillId="4" borderId="22" xfId="5" applyNumberFormat="1" applyFont="1" applyFill="1" applyBorder="1" applyAlignment="1">
      <alignment horizontal="center" vertical="top" wrapText="1"/>
    </xf>
    <xf numFmtId="2" fontId="23" fillId="4" borderId="50" xfId="5" applyNumberFormat="1" applyFont="1" applyFill="1" applyBorder="1" applyAlignment="1">
      <alignment horizontal="center" vertical="top" wrapText="1"/>
    </xf>
    <xf numFmtId="2" fontId="23" fillId="4" borderId="21" xfId="5" applyNumberFormat="1" applyFont="1" applyFill="1" applyBorder="1" applyAlignment="1">
      <alignment horizontal="center" vertical="top" wrapText="1"/>
    </xf>
    <xf numFmtId="2" fontId="23" fillId="4" borderId="54" xfId="5" applyNumberFormat="1" applyFont="1" applyFill="1" applyBorder="1" applyAlignment="1">
      <alignment horizontal="center" vertical="top" wrapText="1"/>
    </xf>
    <xf numFmtId="2" fontId="23" fillId="4" borderId="55" xfId="5" applyNumberFormat="1" applyFont="1" applyFill="1" applyBorder="1" applyAlignment="1">
      <alignment horizontal="center" vertical="top" wrapText="1"/>
    </xf>
    <xf numFmtId="2" fontId="23" fillId="4" borderId="56" xfId="5" applyNumberFormat="1" applyFont="1" applyFill="1" applyBorder="1" applyAlignment="1">
      <alignment horizontal="center" vertical="top" wrapText="1"/>
    </xf>
    <xf numFmtId="0" fontId="38" fillId="4" borderId="17" xfId="4" applyFont="1" applyFill="1" applyBorder="1" applyAlignment="1">
      <alignment horizontal="center" vertical="top" wrapText="1"/>
    </xf>
    <xf numFmtId="0" fontId="38" fillId="4" borderId="38" xfId="4" applyFont="1" applyFill="1" applyBorder="1" applyAlignment="1">
      <alignment horizontal="center" vertical="top" wrapText="1"/>
    </xf>
    <xf numFmtId="0" fontId="38" fillId="4" borderId="18" xfId="4" applyFont="1" applyFill="1" applyBorder="1" applyAlignment="1">
      <alignment horizontal="center" vertical="top" wrapText="1"/>
    </xf>
    <xf numFmtId="0" fontId="13" fillId="15" borderId="0" xfId="4" applyFont="1" applyFill="1" applyAlignment="1" applyProtection="1">
      <alignment horizontal="left" vertical="center"/>
    </xf>
    <xf numFmtId="0" fontId="23" fillId="6" borderId="32" xfId="4" applyFont="1" applyFill="1" applyBorder="1" applyAlignment="1" applyProtection="1">
      <alignment horizontal="center" vertical="center" wrapText="1"/>
    </xf>
    <xf numFmtId="0" fontId="23" fillId="6" borderId="33" xfId="4" applyFont="1" applyFill="1" applyBorder="1" applyAlignment="1" applyProtection="1">
      <alignment horizontal="center" vertical="center" wrapText="1"/>
    </xf>
    <xf numFmtId="0" fontId="23" fillId="6" borderId="5" xfId="4" applyFont="1" applyFill="1" applyBorder="1" applyAlignment="1" applyProtection="1">
      <alignment horizontal="center" vertical="center" wrapText="1"/>
    </xf>
    <xf numFmtId="0" fontId="23" fillId="6" borderId="34" xfId="4" applyFont="1" applyFill="1" applyBorder="1" applyAlignment="1" applyProtection="1">
      <alignment horizontal="center" vertical="center" wrapText="1"/>
    </xf>
    <xf numFmtId="0" fontId="23" fillId="6" borderId="0" xfId="4" applyFont="1" applyFill="1" applyAlignment="1" applyProtection="1">
      <alignment horizontal="center" vertical="center" wrapText="1"/>
    </xf>
    <xf numFmtId="0" fontId="23" fillId="6" borderId="35" xfId="4" applyFont="1" applyFill="1" applyBorder="1" applyAlignment="1" applyProtection="1">
      <alignment horizontal="center" vertical="center" wrapText="1"/>
    </xf>
    <xf numFmtId="2" fontId="23" fillId="6" borderId="32" xfId="5" applyNumberFormat="1" applyFont="1" applyFill="1" applyBorder="1" applyAlignment="1" applyProtection="1">
      <alignment horizontal="center" vertical="center" wrapText="1"/>
    </xf>
    <xf numFmtId="2" fontId="23" fillId="6" borderId="5" xfId="5" applyNumberFormat="1" applyFont="1" applyFill="1" applyBorder="1" applyAlignment="1" applyProtection="1">
      <alignment horizontal="center" vertical="center" wrapText="1"/>
    </xf>
    <xf numFmtId="2" fontId="23" fillId="6" borderId="36" xfId="5" applyNumberFormat="1" applyFont="1" applyFill="1" applyBorder="1" applyAlignment="1" applyProtection="1">
      <alignment horizontal="center" vertical="center" wrapText="1"/>
    </xf>
    <xf numFmtId="2" fontId="23" fillId="6" borderId="13" xfId="5" applyNumberFormat="1" applyFont="1" applyFill="1" applyBorder="1" applyAlignment="1" applyProtection="1">
      <alignment horizontal="center" vertical="center" wrapText="1"/>
    </xf>
    <xf numFmtId="0" fontId="5" fillId="3" borderId="1" xfId="4" applyFont="1" applyFill="1" applyBorder="1" applyAlignment="1" applyProtection="1">
      <alignment horizontal="left"/>
    </xf>
    <xf numFmtId="0" fontId="5" fillId="3" borderId="3" xfId="4" applyFont="1" applyFill="1" applyBorder="1" applyAlignment="1" applyProtection="1">
      <alignment horizontal="left"/>
    </xf>
    <xf numFmtId="0" fontId="5" fillId="4" borderId="61" xfId="4" applyFont="1" applyFill="1" applyBorder="1" applyAlignment="1" applyProtection="1">
      <alignment horizontal="center" vertical="top" wrapText="1"/>
    </xf>
    <xf numFmtId="0" fontId="5" fillId="4" borderId="69" xfId="4" applyFont="1" applyFill="1" applyBorder="1" applyAlignment="1" applyProtection="1">
      <alignment horizontal="center" vertical="top" wrapText="1"/>
    </xf>
    <xf numFmtId="0" fontId="5" fillId="4" borderId="46" xfId="4" applyFont="1" applyFill="1" applyBorder="1" applyAlignment="1" applyProtection="1">
      <alignment horizontal="center" vertical="top" wrapText="1"/>
    </xf>
    <xf numFmtId="4" fontId="95" fillId="12" borderId="1" xfId="5" applyNumberFormat="1" applyFont="1" applyFill="1" applyBorder="1" applyAlignment="1" applyProtection="1">
      <alignment horizontal="center" vertical="top" wrapText="1"/>
    </xf>
    <xf numFmtId="4" fontId="95" fillId="12" borderId="3" xfId="5" applyNumberFormat="1" applyFont="1" applyFill="1" applyBorder="1" applyAlignment="1" applyProtection="1">
      <alignment horizontal="center" vertical="top" wrapText="1"/>
    </xf>
    <xf numFmtId="0" fontId="22" fillId="0" borderId="1" xfId="4" applyFont="1" applyBorder="1" applyAlignment="1" applyProtection="1">
      <alignment horizontal="center" vertical="center"/>
    </xf>
    <xf numFmtId="0" fontId="22" fillId="0" borderId="2" xfId="4" applyFont="1" applyBorder="1" applyAlignment="1" applyProtection="1">
      <alignment horizontal="center" vertical="center"/>
    </xf>
    <xf numFmtId="0" fontId="22" fillId="0" borderId="3" xfId="4" applyFont="1" applyBorder="1" applyAlignment="1" applyProtection="1">
      <alignment horizontal="center" vertical="center"/>
    </xf>
    <xf numFmtId="0" fontId="22" fillId="11" borderId="1" xfId="4" applyFont="1" applyFill="1" applyBorder="1" applyAlignment="1" applyProtection="1">
      <alignment horizontal="center" vertical="center"/>
    </xf>
    <xf numFmtId="0" fontId="22" fillId="11" borderId="2" xfId="4" applyFont="1" applyFill="1" applyBorder="1" applyAlignment="1" applyProtection="1">
      <alignment horizontal="center" vertical="center"/>
    </xf>
    <xf numFmtId="0" fontId="22" fillId="11" borderId="3" xfId="4" applyFont="1" applyFill="1" applyBorder="1" applyAlignment="1" applyProtection="1">
      <alignment horizontal="center" vertical="center"/>
    </xf>
    <xf numFmtId="0" fontId="22" fillId="0" borderId="1" xfId="4" applyFont="1" applyBorder="1" applyAlignment="1" applyProtection="1">
      <alignment horizontal="center" vertical="center" wrapText="1"/>
    </xf>
    <xf numFmtId="0" fontId="22" fillId="0" borderId="2" xfId="4" applyFont="1" applyBorder="1" applyAlignment="1" applyProtection="1">
      <alignment horizontal="center" vertical="center" wrapText="1"/>
    </xf>
    <xf numFmtId="0" fontId="22" fillId="0" borderId="3" xfId="4" applyFont="1" applyBorder="1" applyAlignment="1" applyProtection="1">
      <alignment horizontal="center" vertical="center" wrapText="1"/>
    </xf>
    <xf numFmtId="0" fontId="23" fillId="11" borderId="1" xfId="4" applyFont="1" applyFill="1" applyBorder="1" applyAlignment="1" applyProtection="1">
      <alignment horizontal="center" vertical="center" wrapText="1"/>
    </xf>
    <xf numFmtId="0" fontId="23" fillId="11" borderId="3" xfId="4" applyFont="1" applyFill="1" applyBorder="1" applyAlignment="1" applyProtection="1">
      <alignment horizontal="center" vertical="center" wrapText="1"/>
    </xf>
    <xf numFmtId="0" fontId="23" fillId="6" borderId="36" xfId="4" applyFont="1" applyFill="1" applyBorder="1" applyAlignment="1" applyProtection="1">
      <alignment horizontal="center" vertical="center" wrapText="1"/>
    </xf>
    <xf numFmtId="0" fontId="23" fillId="6" borderId="37" xfId="4" applyFont="1" applyFill="1" applyBorder="1" applyAlignment="1" applyProtection="1">
      <alignment horizontal="center" vertical="center" wrapText="1"/>
    </xf>
    <xf numFmtId="0" fontId="23" fillId="6" borderId="13" xfId="4" applyFont="1" applyFill="1" applyBorder="1" applyAlignment="1" applyProtection="1">
      <alignment horizontal="center" vertical="center" wrapText="1"/>
    </xf>
    <xf numFmtId="2" fontId="23" fillId="6" borderId="4" xfId="5" applyNumberFormat="1" applyFont="1" applyFill="1" applyBorder="1" applyAlignment="1" applyProtection="1">
      <alignment horizontal="center" vertical="center" wrapText="1"/>
    </xf>
    <xf numFmtId="2" fontId="23" fillId="6" borderId="7" xfId="5" applyNumberFormat="1" applyFont="1" applyFill="1" applyBorder="1" applyAlignment="1" applyProtection="1">
      <alignment horizontal="center" vertical="center" wrapText="1"/>
    </xf>
    <xf numFmtId="0" fontId="23" fillId="3" borderId="1" xfId="4" applyFont="1" applyFill="1" applyBorder="1" applyAlignment="1" applyProtection="1">
      <alignment horizontal="center" vertical="center" wrapText="1"/>
    </xf>
    <xf numFmtId="0" fontId="23" fillId="3" borderId="3" xfId="4" applyFont="1" applyFill="1" applyBorder="1" applyAlignment="1" applyProtection="1">
      <alignment horizontal="center" vertical="center" wrapText="1"/>
    </xf>
    <xf numFmtId="0" fontId="22" fillId="6" borderId="1" xfId="4" applyFont="1" applyFill="1" applyBorder="1" applyAlignment="1" applyProtection="1">
      <alignment horizontal="center" vertical="top" wrapText="1"/>
    </xf>
    <xf numFmtId="0" fontId="22" fillId="6" borderId="3" xfId="4" applyFont="1" applyFill="1" applyBorder="1" applyAlignment="1" applyProtection="1">
      <alignment horizontal="center" vertical="top" wrapText="1"/>
    </xf>
    <xf numFmtId="0" fontId="25" fillId="6" borderId="4" xfId="4" applyFont="1" applyFill="1" applyBorder="1" applyAlignment="1" applyProtection="1">
      <alignment horizontal="center" vertical="center" wrapText="1"/>
    </xf>
    <xf numFmtId="0" fontId="25" fillId="6" borderId="6" xfId="4" applyFont="1" applyFill="1" applyBorder="1" applyAlignment="1" applyProtection="1">
      <alignment horizontal="center" vertical="center" wrapText="1"/>
    </xf>
    <xf numFmtId="0" fontId="25" fillId="6" borderId="7" xfId="4" applyFont="1" applyFill="1" applyBorder="1" applyAlignment="1" applyProtection="1">
      <alignment horizontal="center" vertical="center" wrapText="1"/>
    </xf>
    <xf numFmtId="0" fontId="5" fillId="4" borderId="17" xfId="4" applyFont="1" applyFill="1" applyBorder="1" applyAlignment="1" applyProtection="1">
      <alignment horizontal="center" vertical="top" wrapText="1"/>
    </xf>
    <xf numFmtId="0" fontId="5" fillId="4" borderId="38" xfId="4" applyFont="1" applyFill="1" applyBorder="1" applyAlignment="1" applyProtection="1">
      <alignment horizontal="center" vertical="top" wrapText="1"/>
    </xf>
    <xf numFmtId="0" fontId="5" fillId="4" borderId="18" xfId="4" applyFont="1" applyFill="1" applyBorder="1" applyAlignment="1" applyProtection="1">
      <alignment horizontal="center" vertical="top" wrapText="1"/>
    </xf>
    <xf numFmtId="0" fontId="5" fillId="4" borderId="23" xfId="4" applyFont="1" applyFill="1" applyBorder="1" applyAlignment="1" applyProtection="1">
      <alignment horizontal="center" vertical="top" wrapText="1"/>
    </xf>
    <xf numFmtId="0" fontId="5" fillId="4" borderId="40" xfId="4" applyFont="1" applyFill="1" applyBorder="1" applyAlignment="1" applyProtection="1">
      <alignment horizontal="center" vertical="top" wrapText="1"/>
    </xf>
    <xf numFmtId="0" fontId="5" fillId="4" borderId="24" xfId="4" applyFont="1" applyFill="1" applyBorder="1" applyAlignment="1" applyProtection="1">
      <alignment horizontal="center" vertical="top" wrapText="1"/>
    </xf>
    <xf numFmtId="0" fontId="22" fillId="0" borderId="1" xfId="4" applyFont="1" applyBorder="1" applyAlignment="1" applyProtection="1">
      <alignment horizontal="center"/>
    </xf>
    <xf numFmtId="0" fontId="22" fillId="0" borderId="2" xfId="4" applyFont="1" applyBorder="1" applyAlignment="1" applyProtection="1">
      <alignment horizontal="center"/>
    </xf>
    <xf numFmtId="0" fontId="22" fillId="0" borderId="3" xfId="4" applyFont="1" applyBorder="1" applyAlignment="1" applyProtection="1">
      <alignment horizontal="center"/>
    </xf>
    <xf numFmtId="0" fontId="22" fillId="11" borderId="36" xfId="4" applyFont="1" applyFill="1" applyBorder="1" applyAlignment="1" applyProtection="1">
      <alignment horizontal="center"/>
    </xf>
    <xf numFmtId="0" fontId="22" fillId="11" borderId="2" xfId="4" applyFont="1" applyFill="1" applyBorder="1" applyAlignment="1" applyProtection="1">
      <alignment horizontal="center"/>
    </xf>
    <xf numFmtId="0" fontId="22" fillId="11" borderId="3" xfId="4" applyFont="1" applyFill="1" applyBorder="1" applyAlignment="1" applyProtection="1">
      <alignment horizontal="center"/>
    </xf>
    <xf numFmtId="0" fontId="23" fillId="11" borderId="4" xfId="4" applyFont="1" applyFill="1" applyBorder="1" applyAlignment="1" applyProtection="1">
      <alignment horizontal="center" vertical="center"/>
    </xf>
    <xf numFmtId="0" fontId="23" fillId="11" borderId="7" xfId="4" applyFont="1" applyFill="1" applyBorder="1" applyAlignment="1" applyProtection="1">
      <alignment horizontal="center" vertical="center"/>
    </xf>
    <xf numFmtId="0" fontId="23" fillId="11" borderId="4" xfId="4" applyFont="1" applyFill="1" applyBorder="1" applyAlignment="1" applyProtection="1">
      <alignment horizontal="center" vertical="center" wrapText="1"/>
    </xf>
    <xf numFmtId="0" fontId="23" fillId="11" borderId="7" xfId="0" applyFont="1" applyFill="1" applyBorder="1" applyAlignment="1" applyProtection="1">
      <alignment horizontal="center" vertical="center" wrapText="1"/>
    </xf>
    <xf numFmtId="0" fontId="23" fillId="6" borderId="4" xfId="4" applyFont="1" applyFill="1" applyBorder="1" applyAlignment="1" applyProtection="1">
      <alignment horizontal="center" vertical="center" wrapText="1"/>
    </xf>
    <xf numFmtId="0" fontId="23" fillId="0" borderId="7" xfId="0" applyFont="1" applyBorder="1" applyAlignment="1" applyProtection="1">
      <alignment horizontal="center" vertical="center" wrapText="1"/>
    </xf>
    <xf numFmtId="0" fontId="23" fillId="3" borderId="4" xfId="4" applyFont="1" applyFill="1" applyBorder="1" applyAlignment="1" applyProtection="1">
      <alignment horizontal="center" vertical="center"/>
    </xf>
    <xf numFmtId="0" fontId="23" fillId="3" borderId="7" xfId="4" applyFont="1" applyFill="1" applyBorder="1" applyAlignment="1" applyProtection="1">
      <alignment horizontal="center" vertical="center"/>
    </xf>
    <xf numFmtId="0" fontId="5" fillId="4" borderId="29" xfId="4" applyFont="1" applyFill="1" applyBorder="1" applyAlignment="1" applyProtection="1">
      <alignment horizontal="center" vertical="top" wrapText="1"/>
    </xf>
    <xf numFmtId="0" fontId="5" fillId="4" borderId="45" xfId="4" applyFont="1" applyFill="1" applyBorder="1" applyAlignment="1" applyProtection="1">
      <alignment horizontal="center" vertical="top" wrapText="1"/>
    </xf>
    <xf numFmtId="0" fontId="5" fillId="4" borderId="30" xfId="4" applyFont="1" applyFill="1" applyBorder="1" applyAlignment="1" applyProtection="1">
      <alignment horizontal="center" vertical="top" wrapText="1"/>
    </xf>
    <xf numFmtId="0" fontId="5" fillId="4" borderId="25" xfId="4" applyFont="1" applyFill="1" applyBorder="1" applyAlignment="1" applyProtection="1">
      <alignment horizontal="center" vertical="top" wrapText="1"/>
    </xf>
    <xf numFmtId="0" fontId="5" fillId="4" borderId="21" xfId="4" applyFont="1" applyFill="1" applyBorder="1" applyAlignment="1" applyProtection="1">
      <alignment horizontal="center" vertical="top" wrapText="1"/>
    </xf>
    <xf numFmtId="0" fontId="5" fillId="4" borderId="50" xfId="4" applyFont="1" applyFill="1" applyBorder="1" applyAlignment="1" applyProtection="1">
      <alignment horizontal="center" vertical="top" wrapText="1"/>
    </xf>
    <xf numFmtId="0" fontId="5" fillId="4" borderId="51" xfId="4" applyFont="1" applyFill="1" applyBorder="1" applyAlignment="1" applyProtection="1">
      <alignment horizontal="center" vertical="top" wrapText="1"/>
    </xf>
    <xf numFmtId="0" fontId="5" fillId="4" borderId="27" xfId="4" applyFont="1" applyFill="1" applyBorder="1" applyAlignment="1" applyProtection="1">
      <alignment horizontal="center" vertical="top" wrapText="1"/>
    </xf>
    <xf numFmtId="0" fontId="22" fillId="6" borderId="32" xfId="4" applyFont="1" applyFill="1" applyBorder="1" applyAlignment="1" applyProtection="1">
      <alignment horizontal="center" vertical="center" wrapText="1"/>
    </xf>
    <xf numFmtId="0" fontId="22" fillId="6" borderId="5" xfId="4" applyFont="1" applyFill="1" applyBorder="1" applyAlignment="1" applyProtection="1">
      <alignment horizontal="center" vertical="center" wrapText="1"/>
    </xf>
    <xf numFmtId="0" fontId="22" fillId="6" borderId="36" xfId="4" applyFont="1" applyFill="1" applyBorder="1" applyAlignment="1" applyProtection="1">
      <alignment horizontal="center" vertical="center" wrapText="1"/>
    </xf>
    <xf numFmtId="0" fontId="22" fillId="6" borderId="13" xfId="4" applyFont="1" applyFill="1" applyBorder="1" applyAlignment="1" applyProtection="1">
      <alignment horizontal="center" vertical="center" wrapText="1"/>
    </xf>
    <xf numFmtId="0" fontId="22" fillId="6" borderId="1" xfId="4" applyFont="1" applyFill="1" applyBorder="1" applyAlignment="1" applyProtection="1">
      <alignment horizontal="center" vertical="center" wrapText="1"/>
    </xf>
    <xf numFmtId="0" fontId="22" fillId="6" borderId="2" xfId="4" applyFont="1" applyFill="1" applyBorder="1" applyAlignment="1" applyProtection="1">
      <alignment horizontal="center" vertical="center" wrapText="1"/>
    </xf>
    <xf numFmtId="0" fontId="22" fillId="6" borderId="3" xfId="4" applyFont="1" applyFill="1" applyBorder="1" applyAlignment="1" applyProtection="1">
      <alignment horizontal="center" vertical="center" wrapText="1"/>
    </xf>
    <xf numFmtId="0" fontId="22" fillId="6" borderId="1" xfId="4" applyFont="1" applyFill="1" applyBorder="1" applyAlignment="1" applyProtection="1">
      <alignment horizontal="left" vertical="top" wrapText="1"/>
    </xf>
    <xf numFmtId="0" fontId="22" fillId="6" borderId="3" xfId="4" applyFont="1" applyFill="1" applyBorder="1" applyAlignment="1" applyProtection="1">
      <alignment horizontal="left" vertical="top" wrapText="1"/>
    </xf>
    <xf numFmtId="0" fontId="5" fillId="4" borderId="63" xfId="4" applyFont="1" applyFill="1" applyBorder="1" applyAlignment="1" applyProtection="1">
      <alignment horizontal="center" vertical="top" wrapText="1"/>
    </xf>
    <xf numFmtId="0" fontId="5" fillId="4" borderId="64" xfId="4" applyFont="1" applyFill="1" applyBorder="1" applyAlignment="1" applyProtection="1">
      <alignment horizontal="center" vertical="top" wrapText="1"/>
    </xf>
    <xf numFmtId="0" fontId="5" fillId="4" borderId="65" xfId="4" applyFont="1" applyFill="1" applyBorder="1" applyAlignment="1" applyProtection="1">
      <alignment horizontal="center" vertical="top" wrapText="1"/>
    </xf>
    <xf numFmtId="0" fontId="3" fillId="0" borderId="1" xfId="0" applyFont="1" applyBorder="1" applyAlignment="1" applyProtection="1">
      <alignment horizontal="center" vertical="center"/>
    </xf>
    <xf numFmtId="0" fontId="3" fillId="0" borderId="2" xfId="0" applyFont="1" applyBorder="1" applyAlignment="1" applyProtection="1">
      <alignment horizontal="center" vertical="center"/>
    </xf>
    <xf numFmtId="0" fontId="3" fillId="0" borderId="3" xfId="0" applyFont="1" applyBorder="1" applyAlignment="1" applyProtection="1">
      <alignment horizontal="center" vertical="center"/>
    </xf>
    <xf numFmtId="4" fontId="22" fillId="11" borderId="1" xfId="5" applyNumberFormat="1" applyFont="1" applyFill="1" applyBorder="1" applyAlignment="1" applyProtection="1">
      <alignment horizontal="center" vertical="center" wrapText="1"/>
    </xf>
    <xf numFmtId="4" fontId="22" fillId="11" borderId="3" xfId="5" applyNumberFormat="1" applyFont="1" applyFill="1" applyBorder="1" applyAlignment="1" applyProtection="1">
      <alignment horizontal="center" vertical="center" wrapText="1"/>
    </xf>
    <xf numFmtId="0" fontId="22" fillId="0" borderId="32" xfId="0" applyFont="1" applyBorder="1" applyAlignment="1" applyProtection="1">
      <alignment horizontal="center" vertical="center"/>
    </xf>
    <xf numFmtId="0" fontId="22" fillId="0" borderId="33" xfId="0" applyFont="1" applyBorder="1" applyAlignment="1" applyProtection="1">
      <alignment horizontal="center" vertical="center"/>
    </xf>
    <xf numFmtId="0" fontId="22" fillId="0" borderId="5" xfId="0" applyFont="1" applyBorder="1" applyAlignment="1" applyProtection="1">
      <alignment horizontal="center" vertical="center"/>
    </xf>
    <xf numFmtId="0" fontId="22" fillId="0" borderId="36" xfId="0" applyFont="1" applyBorder="1" applyAlignment="1" applyProtection="1">
      <alignment horizontal="center" vertical="center"/>
    </xf>
    <xf numFmtId="0" fontId="22" fillId="0" borderId="37" xfId="0" applyFont="1" applyBorder="1" applyAlignment="1" applyProtection="1">
      <alignment horizontal="center" vertical="center"/>
    </xf>
    <xf numFmtId="0" fontId="22" fillId="0" borderId="13" xfId="0" applyFont="1" applyBorder="1" applyAlignment="1" applyProtection="1">
      <alignment horizontal="center" vertical="center"/>
    </xf>
    <xf numFmtId="0" fontId="25" fillId="6" borderId="1" xfId="4" applyFont="1" applyFill="1" applyBorder="1" applyAlignment="1" applyProtection="1">
      <alignment horizontal="left" vertical="center" wrapText="1"/>
    </xf>
    <xf numFmtId="0" fontId="25" fillId="6" borderId="3" xfId="4" applyFont="1" applyFill="1" applyBorder="1" applyAlignment="1" applyProtection="1">
      <alignment horizontal="left" vertical="center" wrapText="1"/>
    </xf>
    <xf numFmtId="0" fontId="5" fillId="4" borderId="1" xfId="0" applyFont="1" applyFill="1" applyBorder="1" applyAlignment="1" applyProtection="1">
      <alignment horizontal="center" vertical="top"/>
    </xf>
    <xf numFmtId="0" fontId="5" fillId="4" borderId="2" xfId="0" applyFont="1" applyFill="1" applyBorder="1" applyAlignment="1" applyProtection="1">
      <alignment horizontal="center" vertical="top"/>
    </xf>
    <xf numFmtId="0" fontId="5" fillId="4" borderId="3" xfId="0" applyFont="1" applyFill="1" applyBorder="1" applyAlignment="1" applyProtection="1">
      <alignment horizontal="center" vertical="top"/>
    </xf>
    <xf numFmtId="0" fontId="22" fillId="3" borderId="1" xfId="4" applyFont="1" applyFill="1" applyBorder="1" applyAlignment="1" applyProtection="1">
      <alignment horizontal="center" vertical="center" wrapText="1"/>
    </xf>
    <xf numFmtId="0" fontId="22" fillId="3" borderId="2" xfId="4" applyFont="1" applyFill="1" applyBorder="1" applyAlignment="1" applyProtection="1">
      <alignment horizontal="center" vertical="center" wrapText="1"/>
    </xf>
    <xf numFmtId="0" fontId="22" fillId="3" borderId="3" xfId="4" applyFont="1" applyFill="1" applyBorder="1" applyAlignment="1" applyProtection="1">
      <alignment horizontal="center" vertical="center" wrapText="1"/>
    </xf>
    <xf numFmtId="2" fontId="23" fillId="6" borderId="6" xfId="5" applyNumberFormat="1" applyFont="1" applyFill="1" applyBorder="1" applyAlignment="1" applyProtection="1">
      <alignment horizontal="center" vertical="center" wrapText="1"/>
    </xf>
    <xf numFmtId="0" fontId="25" fillId="6" borderId="32" xfId="4" applyFont="1" applyFill="1" applyBorder="1" applyAlignment="1" applyProtection="1">
      <alignment horizontal="center" vertical="center" wrapText="1"/>
    </xf>
    <xf numFmtId="0" fontId="25" fillId="6" borderId="34" xfId="4" applyFont="1" applyFill="1" applyBorder="1" applyAlignment="1" applyProtection="1">
      <alignment horizontal="center" vertical="center" wrapText="1"/>
    </xf>
    <xf numFmtId="0" fontId="25" fillId="6" borderId="36" xfId="4" applyFont="1" applyFill="1" applyBorder="1" applyAlignment="1" applyProtection="1">
      <alignment horizontal="center" vertical="center" wrapText="1"/>
    </xf>
    <xf numFmtId="0" fontId="5" fillId="4" borderId="17" xfId="4" applyFont="1" applyFill="1" applyBorder="1" applyAlignment="1" applyProtection="1">
      <alignment horizontal="left" vertical="top" wrapText="1"/>
    </xf>
    <xf numFmtId="0" fontId="5" fillId="4" borderId="38" xfId="4" applyFont="1" applyFill="1" applyBorder="1" applyAlignment="1" applyProtection="1">
      <alignment horizontal="left" vertical="top" wrapText="1"/>
    </xf>
    <xf numFmtId="0" fontId="5" fillId="4" borderId="18" xfId="4" applyFont="1" applyFill="1" applyBorder="1" applyAlignment="1" applyProtection="1">
      <alignment horizontal="left" vertical="top" wrapText="1"/>
    </xf>
    <xf numFmtId="3" fontId="23" fillId="3" borderId="4" xfId="4" applyNumberFormat="1" applyFont="1" applyFill="1" applyBorder="1" applyAlignment="1" applyProtection="1">
      <alignment horizontal="center" vertical="center" wrapText="1"/>
    </xf>
    <xf numFmtId="3" fontId="23" fillId="3" borderId="6" xfId="4" applyNumberFormat="1" applyFont="1" applyFill="1" applyBorder="1" applyAlignment="1" applyProtection="1">
      <alignment horizontal="center" vertical="center" wrapText="1"/>
    </xf>
    <xf numFmtId="3" fontId="23" fillId="3" borderId="7" xfId="4" applyNumberFormat="1" applyFont="1" applyFill="1" applyBorder="1" applyAlignment="1" applyProtection="1">
      <alignment horizontal="center" vertical="center" wrapText="1"/>
    </xf>
    <xf numFmtId="0" fontId="23" fillId="3" borderId="4" xfId="4" applyFont="1" applyFill="1" applyBorder="1" applyAlignment="1" applyProtection="1">
      <alignment horizontal="center" vertical="center" wrapText="1"/>
    </xf>
    <xf numFmtId="0" fontId="23" fillId="3" borderId="6" xfId="4" applyFont="1" applyFill="1" applyBorder="1" applyAlignment="1" applyProtection="1">
      <alignment horizontal="center" vertical="center" wrapText="1"/>
    </xf>
    <xf numFmtId="0" fontId="23" fillId="3" borderId="7" xfId="4" applyFont="1" applyFill="1" applyBorder="1" applyAlignment="1" applyProtection="1">
      <alignment horizontal="center" vertical="center" wrapText="1"/>
    </xf>
    <xf numFmtId="0" fontId="22" fillId="3" borderId="4" xfId="0" applyFont="1" applyFill="1" applyBorder="1" applyAlignment="1" applyProtection="1">
      <alignment horizontal="center" vertical="center" wrapText="1"/>
    </xf>
    <xf numFmtId="0" fontId="22" fillId="3" borderId="7" xfId="0" applyFont="1" applyFill="1" applyBorder="1" applyAlignment="1" applyProtection="1">
      <alignment horizontal="center" vertical="center" wrapText="1"/>
    </xf>
    <xf numFmtId="0" fontId="22" fillId="3" borderId="32" xfId="4" applyFont="1" applyFill="1" applyBorder="1" applyAlignment="1" applyProtection="1">
      <alignment horizontal="center" vertical="center"/>
    </xf>
    <xf numFmtId="0" fontId="22" fillId="3" borderId="33" xfId="4" applyFont="1" applyFill="1" applyBorder="1" applyAlignment="1" applyProtection="1">
      <alignment horizontal="center" vertical="center"/>
    </xf>
    <xf numFmtId="0" fontId="22" fillId="3" borderId="5" xfId="4" applyFont="1" applyFill="1" applyBorder="1" applyAlignment="1" applyProtection="1">
      <alignment horizontal="center" vertical="center"/>
    </xf>
    <xf numFmtId="0" fontId="22" fillId="3" borderId="34" xfId="4" applyFont="1" applyFill="1" applyBorder="1" applyAlignment="1" applyProtection="1">
      <alignment horizontal="center" vertical="center"/>
    </xf>
    <xf numFmtId="0" fontId="22" fillId="3" borderId="0" xfId="4" applyFont="1" applyFill="1" applyAlignment="1" applyProtection="1">
      <alignment horizontal="center" vertical="center"/>
    </xf>
    <xf numFmtId="0" fontId="22" fillId="3" borderId="35" xfId="4" applyFont="1" applyFill="1" applyBorder="1" applyAlignment="1" applyProtection="1">
      <alignment horizontal="center" vertical="center"/>
    </xf>
    <xf numFmtId="0" fontId="22" fillId="3" borderId="36" xfId="4" applyFont="1" applyFill="1" applyBorder="1" applyAlignment="1" applyProtection="1">
      <alignment horizontal="center" vertical="center"/>
    </xf>
    <xf numFmtId="0" fontId="22" fillId="3" borderId="37" xfId="4" applyFont="1" applyFill="1" applyBorder="1" applyAlignment="1" applyProtection="1">
      <alignment horizontal="center" vertical="center"/>
    </xf>
    <xf numFmtId="0" fontId="22" fillId="3" borderId="13" xfId="4" applyFont="1" applyFill="1" applyBorder="1" applyAlignment="1" applyProtection="1">
      <alignment horizontal="center" vertical="center"/>
    </xf>
    <xf numFmtId="0" fontId="5" fillId="4" borderId="23" xfId="4" applyFont="1" applyFill="1" applyBorder="1" applyAlignment="1" applyProtection="1">
      <alignment horizontal="left" vertical="top" wrapText="1"/>
    </xf>
    <xf numFmtId="0" fontId="5" fillId="4" borderId="40" xfId="4" applyFont="1" applyFill="1" applyBorder="1" applyAlignment="1" applyProtection="1">
      <alignment horizontal="left" vertical="top" wrapText="1"/>
    </xf>
    <xf numFmtId="0" fontId="5" fillId="4" borderId="24" xfId="4" applyFont="1" applyFill="1" applyBorder="1" applyAlignment="1" applyProtection="1">
      <alignment horizontal="left" vertical="top" wrapText="1"/>
    </xf>
    <xf numFmtId="0" fontId="5" fillId="4" borderId="54" xfId="4" applyFont="1" applyFill="1" applyBorder="1" applyAlignment="1" applyProtection="1">
      <alignment horizontal="center"/>
    </xf>
    <xf numFmtId="0" fontId="5" fillId="4" borderId="55" xfId="4" applyFont="1" applyFill="1" applyBorder="1" applyAlignment="1" applyProtection="1">
      <alignment horizontal="center"/>
    </xf>
    <xf numFmtId="0" fontId="5" fillId="4" borderId="56" xfId="4" applyFont="1" applyFill="1" applyBorder="1" applyAlignment="1" applyProtection="1">
      <alignment horizontal="center"/>
    </xf>
    <xf numFmtId="0" fontId="5" fillId="4" borderId="16" xfId="4" applyFont="1" applyFill="1" applyBorder="1" applyAlignment="1" applyProtection="1">
      <alignment horizontal="center"/>
    </xf>
    <xf numFmtId="0" fontId="5" fillId="4" borderId="49" xfId="4" applyFont="1" applyFill="1" applyBorder="1" applyAlignment="1" applyProtection="1">
      <alignment horizontal="center"/>
    </xf>
    <xf numFmtId="0" fontId="5" fillId="4" borderId="15" xfId="4" applyFont="1" applyFill="1" applyBorder="1" applyAlignment="1" applyProtection="1">
      <alignment horizontal="center"/>
    </xf>
    <xf numFmtId="0" fontId="5" fillId="4" borderId="22" xfId="4" applyFont="1" applyFill="1" applyBorder="1" applyAlignment="1" applyProtection="1">
      <alignment horizontal="center"/>
    </xf>
    <xf numFmtId="0" fontId="5" fillId="4" borderId="50" xfId="4" applyFont="1" applyFill="1" applyBorder="1" applyAlignment="1" applyProtection="1">
      <alignment horizontal="center"/>
    </xf>
    <xf numFmtId="0" fontId="5" fillId="4" borderId="21" xfId="4" applyFont="1" applyFill="1" applyBorder="1" applyAlignment="1" applyProtection="1">
      <alignment horizontal="center"/>
    </xf>
    <xf numFmtId="0" fontId="23" fillId="0" borderId="4" xfId="4" applyFont="1" applyBorder="1" applyAlignment="1" applyProtection="1">
      <alignment horizontal="center" vertical="center" wrapText="1"/>
    </xf>
    <xf numFmtId="0" fontId="23" fillId="0" borderId="6" xfId="4" applyFont="1" applyBorder="1" applyAlignment="1" applyProtection="1">
      <alignment horizontal="center" vertical="center" wrapText="1"/>
    </xf>
    <xf numFmtId="0" fontId="23" fillId="0" borderId="7" xfId="4" applyFont="1" applyBorder="1" applyAlignment="1" applyProtection="1">
      <alignment horizontal="center" vertical="center" wrapText="1"/>
    </xf>
    <xf numFmtId="0" fontId="22" fillId="0" borderId="4" xfId="0" applyFont="1" applyBorder="1" applyAlignment="1" applyProtection="1">
      <alignment horizontal="center" vertical="center" wrapText="1"/>
    </xf>
    <xf numFmtId="0" fontId="22" fillId="0" borderId="7" xfId="0" applyFont="1" applyBorder="1" applyAlignment="1" applyProtection="1">
      <alignment horizontal="center" vertical="center" wrapText="1"/>
    </xf>
    <xf numFmtId="0" fontId="5" fillId="4" borderId="39" xfId="4" applyFont="1" applyFill="1" applyBorder="1" applyAlignment="1" applyProtection="1">
      <alignment horizontal="center"/>
    </xf>
    <xf numFmtId="0" fontId="5" fillId="4" borderId="52" xfId="4" applyFont="1" applyFill="1" applyBorder="1" applyAlignment="1" applyProtection="1">
      <alignment horizontal="center"/>
    </xf>
    <xf numFmtId="0" fontId="5" fillId="4" borderId="53" xfId="4" applyFont="1" applyFill="1" applyBorder="1" applyAlignment="1" applyProtection="1">
      <alignment horizontal="center"/>
    </xf>
    <xf numFmtId="0" fontId="26" fillId="9" borderId="33" xfId="8" applyFont="1" applyFill="1" applyBorder="1" applyAlignment="1" applyProtection="1">
      <alignment horizontal="left" vertical="top" wrapText="1"/>
    </xf>
    <xf numFmtId="0" fontId="26" fillId="9" borderId="0" xfId="8" applyFont="1" applyFill="1" applyAlignment="1" applyProtection="1">
      <alignment horizontal="left" vertical="top" wrapText="1"/>
    </xf>
    <xf numFmtId="0" fontId="5" fillId="4" borderId="28" xfId="4" applyFont="1" applyFill="1" applyBorder="1" applyAlignment="1" applyProtection="1">
      <alignment horizontal="center"/>
    </xf>
    <xf numFmtId="0" fontId="5" fillId="4" borderId="51" xfId="4" applyFont="1" applyFill="1" applyBorder="1" applyAlignment="1" applyProtection="1">
      <alignment horizontal="center"/>
    </xf>
    <xf numFmtId="0" fontId="5" fillId="4" borderId="27" xfId="4" applyFont="1" applyFill="1" applyBorder="1" applyAlignment="1" applyProtection="1">
      <alignment horizontal="center"/>
    </xf>
    <xf numFmtId="0" fontId="22" fillId="0" borderId="4" xfId="0" applyFont="1" applyBorder="1" applyAlignment="1" applyProtection="1">
      <alignment horizontal="center" wrapText="1"/>
    </xf>
    <xf numFmtId="0" fontId="22" fillId="0" borderId="7" xfId="0" applyFont="1" applyBorder="1" applyAlignment="1" applyProtection="1">
      <alignment horizontal="center" wrapText="1"/>
    </xf>
    <xf numFmtId="0" fontId="5" fillId="4" borderId="29" xfId="4" applyFont="1" applyFill="1" applyBorder="1" applyAlignment="1" applyProtection="1">
      <alignment horizontal="left" vertical="top" wrapText="1"/>
    </xf>
    <xf numFmtId="0" fontId="5" fillId="4" borderId="45" xfId="4" applyFont="1" applyFill="1" applyBorder="1" applyAlignment="1" applyProtection="1">
      <alignment horizontal="left" vertical="top" wrapText="1"/>
    </xf>
    <xf numFmtId="0" fontId="5" fillId="4" borderId="30" xfId="4" applyFont="1" applyFill="1" applyBorder="1" applyAlignment="1" applyProtection="1">
      <alignment horizontal="left" vertical="top" wrapText="1"/>
    </xf>
    <xf numFmtId="0" fontId="5" fillId="4" borderId="34" xfId="4" applyFont="1" applyFill="1" applyBorder="1" applyAlignment="1" applyProtection="1">
      <alignment horizontal="left" vertical="top" wrapText="1"/>
    </xf>
    <xf numFmtId="0" fontId="5" fillId="4" borderId="0" xfId="4" applyFont="1" applyFill="1" applyAlignment="1" applyProtection="1">
      <alignment horizontal="left" vertical="top" wrapText="1"/>
    </xf>
    <xf numFmtId="0" fontId="5" fillId="4" borderId="35" xfId="4" applyFont="1" applyFill="1" applyBorder="1" applyAlignment="1" applyProtection="1">
      <alignment horizontal="left" vertical="top" wrapText="1"/>
    </xf>
    <xf numFmtId="0" fontId="5" fillId="4" borderId="42" xfId="4" applyFont="1" applyFill="1" applyBorder="1" applyAlignment="1" applyProtection="1">
      <alignment horizontal="left" vertical="top" wrapText="1"/>
    </xf>
    <xf numFmtId="0" fontId="5" fillId="4" borderId="43" xfId="4" applyFont="1" applyFill="1" applyBorder="1" applyAlignment="1" applyProtection="1">
      <alignment horizontal="left" vertical="top" wrapText="1"/>
    </xf>
    <xf numFmtId="0" fontId="5" fillId="4" borderId="44" xfId="4" applyFont="1" applyFill="1" applyBorder="1" applyAlignment="1" applyProtection="1">
      <alignment horizontal="left" vertical="top" wrapText="1"/>
    </xf>
    <xf numFmtId="0" fontId="5" fillId="4" borderId="61" xfId="4" applyFont="1" applyFill="1" applyBorder="1" applyAlignment="1" applyProtection="1">
      <alignment horizontal="left" vertical="top" wrapText="1"/>
    </xf>
    <xf numFmtId="0" fontId="5" fillId="4" borderId="69" xfId="4" applyFont="1" applyFill="1" applyBorder="1" applyAlignment="1" applyProtection="1">
      <alignment horizontal="left" vertical="top" wrapText="1"/>
    </xf>
    <xf numFmtId="0" fontId="5" fillId="4" borderId="46" xfId="4" applyFont="1" applyFill="1" applyBorder="1" applyAlignment="1" applyProtection="1">
      <alignment horizontal="left" vertical="top" wrapText="1"/>
    </xf>
    <xf numFmtId="0" fontId="37" fillId="6" borderId="1" xfId="4" applyFont="1" applyFill="1" applyBorder="1" applyAlignment="1" applyProtection="1">
      <alignment horizontal="center" vertical="center" wrapText="1"/>
    </xf>
    <xf numFmtId="0" fontId="37" fillId="6" borderId="2" xfId="4" applyFont="1" applyFill="1" applyBorder="1" applyAlignment="1" applyProtection="1">
      <alignment horizontal="center" vertical="center" wrapText="1"/>
    </xf>
    <xf numFmtId="0" fontId="37" fillId="6" borderId="3" xfId="4" applyFont="1" applyFill="1" applyBorder="1" applyAlignment="1" applyProtection="1">
      <alignment horizontal="center" vertical="center" wrapText="1"/>
    </xf>
    <xf numFmtId="0" fontId="23" fillId="6" borderId="32" xfId="4" applyFont="1" applyFill="1" applyBorder="1" applyAlignment="1" applyProtection="1">
      <alignment horizontal="center" wrapText="1"/>
    </xf>
    <xf numFmtId="0" fontId="23" fillId="6" borderId="33" xfId="4" applyFont="1" applyFill="1" applyBorder="1" applyAlignment="1" applyProtection="1">
      <alignment horizontal="center" wrapText="1"/>
    </xf>
    <xf numFmtId="0" fontId="23" fillId="6" borderId="5" xfId="4" applyFont="1" applyFill="1" applyBorder="1" applyAlignment="1" applyProtection="1">
      <alignment horizontal="center" wrapText="1"/>
    </xf>
    <xf numFmtId="0" fontId="23" fillId="6" borderId="34" xfId="4" applyFont="1" applyFill="1" applyBorder="1" applyAlignment="1" applyProtection="1">
      <alignment horizontal="center" wrapText="1"/>
    </xf>
    <xf numFmtId="0" fontId="23" fillId="6" borderId="0" xfId="4" applyFont="1" applyFill="1" applyAlignment="1" applyProtection="1">
      <alignment horizontal="center" wrapText="1"/>
    </xf>
    <xf numFmtId="0" fontId="23" fillId="6" borderId="35" xfId="4" applyFont="1" applyFill="1" applyBorder="1" applyAlignment="1" applyProtection="1">
      <alignment horizontal="center" wrapText="1"/>
    </xf>
    <xf numFmtId="0" fontId="38" fillId="4" borderId="17" xfId="4" applyFont="1" applyFill="1" applyBorder="1" applyAlignment="1" applyProtection="1">
      <alignment horizontal="center" vertical="top" wrapText="1"/>
    </xf>
    <xf numFmtId="0" fontId="38" fillId="4" borderId="38" xfId="4" applyFont="1" applyFill="1" applyBorder="1" applyAlignment="1" applyProtection="1">
      <alignment horizontal="center" vertical="top" wrapText="1"/>
    </xf>
    <xf numFmtId="0" fontId="38" fillId="4" borderId="18" xfId="4" applyFont="1" applyFill="1" applyBorder="1" applyAlignment="1" applyProtection="1">
      <alignment horizontal="center" vertical="top" wrapText="1"/>
    </xf>
    <xf numFmtId="0" fontId="38" fillId="4" borderId="23" xfId="4" applyFont="1" applyFill="1" applyBorder="1" applyAlignment="1" applyProtection="1">
      <alignment horizontal="center" vertical="top" wrapText="1"/>
    </xf>
    <xf numFmtId="0" fontId="38" fillId="4" borderId="40" xfId="4" applyFont="1" applyFill="1" applyBorder="1" applyAlignment="1" applyProtection="1">
      <alignment horizontal="center" vertical="top" wrapText="1"/>
    </xf>
    <xf numFmtId="0" fontId="38" fillId="4" borderId="24" xfId="4" applyFont="1" applyFill="1" applyBorder="1" applyAlignment="1" applyProtection="1">
      <alignment horizontal="center" vertical="top" wrapText="1"/>
    </xf>
    <xf numFmtId="0" fontId="38" fillId="4" borderId="29" xfId="4" applyFont="1" applyFill="1" applyBorder="1" applyAlignment="1" applyProtection="1">
      <alignment horizontal="center" vertical="top" wrapText="1"/>
    </xf>
    <xf numFmtId="0" fontId="38" fillId="4" borderId="45" xfId="4" applyFont="1" applyFill="1" applyBorder="1" applyAlignment="1" applyProtection="1">
      <alignment horizontal="center" vertical="top" wrapText="1"/>
    </xf>
    <xf numFmtId="0" fontId="38" fillId="4" borderId="30" xfId="4" applyFont="1" applyFill="1" applyBorder="1" applyAlignment="1" applyProtection="1">
      <alignment horizontal="center" vertical="top" wrapText="1"/>
    </xf>
    <xf numFmtId="2" fontId="23" fillId="3" borderId="32" xfId="5" applyNumberFormat="1" applyFont="1" applyFill="1" applyBorder="1" applyAlignment="1" applyProtection="1">
      <alignment horizontal="center" vertical="top" wrapText="1"/>
    </xf>
    <xf numFmtId="2" fontId="23" fillId="3" borderId="33" xfId="5" applyNumberFormat="1" applyFont="1" applyFill="1" applyBorder="1" applyAlignment="1" applyProtection="1">
      <alignment horizontal="center" vertical="top" wrapText="1"/>
    </xf>
    <xf numFmtId="2" fontId="23" fillId="3" borderId="5" xfId="5" applyNumberFormat="1" applyFont="1" applyFill="1" applyBorder="1" applyAlignment="1" applyProtection="1">
      <alignment horizontal="center" vertical="top" wrapText="1"/>
    </xf>
    <xf numFmtId="2" fontId="23" fillId="3" borderId="36" xfId="5" applyNumberFormat="1" applyFont="1" applyFill="1" applyBorder="1" applyAlignment="1" applyProtection="1">
      <alignment horizontal="center" vertical="top" wrapText="1"/>
    </xf>
    <xf numFmtId="2" fontId="23" fillId="3" borderId="37" xfId="5" applyNumberFormat="1" applyFont="1" applyFill="1" applyBorder="1" applyAlignment="1" applyProtection="1">
      <alignment horizontal="center" vertical="top" wrapText="1"/>
    </xf>
    <xf numFmtId="2" fontId="23" fillId="3" borderId="13" xfId="5" applyNumberFormat="1" applyFont="1" applyFill="1" applyBorder="1" applyAlignment="1" applyProtection="1">
      <alignment horizontal="center" vertical="top" wrapText="1"/>
    </xf>
    <xf numFmtId="2" fontId="23" fillId="4" borderId="1" xfId="5" applyNumberFormat="1" applyFont="1" applyFill="1" applyBorder="1" applyAlignment="1" applyProtection="1">
      <alignment horizontal="center" vertical="top" wrapText="1"/>
    </xf>
    <xf numFmtId="2" fontId="23" fillId="4" borderId="2" xfId="5" applyNumberFormat="1" applyFont="1" applyFill="1" applyBorder="1" applyAlignment="1" applyProtection="1">
      <alignment horizontal="center" vertical="top" wrapText="1"/>
    </xf>
    <xf numFmtId="2" fontId="23" fillId="4" borderId="3" xfId="5" applyNumberFormat="1" applyFont="1" applyFill="1" applyBorder="1" applyAlignment="1" applyProtection="1">
      <alignment horizontal="center" vertical="top" wrapText="1"/>
    </xf>
    <xf numFmtId="0" fontId="5" fillId="6" borderId="1" xfId="4" applyFont="1" applyFill="1" applyBorder="1" applyAlignment="1" applyProtection="1">
      <alignment horizontal="left" vertical="top"/>
    </xf>
    <xf numFmtId="0" fontId="5" fillId="6" borderId="3" xfId="4" applyFont="1" applyFill="1" applyBorder="1" applyAlignment="1" applyProtection="1">
      <alignment horizontal="left" vertical="top"/>
    </xf>
    <xf numFmtId="0" fontId="5" fillId="9" borderId="0" xfId="4" applyFont="1" applyFill="1" applyAlignment="1" applyProtection="1">
      <alignment horizontal="left" wrapText="1"/>
    </xf>
    <xf numFmtId="0" fontId="26" fillId="6" borderId="61" xfId="4" applyFont="1" applyFill="1" applyBorder="1" applyAlignment="1" applyProtection="1">
      <alignment horizontal="left" vertical="top" wrapText="1"/>
    </xf>
    <xf numFmtId="0" fontId="26" fillId="6" borderId="46" xfId="4" applyFont="1" applyFill="1" applyBorder="1" applyAlignment="1" applyProtection="1">
      <alignment horizontal="left" vertical="top" wrapText="1"/>
    </xf>
    <xf numFmtId="0" fontId="5" fillId="6" borderId="32" xfId="4" applyFont="1" applyFill="1" applyBorder="1" applyAlignment="1" applyProtection="1">
      <alignment horizontal="left" vertical="top" wrapText="1"/>
    </xf>
    <xf numFmtId="0" fontId="5" fillId="6" borderId="5" xfId="4" applyFont="1" applyFill="1" applyBorder="1" applyAlignment="1" applyProtection="1">
      <alignment horizontal="left" vertical="top" wrapText="1"/>
    </xf>
    <xf numFmtId="2" fontId="23" fillId="4" borderId="39" xfId="5" applyNumberFormat="1" applyFont="1" applyFill="1" applyBorder="1" applyAlignment="1" applyProtection="1">
      <alignment horizontal="center" vertical="top" wrapText="1"/>
    </xf>
    <xf numFmtId="2" fontId="23" fillId="4" borderId="52" xfId="5" applyNumberFormat="1" applyFont="1" applyFill="1" applyBorder="1" applyAlignment="1" applyProtection="1">
      <alignment horizontal="center" vertical="top" wrapText="1"/>
    </xf>
    <xf numFmtId="2" fontId="23" fillId="4" borderId="53" xfId="5" applyNumberFormat="1" applyFont="1" applyFill="1" applyBorder="1" applyAlignment="1" applyProtection="1">
      <alignment horizontal="center" vertical="top" wrapText="1"/>
    </xf>
    <xf numFmtId="0" fontId="5" fillId="6" borderId="34" xfId="4" applyFont="1" applyFill="1" applyBorder="1" applyAlignment="1" applyProtection="1">
      <alignment horizontal="left" vertical="top" wrapText="1"/>
    </xf>
    <xf numFmtId="0" fontId="5" fillId="6" borderId="35" xfId="4" applyFont="1" applyFill="1" applyBorder="1" applyAlignment="1" applyProtection="1">
      <alignment horizontal="left" vertical="top" wrapText="1"/>
    </xf>
    <xf numFmtId="2" fontId="23" fillId="4" borderId="22" xfId="5" applyNumberFormat="1" applyFont="1" applyFill="1" applyBorder="1" applyAlignment="1" applyProtection="1">
      <alignment horizontal="center" vertical="top" wrapText="1"/>
    </xf>
    <xf numFmtId="2" fontId="23" fillId="4" borderId="50" xfId="5" applyNumberFormat="1" applyFont="1" applyFill="1" applyBorder="1" applyAlignment="1" applyProtection="1">
      <alignment horizontal="center" vertical="top" wrapText="1"/>
    </xf>
    <xf numFmtId="2" fontId="23" fillId="4" borderId="21" xfId="5" applyNumberFormat="1" applyFont="1" applyFill="1" applyBorder="1" applyAlignment="1" applyProtection="1">
      <alignment horizontal="center" vertical="top" wrapText="1"/>
    </xf>
    <xf numFmtId="0" fontId="5" fillId="6" borderId="36" xfId="4" applyFont="1" applyFill="1" applyBorder="1" applyAlignment="1" applyProtection="1">
      <alignment horizontal="left" vertical="top"/>
    </xf>
    <xf numFmtId="0" fontId="5" fillId="6" borderId="13" xfId="4" applyFont="1" applyFill="1" applyBorder="1" applyAlignment="1" applyProtection="1">
      <alignment horizontal="left" vertical="top"/>
    </xf>
    <xf numFmtId="2" fontId="23" fillId="4" borderId="54" xfId="5" applyNumberFormat="1" applyFont="1" applyFill="1" applyBorder="1" applyAlignment="1" applyProtection="1">
      <alignment horizontal="center" vertical="top" wrapText="1"/>
    </xf>
    <xf numFmtId="2" fontId="23" fillId="4" borderId="55" xfId="5" applyNumberFormat="1" applyFont="1" applyFill="1" applyBorder="1" applyAlignment="1" applyProtection="1">
      <alignment horizontal="center" vertical="top" wrapText="1"/>
    </xf>
    <xf numFmtId="2" fontId="23" fillId="4" borderId="56" xfId="5" applyNumberFormat="1" applyFont="1" applyFill="1" applyBorder="1" applyAlignment="1" applyProtection="1">
      <alignment horizontal="center" vertical="top" wrapText="1"/>
    </xf>
    <xf numFmtId="0" fontId="22" fillId="11" borderId="1" xfId="0" applyFont="1" applyFill="1" applyBorder="1" applyAlignment="1" applyProtection="1">
      <alignment horizontal="center"/>
    </xf>
    <xf numFmtId="0" fontId="22" fillId="11" borderId="2" xfId="0" applyFont="1" applyFill="1" applyBorder="1" applyAlignment="1" applyProtection="1">
      <alignment horizontal="center"/>
    </xf>
    <xf numFmtId="0" fontId="22" fillId="11" borderId="3" xfId="0" applyFont="1" applyFill="1" applyBorder="1" applyAlignment="1" applyProtection="1">
      <alignment horizontal="center"/>
    </xf>
    <xf numFmtId="3" fontId="5" fillId="4" borderId="1" xfId="4" applyNumberFormat="1" applyFont="1" applyFill="1" applyBorder="1" applyAlignment="1" applyProtection="1">
      <alignment horizontal="center" vertical="top" wrapText="1"/>
    </xf>
    <xf numFmtId="3" fontId="5" fillId="4" borderId="3" xfId="4" applyNumberFormat="1" applyFont="1" applyFill="1" applyBorder="1" applyAlignment="1" applyProtection="1">
      <alignment horizontal="center" vertical="top" wrapText="1"/>
    </xf>
    <xf numFmtId="0" fontId="22" fillId="0" borderId="1" xfId="4" applyFont="1" applyBorder="1" applyAlignment="1" applyProtection="1">
      <alignment horizontal="center" vertical="top" wrapText="1"/>
    </xf>
    <xf numFmtId="0" fontId="22" fillId="0" borderId="3" xfId="4" applyFont="1" applyBorder="1" applyAlignment="1" applyProtection="1">
      <alignment horizontal="center" vertical="top" wrapText="1"/>
    </xf>
    <xf numFmtId="0" fontId="22" fillId="11" borderId="1" xfId="4" applyFont="1" applyFill="1" applyBorder="1" applyAlignment="1" applyProtection="1">
      <alignment horizontal="center" vertical="top" wrapText="1"/>
    </xf>
    <xf numFmtId="0" fontId="22" fillId="11" borderId="2" xfId="4" applyFont="1" applyFill="1" applyBorder="1" applyAlignment="1" applyProtection="1">
      <alignment horizontal="center" vertical="top" wrapText="1"/>
    </xf>
    <xf numFmtId="0" fontId="5" fillId="4" borderId="9" xfId="4" applyFont="1" applyFill="1" applyBorder="1" applyAlignment="1" applyProtection="1">
      <alignment horizontal="center" vertical="top" wrapText="1"/>
    </xf>
    <xf numFmtId="0" fontId="5" fillId="4" borderId="60" xfId="4" applyFont="1" applyFill="1" applyBorder="1" applyAlignment="1" applyProtection="1">
      <alignment horizontal="center" vertical="top" wrapText="1"/>
    </xf>
    <xf numFmtId="0" fontId="5" fillId="4" borderId="10" xfId="4" applyFont="1" applyFill="1" applyBorder="1" applyAlignment="1" applyProtection="1">
      <alignment horizontal="center" vertical="top" wrapText="1"/>
    </xf>
    <xf numFmtId="0" fontId="5" fillId="9" borderId="0" xfId="4" applyFont="1" applyFill="1" applyAlignment="1" applyProtection="1">
      <alignment vertical="top" wrapText="1"/>
    </xf>
    <xf numFmtId="0" fontId="5" fillId="9" borderId="0" xfId="0" applyFont="1" applyFill="1" applyAlignment="1" applyProtection="1">
      <alignment vertical="top" wrapText="1"/>
    </xf>
    <xf numFmtId="0" fontId="5" fillId="4" borderId="42" xfId="4" applyFont="1" applyFill="1" applyBorder="1" applyAlignment="1" applyProtection="1">
      <alignment horizontal="center" vertical="top" wrapText="1"/>
    </xf>
    <xf numFmtId="0" fontId="5" fillId="4" borderId="43" xfId="4" applyFont="1" applyFill="1" applyBorder="1" applyAlignment="1" applyProtection="1">
      <alignment horizontal="center" vertical="top" wrapText="1"/>
    </xf>
    <xf numFmtId="0" fontId="5" fillId="4" borderId="44" xfId="4" applyFont="1" applyFill="1" applyBorder="1" applyAlignment="1" applyProtection="1">
      <alignment horizontal="center" vertical="top" wrapText="1"/>
    </xf>
    <xf numFmtId="0" fontId="5" fillId="4" borderId="75" xfId="4" applyFont="1" applyFill="1" applyBorder="1" applyAlignment="1" applyProtection="1">
      <alignment horizontal="center" vertical="top" wrapText="1"/>
    </xf>
    <xf numFmtId="0" fontId="5" fillId="4" borderId="70" xfId="4" applyFont="1" applyFill="1" applyBorder="1" applyAlignment="1" applyProtection="1">
      <alignment horizontal="center" vertical="top" wrapText="1"/>
    </xf>
    <xf numFmtId="0" fontId="5" fillId="4" borderId="71" xfId="4" applyFont="1" applyFill="1" applyBorder="1" applyAlignment="1" applyProtection="1">
      <alignment horizontal="center" vertical="top" wrapText="1"/>
    </xf>
    <xf numFmtId="4" fontId="95" fillId="12" borderId="2" xfId="5" applyNumberFormat="1" applyFont="1" applyFill="1" applyBorder="1" applyAlignment="1" applyProtection="1">
      <alignment horizontal="center" vertical="top" wrapText="1"/>
    </xf>
    <xf numFmtId="4" fontId="95" fillId="12" borderId="36" xfId="5" applyNumberFormat="1" applyFont="1" applyFill="1" applyBorder="1" applyAlignment="1" applyProtection="1">
      <alignment horizontal="center" vertical="top" wrapText="1"/>
    </xf>
    <xf numFmtId="4" fontId="95" fillId="12" borderId="37" xfId="5" applyNumberFormat="1" applyFont="1" applyFill="1" applyBorder="1" applyAlignment="1" applyProtection="1">
      <alignment horizontal="center" vertical="top" wrapText="1"/>
    </xf>
    <xf numFmtId="4" fontId="95" fillId="12" borderId="13" xfId="5" applyNumberFormat="1" applyFont="1" applyFill="1" applyBorder="1" applyAlignment="1" applyProtection="1">
      <alignment horizontal="center" vertical="top" wrapText="1"/>
    </xf>
    <xf numFmtId="0" fontId="22" fillId="6" borderId="2" xfId="4" applyFont="1" applyFill="1" applyBorder="1" applyAlignment="1" applyProtection="1">
      <alignment horizontal="center" vertical="top" wrapText="1"/>
    </xf>
    <xf numFmtId="3" fontId="5" fillId="4" borderId="17" xfId="4" applyNumberFormat="1" applyFont="1" applyFill="1" applyBorder="1" applyAlignment="1" applyProtection="1">
      <alignment horizontal="center" vertical="top" wrapText="1"/>
    </xf>
    <xf numFmtId="0" fontId="5" fillId="3" borderId="4"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5" fillId="3" borderId="5" xfId="0" applyFont="1" applyFill="1" applyBorder="1" applyAlignment="1">
      <alignment horizontal="center" vertical="center" wrapText="1"/>
    </xf>
    <xf numFmtId="0" fontId="5" fillId="3" borderId="13" xfId="0" applyFont="1" applyFill="1" applyBorder="1" applyAlignment="1">
      <alignment horizontal="center" vertical="center" wrapText="1"/>
    </xf>
    <xf numFmtId="0" fontId="5" fillId="3" borderId="4" xfId="0" applyFont="1" applyFill="1" applyBorder="1" applyAlignment="1">
      <alignment horizontal="center" vertical="center"/>
    </xf>
    <xf numFmtId="0" fontId="5" fillId="3" borderId="6" xfId="0" applyFont="1" applyFill="1" applyBorder="1" applyAlignment="1">
      <alignment horizontal="center" vertical="center"/>
    </xf>
    <xf numFmtId="0" fontId="5" fillId="3" borderId="7" xfId="0" applyFont="1" applyFill="1" applyBorder="1" applyAlignment="1">
      <alignment horizontal="center" vertical="center"/>
    </xf>
    <xf numFmtId="0" fontId="5" fillId="3" borderId="1" xfId="0" applyFont="1" applyFill="1" applyBorder="1" applyAlignment="1">
      <alignment horizontal="center" vertical="center"/>
    </xf>
    <xf numFmtId="0" fontId="5" fillId="3" borderId="2" xfId="0" applyFont="1" applyFill="1" applyBorder="1" applyAlignment="1">
      <alignment horizontal="center" vertical="center"/>
    </xf>
    <xf numFmtId="0" fontId="5" fillId="3" borderId="3" xfId="0" applyFont="1" applyFill="1" applyBorder="1" applyAlignment="1">
      <alignment horizontal="center" vertical="center"/>
    </xf>
    <xf numFmtId="0" fontId="0" fillId="0" borderId="17" xfId="0" applyBorder="1" applyAlignment="1">
      <alignment horizontal="center" vertical="center"/>
    </xf>
    <xf numFmtId="0" fontId="0" fillId="0" borderId="23" xfId="0" applyBorder="1" applyAlignment="1">
      <alignment horizontal="center" vertical="center"/>
    </xf>
    <xf numFmtId="0" fontId="0" fillId="0" borderId="29" xfId="0" applyBorder="1" applyAlignment="1">
      <alignment horizontal="center" vertical="center"/>
    </xf>
    <xf numFmtId="0" fontId="0" fillId="0" borderId="17" xfId="0" applyBorder="1" applyAlignment="1">
      <alignment horizontal="center" vertical="center" wrapText="1"/>
    </xf>
    <xf numFmtId="0" fontId="0" fillId="0" borderId="23" xfId="0" applyBorder="1" applyAlignment="1">
      <alignment horizontal="center" vertical="center" wrapText="1"/>
    </xf>
    <xf numFmtId="0" fontId="0" fillId="0" borderId="29" xfId="0" applyBorder="1" applyAlignment="1">
      <alignment horizontal="center" vertical="center" wrapText="1"/>
    </xf>
    <xf numFmtId="0" fontId="0" fillId="0" borderId="57" xfId="0" applyBorder="1" applyAlignment="1">
      <alignment horizontal="center" vertical="center" wrapText="1"/>
    </xf>
    <xf numFmtId="0" fontId="0" fillId="0" borderId="42" xfId="0" applyBorder="1" applyAlignment="1">
      <alignment horizontal="center" vertical="center" wrapText="1"/>
    </xf>
    <xf numFmtId="167" fontId="0" fillId="0" borderId="17" xfId="1" applyFont="1" applyBorder="1" applyAlignment="1">
      <alignment horizontal="center" vertical="center" wrapText="1"/>
    </xf>
    <xf numFmtId="167" fontId="0" fillId="0" borderId="23" xfId="1" applyFont="1" applyBorder="1" applyAlignment="1">
      <alignment horizontal="center" vertical="center" wrapText="1"/>
    </xf>
    <xf numFmtId="167" fontId="0" fillId="0" borderId="29" xfId="1" applyFont="1" applyBorder="1" applyAlignment="1">
      <alignment horizontal="center" vertical="center" wrapText="1"/>
    </xf>
    <xf numFmtId="0" fontId="49" fillId="0" borderId="25" xfId="0" applyFont="1" applyBorder="1" applyAlignment="1">
      <alignment horizontal="center"/>
    </xf>
    <xf numFmtId="0" fontId="49" fillId="0" borderId="50" xfId="0" applyFont="1" applyBorder="1" applyAlignment="1">
      <alignment horizontal="center"/>
    </xf>
  </cellXfs>
  <cellStyles count="407">
    <cellStyle name="%" xfId="39"/>
    <cellStyle name="20% - Accent1 2" xfId="40"/>
    <cellStyle name="20% - Accent1 2 2" xfId="41"/>
    <cellStyle name="20% - Accent1 2 2 2" xfId="42"/>
    <cellStyle name="20% - Accent1 2 2 3" xfId="43"/>
    <cellStyle name="20% - Accent2 2" xfId="44"/>
    <cellStyle name="20% - Accent2 2 2" xfId="45"/>
    <cellStyle name="20% - Accent2 2 2 2" xfId="46"/>
    <cellStyle name="20% - Accent2 2 2 3" xfId="47"/>
    <cellStyle name="20% - Accent3 2" xfId="48"/>
    <cellStyle name="20% - Accent3 2 2" xfId="49"/>
    <cellStyle name="20% - Accent3 2 2 2" xfId="50"/>
    <cellStyle name="20% - Accent3 2 2 3" xfId="51"/>
    <cellStyle name="20% - Accent4 2" xfId="52"/>
    <cellStyle name="20% - Accent4 2 2" xfId="53"/>
    <cellStyle name="20% - Accent4 2 2 2" xfId="54"/>
    <cellStyle name="20% - Accent4 2 2 3" xfId="55"/>
    <cellStyle name="20% - Accent5 2" xfId="56"/>
    <cellStyle name="20% - Accent5 2 2" xfId="57"/>
    <cellStyle name="20% - Accent5 2 2 2" xfId="58"/>
    <cellStyle name="20% - Accent5 2 2 3" xfId="59"/>
    <cellStyle name="20% - Accent6 2" xfId="60"/>
    <cellStyle name="20% - Accent6 2 2" xfId="61"/>
    <cellStyle name="20% - Accent6 2 2 2" xfId="62"/>
    <cellStyle name="20% - Accent6 2 2 3" xfId="63"/>
    <cellStyle name="40% - Accent1 2" xfId="64"/>
    <cellStyle name="40% - Accent1 2 2" xfId="65"/>
    <cellStyle name="40% - Accent1 2 2 2" xfId="66"/>
    <cellStyle name="40% - Accent1 2 2 3" xfId="67"/>
    <cellStyle name="40% - Accent2 2" xfId="68"/>
    <cellStyle name="40% - Accent2 2 2" xfId="69"/>
    <cellStyle name="40% - Accent2 2 2 2" xfId="70"/>
    <cellStyle name="40% - Accent2 2 2 3" xfId="71"/>
    <cellStyle name="40% - Accent3 2" xfId="72"/>
    <cellStyle name="40% - Accent3 2 2" xfId="73"/>
    <cellStyle name="40% - Accent3 2 2 2" xfId="74"/>
    <cellStyle name="40% - Accent3 2 2 3" xfId="75"/>
    <cellStyle name="40% - Accent4 2" xfId="76"/>
    <cellStyle name="40% - Accent4 2 2" xfId="77"/>
    <cellStyle name="40% - Accent4 2 2 2" xfId="78"/>
    <cellStyle name="40% - Accent4 2 2 3" xfId="79"/>
    <cellStyle name="40% - Accent5 2" xfId="80"/>
    <cellStyle name="40% - Accent5 2 2" xfId="81"/>
    <cellStyle name="40% - Accent5 2 2 2" xfId="82"/>
    <cellStyle name="40% - Accent5 2 2 3" xfId="83"/>
    <cellStyle name="40% - Accent6 2" xfId="84"/>
    <cellStyle name="40% - Accent6 2 2" xfId="85"/>
    <cellStyle name="40% - Accent6 2 2 2" xfId="86"/>
    <cellStyle name="40% - Accent6 2 2 3" xfId="87"/>
    <cellStyle name="5x indented GHG Textfiels" xfId="88"/>
    <cellStyle name="60% - Accent1 2" xfId="89"/>
    <cellStyle name="60% - Accent1 2 2" xfId="90"/>
    <cellStyle name="60% - Accent1 2 2 2" xfId="91"/>
    <cellStyle name="60% - Accent1 2 2 3" xfId="92"/>
    <cellStyle name="60% - Accent2 2" xfId="93"/>
    <cellStyle name="60% - Accent2 2 2" xfId="94"/>
    <cellStyle name="60% - Accent2 2 2 2" xfId="95"/>
    <cellStyle name="60% - Accent2 2 2 3" xfId="96"/>
    <cellStyle name="60% - Accent3 2" xfId="97"/>
    <cellStyle name="60% - Accent3 2 2" xfId="98"/>
    <cellStyle name="60% - Accent3 2 2 2" xfId="99"/>
    <cellStyle name="60% - Accent3 2 2 3" xfId="100"/>
    <cellStyle name="60% - Accent4 2" xfId="101"/>
    <cellStyle name="60% - Accent4 2 2" xfId="102"/>
    <cellStyle name="60% - Accent4 2 2 2" xfId="103"/>
    <cellStyle name="60% - Accent4 2 2 3" xfId="104"/>
    <cellStyle name="60% - Accent5 2" xfId="105"/>
    <cellStyle name="60% - Accent5 2 2" xfId="106"/>
    <cellStyle name="60% - Accent5 2 2 2" xfId="107"/>
    <cellStyle name="60% - Accent5 2 2 3" xfId="108"/>
    <cellStyle name="60% - Accent6 2" xfId="109"/>
    <cellStyle name="60% - Accent6 2 2" xfId="110"/>
    <cellStyle name="60% - Accent6 2 2 2" xfId="111"/>
    <cellStyle name="60% - Accent6 2 2 3" xfId="112"/>
    <cellStyle name="Accent1 2" xfId="113"/>
    <cellStyle name="Accent1 2 2" xfId="114"/>
    <cellStyle name="Accent1 2 2 2" xfId="115"/>
    <cellStyle name="Accent1 2 2 3" xfId="116"/>
    <cellStyle name="Accent2 2" xfId="117"/>
    <cellStyle name="Accent2 2 2" xfId="118"/>
    <cellStyle name="Accent2 2 2 2" xfId="119"/>
    <cellStyle name="Accent2 2 2 3" xfId="120"/>
    <cellStyle name="Accent3 2" xfId="121"/>
    <cellStyle name="Accent3 2 2" xfId="122"/>
    <cellStyle name="Accent3 2 2 2" xfId="123"/>
    <cellStyle name="Accent3 2 2 3" xfId="124"/>
    <cellStyle name="Accent4 2" xfId="125"/>
    <cellStyle name="Accent4 2 2" xfId="126"/>
    <cellStyle name="Accent4 2 2 2" xfId="127"/>
    <cellStyle name="Accent4 2 2 3" xfId="128"/>
    <cellStyle name="Accent5 2" xfId="129"/>
    <cellStyle name="Accent5 2 2" xfId="130"/>
    <cellStyle name="Accent5 2 2 2" xfId="131"/>
    <cellStyle name="Accent5 2 2 3" xfId="132"/>
    <cellStyle name="Accent6 2" xfId="133"/>
    <cellStyle name="Accent6 2 2" xfId="134"/>
    <cellStyle name="Accent6 2 2 2" xfId="135"/>
    <cellStyle name="Accent6 2 2 3" xfId="136"/>
    <cellStyle name="AggblueCels_1x" xfId="137"/>
    <cellStyle name="Bad" xfId="3" builtinId="27"/>
    <cellStyle name="Bad 2" xfId="138"/>
    <cellStyle name="Bad 2 2" xfId="139"/>
    <cellStyle name="Bad 2 2 2" xfId="140"/>
    <cellStyle name="Bad 2 2 3" xfId="141"/>
    <cellStyle name="Bold GHG Numbers (0.00)" xfId="142"/>
    <cellStyle name="Calculation 2" xfId="143"/>
    <cellStyle name="Calculation 2 2" xfId="144"/>
    <cellStyle name="Calculation 2 2 2" xfId="145"/>
    <cellStyle name="Calculation 2 2 2 2" xfId="146"/>
    <cellStyle name="Calculation 2 2 2 3" xfId="147"/>
    <cellStyle name="Calculation 2 3" xfId="148"/>
    <cellStyle name="Calculation 2 3 2" xfId="149"/>
    <cellStyle name="Calculation 2 3 2 2" xfId="150"/>
    <cellStyle name="Calculation 2 3 2 3" xfId="151"/>
    <cellStyle name="Calculation 2 4" xfId="152"/>
    <cellStyle name="Calculation 2 4 2" xfId="153"/>
    <cellStyle name="Calculation 2 4 3" xfId="154"/>
    <cellStyle name="Check Cell 2" xfId="155"/>
    <cellStyle name="Check Cell 2 2" xfId="156"/>
    <cellStyle name="Check Cell 2 2 2" xfId="157"/>
    <cellStyle name="Check Cell 2 2 3" xfId="158"/>
    <cellStyle name="Comma" xfId="1" builtinId="3"/>
    <cellStyle name="Comma 10" xfId="160"/>
    <cellStyle name="Comma 10 2" xfId="352"/>
    <cellStyle name="Comma 10 2 2" xfId="394"/>
    <cellStyle name="Comma 10 3" xfId="359"/>
    <cellStyle name="Comma 10 3 2" xfId="401"/>
    <cellStyle name="Comma 2" xfId="11"/>
    <cellStyle name="Comma 2 2" xfId="13"/>
    <cellStyle name="Comma 2 2 2" xfId="19"/>
    <cellStyle name="Comma 2 2 2 2" xfId="34"/>
    <cellStyle name="Comma 2 2 2 2 2" xfId="346"/>
    <cellStyle name="Comma 2 2 2 2 2 2" xfId="388"/>
    <cellStyle name="Comma 2 2 2 3" xfId="332"/>
    <cellStyle name="Comma 2 2 2 3 2" xfId="374"/>
    <cellStyle name="Comma 2 2 3" xfId="24"/>
    <cellStyle name="Comma 2 2 3 2" xfId="38"/>
    <cellStyle name="Comma 2 2 3 2 2" xfId="350"/>
    <cellStyle name="Comma 2 2 3 2 2 2" xfId="392"/>
    <cellStyle name="Comma 2 2 3 3" xfId="336"/>
    <cellStyle name="Comma 2 2 3 3 2" xfId="378"/>
    <cellStyle name="Comma 2 2 4" xfId="28"/>
    <cellStyle name="Comma 2 2 4 2" xfId="340"/>
    <cellStyle name="Comma 2 2 4 2 2" xfId="382"/>
    <cellStyle name="Comma 2 2 5" xfId="162"/>
    <cellStyle name="Comma 2 2 5 2" xfId="354"/>
    <cellStyle name="Comma 2 2 5 2 2" xfId="396"/>
    <cellStyle name="Comma 2 2 5 3" xfId="361"/>
    <cellStyle name="Comma 2 2 5 3 2" xfId="403"/>
    <cellStyle name="Comma 2 2 6" xfId="326"/>
    <cellStyle name="Comma 2 2 6 2" xfId="368"/>
    <cellStyle name="Comma 2 3" xfId="15"/>
    <cellStyle name="Comma 2 3 2" xfId="30"/>
    <cellStyle name="Comma 2 3 2 2" xfId="342"/>
    <cellStyle name="Comma 2 3 2 2 2" xfId="384"/>
    <cellStyle name="Comma 2 3 3" xfId="163"/>
    <cellStyle name="Comma 2 3 3 2" xfId="355"/>
    <cellStyle name="Comma 2 3 3 2 2" xfId="397"/>
    <cellStyle name="Comma 2 3 3 3" xfId="362"/>
    <cellStyle name="Comma 2 3 3 3 2" xfId="404"/>
    <cellStyle name="Comma 2 3 4" xfId="328"/>
    <cellStyle name="Comma 2 3 4 2" xfId="370"/>
    <cellStyle name="Comma 2 4" xfId="17"/>
    <cellStyle name="Comma 2 4 2" xfId="32"/>
    <cellStyle name="Comma 2 4 2 2" xfId="344"/>
    <cellStyle name="Comma 2 4 2 2 2" xfId="386"/>
    <cellStyle name="Comma 2 4 3" xfId="164"/>
    <cellStyle name="Comma 2 4 3 2" xfId="356"/>
    <cellStyle name="Comma 2 4 3 2 2" xfId="398"/>
    <cellStyle name="Comma 2 4 3 3" xfId="363"/>
    <cellStyle name="Comma 2 4 3 3 2" xfId="405"/>
    <cellStyle name="Comma 2 4 4" xfId="330"/>
    <cellStyle name="Comma 2 4 4 2" xfId="372"/>
    <cellStyle name="Comma 2 5" xfId="22"/>
    <cellStyle name="Comma 2 5 2" xfId="36"/>
    <cellStyle name="Comma 2 5 2 2" xfId="348"/>
    <cellStyle name="Comma 2 5 2 2 2" xfId="390"/>
    <cellStyle name="Comma 2 5 3" xfId="334"/>
    <cellStyle name="Comma 2 5 3 2" xfId="376"/>
    <cellStyle name="Comma 2 6" xfId="26"/>
    <cellStyle name="Comma 2 6 2" xfId="338"/>
    <cellStyle name="Comma 2 6 2 2" xfId="380"/>
    <cellStyle name="Comma 2 7" xfId="161"/>
    <cellStyle name="Comma 2 7 2" xfId="353"/>
    <cellStyle name="Comma 2 7 2 2" xfId="395"/>
    <cellStyle name="Comma 2 7 3" xfId="360"/>
    <cellStyle name="Comma 2 7 3 2" xfId="402"/>
    <cellStyle name="Comma 2 8" xfId="324"/>
    <cellStyle name="Comma 2 8 2" xfId="366"/>
    <cellStyle name="Comma 3" xfId="12"/>
    <cellStyle name="Comma 3 2" xfId="18"/>
    <cellStyle name="Comma 3 2 2" xfId="33"/>
    <cellStyle name="Comma 3 2 2 2" xfId="345"/>
    <cellStyle name="Comma 3 2 2 2 2" xfId="387"/>
    <cellStyle name="Comma 3 2 3" xfId="331"/>
    <cellStyle name="Comma 3 2 3 2" xfId="373"/>
    <cellStyle name="Comma 3 3" xfId="23"/>
    <cellStyle name="Comma 3 3 2" xfId="37"/>
    <cellStyle name="Comma 3 3 2 2" xfId="349"/>
    <cellStyle name="Comma 3 3 2 2 2" xfId="391"/>
    <cellStyle name="Comma 3 3 3" xfId="335"/>
    <cellStyle name="Comma 3 3 3 2" xfId="377"/>
    <cellStyle name="Comma 3 4" xfId="27"/>
    <cellStyle name="Comma 3 4 2" xfId="339"/>
    <cellStyle name="Comma 3 4 2 2" xfId="381"/>
    <cellStyle name="Comma 3 5" xfId="165"/>
    <cellStyle name="Comma 3 5 2" xfId="357"/>
    <cellStyle name="Comma 3 5 2 2" xfId="399"/>
    <cellStyle name="Comma 3 5 3" xfId="364"/>
    <cellStyle name="Comma 3 5 3 2" xfId="406"/>
    <cellStyle name="Comma 3 6" xfId="325"/>
    <cellStyle name="Comma 3 6 2" xfId="367"/>
    <cellStyle name="Comma 4" xfId="14"/>
    <cellStyle name="Comma 4 2" xfId="29"/>
    <cellStyle name="Comma 4 2 2" xfId="341"/>
    <cellStyle name="Comma 4 2 2 2" xfId="383"/>
    <cellStyle name="Comma 4 3" xfId="327"/>
    <cellStyle name="Comma 4 3 2" xfId="369"/>
    <cellStyle name="Comma 5" xfId="16"/>
    <cellStyle name="Comma 5 2" xfId="31"/>
    <cellStyle name="Comma 5 2 2" xfId="343"/>
    <cellStyle name="Comma 5 2 2 2" xfId="385"/>
    <cellStyle name="Comma 5 3" xfId="329"/>
    <cellStyle name="Comma 5 3 2" xfId="371"/>
    <cellStyle name="Comma 6" xfId="21"/>
    <cellStyle name="Comma 6 2" xfId="35"/>
    <cellStyle name="Comma 6 2 2" xfId="347"/>
    <cellStyle name="Comma 6 2 2 2" xfId="389"/>
    <cellStyle name="Comma 6 3" xfId="333"/>
    <cellStyle name="Comma 6 3 2" xfId="375"/>
    <cellStyle name="Comma 7" xfId="25"/>
    <cellStyle name="Comma 7 2" xfId="337"/>
    <cellStyle name="Comma 7 2 2" xfId="379"/>
    <cellStyle name="Comma 8" xfId="159"/>
    <cellStyle name="Comma 8 2" xfId="351"/>
    <cellStyle name="Comma 8 2 2" xfId="393"/>
    <cellStyle name="Comma 8 3" xfId="358"/>
    <cellStyle name="Comma 8 3 2" xfId="400"/>
    <cellStyle name="Comma 9" xfId="323"/>
    <cellStyle name="Comma 9 2" xfId="365"/>
    <cellStyle name="Cover" xfId="166"/>
    <cellStyle name="Dezimal [0]_Tfz-Anzahl" xfId="167"/>
    <cellStyle name="Dezimal_Tfz-Anzahl" xfId="168"/>
    <cellStyle name="Euro" xfId="169"/>
    <cellStyle name="Euro 2" xfId="170"/>
    <cellStyle name="Explanatory Text 2" xfId="171"/>
    <cellStyle name="Good 2" xfId="172"/>
    <cellStyle name="Good 2 2" xfId="173"/>
    <cellStyle name="Good 2 2 2" xfId="174"/>
    <cellStyle name="Good 2 2 3" xfId="175"/>
    <cellStyle name="Heading" xfId="176"/>
    <cellStyle name="Heading 1 2" xfId="177"/>
    <cellStyle name="Heading 2 2" xfId="178"/>
    <cellStyle name="Heading 3 2" xfId="179"/>
    <cellStyle name="Heading 4 2" xfId="180"/>
    <cellStyle name="Hyperlink" xfId="6" builtinId="8"/>
    <cellStyle name="Hyperlink 2" xfId="182"/>
    <cellStyle name="Hyperlink 3" xfId="183"/>
    <cellStyle name="Hyperlink 4" xfId="184"/>
    <cellStyle name="Hyperlink 5" xfId="185"/>
    <cellStyle name="Hyperlink 6" xfId="181"/>
    <cellStyle name="Input 2" xfId="186"/>
    <cellStyle name="Input 2 2" xfId="187"/>
    <cellStyle name="Input 2 2 2" xfId="188"/>
    <cellStyle name="Input 2 2 2 2" xfId="189"/>
    <cellStyle name="Input 2 2 2 3" xfId="190"/>
    <cellStyle name="Input 2 3" xfId="191"/>
    <cellStyle name="Input 2 3 2" xfId="192"/>
    <cellStyle name="Input 2 3 2 2" xfId="193"/>
    <cellStyle name="Input 2 3 2 3" xfId="194"/>
    <cellStyle name="Input 2 4" xfId="195"/>
    <cellStyle name="Input 2 4 2" xfId="196"/>
    <cellStyle name="Input 2 4 3" xfId="197"/>
    <cellStyle name="InputCells12_BBorder_CRFReport-template" xfId="198"/>
    <cellStyle name="Linked Cell 2" xfId="199"/>
    <cellStyle name="Menu" xfId="200"/>
    <cellStyle name="Milliers [0]_03tabmat" xfId="201"/>
    <cellStyle name="Milliers_03tabmat" xfId="202"/>
    <cellStyle name="Monétaire [0]_03tabmat" xfId="203"/>
    <cellStyle name="Monétaire_03tabmat" xfId="204"/>
    <cellStyle name="Neutral 2" xfId="205"/>
    <cellStyle name="Neutral 2 2" xfId="206"/>
    <cellStyle name="Neutral 2 2 2" xfId="207"/>
    <cellStyle name="Neutral 2 2 3" xfId="208"/>
    <cellStyle name="Normal" xfId="0" builtinId="0"/>
    <cellStyle name="Normal 10" xfId="209"/>
    <cellStyle name="Normal 10 2" xfId="210"/>
    <cellStyle name="Normal 10 2 2" xfId="211"/>
    <cellStyle name="Normal 10 3" xfId="212"/>
    <cellStyle name="Normal 10 3 2" xfId="213"/>
    <cellStyle name="Normal 10 4" xfId="214"/>
    <cellStyle name="Normal 11" xfId="215"/>
    <cellStyle name="Normal 11 2" xfId="8"/>
    <cellStyle name="Normal 11 2 2" xfId="10"/>
    <cellStyle name="Normal 12" xfId="216"/>
    <cellStyle name="Normal 13" xfId="217"/>
    <cellStyle name="Normal 13 2" xfId="218"/>
    <cellStyle name="Normal 13 3" xfId="219"/>
    <cellStyle name="Normal 14" xfId="220"/>
    <cellStyle name="Normal 14 2 2 2" xfId="221"/>
    <cellStyle name="Normal 15" xfId="222"/>
    <cellStyle name="Normal 15 2 2 2" xfId="223"/>
    <cellStyle name="Normal 16" xfId="224"/>
    <cellStyle name="Normal 16 2" xfId="225"/>
    <cellStyle name="Normal 17" xfId="226"/>
    <cellStyle name="Normal 17 2" xfId="227"/>
    <cellStyle name="Normal 17 4" xfId="228"/>
    <cellStyle name="Normal 18" xfId="229"/>
    <cellStyle name="Normal 2" xfId="4"/>
    <cellStyle name="Normal 2 2" xfId="5"/>
    <cellStyle name="Normal 2 2 2" xfId="7"/>
    <cellStyle name="Normal 2 3" xfId="20"/>
    <cellStyle name="Normal 209 2" xfId="230"/>
    <cellStyle name="Normal 21" xfId="231"/>
    <cellStyle name="Normal 22" xfId="232"/>
    <cellStyle name="Normal 24" xfId="233"/>
    <cellStyle name="Normal 3" xfId="234"/>
    <cellStyle name="Normal 3 2" xfId="235"/>
    <cellStyle name="Normal 3 3" xfId="236"/>
    <cellStyle name="Normal 3 4" xfId="237"/>
    <cellStyle name="Normal 4" xfId="238"/>
    <cellStyle name="Normal 4 2" xfId="239"/>
    <cellStyle name="Normal 4 2 2" xfId="240"/>
    <cellStyle name="Normal 4 3" xfId="241"/>
    <cellStyle name="Normal 4 3 2" xfId="242"/>
    <cellStyle name="Normal 4 4" xfId="243"/>
    <cellStyle name="Normal 4 5" xfId="244"/>
    <cellStyle name="Normal 5" xfId="245"/>
    <cellStyle name="Normal 6" xfId="246"/>
    <cellStyle name="Normal 7" xfId="247"/>
    <cellStyle name="Normal 8" xfId="248"/>
    <cellStyle name="Normal 9" xfId="249"/>
    <cellStyle name="Normal GHG-Shade" xfId="250"/>
    <cellStyle name="Note 2" xfId="251"/>
    <cellStyle name="Note 2 2" xfId="252"/>
    <cellStyle name="Note 2 2 2" xfId="253"/>
    <cellStyle name="Note 2 2 2 2" xfId="254"/>
    <cellStyle name="Note 2 2 2 3" xfId="255"/>
    <cellStyle name="Note 2 3" xfId="256"/>
    <cellStyle name="Note 2 3 2" xfId="257"/>
    <cellStyle name="Note 2 3 3" xfId="258"/>
    <cellStyle name="Output 2" xfId="259"/>
    <cellStyle name="Output 2 2" xfId="260"/>
    <cellStyle name="Output 2 2 2" xfId="261"/>
    <cellStyle name="Output 2 2 2 2" xfId="262"/>
    <cellStyle name="Output 2 2 2 3" xfId="263"/>
    <cellStyle name="Output 2 3" xfId="264"/>
    <cellStyle name="Output 2 3 2" xfId="265"/>
    <cellStyle name="Output 2 3 3" xfId="266"/>
    <cellStyle name="Percent" xfId="2" builtinId="5"/>
    <cellStyle name="Percent 10" xfId="267"/>
    <cellStyle name="Percent 10 2" xfId="268"/>
    <cellStyle name="Percent 10 3" xfId="269"/>
    <cellStyle name="Percent 2" xfId="9"/>
    <cellStyle name="Percent 2 2" xfId="270"/>
    <cellStyle name="Percent 2 3" xfId="271"/>
    <cellStyle name="Percent 3" xfId="272"/>
    <cellStyle name="Percent 4" xfId="273"/>
    <cellStyle name="Percent 5" xfId="274"/>
    <cellStyle name="Percent 5 2" xfId="275"/>
    <cellStyle name="Percent 6" xfId="276"/>
    <cellStyle name="Percent 7" xfId="277"/>
    <cellStyle name="Percent 8" xfId="278"/>
    <cellStyle name="Percent 9" xfId="279"/>
    <cellStyle name="Publication_style" xfId="280"/>
    <cellStyle name="Refdb standard" xfId="281"/>
    <cellStyle name="Refdb standard 2" xfId="282"/>
    <cellStyle name="Shade" xfId="283"/>
    <cellStyle name="Shade 2" xfId="284"/>
    <cellStyle name="Shade 3" xfId="285"/>
    <cellStyle name="Source" xfId="286"/>
    <cellStyle name="Source Hed" xfId="287"/>
    <cellStyle name="Source Text" xfId="288"/>
    <cellStyle name="Standard_E00seit45" xfId="289"/>
    <cellStyle name="Style 2" xfId="290"/>
    <cellStyle name="Style 21" xfId="291"/>
    <cellStyle name="Style 21 2" xfId="292"/>
    <cellStyle name="Style 22" xfId="293"/>
    <cellStyle name="Style 22 2" xfId="294"/>
    <cellStyle name="Style 23" xfId="295"/>
    <cellStyle name="Style 23 2" xfId="296"/>
    <cellStyle name="Style 24" xfId="297"/>
    <cellStyle name="Style 24 2" xfId="298"/>
    <cellStyle name="Style 29" xfId="299"/>
    <cellStyle name="Style 29 2" xfId="300"/>
    <cellStyle name="Style 30" xfId="301"/>
    <cellStyle name="Style 30 2" xfId="302"/>
    <cellStyle name="Style 31" xfId="303"/>
    <cellStyle name="Style 31 2" xfId="304"/>
    <cellStyle name="Style 32" xfId="305"/>
    <cellStyle name="Style 32 2" xfId="306"/>
    <cellStyle name="Title 2" xfId="307"/>
    <cellStyle name="Title-1" xfId="308"/>
    <cellStyle name="Title-2" xfId="309"/>
    <cellStyle name="Titre ligne" xfId="310"/>
    <cellStyle name="Total 2" xfId="311"/>
    <cellStyle name="Total 2 2" xfId="312"/>
    <cellStyle name="Total intermediaire" xfId="313"/>
    <cellStyle name="Tusenskille [0]_rob4-mon.xls Diagram 1" xfId="314"/>
    <cellStyle name="Tusenskille_rob4-mon.xls Diagram 1" xfId="315"/>
    <cellStyle name="Valuta [0]_rob4-mon.xls Diagram 1" xfId="316"/>
    <cellStyle name="Valuta_rob4-mon.xls Diagram 1" xfId="317"/>
    <cellStyle name="Währung [0]_Excel2" xfId="318"/>
    <cellStyle name="Währung_Excel2" xfId="319"/>
    <cellStyle name="Warning Text 2" xfId="320"/>
    <cellStyle name="Year" xfId="321"/>
    <cellStyle name="Обычный_2++_CRFReport-template" xfId="322"/>
  </cellStyles>
  <dxfs count="1329">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C00000"/>
        </patternFill>
      </fill>
    </dxf>
    <dxf>
      <fill>
        <patternFill>
          <bgColor rgb="FFFFC000"/>
        </patternFill>
      </fill>
    </dxf>
    <dxf>
      <fill>
        <patternFill>
          <bgColor rgb="FFFFFF00"/>
        </patternFill>
      </fill>
    </dxf>
    <dxf>
      <fill>
        <patternFill>
          <bgColor rgb="FFC00000"/>
        </patternFill>
      </fill>
    </dxf>
    <dxf>
      <fill>
        <patternFill>
          <bgColor rgb="FFFFC000"/>
        </patternFill>
      </fill>
    </dxf>
    <dxf>
      <fill>
        <patternFill>
          <bgColor rgb="FFFFFF0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C00000"/>
        </patternFill>
      </fill>
    </dxf>
    <dxf>
      <fill>
        <patternFill>
          <bgColor rgb="FFFFC000"/>
        </patternFill>
      </fill>
    </dxf>
    <dxf>
      <fill>
        <patternFill>
          <bgColor rgb="FFFFFF00"/>
        </patternFill>
      </fill>
    </dxf>
    <dxf>
      <font>
        <color rgb="FF9C0006"/>
      </font>
      <fill>
        <patternFill>
          <bgColor rgb="FFFFC7CE"/>
        </patternFill>
      </fill>
    </dxf>
    <dxf>
      <font>
        <color rgb="FF006100"/>
      </font>
      <fill>
        <patternFill>
          <bgColor rgb="FFC6EFCE"/>
        </patternFill>
      </fill>
    </dxf>
    <dxf>
      <fill>
        <patternFill>
          <bgColor rgb="FFC00000"/>
        </patternFill>
      </fill>
    </dxf>
    <dxf>
      <fill>
        <patternFill>
          <bgColor rgb="FFFFC000"/>
        </patternFill>
      </fill>
    </dxf>
    <dxf>
      <fill>
        <patternFill>
          <bgColor rgb="FFFFFF00"/>
        </patternFill>
      </fill>
    </dxf>
    <dxf>
      <font>
        <color rgb="FF9C0006"/>
      </font>
      <fill>
        <patternFill>
          <bgColor rgb="FFFFC7CE"/>
        </patternFill>
      </fill>
    </dxf>
    <dxf>
      <font>
        <color rgb="FF006100"/>
      </font>
      <fill>
        <patternFill>
          <bgColor rgb="FFC6EFCE"/>
        </patternFill>
      </fill>
    </dxf>
    <dxf>
      <fill>
        <patternFill>
          <bgColor rgb="FFC00000"/>
        </patternFill>
      </fill>
    </dxf>
    <dxf>
      <fill>
        <patternFill>
          <bgColor rgb="FFFFC000"/>
        </patternFill>
      </fill>
    </dxf>
    <dxf>
      <fill>
        <patternFill>
          <bgColor rgb="FFFFFF0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C00000"/>
        </patternFill>
      </fill>
    </dxf>
    <dxf>
      <fill>
        <patternFill>
          <bgColor rgb="FFFFC000"/>
        </patternFill>
      </fill>
    </dxf>
    <dxf>
      <fill>
        <patternFill>
          <bgColor rgb="FFFFFF0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C00000"/>
        </patternFill>
      </fill>
    </dxf>
    <dxf>
      <fill>
        <patternFill>
          <bgColor rgb="FFFFC000"/>
        </patternFill>
      </fill>
    </dxf>
    <dxf>
      <fill>
        <patternFill>
          <bgColor rgb="FFFFFF0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C00000"/>
        </patternFill>
      </fill>
    </dxf>
    <dxf>
      <fill>
        <patternFill>
          <bgColor rgb="FFFFC000"/>
        </patternFill>
      </fill>
    </dxf>
    <dxf>
      <fill>
        <patternFill>
          <bgColor rgb="FFFFFF0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C00000"/>
        </patternFill>
      </fill>
    </dxf>
    <dxf>
      <fill>
        <patternFill>
          <bgColor rgb="FFFFC000"/>
        </patternFill>
      </fill>
    </dxf>
    <dxf>
      <fill>
        <patternFill>
          <bgColor rgb="FFFFFF0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C00000"/>
        </patternFill>
      </fill>
    </dxf>
    <dxf>
      <fill>
        <patternFill>
          <bgColor rgb="FFFFC000"/>
        </patternFill>
      </fill>
    </dxf>
    <dxf>
      <fill>
        <patternFill>
          <bgColor rgb="FFFFFF00"/>
        </patternFill>
      </fill>
    </dxf>
    <dxf>
      <font>
        <color rgb="FF9C0006"/>
      </font>
      <fill>
        <patternFill>
          <bgColor rgb="FFFFC7CE"/>
        </patternFill>
      </fill>
    </dxf>
    <dxf>
      <font>
        <color rgb="FF006100"/>
      </font>
      <fill>
        <patternFill>
          <bgColor rgb="FFC6EFCE"/>
        </patternFill>
      </fill>
    </dxf>
    <dxf>
      <fill>
        <patternFill>
          <bgColor rgb="FFC00000"/>
        </patternFill>
      </fill>
    </dxf>
    <dxf>
      <fill>
        <patternFill>
          <bgColor rgb="FFFFC000"/>
        </patternFill>
      </fill>
    </dxf>
    <dxf>
      <fill>
        <patternFill>
          <bgColor rgb="FFFFFF0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C00000"/>
        </patternFill>
      </fill>
    </dxf>
    <dxf>
      <fill>
        <patternFill>
          <bgColor rgb="FFFFC000"/>
        </patternFill>
      </fill>
    </dxf>
    <dxf>
      <fill>
        <patternFill>
          <bgColor rgb="FFFFFF00"/>
        </patternFill>
      </fill>
    </dxf>
    <dxf>
      <font>
        <color rgb="FF9C0006"/>
      </font>
      <fill>
        <patternFill>
          <bgColor rgb="FFFFC7CE"/>
        </patternFill>
      </fill>
    </dxf>
    <dxf>
      <font>
        <color rgb="FF006100"/>
      </font>
      <fill>
        <patternFill>
          <bgColor rgb="FFC6EFCE"/>
        </patternFill>
      </fill>
    </dxf>
    <dxf>
      <fill>
        <patternFill>
          <bgColor rgb="FFC00000"/>
        </patternFill>
      </fill>
    </dxf>
    <dxf>
      <fill>
        <patternFill>
          <bgColor rgb="FFFFC000"/>
        </patternFill>
      </fill>
    </dxf>
    <dxf>
      <fill>
        <patternFill>
          <bgColor rgb="FFFFFF0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C00000"/>
        </patternFill>
      </fill>
    </dxf>
    <dxf>
      <fill>
        <patternFill>
          <bgColor rgb="FFFFC000"/>
        </patternFill>
      </fill>
    </dxf>
    <dxf>
      <fill>
        <patternFill>
          <bgColor rgb="FFFFFF00"/>
        </patternFill>
      </fill>
    </dxf>
    <dxf>
      <font>
        <color rgb="FF9C0006"/>
      </font>
      <fill>
        <patternFill>
          <bgColor rgb="FFFFC7CE"/>
        </patternFill>
      </fill>
    </dxf>
    <dxf>
      <font>
        <color rgb="FF006100"/>
      </font>
      <fill>
        <patternFill>
          <bgColor rgb="FFC6EFCE"/>
        </patternFill>
      </fill>
    </dxf>
    <dxf>
      <fill>
        <patternFill>
          <bgColor rgb="FFC00000"/>
        </patternFill>
      </fill>
    </dxf>
    <dxf>
      <fill>
        <patternFill>
          <bgColor rgb="FFFFC000"/>
        </patternFill>
      </fill>
    </dxf>
    <dxf>
      <fill>
        <patternFill>
          <bgColor rgb="FFFFFF0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C00000"/>
        </patternFill>
      </fill>
    </dxf>
    <dxf>
      <fill>
        <patternFill>
          <bgColor rgb="FFFFC000"/>
        </patternFill>
      </fill>
    </dxf>
    <dxf>
      <fill>
        <patternFill>
          <bgColor rgb="FFFFFF00"/>
        </patternFill>
      </fill>
    </dxf>
    <dxf>
      <font>
        <color rgb="FF9C0006"/>
      </font>
      <fill>
        <patternFill>
          <bgColor rgb="FFFFC7CE"/>
        </patternFill>
      </fill>
    </dxf>
    <dxf>
      <font>
        <color rgb="FF006100"/>
      </font>
      <fill>
        <patternFill>
          <bgColor rgb="FFC6EFCE"/>
        </patternFill>
      </fill>
    </dxf>
    <dxf>
      <fill>
        <patternFill>
          <bgColor rgb="FFC00000"/>
        </patternFill>
      </fill>
    </dxf>
    <dxf>
      <fill>
        <patternFill>
          <bgColor rgb="FFFFC000"/>
        </patternFill>
      </fill>
    </dxf>
    <dxf>
      <fill>
        <patternFill>
          <bgColor rgb="FFFFFF00"/>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patternType="none">
          <bgColor auto="1"/>
        </patternFill>
      </fill>
    </dxf>
    <dxf>
      <fill>
        <patternFill patternType="none">
          <bgColor auto="1"/>
        </patternFill>
      </fill>
    </dxf>
    <dxf>
      <fill>
        <patternFill>
          <bgColor rgb="FFFFC000"/>
        </patternFill>
      </fill>
    </dxf>
    <dxf>
      <fill>
        <patternFill>
          <bgColor theme="9"/>
        </patternFill>
      </fill>
    </dxf>
    <dxf>
      <fill>
        <patternFill patternType="none">
          <bgColor auto="1"/>
        </patternFill>
      </fill>
    </dxf>
    <dxf>
      <fill>
        <patternFill>
          <bgColor rgb="FFFFC000"/>
        </patternFill>
      </fill>
    </dxf>
    <dxf>
      <fill>
        <patternFill>
          <bgColor theme="9"/>
        </patternFill>
      </fill>
    </dxf>
    <dxf>
      <fill>
        <patternFill>
          <bgColor rgb="FFFFC000"/>
        </patternFill>
      </fill>
    </dxf>
    <dxf>
      <fill>
        <patternFill>
          <bgColor theme="9"/>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C000"/>
        </patternFill>
      </fill>
    </dxf>
    <dxf>
      <fill>
        <patternFill>
          <bgColor theme="9"/>
        </patternFill>
      </fill>
    </dxf>
    <dxf>
      <fill>
        <patternFill patternType="none">
          <bgColor auto="1"/>
        </patternFill>
      </fill>
    </dxf>
    <dxf>
      <fill>
        <patternFill patternType="none">
          <bgColor auto="1"/>
        </patternFill>
      </fill>
    </dxf>
    <dxf>
      <fill>
        <patternFill>
          <bgColor rgb="FFFFC000"/>
        </patternFill>
      </fill>
    </dxf>
    <dxf>
      <fill>
        <patternFill>
          <bgColor theme="9"/>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C000"/>
        </patternFill>
      </fill>
    </dxf>
    <dxf>
      <fill>
        <patternFill>
          <bgColor theme="9"/>
        </patternFill>
      </fill>
    </dxf>
    <dxf>
      <fill>
        <patternFill patternType="none">
          <bgColor auto="1"/>
        </patternFill>
      </fill>
    </dxf>
    <dxf>
      <fill>
        <patternFill patternType="none">
          <bgColor auto="1"/>
        </patternFill>
      </fill>
    </dxf>
    <dxf>
      <fill>
        <patternFill>
          <bgColor rgb="FFFFC000"/>
        </patternFill>
      </fill>
    </dxf>
    <dxf>
      <fill>
        <patternFill>
          <bgColor theme="9"/>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C000"/>
        </patternFill>
      </fill>
    </dxf>
    <dxf>
      <fill>
        <patternFill>
          <bgColor theme="9"/>
        </patternFill>
      </fill>
    </dxf>
    <dxf>
      <fill>
        <patternFill patternType="none">
          <bgColor auto="1"/>
        </patternFill>
      </fill>
    </dxf>
    <dxf>
      <fill>
        <patternFill patternType="none">
          <bgColor auto="1"/>
        </patternFill>
      </fill>
    </dxf>
    <dxf>
      <fill>
        <patternFill>
          <bgColor rgb="FFFFC000"/>
        </patternFill>
      </fill>
    </dxf>
    <dxf>
      <fill>
        <patternFill>
          <bgColor theme="9"/>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C000"/>
        </patternFill>
      </fill>
    </dxf>
    <dxf>
      <fill>
        <patternFill>
          <bgColor theme="9"/>
        </patternFill>
      </fill>
    </dxf>
    <dxf>
      <fill>
        <patternFill patternType="none">
          <bgColor auto="1"/>
        </patternFill>
      </fill>
    </dxf>
    <dxf>
      <fill>
        <patternFill patternType="none">
          <bgColor auto="1"/>
        </patternFill>
      </fill>
    </dxf>
    <dxf>
      <fill>
        <patternFill>
          <bgColor rgb="FFFFC000"/>
        </patternFill>
      </fill>
    </dxf>
    <dxf>
      <fill>
        <patternFill>
          <bgColor theme="9"/>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C000"/>
        </patternFill>
      </fill>
    </dxf>
    <dxf>
      <fill>
        <patternFill>
          <bgColor theme="9"/>
        </patternFill>
      </fill>
    </dxf>
    <dxf>
      <fill>
        <patternFill patternType="none">
          <bgColor auto="1"/>
        </patternFill>
      </fill>
    </dxf>
    <dxf>
      <fill>
        <patternFill patternType="none">
          <bgColor auto="1"/>
        </patternFill>
      </fill>
    </dxf>
    <dxf>
      <fill>
        <patternFill>
          <bgColor rgb="FFFFC000"/>
        </patternFill>
      </fill>
    </dxf>
    <dxf>
      <fill>
        <patternFill>
          <bgColor theme="9"/>
        </patternFill>
      </fill>
    </dxf>
    <dxf>
      <fill>
        <patternFill>
          <bgColor rgb="FFFFC000"/>
        </patternFill>
      </fill>
    </dxf>
    <dxf>
      <fill>
        <patternFill>
          <bgColor theme="9"/>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C000"/>
        </patternFill>
      </fill>
    </dxf>
    <dxf>
      <fill>
        <patternFill patternType="none">
          <bgColor auto="1"/>
        </patternFill>
      </fill>
    </dxf>
    <dxf>
      <fill>
        <patternFill patternType="none">
          <bgColor auto="1"/>
        </patternFill>
      </fill>
    </dxf>
    <dxf>
      <fill>
        <patternFill patternType="none">
          <bgColor auto="1"/>
        </patternFill>
      </fill>
    </dxf>
    <dxf>
      <fill>
        <patternFill>
          <bgColor rgb="FFFFC000"/>
        </patternFill>
      </fill>
    </dxf>
    <dxf>
      <fill>
        <patternFill>
          <bgColor theme="9"/>
        </patternFill>
      </fill>
    </dxf>
    <dxf>
      <fill>
        <patternFill patternType="none">
          <bgColor auto="1"/>
        </patternFill>
      </fill>
    </dxf>
    <dxf>
      <fill>
        <patternFill patternType="none">
          <bgColor auto="1"/>
        </patternFill>
      </fill>
    </dxf>
    <dxf>
      <fill>
        <patternFill>
          <bgColor rgb="FFFFC000"/>
        </patternFill>
      </fill>
    </dxf>
    <dxf>
      <fill>
        <patternFill>
          <bgColor rgb="FFFFC000"/>
        </patternFill>
      </fill>
    </dxf>
    <dxf>
      <fill>
        <patternFill>
          <bgColor theme="9"/>
        </patternFill>
      </fill>
    </dxf>
    <dxf>
      <fill>
        <patternFill patternType="none">
          <bgColor auto="1"/>
        </patternFill>
      </fill>
    </dxf>
    <dxf>
      <fill>
        <patternFill>
          <bgColor rgb="FFFFC000"/>
        </patternFill>
      </fill>
    </dxf>
    <dxf>
      <fill>
        <patternFill>
          <bgColor theme="9"/>
        </patternFill>
      </fill>
    </dxf>
    <dxf>
      <fill>
        <patternFill>
          <bgColor rgb="FFFFC000"/>
        </patternFill>
      </fill>
    </dxf>
    <dxf>
      <fill>
        <patternFill>
          <bgColor theme="9"/>
        </patternFill>
      </fill>
    </dxf>
    <dxf>
      <fill>
        <patternFill>
          <bgColor rgb="FFFFC000"/>
        </patternFill>
      </fill>
    </dxf>
    <dxf>
      <fill>
        <patternFill>
          <bgColor theme="9"/>
        </patternFill>
      </fill>
    </dxf>
    <dxf>
      <fill>
        <patternFill>
          <bgColor rgb="FFFFC000"/>
        </patternFill>
      </fill>
    </dxf>
    <dxf>
      <fill>
        <patternFill>
          <bgColor theme="9"/>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C000"/>
        </patternFill>
      </fill>
    </dxf>
    <dxf>
      <fill>
        <patternFill>
          <bgColor theme="9"/>
        </patternFill>
      </fill>
    </dxf>
    <dxf>
      <fill>
        <patternFill patternType="none">
          <bgColor auto="1"/>
        </patternFill>
      </fill>
    </dxf>
    <dxf>
      <fill>
        <patternFill>
          <bgColor rgb="FFFFC000"/>
        </patternFill>
      </fill>
    </dxf>
    <dxf>
      <fill>
        <patternFill>
          <bgColor theme="9"/>
        </patternFill>
      </fill>
    </dxf>
    <dxf>
      <fill>
        <patternFill>
          <bgColor rgb="FFFFC000"/>
        </patternFill>
      </fill>
    </dxf>
    <dxf>
      <fill>
        <patternFill>
          <bgColor theme="9"/>
        </patternFill>
      </fill>
    </dxf>
    <dxf>
      <fill>
        <patternFill>
          <bgColor rgb="FFFFC000"/>
        </patternFill>
      </fill>
    </dxf>
    <dxf>
      <fill>
        <patternFill>
          <bgColor theme="9"/>
        </patternFill>
      </fill>
    </dxf>
    <dxf>
      <fill>
        <patternFill>
          <bgColor rgb="FFFFC000"/>
        </patternFill>
      </fill>
    </dxf>
    <dxf>
      <fill>
        <patternFill>
          <bgColor theme="9"/>
        </patternFill>
      </fill>
    </dxf>
    <dxf>
      <fill>
        <patternFill>
          <bgColor rgb="FFFFC000"/>
        </patternFill>
      </fill>
    </dxf>
    <dxf>
      <fill>
        <patternFill>
          <bgColor theme="9"/>
        </patternFill>
      </fill>
    </dxf>
    <dxf>
      <fill>
        <patternFill>
          <bgColor rgb="FFFFC000"/>
        </patternFill>
      </fill>
    </dxf>
    <dxf>
      <fill>
        <patternFill>
          <bgColor theme="9"/>
        </patternFill>
      </fill>
    </dxf>
    <dxf>
      <fill>
        <patternFill>
          <bgColor rgb="FFFFC000"/>
        </patternFill>
      </fill>
    </dxf>
    <dxf>
      <fill>
        <patternFill>
          <bgColor theme="9"/>
        </patternFill>
      </fill>
    </dxf>
    <dxf>
      <fill>
        <patternFill>
          <bgColor rgb="FFFFC000"/>
        </patternFill>
      </fill>
    </dxf>
    <dxf>
      <fill>
        <patternFill>
          <bgColor theme="9"/>
        </patternFill>
      </fill>
    </dxf>
    <dxf>
      <fill>
        <patternFill>
          <bgColor rgb="FFFFC000"/>
        </patternFill>
      </fill>
    </dxf>
    <dxf>
      <fill>
        <patternFill>
          <bgColor theme="9"/>
        </patternFill>
      </fill>
    </dxf>
    <dxf>
      <fill>
        <patternFill>
          <bgColor rgb="FFFFC000"/>
        </patternFill>
      </fill>
    </dxf>
    <dxf>
      <fill>
        <patternFill>
          <bgColor theme="9"/>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C000"/>
        </patternFill>
      </fill>
    </dxf>
    <dxf>
      <fill>
        <patternFill>
          <bgColor theme="9"/>
        </patternFill>
      </fill>
    </dxf>
    <dxf>
      <fill>
        <patternFill>
          <bgColor rgb="FFFFC000"/>
        </patternFill>
      </fill>
    </dxf>
    <dxf>
      <fill>
        <patternFill>
          <bgColor theme="9"/>
        </patternFill>
      </fill>
    </dxf>
    <dxf>
      <fill>
        <patternFill>
          <bgColor rgb="FFFFC000"/>
        </patternFill>
      </fill>
    </dxf>
    <dxf>
      <fill>
        <patternFill>
          <bgColor theme="9"/>
        </patternFill>
      </fill>
    </dxf>
    <dxf>
      <fill>
        <patternFill>
          <bgColor rgb="FFFFC000"/>
        </patternFill>
      </fill>
    </dxf>
    <dxf>
      <fill>
        <patternFill>
          <bgColor theme="9"/>
        </patternFill>
      </fill>
    </dxf>
    <dxf>
      <fill>
        <patternFill>
          <bgColor rgb="FFFFC000"/>
        </patternFill>
      </fill>
    </dxf>
    <dxf>
      <fill>
        <patternFill>
          <bgColor theme="9"/>
        </patternFill>
      </fill>
    </dxf>
    <dxf>
      <fill>
        <patternFill>
          <bgColor rgb="FFFFC000"/>
        </patternFill>
      </fill>
    </dxf>
    <dxf>
      <fill>
        <patternFill>
          <bgColor theme="9"/>
        </patternFill>
      </fill>
    </dxf>
    <dxf>
      <fill>
        <patternFill>
          <bgColor rgb="FFFFC000"/>
        </patternFill>
      </fill>
    </dxf>
    <dxf>
      <fill>
        <patternFill>
          <bgColor theme="9"/>
        </patternFill>
      </fill>
    </dxf>
    <dxf>
      <fill>
        <patternFill>
          <bgColor rgb="FFFFC000"/>
        </patternFill>
      </fill>
    </dxf>
    <dxf>
      <fill>
        <patternFill>
          <bgColor theme="9"/>
        </patternFill>
      </fill>
    </dxf>
    <dxf>
      <fill>
        <patternFill>
          <bgColor rgb="FFFFC000"/>
        </patternFill>
      </fill>
    </dxf>
    <dxf>
      <fill>
        <patternFill>
          <bgColor theme="9"/>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C000"/>
        </patternFill>
      </fill>
    </dxf>
    <dxf>
      <fill>
        <patternFill>
          <bgColor theme="9"/>
        </patternFill>
      </fill>
    </dxf>
    <dxf>
      <fill>
        <patternFill>
          <bgColor rgb="FFFFC000"/>
        </patternFill>
      </fill>
    </dxf>
    <dxf>
      <fill>
        <patternFill>
          <bgColor theme="9"/>
        </patternFill>
      </fill>
    </dxf>
    <dxf>
      <fill>
        <patternFill patternType="none">
          <bgColor auto="1"/>
        </patternFill>
      </fill>
    </dxf>
    <dxf>
      <fill>
        <patternFill>
          <bgColor rgb="FFFFC000"/>
        </patternFill>
      </fill>
    </dxf>
    <dxf>
      <fill>
        <patternFill>
          <bgColor theme="9"/>
        </patternFill>
      </fill>
    </dxf>
    <dxf>
      <fill>
        <patternFill>
          <bgColor rgb="FFFFC000"/>
        </patternFill>
      </fill>
    </dxf>
    <dxf>
      <fill>
        <patternFill>
          <bgColor theme="9"/>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ill>
        <patternFill>
          <bgColor rgb="FFFFFF00"/>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patternType="none">
          <bgColor auto="1"/>
        </patternFill>
      </fill>
    </dxf>
    <dxf>
      <fill>
        <patternFill patternType="none">
          <bgColor auto="1"/>
        </patternFill>
      </fill>
    </dxf>
    <dxf>
      <fill>
        <patternFill>
          <bgColor rgb="FFFFC000"/>
        </patternFill>
      </fill>
    </dxf>
    <dxf>
      <fill>
        <patternFill>
          <bgColor theme="9"/>
        </patternFill>
      </fill>
    </dxf>
    <dxf>
      <fill>
        <patternFill patternType="none">
          <bgColor auto="1"/>
        </patternFill>
      </fill>
    </dxf>
    <dxf>
      <fill>
        <patternFill>
          <bgColor rgb="FFFFC000"/>
        </patternFill>
      </fill>
    </dxf>
    <dxf>
      <fill>
        <patternFill>
          <bgColor theme="9"/>
        </patternFill>
      </fill>
    </dxf>
    <dxf>
      <fill>
        <patternFill>
          <bgColor rgb="FFFFC000"/>
        </patternFill>
      </fill>
    </dxf>
    <dxf>
      <fill>
        <patternFill>
          <bgColor theme="9"/>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C000"/>
        </patternFill>
      </fill>
    </dxf>
    <dxf>
      <fill>
        <patternFill>
          <bgColor theme="9"/>
        </patternFill>
      </fill>
    </dxf>
    <dxf>
      <fill>
        <patternFill patternType="none">
          <bgColor auto="1"/>
        </patternFill>
      </fill>
    </dxf>
    <dxf>
      <fill>
        <patternFill patternType="none">
          <bgColor auto="1"/>
        </patternFill>
      </fill>
    </dxf>
    <dxf>
      <fill>
        <patternFill>
          <bgColor rgb="FFFFC000"/>
        </patternFill>
      </fill>
    </dxf>
    <dxf>
      <fill>
        <patternFill>
          <bgColor theme="9"/>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C000"/>
        </patternFill>
      </fill>
    </dxf>
    <dxf>
      <fill>
        <patternFill>
          <bgColor theme="9"/>
        </patternFill>
      </fill>
    </dxf>
    <dxf>
      <fill>
        <patternFill patternType="none">
          <bgColor auto="1"/>
        </patternFill>
      </fill>
    </dxf>
    <dxf>
      <fill>
        <patternFill patternType="none">
          <bgColor auto="1"/>
        </patternFill>
      </fill>
    </dxf>
    <dxf>
      <fill>
        <patternFill>
          <bgColor rgb="FFFFC000"/>
        </patternFill>
      </fill>
    </dxf>
    <dxf>
      <fill>
        <patternFill>
          <bgColor theme="9"/>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C000"/>
        </patternFill>
      </fill>
    </dxf>
    <dxf>
      <fill>
        <patternFill>
          <bgColor theme="9"/>
        </patternFill>
      </fill>
    </dxf>
    <dxf>
      <fill>
        <patternFill patternType="none">
          <bgColor auto="1"/>
        </patternFill>
      </fill>
    </dxf>
    <dxf>
      <fill>
        <patternFill patternType="none">
          <bgColor auto="1"/>
        </patternFill>
      </fill>
    </dxf>
    <dxf>
      <fill>
        <patternFill>
          <bgColor rgb="FFFFC000"/>
        </patternFill>
      </fill>
    </dxf>
    <dxf>
      <fill>
        <patternFill>
          <bgColor theme="9"/>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C000"/>
        </patternFill>
      </fill>
    </dxf>
    <dxf>
      <fill>
        <patternFill>
          <bgColor theme="9"/>
        </patternFill>
      </fill>
    </dxf>
    <dxf>
      <fill>
        <patternFill patternType="none">
          <bgColor auto="1"/>
        </patternFill>
      </fill>
    </dxf>
    <dxf>
      <fill>
        <patternFill patternType="none">
          <bgColor auto="1"/>
        </patternFill>
      </fill>
    </dxf>
    <dxf>
      <fill>
        <patternFill>
          <bgColor rgb="FFFFC000"/>
        </patternFill>
      </fill>
    </dxf>
    <dxf>
      <fill>
        <patternFill>
          <bgColor theme="9"/>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C000"/>
        </patternFill>
      </fill>
    </dxf>
    <dxf>
      <fill>
        <patternFill>
          <bgColor theme="9"/>
        </patternFill>
      </fill>
    </dxf>
    <dxf>
      <fill>
        <patternFill patternType="none">
          <bgColor auto="1"/>
        </patternFill>
      </fill>
    </dxf>
    <dxf>
      <fill>
        <patternFill patternType="none">
          <bgColor auto="1"/>
        </patternFill>
      </fill>
    </dxf>
    <dxf>
      <fill>
        <patternFill>
          <bgColor rgb="FFFFC000"/>
        </patternFill>
      </fill>
    </dxf>
    <dxf>
      <fill>
        <patternFill>
          <bgColor theme="9"/>
        </patternFill>
      </fill>
    </dxf>
    <dxf>
      <fill>
        <patternFill>
          <bgColor rgb="FFFFC000"/>
        </patternFill>
      </fill>
    </dxf>
    <dxf>
      <fill>
        <patternFill>
          <bgColor theme="9"/>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C000"/>
        </patternFill>
      </fill>
    </dxf>
    <dxf>
      <fill>
        <patternFill patternType="none">
          <bgColor auto="1"/>
        </patternFill>
      </fill>
    </dxf>
    <dxf>
      <fill>
        <patternFill patternType="none">
          <bgColor auto="1"/>
        </patternFill>
      </fill>
    </dxf>
    <dxf>
      <fill>
        <patternFill patternType="none">
          <bgColor auto="1"/>
        </patternFill>
      </fill>
    </dxf>
    <dxf>
      <fill>
        <patternFill>
          <bgColor rgb="FFFFC000"/>
        </patternFill>
      </fill>
    </dxf>
    <dxf>
      <fill>
        <patternFill>
          <bgColor theme="9"/>
        </patternFill>
      </fill>
    </dxf>
    <dxf>
      <fill>
        <patternFill patternType="none">
          <bgColor auto="1"/>
        </patternFill>
      </fill>
    </dxf>
    <dxf>
      <fill>
        <patternFill patternType="none">
          <bgColor auto="1"/>
        </patternFill>
      </fill>
    </dxf>
    <dxf>
      <fill>
        <patternFill>
          <bgColor rgb="FFFFC000"/>
        </patternFill>
      </fill>
    </dxf>
    <dxf>
      <fill>
        <patternFill>
          <bgColor rgb="FFFFC000"/>
        </patternFill>
      </fill>
    </dxf>
    <dxf>
      <fill>
        <patternFill>
          <bgColor theme="9"/>
        </patternFill>
      </fill>
    </dxf>
    <dxf>
      <fill>
        <patternFill patternType="none">
          <bgColor auto="1"/>
        </patternFill>
      </fill>
    </dxf>
    <dxf>
      <fill>
        <patternFill>
          <bgColor rgb="FFFFC000"/>
        </patternFill>
      </fill>
    </dxf>
    <dxf>
      <fill>
        <patternFill>
          <bgColor theme="9"/>
        </patternFill>
      </fill>
    </dxf>
    <dxf>
      <fill>
        <patternFill>
          <bgColor rgb="FFFFC000"/>
        </patternFill>
      </fill>
    </dxf>
    <dxf>
      <fill>
        <patternFill>
          <bgColor theme="9"/>
        </patternFill>
      </fill>
    </dxf>
    <dxf>
      <fill>
        <patternFill>
          <bgColor rgb="FFFFC000"/>
        </patternFill>
      </fill>
    </dxf>
    <dxf>
      <fill>
        <patternFill>
          <bgColor theme="9"/>
        </patternFill>
      </fill>
    </dxf>
    <dxf>
      <fill>
        <patternFill>
          <bgColor rgb="FFFFC000"/>
        </patternFill>
      </fill>
    </dxf>
    <dxf>
      <fill>
        <patternFill>
          <bgColor theme="9"/>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C000"/>
        </patternFill>
      </fill>
    </dxf>
    <dxf>
      <fill>
        <patternFill>
          <bgColor theme="9"/>
        </patternFill>
      </fill>
    </dxf>
    <dxf>
      <fill>
        <patternFill patternType="none">
          <bgColor auto="1"/>
        </patternFill>
      </fill>
    </dxf>
    <dxf>
      <fill>
        <patternFill>
          <bgColor rgb="FFFFC000"/>
        </patternFill>
      </fill>
    </dxf>
    <dxf>
      <fill>
        <patternFill>
          <bgColor theme="9"/>
        </patternFill>
      </fill>
    </dxf>
    <dxf>
      <fill>
        <patternFill>
          <bgColor rgb="FFFFC000"/>
        </patternFill>
      </fill>
    </dxf>
    <dxf>
      <fill>
        <patternFill>
          <bgColor theme="9"/>
        </patternFill>
      </fill>
    </dxf>
    <dxf>
      <fill>
        <patternFill>
          <bgColor rgb="FFFFC000"/>
        </patternFill>
      </fill>
    </dxf>
    <dxf>
      <fill>
        <patternFill>
          <bgColor theme="9"/>
        </patternFill>
      </fill>
    </dxf>
    <dxf>
      <fill>
        <patternFill>
          <bgColor rgb="FFFFC000"/>
        </patternFill>
      </fill>
    </dxf>
    <dxf>
      <fill>
        <patternFill>
          <bgColor theme="9"/>
        </patternFill>
      </fill>
    </dxf>
    <dxf>
      <fill>
        <patternFill>
          <bgColor rgb="FFFFC000"/>
        </patternFill>
      </fill>
    </dxf>
    <dxf>
      <fill>
        <patternFill>
          <bgColor theme="9"/>
        </patternFill>
      </fill>
    </dxf>
    <dxf>
      <fill>
        <patternFill>
          <bgColor rgb="FFFFC000"/>
        </patternFill>
      </fill>
    </dxf>
    <dxf>
      <fill>
        <patternFill>
          <bgColor theme="9"/>
        </patternFill>
      </fill>
    </dxf>
    <dxf>
      <fill>
        <patternFill>
          <bgColor rgb="FFFFC000"/>
        </patternFill>
      </fill>
    </dxf>
    <dxf>
      <fill>
        <patternFill>
          <bgColor theme="9"/>
        </patternFill>
      </fill>
    </dxf>
    <dxf>
      <fill>
        <patternFill>
          <bgColor rgb="FFFFC000"/>
        </patternFill>
      </fill>
    </dxf>
    <dxf>
      <fill>
        <patternFill>
          <bgColor theme="9"/>
        </patternFill>
      </fill>
    </dxf>
    <dxf>
      <fill>
        <patternFill>
          <bgColor rgb="FFFFC000"/>
        </patternFill>
      </fill>
    </dxf>
    <dxf>
      <fill>
        <patternFill>
          <bgColor theme="9"/>
        </patternFill>
      </fill>
    </dxf>
    <dxf>
      <fill>
        <patternFill>
          <bgColor rgb="FFFFC000"/>
        </patternFill>
      </fill>
    </dxf>
    <dxf>
      <fill>
        <patternFill>
          <bgColor theme="9"/>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C000"/>
        </patternFill>
      </fill>
    </dxf>
    <dxf>
      <fill>
        <patternFill>
          <bgColor theme="9"/>
        </patternFill>
      </fill>
    </dxf>
    <dxf>
      <fill>
        <patternFill>
          <bgColor rgb="FFFFC000"/>
        </patternFill>
      </fill>
    </dxf>
    <dxf>
      <fill>
        <patternFill>
          <bgColor theme="9"/>
        </patternFill>
      </fill>
    </dxf>
    <dxf>
      <fill>
        <patternFill>
          <bgColor rgb="FFFFC000"/>
        </patternFill>
      </fill>
    </dxf>
    <dxf>
      <fill>
        <patternFill>
          <bgColor theme="9"/>
        </patternFill>
      </fill>
    </dxf>
    <dxf>
      <fill>
        <patternFill>
          <bgColor rgb="FFFFC000"/>
        </patternFill>
      </fill>
    </dxf>
    <dxf>
      <fill>
        <patternFill>
          <bgColor theme="9"/>
        </patternFill>
      </fill>
    </dxf>
    <dxf>
      <fill>
        <patternFill>
          <bgColor rgb="FFFFC000"/>
        </patternFill>
      </fill>
    </dxf>
    <dxf>
      <fill>
        <patternFill>
          <bgColor theme="9"/>
        </patternFill>
      </fill>
    </dxf>
    <dxf>
      <fill>
        <patternFill>
          <bgColor rgb="FFFFC000"/>
        </patternFill>
      </fill>
    </dxf>
    <dxf>
      <fill>
        <patternFill>
          <bgColor theme="9"/>
        </patternFill>
      </fill>
    </dxf>
    <dxf>
      <fill>
        <patternFill>
          <bgColor rgb="FFFFC000"/>
        </patternFill>
      </fill>
    </dxf>
    <dxf>
      <fill>
        <patternFill>
          <bgColor theme="9"/>
        </patternFill>
      </fill>
    </dxf>
    <dxf>
      <fill>
        <patternFill>
          <bgColor rgb="FFFFC000"/>
        </patternFill>
      </fill>
    </dxf>
    <dxf>
      <fill>
        <patternFill>
          <bgColor theme="9"/>
        </patternFill>
      </fill>
    </dxf>
    <dxf>
      <fill>
        <patternFill>
          <bgColor rgb="FFFFC000"/>
        </patternFill>
      </fill>
    </dxf>
    <dxf>
      <fill>
        <patternFill>
          <bgColor theme="9"/>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C000"/>
        </patternFill>
      </fill>
    </dxf>
    <dxf>
      <fill>
        <patternFill>
          <bgColor theme="9"/>
        </patternFill>
      </fill>
    </dxf>
    <dxf>
      <fill>
        <patternFill>
          <bgColor rgb="FFFFC000"/>
        </patternFill>
      </fill>
    </dxf>
    <dxf>
      <fill>
        <patternFill>
          <bgColor theme="9"/>
        </patternFill>
      </fill>
    </dxf>
    <dxf>
      <fill>
        <patternFill patternType="none">
          <bgColor auto="1"/>
        </patternFill>
      </fill>
    </dxf>
    <dxf>
      <fill>
        <patternFill>
          <bgColor rgb="FFFFC000"/>
        </patternFill>
      </fill>
    </dxf>
    <dxf>
      <fill>
        <patternFill>
          <bgColor theme="9"/>
        </patternFill>
      </fill>
    </dxf>
    <dxf>
      <fill>
        <patternFill>
          <bgColor rgb="FFFFC000"/>
        </patternFill>
      </fill>
    </dxf>
    <dxf>
      <fill>
        <patternFill>
          <bgColor theme="9"/>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ill>
        <patternFill>
          <bgColor rgb="FFFFFF00"/>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patternType="none">
          <bgColor auto="1"/>
        </patternFill>
      </fill>
    </dxf>
    <dxf>
      <fill>
        <patternFill patternType="none">
          <bgColor auto="1"/>
        </patternFill>
      </fill>
    </dxf>
    <dxf>
      <fill>
        <patternFill>
          <bgColor rgb="FFFFC000"/>
        </patternFill>
      </fill>
    </dxf>
    <dxf>
      <fill>
        <patternFill>
          <bgColor theme="9"/>
        </patternFill>
      </fill>
    </dxf>
    <dxf>
      <fill>
        <patternFill patternType="none">
          <bgColor auto="1"/>
        </patternFill>
      </fill>
    </dxf>
    <dxf>
      <fill>
        <patternFill>
          <bgColor rgb="FFFFC000"/>
        </patternFill>
      </fill>
    </dxf>
    <dxf>
      <fill>
        <patternFill>
          <bgColor theme="9"/>
        </patternFill>
      </fill>
    </dxf>
    <dxf>
      <fill>
        <patternFill>
          <bgColor rgb="FFFFC000"/>
        </patternFill>
      </fill>
    </dxf>
    <dxf>
      <fill>
        <patternFill>
          <bgColor theme="9"/>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C000"/>
        </patternFill>
      </fill>
    </dxf>
    <dxf>
      <fill>
        <patternFill>
          <bgColor theme="9"/>
        </patternFill>
      </fill>
    </dxf>
    <dxf>
      <fill>
        <patternFill patternType="none">
          <bgColor auto="1"/>
        </patternFill>
      </fill>
    </dxf>
    <dxf>
      <fill>
        <patternFill patternType="none">
          <bgColor auto="1"/>
        </patternFill>
      </fill>
    </dxf>
    <dxf>
      <fill>
        <patternFill>
          <bgColor rgb="FFFFC000"/>
        </patternFill>
      </fill>
    </dxf>
    <dxf>
      <fill>
        <patternFill>
          <bgColor theme="9"/>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C000"/>
        </patternFill>
      </fill>
    </dxf>
    <dxf>
      <fill>
        <patternFill>
          <bgColor theme="9"/>
        </patternFill>
      </fill>
    </dxf>
    <dxf>
      <fill>
        <patternFill patternType="none">
          <bgColor auto="1"/>
        </patternFill>
      </fill>
    </dxf>
    <dxf>
      <fill>
        <patternFill patternType="none">
          <bgColor auto="1"/>
        </patternFill>
      </fill>
    </dxf>
    <dxf>
      <fill>
        <patternFill>
          <bgColor rgb="FFFFC000"/>
        </patternFill>
      </fill>
    </dxf>
    <dxf>
      <fill>
        <patternFill>
          <bgColor theme="9"/>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C000"/>
        </patternFill>
      </fill>
    </dxf>
    <dxf>
      <fill>
        <patternFill>
          <bgColor theme="9"/>
        </patternFill>
      </fill>
    </dxf>
    <dxf>
      <fill>
        <patternFill patternType="none">
          <bgColor auto="1"/>
        </patternFill>
      </fill>
    </dxf>
    <dxf>
      <fill>
        <patternFill patternType="none">
          <bgColor auto="1"/>
        </patternFill>
      </fill>
    </dxf>
    <dxf>
      <fill>
        <patternFill>
          <bgColor rgb="FFFFC000"/>
        </patternFill>
      </fill>
    </dxf>
    <dxf>
      <fill>
        <patternFill>
          <bgColor theme="9"/>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C000"/>
        </patternFill>
      </fill>
    </dxf>
    <dxf>
      <fill>
        <patternFill>
          <bgColor theme="9"/>
        </patternFill>
      </fill>
    </dxf>
    <dxf>
      <fill>
        <patternFill patternType="none">
          <bgColor auto="1"/>
        </patternFill>
      </fill>
    </dxf>
    <dxf>
      <fill>
        <patternFill patternType="none">
          <bgColor auto="1"/>
        </patternFill>
      </fill>
    </dxf>
    <dxf>
      <fill>
        <patternFill>
          <bgColor rgb="FFFFC000"/>
        </patternFill>
      </fill>
    </dxf>
    <dxf>
      <fill>
        <patternFill>
          <bgColor theme="9"/>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C000"/>
        </patternFill>
      </fill>
    </dxf>
    <dxf>
      <fill>
        <patternFill>
          <bgColor theme="9"/>
        </patternFill>
      </fill>
    </dxf>
    <dxf>
      <fill>
        <patternFill patternType="none">
          <bgColor auto="1"/>
        </patternFill>
      </fill>
    </dxf>
    <dxf>
      <fill>
        <patternFill patternType="none">
          <bgColor auto="1"/>
        </patternFill>
      </fill>
    </dxf>
    <dxf>
      <fill>
        <patternFill>
          <bgColor rgb="FFFFC000"/>
        </patternFill>
      </fill>
    </dxf>
    <dxf>
      <fill>
        <patternFill>
          <bgColor theme="9"/>
        </patternFill>
      </fill>
    </dxf>
    <dxf>
      <fill>
        <patternFill>
          <bgColor rgb="FFFFC000"/>
        </patternFill>
      </fill>
    </dxf>
    <dxf>
      <fill>
        <patternFill>
          <bgColor theme="9"/>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C000"/>
        </patternFill>
      </fill>
    </dxf>
    <dxf>
      <fill>
        <patternFill patternType="none">
          <bgColor auto="1"/>
        </patternFill>
      </fill>
    </dxf>
    <dxf>
      <fill>
        <patternFill patternType="none">
          <bgColor auto="1"/>
        </patternFill>
      </fill>
    </dxf>
    <dxf>
      <fill>
        <patternFill patternType="none">
          <bgColor auto="1"/>
        </patternFill>
      </fill>
    </dxf>
    <dxf>
      <fill>
        <patternFill>
          <bgColor rgb="FFFFC000"/>
        </patternFill>
      </fill>
    </dxf>
    <dxf>
      <fill>
        <patternFill>
          <bgColor theme="9"/>
        </patternFill>
      </fill>
    </dxf>
    <dxf>
      <fill>
        <patternFill patternType="none">
          <bgColor auto="1"/>
        </patternFill>
      </fill>
    </dxf>
    <dxf>
      <fill>
        <patternFill patternType="none">
          <bgColor auto="1"/>
        </patternFill>
      </fill>
    </dxf>
    <dxf>
      <fill>
        <patternFill>
          <bgColor rgb="FFFFC000"/>
        </patternFill>
      </fill>
    </dxf>
    <dxf>
      <fill>
        <patternFill>
          <bgColor rgb="FFFFC000"/>
        </patternFill>
      </fill>
    </dxf>
    <dxf>
      <fill>
        <patternFill>
          <bgColor theme="9"/>
        </patternFill>
      </fill>
    </dxf>
    <dxf>
      <fill>
        <patternFill patternType="none">
          <bgColor auto="1"/>
        </patternFill>
      </fill>
    </dxf>
    <dxf>
      <fill>
        <patternFill>
          <bgColor rgb="FFFFC000"/>
        </patternFill>
      </fill>
    </dxf>
    <dxf>
      <fill>
        <patternFill>
          <bgColor theme="9"/>
        </patternFill>
      </fill>
    </dxf>
    <dxf>
      <fill>
        <patternFill>
          <bgColor rgb="FFFFC000"/>
        </patternFill>
      </fill>
    </dxf>
    <dxf>
      <fill>
        <patternFill>
          <bgColor theme="9"/>
        </patternFill>
      </fill>
    </dxf>
    <dxf>
      <fill>
        <patternFill>
          <bgColor rgb="FFFFC000"/>
        </patternFill>
      </fill>
    </dxf>
    <dxf>
      <fill>
        <patternFill>
          <bgColor theme="9"/>
        </patternFill>
      </fill>
    </dxf>
    <dxf>
      <fill>
        <patternFill>
          <bgColor rgb="FFFFC000"/>
        </patternFill>
      </fill>
    </dxf>
    <dxf>
      <fill>
        <patternFill>
          <bgColor theme="9"/>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C000"/>
        </patternFill>
      </fill>
    </dxf>
    <dxf>
      <fill>
        <patternFill>
          <bgColor theme="9"/>
        </patternFill>
      </fill>
    </dxf>
    <dxf>
      <fill>
        <patternFill patternType="none">
          <bgColor auto="1"/>
        </patternFill>
      </fill>
    </dxf>
    <dxf>
      <fill>
        <patternFill>
          <bgColor rgb="FFFFC000"/>
        </patternFill>
      </fill>
    </dxf>
    <dxf>
      <fill>
        <patternFill>
          <bgColor theme="9"/>
        </patternFill>
      </fill>
    </dxf>
    <dxf>
      <fill>
        <patternFill>
          <bgColor rgb="FFFFC000"/>
        </patternFill>
      </fill>
    </dxf>
    <dxf>
      <fill>
        <patternFill>
          <bgColor theme="9"/>
        </patternFill>
      </fill>
    </dxf>
    <dxf>
      <fill>
        <patternFill>
          <bgColor rgb="FFFFC000"/>
        </patternFill>
      </fill>
    </dxf>
    <dxf>
      <fill>
        <patternFill>
          <bgColor theme="9"/>
        </patternFill>
      </fill>
    </dxf>
    <dxf>
      <fill>
        <patternFill>
          <bgColor rgb="FFFFC000"/>
        </patternFill>
      </fill>
    </dxf>
    <dxf>
      <fill>
        <patternFill>
          <bgColor theme="9"/>
        </patternFill>
      </fill>
    </dxf>
    <dxf>
      <fill>
        <patternFill>
          <bgColor rgb="FFFFC000"/>
        </patternFill>
      </fill>
    </dxf>
    <dxf>
      <fill>
        <patternFill>
          <bgColor theme="9"/>
        </patternFill>
      </fill>
    </dxf>
    <dxf>
      <fill>
        <patternFill>
          <bgColor rgb="FFFFC000"/>
        </patternFill>
      </fill>
    </dxf>
    <dxf>
      <fill>
        <patternFill>
          <bgColor theme="9"/>
        </patternFill>
      </fill>
    </dxf>
    <dxf>
      <fill>
        <patternFill>
          <bgColor rgb="FFFFC000"/>
        </patternFill>
      </fill>
    </dxf>
    <dxf>
      <fill>
        <patternFill>
          <bgColor theme="9"/>
        </patternFill>
      </fill>
    </dxf>
    <dxf>
      <fill>
        <patternFill>
          <bgColor rgb="FFFFC000"/>
        </patternFill>
      </fill>
    </dxf>
    <dxf>
      <fill>
        <patternFill>
          <bgColor theme="9"/>
        </patternFill>
      </fill>
    </dxf>
    <dxf>
      <fill>
        <patternFill>
          <bgColor rgb="FFFFC000"/>
        </patternFill>
      </fill>
    </dxf>
    <dxf>
      <fill>
        <patternFill>
          <bgColor theme="9"/>
        </patternFill>
      </fill>
    </dxf>
    <dxf>
      <fill>
        <patternFill>
          <bgColor rgb="FFFFC000"/>
        </patternFill>
      </fill>
    </dxf>
    <dxf>
      <fill>
        <patternFill>
          <bgColor theme="9"/>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C000"/>
        </patternFill>
      </fill>
    </dxf>
    <dxf>
      <fill>
        <patternFill>
          <bgColor theme="9"/>
        </patternFill>
      </fill>
    </dxf>
    <dxf>
      <fill>
        <patternFill>
          <bgColor rgb="FFFFC000"/>
        </patternFill>
      </fill>
    </dxf>
    <dxf>
      <fill>
        <patternFill>
          <bgColor theme="9"/>
        </patternFill>
      </fill>
    </dxf>
    <dxf>
      <fill>
        <patternFill>
          <bgColor rgb="FFFFC000"/>
        </patternFill>
      </fill>
    </dxf>
    <dxf>
      <fill>
        <patternFill>
          <bgColor theme="9"/>
        </patternFill>
      </fill>
    </dxf>
    <dxf>
      <fill>
        <patternFill>
          <bgColor rgb="FFFFC000"/>
        </patternFill>
      </fill>
    </dxf>
    <dxf>
      <fill>
        <patternFill>
          <bgColor theme="9"/>
        </patternFill>
      </fill>
    </dxf>
    <dxf>
      <fill>
        <patternFill>
          <bgColor rgb="FFFFC000"/>
        </patternFill>
      </fill>
    </dxf>
    <dxf>
      <fill>
        <patternFill>
          <bgColor theme="9"/>
        </patternFill>
      </fill>
    </dxf>
    <dxf>
      <fill>
        <patternFill>
          <bgColor rgb="FFFFC000"/>
        </patternFill>
      </fill>
    </dxf>
    <dxf>
      <fill>
        <patternFill>
          <bgColor theme="9"/>
        </patternFill>
      </fill>
    </dxf>
    <dxf>
      <fill>
        <patternFill>
          <bgColor rgb="FFFFC000"/>
        </patternFill>
      </fill>
    </dxf>
    <dxf>
      <fill>
        <patternFill>
          <bgColor theme="9"/>
        </patternFill>
      </fill>
    </dxf>
    <dxf>
      <fill>
        <patternFill>
          <bgColor rgb="FFFFC000"/>
        </patternFill>
      </fill>
    </dxf>
    <dxf>
      <fill>
        <patternFill>
          <bgColor theme="9"/>
        </patternFill>
      </fill>
    </dxf>
    <dxf>
      <fill>
        <patternFill>
          <bgColor rgb="FFFFC000"/>
        </patternFill>
      </fill>
    </dxf>
    <dxf>
      <fill>
        <patternFill>
          <bgColor theme="9"/>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C000"/>
        </patternFill>
      </fill>
    </dxf>
    <dxf>
      <fill>
        <patternFill>
          <bgColor theme="9"/>
        </patternFill>
      </fill>
    </dxf>
    <dxf>
      <fill>
        <patternFill>
          <bgColor rgb="FFFFC000"/>
        </patternFill>
      </fill>
    </dxf>
    <dxf>
      <fill>
        <patternFill>
          <bgColor theme="9"/>
        </patternFill>
      </fill>
    </dxf>
    <dxf>
      <fill>
        <patternFill patternType="none">
          <bgColor auto="1"/>
        </patternFill>
      </fill>
    </dxf>
    <dxf>
      <fill>
        <patternFill>
          <bgColor rgb="FFFFC000"/>
        </patternFill>
      </fill>
    </dxf>
    <dxf>
      <fill>
        <patternFill>
          <bgColor theme="9"/>
        </patternFill>
      </fill>
    </dxf>
    <dxf>
      <fill>
        <patternFill>
          <bgColor rgb="FFFFC000"/>
        </patternFill>
      </fill>
    </dxf>
    <dxf>
      <fill>
        <patternFill>
          <bgColor theme="9"/>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ill>
        <patternFill>
          <bgColor rgb="FFFFFF00"/>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patternType="none">
          <bgColor auto="1"/>
        </patternFill>
      </fill>
    </dxf>
    <dxf>
      <fill>
        <patternFill patternType="none">
          <bgColor auto="1"/>
        </patternFill>
      </fill>
    </dxf>
    <dxf>
      <fill>
        <patternFill>
          <bgColor rgb="FFFFC000"/>
        </patternFill>
      </fill>
    </dxf>
    <dxf>
      <fill>
        <patternFill>
          <bgColor theme="9"/>
        </patternFill>
      </fill>
    </dxf>
    <dxf>
      <fill>
        <patternFill patternType="none">
          <bgColor auto="1"/>
        </patternFill>
      </fill>
    </dxf>
    <dxf>
      <fill>
        <patternFill>
          <bgColor rgb="FFFFC000"/>
        </patternFill>
      </fill>
    </dxf>
    <dxf>
      <fill>
        <patternFill>
          <bgColor theme="9"/>
        </patternFill>
      </fill>
    </dxf>
    <dxf>
      <fill>
        <patternFill>
          <bgColor rgb="FFFFC000"/>
        </patternFill>
      </fill>
    </dxf>
    <dxf>
      <fill>
        <patternFill>
          <bgColor theme="9"/>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C000"/>
        </patternFill>
      </fill>
    </dxf>
    <dxf>
      <fill>
        <patternFill>
          <bgColor theme="9"/>
        </patternFill>
      </fill>
    </dxf>
    <dxf>
      <fill>
        <patternFill patternType="none">
          <bgColor auto="1"/>
        </patternFill>
      </fill>
    </dxf>
    <dxf>
      <fill>
        <patternFill patternType="none">
          <bgColor auto="1"/>
        </patternFill>
      </fill>
    </dxf>
    <dxf>
      <fill>
        <patternFill>
          <bgColor rgb="FFFFC000"/>
        </patternFill>
      </fill>
    </dxf>
    <dxf>
      <fill>
        <patternFill>
          <bgColor theme="9"/>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C000"/>
        </patternFill>
      </fill>
    </dxf>
    <dxf>
      <fill>
        <patternFill>
          <bgColor theme="9"/>
        </patternFill>
      </fill>
    </dxf>
    <dxf>
      <fill>
        <patternFill patternType="none">
          <bgColor auto="1"/>
        </patternFill>
      </fill>
    </dxf>
    <dxf>
      <fill>
        <patternFill patternType="none">
          <bgColor auto="1"/>
        </patternFill>
      </fill>
    </dxf>
    <dxf>
      <fill>
        <patternFill>
          <bgColor rgb="FFFFC000"/>
        </patternFill>
      </fill>
    </dxf>
    <dxf>
      <fill>
        <patternFill>
          <bgColor theme="9"/>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C000"/>
        </patternFill>
      </fill>
    </dxf>
    <dxf>
      <fill>
        <patternFill>
          <bgColor theme="9"/>
        </patternFill>
      </fill>
    </dxf>
    <dxf>
      <fill>
        <patternFill patternType="none">
          <bgColor auto="1"/>
        </patternFill>
      </fill>
    </dxf>
    <dxf>
      <fill>
        <patternFill patternType="none">
          <bgColor auto="1"/>
        </patternFill>
      </fill>
    </dxf>
    <dxf>
      <fill>
        <patternFill>
          <bgColor rgb="FFFFC000"/>
        </patternFill>
      </fill>
    </dxf>
    <dxf>
      <fill>
        <patternFill>
          <bgColor theme="9"/>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C000"/>
        </patternFill>
      </fill>
    </dxf>
    <dxf>
      <fill>
        <patternFill>
          <bgColor theme="9"/>
        </patternFill>
      </fill>
    </dxf>
    <dxf>
      <fill>
        <patternFill patternType="none">
          <bgColor auto="1"/>
        </patternFill>
      </fill>
    </dxf>
    <dxf>
      <fill>
        <patternFill patternType="none">
          <bgColor auto="1"/>
        </patternFill>
      </fill>
    </dxf>
    <dxf>
      <fill>
        <patternFill>
          <bgColor rgb="FFFFC000"/>
        </patternFill>
      </fill>
    </dxf>
    <dxf>
      <fill>
        <patternFill>
          <bgColor theme="9"/>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C000"/>
        </patternFill>
      </fill>
    </dxf>
    <dxf>
      <fill>
        <patternFill>
          <bgColor theme="9"/>
        </patternFill>
      </fill>
    </dxf>
    <dxf>
      <fill>
        <patternFill patternType="none">
          <bgColor auto="1"/>
        </patternFill>
      </fill>
    </dxf>
    <dxf>
      <fill>
        <patternFill patternType="none">
          <bgColor auto="1"/>
        </patternFill>
      </fill>
    </dxf>
    <dxf>
      <fill>
        <patternFill>
          <bgColor rgb="FFFFC000"/>
        </patternFill>
      </fill>
    </dxf>
    <dxf>
      <fill>
        <patternFill>
          <bgColor theme="9"/>
        </patternFill>
      </fill>
    </dxf>
    <dxf>
      <fill>
        <patternFill>
          <bgColor rgb="FFFFC000"/>
        </patternFill>
      </fill>
    </dxf>
    <dxf>
      <fill>
        <patternFill>
          <bgColor theme="9"/>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0000"/>
        </patternFill>
      </fill>
    </dxf>
    <dxf>
      <fill>
        <patternFill>
          <bgColor rgb="FFFF99CC"/>
        </patternFill>
      </fill>
    </dxf>
    <dxf>
      <fill>
        <patternFill>
          <bgColor rgb="FFFFC000"/>
        </patternFill>
      </fill>
    </dxf>
    <dxf>
      <fill>
        <patternFill patternType="none">
          <bgColor auto="1"/>
        </patternFill>
      </fill>
    </dxf>
    <dxf>
      <fill>
        <patternFill patternType="none">
          <bgColor auto="1"/>
        </patternFill>
      </fill>
    </dxf>
    <dxf>
      <fill>
        <patternFill patternType="none">
          <bgColor auto="1"/>
        </patternFill>
      </fill>
    </dxf>
    <dxf>
      <fill>
        <patternFill>
          <bgColor rgb="FFFFC000"/>
        </patternFill>
      </fill>
    </dxf>
    <dxf>
      <fill>
        <patternFill>
          <bgColor theme="9"/>
        </patternFill>
      </fill>
    </dxf>
    <dxf>
      <fill>
        <patternFill patternType="none">
          <bgColor auto="1"/>
        </patternFill>
      </fill>
    </dxf>
    <dxf>
      <fill>
        <patternFill patternType="none">
          <bgColor auto="1"/>
        </patternFill>
      </fill>
    </dxf>
    <dxf>
      <fill>
        <patternFill>
          <bgColor rgb="FFFFC000"/>
        </patternFill>
      </fill>
    </dxf>
    <dxf>
      <fill>
        <patternFill>
          <bgColor rgb="FFFFC000"/>
        </patternFill>
      </fill>
    </dxf>
    <dxf>
      <fill>
        <patternFill>
          <bgColor theme="9"/>
        </patternFill>
      </fill>
    </dxf>
    <dxf>
      <fill>
        <patternFill patternType="none">
          <bgColor auto="1"/>
        </patternFill>
      </fill>
    </dxf>
    <dxf>
      <fill>
        <patternFill>
          <bgColor rgb="FFFFC000"/>
        </patternFill>
      </fill>
    </dxf>
    <dxf>
      <fill>
        <patternFill>
          <bgColor theme="9"/>
        </patternFill>
      </fill>
    </dxf>
    <dxf>
      <fill>
        <patternFill>
          <bgColor rgb="FFFFC000"/>
        </patternFill>
      </fill>
    </dxf>
    <dxf>
      <fill>
        <patternFill>
          <bgColor theme="9"/>
        </patternFill>
      </fill>
    </dxf>
    <dxf>
      <fill>
        <patternFill>
          <bgColor rgb="FFFFC000"/>
        </patternFill>
      </fill>
    </dxf>
    <dxf>
      <fill>
        <patternFill>
          <bgColor theme="9"/>
        </patternFill>
      </fill>
    </dxf>
    <dxf>
      <fill>
        <patternFill>
          <bgColor rgb="FFFFC000"/>
        </patternFill>
      </fill>
    </dxf>
    <dxf>
      <fill>
        <patternFill>
          <bgColor theme="9"/>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C000"/>
        </patternFill>
      </fill>
    </dxf>
    <dxf>
      <fill>
        <patternFill>
          <bgColor theme="9"/>
        </patternFill>
      </fill>
    </dxf>
    <dxf>
      <fill>
        <patternFill patternType="none">
          <bgColor auto="1"/>
        </patternFill>
      </fill>
    </dxf>
    <dxf>
      <fill>
        <patternFill>
          <bgColor rgb="FFFFC000"/>
        </patternFill>
      </fill>
    </dxf>
    <dxf>
      <fill>
        <patternFill>
          <bgColor theme="9"/>
        </patternFill>
      </fill>
    </dxf>
    <dxf>
      <fill>
        <patternFill>
          <bgColor rgb="FFFFC000"/>
        </patternFill>
      </fill>
    </dxf>
    <dxf>
      <fill>
        <patternFill>
          <bgColor theme="9"/>
        </patternFill>
      </fill>
    </dxf>
    <dxf>
      <fill>
        <patternFill>
          <bgColor rgb="FFFFC000"/>
        </patternFill>
      </fill>
    </dxf>
    <dxf>
      <fill>
        <patternFill>
          <bgColor theme="9"/>
        </patternFill>
      </fill>
    </dxf>
    <dxf>
      <fill>
        <patternFill>
          <bgColor rgb="FFFFC000"/>
        </patternFill>
      </fill>
    </dxf>
    <dxf>
      <fill>
        <patternFill>
          <bgColor theme="9"/>
        </patternFill>
      </fill>
    </dxf>
    <dxf>
      <fill>
        <patternFill>
          <bgColor rgb="FFFFC000"/>
        </patternFill>
      </fill>
    </dxf>
    <dxf>
      <fill>
        <patternFill>
          <bgColor theme="9"/>
        </patternFill>
      </fill>
    </dxf>
    <dxf>
      <fill>
        <patternFill>
          <bgColor rgb="FFFFC000"/>
        </patternFill>
      </fill>
    </dxf>
    <dxf>
      <fill>
        <patternFill>
          <bgColor theme="9"/>
        </patternFill>
      </fill>
    </dxf>
    <dxf>
      <fill>
        <patternFill>
          <bgColor rgb="FFFFC000"/>
        </patternFill>
      </fill>
    </dxf>
    <dxf>
      <fill>
        <patternFill>
          <bgColor theme="9"/>
        </patternFill>
      </fill>
    </dxf>
    <dxf>
      <fill>
        <patternFill>
          <bgColor rgb="FFFFC000"/>
        </patternFill>
      </fill>
    </dxf>
    <dxf>
      <fill>
        <patternFill>
          <bgColor theme="9"/>
        </patternFill>
      </fill>
    </dxf>
    <dxf>
      <fill>
        <patternFill>
          <bgColor rgb="FFFFC000"/>
        </patternFill>
      </fill>
    </dxf>
    <dxf>
      <fill>
        <patternFill>
          <bgColor theme="9"/>
        </patternFill>
      </fill>
    </dxf>
    <dxf>
      <fill>
        <patternFill>
          <bgColor rgb="FFFFC000"/>
        </patternFill>
      </fill>
    </dxf>
    <dxf>
      <fill>
        <patternFill>
          <bgColor theme="9"/>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C000"/>
        </patternFill>
      </fill>
    </dxf>
    <dxf>
      <fill>
        <patternFill>
          <bgColor theme="9"/>
        </patternFill>
      </fill>
    </dxf>
    <dxf>
      <fill>
        <patternFill>
          <bgColor rgb="FFFFC000"/>
        </patternFill>
      </fill>
    </dxf>
    <dxf>
      <fill>
        <patternFill>
          <bgColor theme="9"/>
        </patternFill>
      </fill>
    </dxf>
    <dxf>
      <fill>
        <patternFill>
          <bgColor rgb="FFFFC000"/>
        </patternFill>
      </fill>
    </dxf>
    <dxf>
      <fill>
        <patternFill>
          <bgColor theme="9"/>
        </patternFill>
      </fill>
    </dxf>
    <dxf>
      <fill>
        <patternFill>
          <bgColor rgb="FFFFC000"/>
        </patternFill>
      </fill>
    </dxf>
    <dxf>
      <fill>
        <patternFill>
          <bgColor theme="9"/>
        </patternFill>
      </fill>
    </dxf>
    <dxf>
      <fill>
        <patternFill>
          <bgColor rgb="FFFFC000"/>
        </patternFill>
      </fill>
    </dxf>
    <dxf>
      <fill>
        <patternFill>
          <bgColor theme="9"/>
        </patternFill>
      </fill>
    </dxf>
    <dxf>
      <fill>
        <patternFill>
          <bgColor rgb="FFFFC000"/>
        </patternFill>
      </fill>
    </dxf>
    <dxf>
      <fill>
        <patternFill>
          <bgColor theme="9"/>
        </patternFill>
      </fill>
    </dxf>
    <dxf>
      <fill>
        <patternFill>
          <bgColor rgb="FFFFC000"/>
        </patternFill>
      </fill>
    </dxf>
    <dxf>
      <fill>
        <patternFill>
          <bgColor theme="9"/>
        </patternFill>
      </fill>
    </dxf>
    <dxf>
      <fill>
        <patternFill>
          <bgColor rgb="FFFFC000"/>
        </patternFill>
      </fill>
    </dxf>
    <dxf>
      <fill>
        <patternFill>
          <bgColor theme="9"/>
        </patternFill>
      </fill>
    </dxf>
    <dxf>
      <fill>
        <patternFill>
          <bgColor rgb="FFFFC000"/>
        </patternFill>
      </fill>
    </dxf>
    <dxf>
      <fill>
        <patternFill>
          <bgColor theme="9"/>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C000"/>
        </patternFill>
      </fill>
    </dxf>
    <dxf>
      <fill>
        <patternFill>
          <bgColor theme="9"/>
        </patternFill>
      </fill>
    </dxf>
    <dxf>
      <fill>
        <patternFill>
          <bgColor rgb="FFFFC000"/>
        </patternFill>
      </fill>
    </dxf>
    <dxf>
      <fill>
        <patternFill>
          <bgColor theme="9"/>
        </patternFill>
      </fill>
    </dxf>
    <dxf>
      <fill>
        <patternFill patternType="none">
          <bgColor auto="1"/>
        </patternFill>
      </fill>
    </dxf>
    <dxf>
      <fill>
        <patternFill>
          <bgColor rgb="FFFFC000"/>
        </patternFill>
      </fill>
    </dxf>
    <dxf>
      <fill>
        <patternFill>
          <bgColor theme="9"/>
        </patternFill>
      </fill>
    </dxf>
    <dxf>
      <fill>
        <patternFill>
          <bgColor rgb="FFFFC000"/>
        </patternFill>
      </fill>
    </dxf>
    <dxf>
      <fill>
        <patternFill>
          <bgColor theme="9"/>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s>
  <tableStyles count="0" defaultTableStyle="TableStyleMedium2" defaultPivotStyle="PivotStyleLight16"/>
  <colors>
    <mruColors>
      <color rgb="FFD6E6FE"/>
      <color rgb="FF8C96F4"/>
      <color rgb="FFB6852E"/>
      <color rgb="FF1D2DC7"/>
      <color rgb="FF2F75B5"/>
      <color rgb="FF2235EA"/>
      <color rgb="FF4151ED"/>
      <color rgb="FFDC44CA"/>
      <color rgb="FF993300"/>
      <color rgb="FF1120B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GHG Emissions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Performance!$C$84</c:f>
              <c:strCache>
                <c:ptCount val="1"/>
                <c:pt idx="0">
                  <c:v>Baseline</c:v>
                </c:pt>
              </c:strCache>
            </c:strRef>
          </c:tx>
          <c:spPr>
            <a:ln w="28575" cap="rnd">
              <a:solidFill>
                <a:schemeClr val="bg1">
                  <a:lumMod val="50000"/>
                </a:schemeClr>
              </a:solidFill>
              <a:prstDash val="sysDash"/>
              <a:round/>
            </a:ln>
            <a:effectLst/>
          </c:spPr>
          <c:marker>
            <c:symbol val="none"/>
          </c:marker>
          <c:cat>
            <c:strRef>
              <c:extLst>
                <c:ext xmlns:c15="http://schemas.microsoft.com/office/drawing/2012/chart" uri="{02D57815-91ED-43cb-92C2-25804820EDAC}">
                  <c15:fullRef>
                    <c15:sqref>Performance!$B$85:$B$95</c15:sqref>
                  </c15:fullRef>
                </c:ext>
              </c:extLst>
              <c:f>Performance!$B$85:$B$94</c:f>
              <c:strCache>
                <c:ptCount val="10"/>
                <c:pt idx="0">
                  <c:v>2009/10</c:v>
                </c:pt>
                <c:pt idx="1">
                  <c:v>2010/11</c:v>
                </c:pt>
                <c:pt idx="2">
                  <c:v>2011/12</c:v>
                </c:pt>
                <c:pt idx="3">
                  <c:v>2012/13</c:v>
                </c:pt>
                <c:pt idx="4">
                  <c:v>2013/14</c:v>
                </c:pt>
                <c:pt idx="5">
                  <c:v>2014/15</c:v>
                </c:pt>
                <c:pt idx="6">
                  <c:v>2015/16</c:v>
                </c:pt>
                <c:pt idx="7">
                  <c:v>2016/17</c:v>
                </c:pt>
                <c:pt idx="8">
                  <c:v>2017/18</c:v>
                </c:pt>
                <c:pt idx="9">
                  <c:v>2018/19</c:v>
                </c:pt>
              </c:strCache>
            </c:strRef>
          </c:cat>
          <c:val>
            <c:numRef>
              <c:extLst>
                <c:ext xmlns:c15="http://schemas.microsoft.com/office/drawing/2012/chart" uri="{02D57815-91ED-43cb-92C2-25804820EDAC}">
                  <c15:fullRef>
                    <c15:sqref>Performance!$C$85:$C$95</c15:sqref>
                  </c15:fullRef>
                </c:ext>
              </c:extLst>
              <c:f>Performance!$C$85:$C$94</c:f>
              <c:numCache>
                <c:formatCode>#,##0.00</c:formatCode>
                <c:ptCount val="10"/>
                <c:pt idx="0">
                  <c:v>561575.76312077325</c:v>
                </c:pt>
                <c:pt idx="1">
                  <c:v>561575.76312077325</c:v>
                </c:pt>
                <c:pt idx="2">
                  <c:v>561575.76312077325</c:v>
                </c:pt>
                <c:pt idx="3">
                  <c:v>561575.76312077325</c:v>
                </c:pt>
                <c:pt idx="4">
                  <c:v>561575.76312077325</c:v>
                </c:pt>
                <c:pt idx="5">
                  <c:v>561575.76312077325</c:v>
                </c:pt>
                <c:pt idx="6">
                  <c:v>561575.76312077325</c:v>
                </c:pt>
                <c:pt idx="7">
                  <c:v>561575.76312077325</c:v>
                </c:pt>
                <c:pt idx="8">
                  <c:v>561575.76312077325</c:v>
                </c:pt>
                <c:pt idx="9">
                  <c:v>561575.76312077325</c:v>
                </c:pt>
              </c:numCache>
            </c:numRef>
          </c:val>
          <c:smooth val="0"/>
          <c:extLst>
            <c:ext xmlns:c16="http://schemas.microsoft.com/office/drawing/2014/chart" uri="{C3380CC4-5D6E-409C-BE32-E72D297353CC}">
              <c16:uniqueId val="{00000000-8FA3-4B65-B40F-E1DB82655188}"/>
            </c:ext>
          </c:extLst>
        </c:ser>
        <c:ser>
          <c:idx val="1"/>
          <c:order val="1"/>
          <c:tx>
            <c:strRef>
              <c:f>Performance!$D$84</c:f>
              <c:strCache>
                <c:ptCount val="1"/>
                <c:pt idx="0">
                  <c:v>Actual</c:v>
                </c:pt>
              </c:strCache>
            </c:strRef>
          </c:tx>
          <c:spPr>
            <a:ln w="28575" cap="rnd">
              <a:solidFill>
                <a:srgbClr val="00B050"/>
              </a:solidFill>
              <a:round/>
            </a:ln>
            <a:effectLst/>
          </c:spPr>
          <c:marker>
            <c:symbol val="none"/>
          </c:marker>
          <c:cat>
            <c:strRef>
              <c:extLst>
                <c:ext xmlns:c15="http://schemas.microsoft.com/office/drawing/2012/chart" uri="{02D57815-91ED-43cb-92C2-25804820EDAC}">
                  <c15:fullRef>
                    <c15:sqref>Performance!$B$85:$B$95</c15:sqref>
                  </c15:fullRef>
                </c:ext>
              </c:extLst>
              <c:f>Performance!$B$85:$B$94</c:f>
              <c:strCache>
                <c:ptCount val="10"/>
                <c:pt idx="0">
                  <c:v>2009/10</c:v>
                </c:pt>
                <c:pt idx="1">
                  <c:v>2010/11</c:v>
                </c:pt>
                <c:pt idx="2">
                  <c:v>2011/12</c:v>
                </c:pt>
                <c:pt idx="3">
                  <c:v>2012/13</c:v>
                </c:pt>
                <c:pt idx="4">
                  <c:v>2013/14</c:v>
                </c:pt>
                <c:pt idx="5">
                  <c:v>2014/15</c:v>
                </c:pt>
                <c:pt idx="6">
                  <c:v>2015/16</c:v>
                </c:pt>
                <c:pt idx="7">
                  <c:v>2016/17</c:v>
                </c:pt>
                <c:pt idx="8">
                  <c:v>2017/18</c:v>
                </c:pt>
                <c:pt idx="9">
                  <c:v>2018/19</c:v>
                </c:pt>
              </c:strCache>
            </c:strRef>
          </c:cat>
          <c:val>
            <c:numRef>
              <c:extLst>
                <c:ext xmlns:c15="http://schemas.microsoft.com/office/drawing/2012/chart" uri="{02D57815-91ED-43cb-92C2-25804820EDAC}">
                  <c15:fullRef>
                    <c15:sqref>Performance!$D$85:$D$95</c15:sqref>
                  </c15:fullRef>
                </c:ext>
              </c:extLst>
              <c:f>Performance!$D$85:$D$94</c:f>
              <c:numCache>
                <c:formatCode>#,##0.00</c:formatCode>
                <c:ptCount val="10"/>
                <c:pt idx="0">
                  <c:v>561575.76312077325</c:v>
                </c:pt>
                <c:pt idx="1">
                  <c:v>0</c:v>
                </c:pt>
                <c:pt idx="2">
                  <c:v>0</c:v>
                </c:pt>
                <c:pt idx="3">
                  <c:v>513250.84694764501</c:v>
                </c:pt>
                <c:pt idx="4">
                  <c:v>460692.82498396264</c:v>
                </c:pt>
                <c:pt idx="5">
                  <c:v>486913.22958508832</c:v>
                </c:pt>
                <c:pt idx="6">
                  <c:v>447687.09090470063</c:v>
                </c:pt>
                <c:pt idx="7">
                  <c:v>405139.90640694159</c:v>
                </c:pt>
                <c:pt idx="8">
                  <c:v>370348.53745798639</c:v>
                </c:pt>
                <c:pt idx="9">
                  <c:v>336511.49261138501</c:v>
                </c:pt>
              </c:numCache>
            </c:numRef>
          </c:val>
          <c:smooth val="0"/>
          <c:extLst>
            <c:ext xmlns:c16="http://schemas.microsoft.com/office/drawing/2014/chart" uri="{C3380CC4-5D6E-409C-BE32-E72D297353CC}">
              <c16:uniqueId val="{00000001-8FA3-4B65-B40F-E1DB82655188}"/>
            </c:ext>
          </c:extLst>
        </c:ser>
        <c:ser>
          <c:idx val="2"/>
          <c:order val="2"/>
          <c:tx>
            <c:strRef>
              <c:f>Performance!$E$84</c:f>
              <c:strCache>
                <c:ptCount val="1"/>
                <c:pt idx="0">
                  <c:v>Target</c:v>
                </c:pt>
              </c:strCache>
            </c:strRef>
          </c:tx>
          <c:spPr>
            <a:ln w="28575" cap="rnd">
              <a:solidFill>
                <a:srgbClr val="C00000"/>
              </a:solidFill>
              <a:prstDash val="sysDash"/>
              <a:round/>
            </a:ln>
            <a:effectLst/>
          </c:spPr>
          <c:marker>
            <c:symbol val="none"/>
          </c:marker>
          <c:cat>
            <c:strRef>
              <c:extLst>
                <c:ext xmlns:c15="http://schemas.microsoft.com/office/drawing/2012/chart" uri="{02D57815-91ED-43cb-92C2-25804820EDAC}">
                  <c15:fullRef>
                    <c15:sqref>Performance!$B$85:$B$95</c15:sqref>
                  </c15:fullRef>
                </c:ext>
              </c:extLst>
              <c:f>Performance!$B$85:$B$94</c:f>
              <c:strCache>
                <c:ptCount val="10"/>
                <c:pt idx="0">
                  <c:v>2009/10</c:v>
                </c:pt>
                <c:pt idx="1">
                  <c:v>2010/11</c:v>
                </c:pt>
                <c:pt idx="2">
                  <c:v>2011/12</c:v>
                </c:pt>
                <c:pt idx="3">
                  <c:v>2012/13</c:v>
                </c:pt>
                <c:pt idx="4">
                  <c:v>2013/14</c:v>
                </c:pt>
                <c:pt idx="5">
                  <c:v>2014/15</c:v>
                </c:pt>
                <c:pt idx="6">
                  <c:v>2015/16</c:v>
                </c:pt>
                <c:pt idx="7">
                  <c:v>2016/17</c:v>
                </c:pt>
                <c:pt idx="8">
                  <c:v>2017/18</c:v>
                </c:pt>
                <c:pt idx="9">
                  <c:v>2018/19</c:v>
                </c:pt>
              </c:strCache>
            </c:strRef>
          </c:cat>
          <c:val>
            <c:numRef>
              <c:extLst>
                <c:ext xmlns:c15="http://schemas.microsoft.com/office/drawing/2012/chart" uri="{02D57815-91ED-43cb-92C2-25804820EDAC}">
                  <c15:fullRef>
                    <c15:sqref>Performance!$E$85:$E$95</c15:sqref>
                  </c15:fullRef>
                </c:ext>
              </c:extLst>
              <c:f>Performance!$E$85:$E$94</c:f>
              <c:numCache>
                <c:formatCode>#,##0.00</c:formatCode>
                <c:ptCount val="10"/>
                <c:pt idx="0">
                  <c:v>438029.09523420315</c:v>
                </c:pt>
                <c:pt idx="1">
                  <c:v>438029.09523420315</c:v>
                </c:pt>
                <c:pt idx="2">
                  <c:v>438029.09523420315</c:v>
                </c:pt>
                <c:pt idx="3">
                  <c:v>438029.09523420315</c:v>
                </c:pt>
                <c:pt idx="4">
                  <c:v>438029.09523420315</c:v>
                </c:pt>
                <c:pt idx="5">
                  <c:v>438029.09523420315</c:v>
                </c:pt>
                <c:pt idx="6">
                  <c:v>438029.09523420315</c:v>
                </c:pt>
                <c:pt idx="7">
                  <c:v>438029.09523420315</c:v>
                </c:pt>
                <c:pt idx="8">
                  <c:v>438029.09523420315</c:v>
                </c:pt>
                <c:pt idx="9">
                  <c:v>438029.09523420315</c:v>
                </c:pt>
              </c:numCache>
            </c:numRef>
          </c:val>
          <c:smooth val="0"/>
          <c:extLst>
            <c:ext xmlns:c16="http://schemas.microsoft.com/office/drawing/2014/chart" uri="{C3380CC4-5D6E-409C-BE32-E72D297353CC}">
              <c16:uniqueId val="{00000002-8FA3-4B65-B40F-E1DB82655188}"/>
            </c:ext>
          </c:extLst>
        </c:ser>
        <c:dLbls>
          <c:showLegendKey val="0"/>
          <c:showVal val="0"/>
          <c:showCatName val="0"/>
          <c:showSerName val="0"/>
          <c:showPercent val="0"/>
          <c:showBubbleSize val="0"/>
        </c:dLbls>
        <c:smooth val="0"/>
        <c:axId val="477827616"/>
        <c:axId val="566426920"/>
      </c:lineChart>
      <c:catAx>
        <c:axId val="47782761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6426920"/>
        <c:crosses val="autoZero"/>
        <c:auto val="0"/>
        <c:lblAlgn val="ctr"/>
        <c:lblOffset val="100"/>
        <c:noMultiLvlLbl val="0"/>
      </c:catAx>
      <c:valAx>
        <c:axId val="5664269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tCO2e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78276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 waste recycled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Performance!$N$125</c:f>
              <c:strCache>
                <c:ptCount val="1"/>
                <c:pt idx="0">
                  <c:v>2018-19</c:v>
                </c:pt>
              </c:strCache>
            </c:strRef>
          </c:tx>
          <c:spPr>
            <a:ln w="28575" cap="rnd">
              <a:solidFill>
                <a:schemeClr val="accent2"/>
              </a:solidFill>
              <a:prstDash val="sysDot"/>
              <a:round/>
            </a:ln>
            <a:effectLst/>
          </c:spPr>
          <c:marker>
            <c:symbol val="circle"/>
            <c:size val="5"/>
            <c:spPr>
              <a:solidFill>
                <a:schemeClr val="accent2"/>
              </a:solidFill>
              <a:ln w="9525">
                <a:solidFill>
                  <a:schemeClr val="accent2"/>
                </a:solidFill>
              </a:ln>
              <a:effectLst/>
            </c:spPr>
          </c:marker>
          <c:cat>
            <c:strRef>
              <c:f>Performance!$M$153:$M$156</c:f>
              <c:strCache>
                <c:ptCount val="4"/>
                <c:pt idx="0">
                  <c:v>Q1</c:v>
                </c:pt>
                <c:pt idx="1">
                  <c:v>Q2</c:v>
                </c:pt>
                <c:pt idx="2">
                  <c:v>Q3</c:v>
                </c:pt>
                <c:pt idx="3">
                  <c:v>Q4</c:v>
                </c:pt>
              </c:strCache>
            </c:strRef>
          </c:cat>
          <c:val>
            <c:numRef>
              <c:f>Performance!$N$153:$N$156</c:f>
              <c:numCache>
                <c:formatCode>#,##0.00</c:formatCode>
                <c:ptCount val="4"/>
                <c:pt idx="0">
                  <c:v>0.83422876943144619</c:v>
                </c:pt>
                <c:pt idx="1">
                  <c:v>0.85147858998072323</c:v>
                </c:pt>
                <c:pt idx="2">
                  <c:v>0.82783545560449578</c:v>
                </c:pt>
                <c:pt idx="3">
                  <c:v>0.82353381504309342</c:v>
                </c:pt>
              </c:numCache>
            </c:numRef>
          </c:val>
          <c:smooth val="0"/>
          <c:extLst>
            <c:ext xmlns:c16="http://schemas.microsoft.com/office/drawing/2014/chart" uri="{C3380CC4-5D6E-409C-BE32-E72D297353CC}">
              <c16:uniqueId val="{00000000-E521-4C14-9FC0-5EB72F57F6E1}"/>
            </c:ext>
          </c:extLst>
        </c:ser>
        <c:ser>
          <c:idx val="1"/>
          <c:order val="1"/>
          <c:tx>
            <c:strRef>
              <c:f>Performance!$O$125</c:f>
              <c:strCache>
                <c:ptCount val="1"/>
                <c:pt idx="0">
                  <c:v>2019-20</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Performance!$M$153:$M$156</c:f>
              <c:strCache>
                <c:ptCount val="4"/>
                <c:pt idx="0">
                  <c:v>Q1</c:v>
                </c:pt>
                <c:pt idx="1">
                  <c:v>Q2</c:v>
                </c:pt>
                <c:pt idx="2">
                  <c:v>Q3</c:v>
                </c:pt>
                <c:pt idx="3">
                  <c:v>Q4</c:v>
                </c:pt>
              </c:strCache>
            </c:strRef>
          </c:cat>
          <c:val>
            <c:numRef>
              <c:f>Performance!$O$153:$O$156</c:f>
              <c:numCache>
                <c:formatCode>#,##0.00</c:formatCode>
                <c:ptCount val="4"/>
                <c:pt idx="0">
                  <c:v>0.83326125168134291</c:v>
                </c:pt>
                <c:pt idx="1">
                  <c:v>0.80775502850510761</c:v>
                </c:pt>
                <c:pt idx="2">
                  <c:v>0</c:v>
                </c:pt>
                <c:pt idx="3">
                  <c:v>0</c:v>
                </c:pt>
              </c:numCache>
            </c:numRef>
          </c:val>
          <c:smooth val="0"/>
          <c:extLst>
            <c:ext xmlns:c16="http://schemas.microsoft.com/office/drawing/2014/chart" uri="{C3380CC4-5D6E-409C-BE32-E72D297353CC}">
              <c16:uniqueId val="{00000001-E521-4C14-9FC0-5EB72F57F6E1}"/>
            </c:ext>
          </c:extLst>
        </c:ser>
        <c:dLbls>
          <c:showLegendKey val="0"/>
          <c:showVal val="0"/>
          <c:showCatName val="0"/>
          <c:showSerName val="0"/>
          <c:showPercent val="0"/>
          <c:showBubbleSize val="0"/>
        </c:dLbls>
        <c:marker val="1"/>
        <c:smooth val="0"/>
        <c:axId val="574845152"/>
        <c:axId val="574845544"/>
      </c:lineChart>
      <c:catAx>
        <c:axId val="574845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4845544"/>
        <c:crosses val="autoZero"/>
        <c:auto val="1"/>
        <c:lblAlgn val="ctr"/>
        <c:lblOffset val="100"/>
        <c:noMultiLvlLbl val="0"/>
      </c:catAx>
      <c:valAx>
        <c:axId val="574845544"/>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 total waste recycled</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484515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Paper purchased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Performance!$N$125</c:f>
              <c:strCache>
                <c:ptCount val="1"/>
                <c:pt idx="0">
                  <c:v>2018-19</c:v>
                </c:pt>
              </c:strCache>
            </c:strRef>
          </c:tx>
          <c:spPr>
            <a:ln w="28575" cap="rnd">
              <a:solidFill>
                <a:srgbClr val="7030A0"/>
              </a:solidFill>
              <a:prstDash val="sysDot"/>
              <a:round/>
            </a:ln>
            <a:effectLst/>
          </c:spPr>
          <c:marker>
            <c:symbol val="circle"/>
            <c:size val="5"/>
            <c:spPr>
              <a:solidFill>
                <a:srgbClr val="7030A0"/>
              </a:solidFill>
              <a:ln w="9525">
                <a:solidFill>
                  <a:srgbClr val="7030A0"/>
                </a:solidFill>
              </a:ln>
              <a:effectLst/>
            </c:spPr>
          </c:marker>
          <c:cat>
            <c:strRef>
              <c:f>Performance!$M$173:$M$176</c:f>
              <c:strCache>
                <c:ptCount val="4"/>
                <c:pt idx="0">
                  <c:v>Q1</c:v>
                </c:pt>
                <c:pt idx="1">
                  <c:v>Q2</c:v>
                </c:pt>
                <c:pt idx="2">
                  <c:v>Q3</c:v>
                </c:pt>
                <c:pt idx="3">
                  <c:v>Q4</c:v>
                </c:pt>
              </c:strCache>
            </c:strRef>
          </c:cat>
          <c:val>
            <c:numRef>
              <c:f>Performance!$N$173:$N$176</c:f>
              <c:numCache>
                <c:formatCode>#,##0.00</c:formatCode>
                <c:ptCount val="4"/>
                <c:pt idx="0">
                  <c:v>277524.5</c:v>
                </c:pt>
                <c:pt idx="1">
                  <c:v>258159.5</c:v>
                </c:pt>
                <c:pt idx="2">
                  <c:v>254638</c:v>
                </c:pt>
                <c:pt idx="3">
                  <c:v>285494</c:v>
                </c:pt>
              </c:numCache>
            </c:numRef>
          </c:val>
          <c:smooth val="0"/>
          <c:extLst>
            <c:ext xmlns:c16="http://schemas.microsoft.com/office/drawing/2014/chart" uri="{C3380CC4-5D6E-409C-BE32-E72D297353CC}">
              <c16:uniqueId val="{00000000-61A0-4221-86C7-F28B0F5DABA5}"/>
            </c:ext>
          </c:extLst>
        </c:ser>
        <c:ser>
          <c:idx val="1"/>
          <c:order val="1"/>
          <c:tx>
            <c:strRef>
              <c:f>Performance!$O$125</c:f>
              <c:strCache>
                <c:ptCount val="1"/>
                <c:pt idx="0">
                  <c:v>2019-20</c:v>
                </c:pt>
              </c:strCache>
            </c:strRef>
          </c:tx>
          <c:spPr>
            <a:ln w="28575" cap="rnd">
              <a:solidFill>
                <a:srgbClr val="7030A0"/>
              </a:solidFill>
              <a:round/>
            </a:ln>
            <a:effectLst/>
          </c:spPr>
          <c:marker>
            <c:symbol val="circle"/>
            <c:size val="5"/>
            <c:spPr>
              <a:solidFill>
                <a:srgbClr val="7030A0"/>
              </a:solidFill>
              <a:ln w="9525">
                <a:solidFill>
                  <a:srgbClr val="7030A0"/>
                </a:solidFill>
              </a:ln>
              <a:effectLst/>
            </c:spPr>
          </c:marker>
          <c:cat>
            <c:strRef>
              <c:f>Performance!$M$173:$M$176</c:f>
              <c:strCache>
                <c:ptCount val="4"/>
                <c:pt idx="0">
                  <c:v>Q1</c:v>
                </c:pt>
                <c:pt idx="1">
                  <c:v>Q2</c:v>
                </c:pt>
                <c:pt idx="2">
                  <c:v>Q3</c:v>
                </c:pt>
                <c:pt idx="3">
                  <c:v>Q4</c:v>
                </c:pt>
              </c:strCache>
            </c:strRef>
          </c:cat>
          <c:val>
            <c:numRef>
              <c:f>Performance!$O$173:$O$176</c:f>
              <c:numCache>
                <c:formatCode>#,##0.00</c:formatCode>
                <c:ptCount val="4"/>
                <c:pt idx="0">
                  <c:v>265900.5</c:v>
                </c:pt>
                <c:pt idx="1">
                  <c:v>269613</c:v>
                </c:pt>
                <c:pt idx="2">
                  <c:v>0</c:v>
                </c:pt>
                <c:pt idx="3">
                  <c:v>0</c:v>
                </c:pt>
              </c:numCache>
            </c:numRef>
          </c:val>
          <c:smooth val="0"/>
          <c:extLst>
            <c:ext xmlns:c16="http://schemas.microsoft.com/office/drawing/2014/chart" uri="{C3380CC4-5D6E-409C-BE32-E72D297353CC}">
              <c16:uniqueId val="{00000001-61A0-4221-86C7-F28B0F5DABA5}"/>
            </c:ext>
          </c:extLst>
        </c:ser>
        <c:dLbls>
          <c:showLegendKey val="0"/>
          <c:showVal val="0"/>
          <c:showCatName val="0"/>
          <c:showSerName val="0"/>
          <c:showPercent val="0"/>
          <c:showBubbleSize val="0"/>
        </c:dLbls>
        <c:marker val="1"/>
        <c:smooth val="0"/>
        <c:axId val="368430072"/>
        <c:axId val="368430464"/>
      </c:lineChart>
      <c:catAx>
        <c:axId val="368430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430464"/>
        <c:crosses val="autoZero"/>
        <c:auto val="1"/>
        <c:lblAlgn val="ctr"/>
        <c:lblOffset val="100"/>
        <c:noMultiLvlLbl val="0"/>
      </c:catAx>
      <c:valAx>
        <c:axId val="368430464"/>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Reams of A4</a:t>
                </a:r>
                <a:r>
                  <a:rPr lang="en-GB" baseline="0"/>
                  <a:t> equivalent</a:t>
                </a:r>
                <a:endParaRPr lang="en-GB"/>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4300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Water Consumption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Performance!$N$125</c:f>
              <c:strCache>
                <c:ptCount val="1"/>
                <c:pt idx="0">
                  <c:v>2018-19</c:v>
                </c:pt>
              </c:strCache>
            </c:strRef>
          </c:tx>
          <c:spPr>
            <a:ln w="28575" cap="rnd">
              <a:solidFill>
                <a:schemeClr val="accent1"/>
              </a:solidFill>
              <a:prstDash val="sysDot"/>
              <a:round/>
            </a:ln>
            <a:effectLst/>
          </c:spPr>
          <c:marker>
            <c:symbol val="circle"/>
            <c:size val="5"/>
            <c:spPr>
              <a:solidFill>
                <a:schemeClr val="accent1"/>
              </a:solidFill>
              <a:ln w="9525">
                <a:solidFill>
                  <a:schemeClr val="accent1"/>
                </a:solidFill>
              </a:ln>
              <a:effectLst/>
            </c:spPr>
          </c:marker>
          <c:cat>
            <c:strRef>
              <c:f>Performance!$M$191:$M$194</c:f>
              <c:strCache>
                <c:ptCount val="4"/>
                <c:pt idx="0">
                  <c:v>Q1</c:v>
                </c:pt>
                <c:pt idx="1">
                  <c:v>Q2</c:v>
                </c:pt>
                <c:pt idx="2">
                  <c:v>Q3</c:v>
                </c:pt>
                <c:pt idx="3">
                  <c:v>Q4</c:v>
                </c:pt>
              </c:strCache>
            </c:strRef>
          </c:cat>
          <c:val>
            <c:numRef>
              <c:f>Performance!$N$191:$N$194</c:f>
              <c:numCache>
                <c:formatCode>#,##0.00</c:formatCode>
                <c:ptCount val="4"/>
                <c:pt idx="0">
                  <c:v>2274097.3106746501</c:v>
                </c:pt>
                <c:pt idx="1">
                  <c:v>2131140.24478989</c:v>
                </c:pt>
                <c:pt idx="2">
                  <c:v>2272430.1143495701</c:v>
                </c:pt>
                <c:pt idx="3">
                  <c:v>2296353.4087912301</c:v>
                </c:pt>
              </c:numCache>
            </c:numRef>
          </c:val>
          <c:smooth val="0"/>
          <c:extLst>
            <c:ext xmlns:c16="http://schemas.microsoft.com/office/drawing/2014/chart" uri="{C3380CC4-5D6E-409C-BE32-E72D297353CC}">
              <c16:uniqueId val="{00000000-AF40-4292-B0C6-078FA7DD9F08}"/>
            </c:ext>
          </c:extLst>
        </c:ser>
        <c:ser>
          <c:idx val="1"/>
          <c:order val="1"/>
          <c:tx>
            <c:strRef>
              <c:f>Performance!$O$125</c:f>
              <c:strCache>
                <c:ptCount val="1"/>
                <c:pt idx="0">
                  <c:v>2019-20</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Performance!$M$191:$M$194</c:f>
              <c:strCache>
                <c:ptCount val="4"/>
                <c:pt idx="0">
                  <c:v>Q1</c:v>
                </c:pt>
                <c:pt idx="1">
                  <c:v>Q2</c:v>
                </c:pt>
                <c:pt idx="2">
                  <c:v>Q3</c:v>
                </c:pt>
                <c:pt idx="3">
                  <c:v>Q4</c:v>
                </c:pt>
              </c:strCache>
            </c:strRef>
          </c:cat>
          <c:val>
            <c:numRef>
              <c:f>Performance!$O$191:$O$194</c:f>
              <c:numCache>
                <c:formatCode>#,##0.00</c:formatCode>
                <c:ptCount val="4"/>
                <c:pt idx="0">
                  <c:v>2197087.5279642199</c:v>
                </c:pt>
                <c:pt idx="1">
                  <c:v>2259986.9982851301</c:v>
                </c:pt>
                <c:pt idx="2">
                  <c:v>0</c:v>
                </c:pt>
                <c:pt idx="3">
                  <c:v>0</c:v>
                </c:pt>
              </c:numCache>
            </c:numRef>
          </c:val>
          <c:smooth val="0"/>
          <c:extLst>
            <c:ext xmlns:c16="http://schemas.microsoft.com/office/drawing/2014/chart" uri="{C3380CC4-5D6E-409C-BE32-E72D297353CC}">
              <c16:uniqueId val="{00000001-AF40-4292-B0C6-078FA7DD9F08}"/>
            </c:ext>
          </c:extLst>
        </c:ser>
        <c:dLbls>
          <c:showLegendKey val="0"/>
          <c:showVal val="0"/>
          <c:showCatName val="0"/>
          <c:showSerName val="0"/>
          <c:showPercent val="0"/>
          <c:showBubbleSize val="0"/>
        </c:dLbls>
        <c:marker val="1"/>
        <c:smooth val="0"/>
        <c:axId val="368431248"/>
        <c:axId val="368431640"/>
      </c:lineChart>
      <c:catAx>
        <c:axId val="368431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431640"/>
        <c:crosses val="autoZero"/>
        <c:auto val="1"/>
        <c:lblAlgn val="ctr"/>
        <c:lblOffset val="100"/>
        <c:noMultiLvlLbl val="0"/>
      </c:catAx>
      <c:valAx>
        <c:axId val="36843164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m3</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43124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Water Consumption</a:t>
            </a:r>
            <a:r>
              <a:rPr lang="en-GB" baseline="0"/>
              <a:t> </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Performance!$B$185</c:f>
              <c:strCache>
                <c:ptCount val="1"/>
                <c:pt idx="0">
                  <c:v>Water Consumption</c:v>
                </c:pt>
              </c:strCache>
            </c:strRef>
          </c:tx>
          <c:spPr>
            <a:ln w="28575" cap="rnd">
              <a:solidFill>
                <a:schemeClr val="accent1"/>
              </a:solidFill>
              <a:round/>
            </a:ln>
            <a:effectLst/>
          </c:spPr>
          <c:marker>
            <c:symbol val="none"/>
          </c:marker>
          <c:cat>
            <c:strRef>
              <c:f>Performance!$B$144:$B$153</c:f>
              <c:strCache>
                <c:ptCount val="10"/>
                <c:pt idx="0">
                  <c:v>2009/10</c:v>
                </c:pt>
                <c:pt idx="1">
                  <c:v>2010/11</c:v>
                </c:pt>
                <c:pt idx="2">
                  <c:v>2011/12</c:v>
                </c:pt>
                <c:pt idx="3">
                  <c:v>2012/13</c:v>
                </c:pt>
                <c:pt idx="4">
                  <c:v>2013/14</c:v>
                </c:pt>
                <c:pt idx="5">
                  <c:v>2014/15</c:v>
                </c:pt>
                <c:pt idx="6">
                  <c:v>2015/16</c:v>
                </c:pt>
                <c:pt idx="7">
                  <c:v>2016/17</c:v>
                </c:pt>
                <c:pt idx="8">
                  <c:v>2017/18</c:v>
                </c:pt>
                <c:pt idx="9">
                  <c:v>2018/19</c:v>
                </c:pt>
              </c:strCache>
              <c:extLst/>
            </c:strRef>
          </c:cat>
          <c:val>
            <c:numRef>
              <c:f>Performance!$C$186:$C$195</c:f>
              <c:numCache>
                <c:formatCode>#,##0</c:formatCode>
                <c:ptCount val="10"/>
                <c:pt idx="0">
                  <c:v>9277165</c:v>
                </c:pt>
                <c:pt idx="1">
                  <c:v>0</c:v>
                </c:pt>
                <c:pt idx="2">
                  <c:v>0</c:v>
                </c:pt>
                <c:pt idx="3">
                  <c:v>8991426</c:v>
                </c:pt>
                <c:pt idx="4">
                  <c:v>8919985</c:v>
                </c:pt>
                <c:pt idx="5">
                  <c:v>9022037</c:v>
                </c:pt>
                <c:pt idx="6">
                  <c:v>8717910</c:v>
                </c:pt>
                <c:pt idx="7">
                  <c:v>8980904.8150355536</c:v>
                </c:pt>
                <c:pt idx="8">
                  <c:v>9072162.7493186463</c:v>
                </c:pt>
                <c:pt idx="9">
                  <c:v>8974021.0786053389</c:v>
                </c:pt>
              </c:numCache>
              <c:extLst/>
            </c:numRef>
          </c:val>
          <c:smooth val="0"/>
          <c:extLst>
            <c:ext xmlns:c16="http://schemas.microsoft.com/office/drawing/2014/chart" uri="{C3380CC4-5D6E-409C-BE32-E72D297353CC}">
              <c16:uniqueId val="{00000000-7690-4692-8034-EC8190E56021}"/>
            </c:ext>
          </c:extLst>
        </c:ser>
        <c:ser>
          <c:idx val="2"/>
          <c:order val="1"/>
          <c:tx>
            <c:v>Target</c:v>
          </c:tx>
          <c:spPr>
            <a:ln w="28575" cap="rnd">
              <a:solidFill>
                <a:schemeClr val="accent3"/>
              </a:solidFill>
              <a:round/>
            </a:ln>
            <a:effectLst/>
          </c:spPr>
          <c:marker>
            <c:symbol val="none"/>
          </c:marker>
          <c:cat>
            <c:strRef>
              <c:f>Performance!$B$144:$B$153</c:f>
              <c:strCache>
                <c:ptCount val="10"/>
                <c:pt idx="0">
                  <c:v>2009/10</c:v>
                </c:pt>
                <c:pt idx="1">
                  <c:v>2010/11</c:v>
                </c:pt>
                <c:pt idx="2">
                  <c:v>2011/12</c:v>
                </c:pt>
                <c:pt idx="3">
                  <c:v>2012/13</c:v>
                </c:pt>
                <c:pt idx="4">
                  <c:v>2013/14</c:v>
                </c:pt>
                <c:pt idx="5">
                  <c:v>2014/15</c:v>
                </c:pt>
                <c:pt idx="6">
                  <c:v>2015/16</c:v>
                </c:pt>
                <c:pt idx="7">
                  <c:v>2016/17</c:v>
                </c:pt>
                <c:pt idx="8">
                  <c:v>2017/18</c:v>
                </c:pt>
                <c:pt idx="9">
                  <c:v>2018/19</c:v>
                </c:pt>
              </c:strCache>
              <c:extLst/>
            </c:strRef>
          </c:cat>
          <c:val>
            <c:numLit>
              <c:formatCode>General</c:formatCode>
              <c:ptCount val="10"/>
            </c:numLit>
          </c:val>
          <c:smooth val="0"/>
          <c:extLst>
            <c:ext xmlns:c16="http://schemas.microsoft.com/office/drawing/2014/chart" uri="{C3380CC4-5D6E-409C-BE32-E72D297353CC}">
              <c16:uniqueId val="{00000001-7690-4692-8034-EC8190E56021}"/>
            </c:ext>
          </c:extLst>
        </c:ser>
        <c:dLbls>
          <c:showLegendKey val="0"/>
          <c:showVal val="0"/>
          <c:showCatName val="0"/>
          <c:showSerName val="0"/>
          <c:showPercent val="0"/>
          <c:showBubbleSize val="0"/>
        </c:dLbls>
        <c:smooth val="0"/>
        <c:axId val="567604952"/>
        <c:axId val="567605736"/>
      </c:lineChart>
      <c:catAx>
        <c:axId val="56760495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7605736"/>
        <c:crosses val="autoZero"/>
        <c:auto val="1"/>
        <c:lblAlgn val="ctr"/>
        <c:lblOffset val="100"/>
        <c:noMultiLvlLbl val="0"/>
      </c:catAx>
      <c:valAx>
        <c:axId val="5676057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m3</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7604952"/>
        <c:crosses val="autoZero"/>
        <c:crossBetween val="between"/>
      </c:valAx>
      <c:spPr>
        <a:noFill/>
        <a:ln>
          <a:noFill/>
        </a:ln>
        <a:effectLst/>
      </c:spPr>
    </c:plotArea>
    <c:legend>
      <c:legendPos val="b"/>
      <c:legendEntry>
        <c:idx val="1"/>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Chart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val>
            <c:numRef>
              <c:f>'QAQ1'!$C$15:$I$15</c:f>
              <c:numCache>
                <c:formatCode>_-* #,##0_-;\-* #,##0_-;_-* "-"??_-;_-@_-</c:formatCode>
                <c:ptCount val="6"/>
                <c:pt idx="0">
                  <c:v>303985370.11227977</c:v>
                </c:pt>
                <c:pt idx="1">
                  <c:v>482342086.93393362</c:v>
                </c:pt>
                <c:pt idx="2">
                  <c:v>401159358.01937699</c:v>
                </c:pt>
                <c:pt idx="3">
                  <c:v>201349605.94132331</c:v>
                </c:pt>
                <c:pt idx="4">
                  <c:v>288821604.56426316</c:v>
                </c:pt>
                <c:pt idx="5">
                  <c:v>343418163.86472422</c:v>
                </c:pt>
              </c:numCache>
            </c:numRef>
          </c:val>
          <c:extLst>
            <c:ext xmlns:c16="http://schemas.microsoft.com/office/drawing/2014/chart" uri="{C3380CC4-5D6E-409C-BE32-E72D297353CC}">
              <c16:uniqueId val="{00000000-45CD-4299-8C28-581AE5AF05AD}"/>
            </c:ext>
          </c:extLst>
        </c:ser>
        <c:dLbls>
          <c:showLegendKey val="0"/>
          <c:showVal val="0"/>
          <c:showCatName val="0"/>
          <c:showSerName val="0"/>
          <c:showPercent val="0"/>
          <c:showBubbleSize val="0"/>
        </c:dLbls>
        <c:gapWidth val="150"/>
        <c:axId val="172300328"/>
        <c:axId val="172300720"/>
      </c:barChart>
      <c:catAx>
        <c:axId val="172300328"/>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2300720"/>
        <c:crosses val="autoZero"/>
        <c:auto val="1"/>
        <c:lblAlgn val="ctr"/>
        <c:lblOffset val="100"/>
        <c:tickMarkSkip val="1"/>
        <c:noMultiLvlLbl val="0"/>
      </c:catAx>
      <c:valAx>
        <c:axId val="172300720"/>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23003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Chart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val>
            <c:numRef>
              <c:f>'QAQ2'!$C$15:$I$15</c:f>
              <c:numCache>
                <c:formatCode>_-* #,##0_-;\-* #,##0_-;_-* "-"??_-;_-@_-</c:formatCode>
                <c:ptCount val="6"/>
                <c:pt idx="0">
                  <c:v>199681147.51999998</c:v>
                </c:pt>
                <c:pt idx="1">
                  <c:v>303985370.11227977</c:v>
                </c:pt>
                <c:pt idx="2">
                  <c:v>482342086.93393362</c:v>
                </c:pt>
                <c:pt idx="3">
                  <c:v>401159358.01937699</c:v>
                </c:pt>
                <c:pt idx="4">
                  <c:v>201349605.94132331</c:v>
                </c:pt>
                <c:pt idx="5">
                  <c:v>343418163.86472422</c:v>
                </c:pt>
              </c:numCache>
            </c:numRef>
          </c:val>
          <c:extLst>
            <c:ext xmlns:c16="http://schemas.microsoft.com/office/drawing/2014/chart" uri="{C3380CC4-5D6E-409C-BE32-E72D297353CC}">
              <c16:uniqueId val="{00000000-F416-4CAB-ABB1-D7497E1BE980}"/>
            </c:ext>
          </c:extLst>
        </c:ser>
        <c:dLbls>
          <c:showLegendKey val="0"/>
          <c:showVal val="0"/>
          <c:showCatName val="0"/>
          <c:showSerName val="0"/>
          <c:showPercent val="0"/>
          <c:showBubbleSize val="0"/>
        </c:dLbls>
        <c:gapWidth val="150"/>
        <c:axId val="172300328"/>
        <c:axId val="172300720"/>
      </c:barChart>
      <c:catAx>
        <c:axId val="172300328"/>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2300720"/>
        <c:crosses val="autoZero"/>
        <c:auto val="1"/>
        <c:lblAlgn val="ctr"/>
        <c:lblOffset val="100"/>
        <c:tickMarkSkip val="1"/>
        <c:noMultiLvlLbl val="0"/>
      </c:catAx>
      <c:valAx>
        <c:axId val="172300720"/>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23003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Chart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val>
            <c:numRef>
              <c:f>'QAQ3'!$C$15:$I$15</c:f>
              <c:numCache>
                <c:formatCode>_-* #,##0_-;\-* #,##0_-;_-* "-"??_-;_-@_-</c:formatCode>
                <c:ptCount val="6"/>
                <c:pt idx="0">
                  <c:v>0</c:v>
                </c:pt>
                <c:pt idx="1">
                  <c:v>199681147.51999998</c:v>
                </c:pt>
                <c:pt idx="2">
                  <c:v>303985370.11227977</c:v>
                </c:pt>
                <c:pt idx="3">
                  <c:v>482342086.93393362</c:v>
                </c:pt>
                <c:pt idx="4">
                  <c:v>401159358.01937699</c:v>
                </c:pt>
                <c:pt idx="5">
                  <c:v>343418163.86472422</c:v>
                </c:pt>
              </c:numCache>
            </c:numRef>
          </c:val>
          <c:extLst>
            <c:ext xmlns:c16="http://schemas.microsoft.com/office/drawing/2014/chart" uri="{C3380CC4-5D6E-409C-BE32-E72D297353CC}">
              <c16:uniqueId val="{00000000-D04C-4D06-BB07-60CEF41E2646}"/>
            </c:ext>
          </c:extLst>
        </c:ser>
        <c:dLbls>
          <c:showLegendKey val="0"/>
          <c:showVal val="0"/>
          <c:showCatName val="0"/>
          <c:showSerName val="0"/>
          <c:showPercent val="0"/>
          <c:showBubbleSize val="0"/>
        </c:dLbls>
        <c:gapWidth val="150"/>
        <c:axId val="172300328"/>
        <c:axId val="172300720"/>
      </c:barChart>
      <c:catAx>
        <c:axId val="172300328"/>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2300720"/>
        <c:crosses val="autoZero"/>
        <c:auto val="1"/>
        <c:lblAlgn val="ctr"/>
        <c:lblOffset val="100"/>
        <c:tickMarkSkip val="1"/>
        <c:noMultiLvlLbl val="0"/>
      </c:catAx>
      <c:valAx>
        <c:axId val="172300720"/>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23003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Chart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val>
            <c:numRef>
              <c:f>'QAQ4'!$C$15:$I$15</c:f>
              <c:numCache>
                <c:formatCode>_-* #,##0_-;\-* #,##0_-;_-* "-"??_-;_-@_-</c:formatCode>
                <c:ptCount val="6"/>
                <c:pt idx="0">
                  <c:v>0</c:v>
                </c:pt>
                <c:pt idx="1">
                  <c:v>0</c:v>
                </c:pt>
                <c:pt idx="2">
                  <c:v>199681147.51999998</c:v>
                </c:pt>
                <c:pt idx="3">
                  <c:v>303985370.11227977</c:v>
                </c:pt>
                <c:pt idx="4">
                  <c:v>482342086.93393362</c:v>
                </c:pt>
                <c:pt idx="5">
                  <c:v>343418163.86472422</c:v>
                </c:pt>
              </c:numCache>
            </c:numRef>
          </c:val>
          <c:extLst>
            <c:ext xmlns:c16="http://schemas.microsoft.com/office/drawing/2014/chart" uri="{C3380CC4-5D6E-409C-BE32-E72D297353CC}">
              <c16:uniqueId val="{00000000-F5EC-4CD3-959A-04F1B6CD10A2}"/>
            </c:ext>
          </c:extLst>
        </c:ser>
        <c:dLbls>
          <c:showLegendKey val="0"/>
          <c:showVal val="0"/>
          <c:showCatName val="0"/>
          <c:showSerName val="0"/>
          <c:showPercent val="0"/>
          <c:showBubbleSize val="0"/>
        </c:dLbls>
        <c:gapWidth val="150"/>
        <c:axId val="172300328"/>
        <c:axId val="172300720"/>
      </c:barChart>
      <c:catAx>
        <c:axId val="172300328"/>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2300720"/>
        <c:crosses val="autoZero"/>
        <c:auto val="1"/>
        <c:lblAlgn val="ctr"/>
        <c:lblOffset val="100"/>
        <c:tickMarkSkip val="1"/>
        <c:noMultiLvlLbl val="0"/>
      </c:catAx>
      <c:valAx>
        <c:axId val="172300720"/>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23003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Paper Purchased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Performance!$C$84</c:f>
              <c:strCache>
                <c:ptCount val="1"/>
                <c:pt idx="0">
                  <c:v>Baseline</c:v>
                </c:pt>
              </c:strCache>
            </c:strRef>
          </c:tx>
          <c:spPr>
            <a:ln w="28575" cap="rnd">
              <a:solidFill>
                <a:schemeClr val="bg1">
                  <a:lumMod val="50000"/>
                </a:schemeClr>
              </a:solidFill>
              <a:prstDash val="sysDash"/>
              <a:round/>
            </a:ln>
            <a:effectLst/>
          </c:spPr>
          <c:marker>
            <c:symbol val="none"/>
          </c:marker>
          <c:cat>
            <c:strRef>
              <c:extLst>
                <c:ext xmlns:c15="http://schemas.microsoft.com/office/drawing/2012/chart" uri="{02D57815-91ED-43cb-92C2-25804820EDAC}">
                  <c15:fullRef>
                    <c15:sqref>Performance!$B$165:$B$175</c15:sqref>
                  </c15:fullRef>
                </c:ext>
              </c:extLst>
              <c:f>Performance!$B$165:$B$174</c:f>
              <c:strCache>
                <c:ptCount val="10"/>
                <c:pt idx="0">
                  <c:v>2009/10</c:v>
                </c:pt>
                <c:pt idx="1">
                  <c:v>2010/11</c:v>
                </c:pt>
                <c:pt idx="2">
                  <c:v>2011/12</c:v>
                </c:pt>
                <c:pt idx="3">
                  <c:v>2012/13</c:v>
                </c:pt>
                <c:pt idx="4">
                  <c:v>2013/14</c:v>
                </c:pt>
                <c:pt idx="5">
                  <c:v>2014/15</c:v>
                </c:pt>
                <c:pt idx="6">
                  <c:v>2015/16</c:v>
                </c:pt>
                <c:pt idx="7">
                  <c:v>2016/17</c:v>
                </c:pt>
                <c:pt idx="8">
                  <c:v>2017/18</c:v>
                </c:pt>
                <c:pt idx="9">
                  <c:v>2018/19</c:v>
                </c:pt>
              </c:strCache>
            </c:strRef>
          </c:cat>
          <c:val>
            <c:numRef>
              <c:extLst>
                <c:ext xmlns:c15="http://schemas.microsoft.com/office/drawing/2012/chart" uri="{02D57815-91ED-43cb-92C2-25804820EDAC}">
                  <c15:fullRef>
                    <c15:sqref>Performance!$C$165:$C$175</c15:sqref>
                  </c15:fullRef>
                </c:ext>
              </c:extLst>
              <c:f>Performance!$C$165:$C$174</c:f>
              <c:numCache>
                <c:formatCode>#,##0.00</c:formatCode>
                <c:ptCount val="10"/>
                <c:pt idx="0">
                  <c:v>1552263</c:v>
                </c:pt>
                <c:pt idx="1">
                  <c:v>1552263</c:v>
                </c:pt>
                <c:pt idx="2">
                  <c:v>1552263</c:v>
                </c:pt>
                <c:pt idx="3">
                  <c:v>1552263</c:v>
                </c:pt>
                <c:pt idx="4">
                  <c:v>1552263</c:v>
                </c:pt>
                <c:pt idx="5">
                  <c:v>1552263</c:v>
                </c:pt>
                <c:pt idx="6">
                  <c:v>1552263</c:v>
                </c:pt>
                <c:pt idx="7">
                  <c:v>1552263</c:v>
                </c:pt>
                <c:pt idx="8">
                  <c:v>1552263</c:v>
                </c:pt>
                <c:pt idx="9">
                  <c:v>1552263</c:v>
                </c:pt>
              </c:numCache>
            </c:numRef>
          </c:val>
          <c:smooth val="0"/>
          <c:extLst>
            <c:ext xmlns:c16="http://schemas.microsoft.com/office/drawing/2014/chart" uri="{C3380CC4-5D6E-409C-BE32-E72D297353CC}">
              <c16:uniqueId val="{00000000-ACAD-46DB-8D48-3F03A922F941}"/>
            </c:ext>
          </c:extLst>
        </c:ser>
        <c:ser>
          <c:idx val="1"/>
          <c:order val="1"/>
          <c:tx>
            <c:strRef>
              <c:f>Performance!$D$84</c:f>
              <c:strCache>
                <c:ptCount val="1"/>
                <c:pt idx="0">
                  <c:v>Actual</c:v>
                </c:pt>
              </c:strCache>
            </c:strRef>
          </c:tx>
          <c:spPr>
            <a:ln w="28575" cap="rnd">
              <a:solidFill>
                <a:srgbClr val="7030A0"/>
              </a:solidFill>
              <a:round/>
            </a:ln>
            <a:effectLst/>
          </c:spPr>
          <c:marker>
            <c:symbol val="none"/>
          </c:marker>
          <c:cat>
            <c:strRef>
              <c:extLst>
                <c:ext xmlns:c15="http://schemas.microsoft.com/office/drawing/2012/chart" uri="{02D57815-91ED-43cb-92C2-25804820EDAC}">
                  <c15:fullRef>
                    <c15:sqref>Performance!$B$165:$B$175</c15:sqref>
                  </c15:fullRef>
                </c:ext>
              </c:extLst>
              <c:f>Performance!$B$165:$B$174</c:f>
              <c:strCache>
                <c:ptCount val="10"/>
                <c:pt idx="0">
                  <c:v>2009/10</c:v>
                </c:pt>
                <c:pt idx="1">
                  <c:v>2010/11</c:v>
                </c:pt>
                <c:pt idx="2">
                  <c:v>2011/12</c:v>
                </c:pt>
                <c:pt idx="3">
                  <c:v>2012/13</c:v>
                </c:pt>
                <c:pt idx="4">
                  <c:v>2013/14</c:v>
                </c:pt>
                <c:pt idx="5">
                  <c:v>2014/15</c:v>
                </c:pt>
                <c:pt idx="6">
                  <c:v>2015/16</c:v>
                </c:pt>
                <c:pt idx="7">
                  <c:v>2016/17</c:v>
                </c:pt>
                <c:pt idx="8">
                  <c:v>2017/18</c:v>
                </c:pt>
                <c:pt idx="9">
                  <c:v>2018/19</c:v>
                </c:pt>
              </c:strCache>
            </c:strRef>
          </c:cat>
          <c:val>
            <c:numRef>
              <c:extLst>
                <c:ext xmlns:c15="http://schemas.microsoft.com/office/drawing/2012/chart" uri="{02D57815-91ED-43cb-92C2-25804820EDAC}">
                  <c15:fullRef>
                    <c15:sqref>Performance!$D$165:$D$175</c15:sqref>
                  </c15:fullRef>
                </c:ext>
              </c:extLst>
              <c:f>Performance!$D$165:$D$174</c:f>
              <c:numCache>
                <c:formatCode>#,##0.00</c:formatCode>
                <c:ptCount val="10"/>
                <c:pt idx="0">
                  <c:v>1552263</c:v>
                </c:pt>
                <c:pt idx="1">
                  <c:v>0</c:v>
                </c:pt>
                <c:pt idx="2">
                  <c:v>0</c:v>
                </c:pt>
                <c:pt idx="3">
                  <c:v>1317290.5</c:v>
                </c:pt>
                <c:pt idx="4">
                  <c:v>1224411.5</c:v>
                </c:pt>
                <c:pt idx="5">
                  <c:v>1062272</c:v>
                </c:pt>
                <c:pt idx="6">
                  <c:v>1106036</c:v>
                </c:pt>
                <c:pt idx="7">
                  <c:v>1045229.4</c:v>
                </c:pt>
                <c:pt idx="8">
                  <c:v>1065276.5999999999</c:v>
                </c:pt>
                <c:pt idx="9">
                  <c:v>1075816</c:v>
                </c:pt>
              </c:numCache>
            </c:numRef>
          </c:val>
          <c:smooth val="0"/>
          <c:extLst>
            <c:ext xmlns:c16="http://schemas.microsoft.com/office/drawing/2014/chart" uri="{C3380CC4-5D6E-409C-BE32-E72D297353CC}">
              <c16:uniqueId val="{00000001-ACAD-46DB-8D48-3F03A922F941}"/>
            </c:ext>
          </c:extLst>
        </c:ser>
        <c:ser>
          <c:idx val="2"/>
          <c:order val="2"/>
          <c:tx>
            <c:strRef>
              <c:f>Performance!$E$84</c:f>
              <c:strCache>
                <c:ptCount val="1"/>
                <c:pt idx="0">
                  <c:v>Target</c:v>
                </c:pt>
              </c:strCache>
            </c:strRef>
          </c:tx>
          <c:spPr>
            <a:ln w="28575" cap="rnd">
              <a:solidFill>
                <a:srgbClr val="C00000"/>
              </a:solidFill>
              <a:prstDash val="sysDash"/>
              <a:round/>
            </a:ln>
            <a:effectLst/>
          </c:spPr>
          <c:marker>
            <c:symbol val="none"/>
          </c:marker>
          <c:cat>
            <c:strRef>
              <c:extLst>
                <c:ext xmlns:c15="http://schemas.microsoft.com/office/drawing/2012/chart" uri="{02D57815-91ED-43cb-92C2-25804820EDAC}">
                  <c15:fullRef>
                    <c15:sqref>Performance!$B$165:$B$175</c15:sqref>
                  </c15:fullRef>
                </c:ext>
              </c:extLst>
              <c:f>Performance!$B$165:$B$174</c:f>
              <c:strCache>
                <c:ptCount val="10"/>
                <c:pt idx="0">
                  <c:v>2009/10</c:v>
                </c:pt>
                <c:pt idx="1">
                  <c:v>2010/11</c:v>
                </c:pt>
                <c:pt idx="2">
                  <c:v>2011/12</c:v>
                </c:pt>
                <c:pt idx="3">
                  <c:v>2012/13</c:v>
                </c:pt>
                <c:pt idx="4">
                  <c:v>2013/14</c:v>
                </c:pt>
                <c:pt idx="5">
                  <c:v>2014/15</c:v>
                </c:pt>
                <c:pt idx="6">
                  <c:v>2015/16</c:v>
                </c:pt>
                <c:pt idx="7">
                  <c:v>2016/17</c:v>
                </c:pt>
                <c:pt idx="8">
                  <c:v>2017/18</c:v>
                </c:pt>
                <c:pt idx="9">
                  <c:v>2018/19</c:v>
                </c:pt>
              </c:strCache>
            </c:strRef>
          </c:cat>
          <c:val>
            <c:numRef>
              <c:extLst>
                <c:ext xmlns:c15="http://schemas.microsoft.com/office/drawing/2012/chart" uri="{02D57815-91ED-43cb-92C2-25804820EDAC}">
                  <c15:fullRef>
                    <c15:sqref>Performance!$E$165:$E$175</c15:sqref>
                  </c15:fullRef>
                </c:ext>
              </c:extLst>
              <c:f>Performance!$E$165:$E$174</c:f>
              <c:numCache>
                <c:formatCode>#,##0.00</c:formatCode>
                <c:ptCount val="10"/>
                <c:pt idx="0">
                  <c:v>776131.5</c:v>
                </c:pt>
                <c:pt idx="1">
                  <c:v>776131.5</c:v>
                </c:pt>
                <c:pt idx="2">
                  <c:v>776131.5</c:v>
                </c:pt>
                <c:pt idx="3">
                  <c:v>776131.5</c:v>
                </c:pt>
                <c:pt idx="4">
                  <c:v>776131.5</c:v>
                </c:pt>
                <c:pt idx="5">
                  <c:v>776131.5</c:v>
                </c:pt>
                <c:pt idx="6">
                  <c:v>776131.5</c:v>
                </c:pt>
                <c:pt idx="7">
                  <c:v>776131.5</c:v>
                </c:pt>
                <c:pt idx="8">
                  <c:v>776131.5</c:v>
                </c:pt>
                <c:pt idx="9">
                  <c:v>776131.5</c:v>
                </c:pt>
              </c:numCache>
            </c:numRef>
          </c:val>
          <c:smooth val="0"/>
          <c:extLst>
            <c:ext xmlns:c16="http://schemas.microsoft.com/office/drawing/2014/chart" uri="{C3380CC4-5D6E-409C-BE32-E72D297353CC}">
              <c16:uniqueId val="{00000002-ACAD-46DB-8D48-3F03A922F941}"/>
            </c:ext>
          </c:extLst>
        </c:ser>
        <c:dLbls>
          <c:showLegendKey val="0"/>
          <c:showVal val="0"/>
          <c:showCatName val="0"/>
          <c:showSerName val="0"/>
          <c:showPercent val="0"/>
          <c:showBubbleSize val="0"/>
        </c:dLbls>
        <c:smooth val="0"/>
        <c:axId val="566428096"/>
        <c:axId val="566428488"/>
      </c:lineChart>
      <c:catAx>
        <c:axId val="56642809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6428488"/>
        <c:crosses val="autoZero"/>
        <c:auto val="1"/>
        <c:lblAlgn val="ctr"/>
        <c:lblOffset val="100"/>
        <c:noMultiLvlLbl val="0"/>
      </c:catAx>
      <c:valAx>
        <c:axId val="5664284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Reams</a:t>
                </a:r>
                <a:r>
                  <a:rPr lang="en-GB" baseline="0"/>
                  <a:t> A4 equivalent</a:t>
                </a:r>
                <a:endParaRPr lang="en-GB"/>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64280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Domestic</a:t>
            </a:r>
            <a:r>
              <a:rPr lang="en-GB" baseline="0"/>
              <a:t> Flights</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Performance!$C$84</c:f>
              <c:strCache>
                <c:ptCount val="1"/>
                <c:pt idx="0">
                  <c:v>Baseline</c:v>
                </c:pt>
              </c:strCache>
            </c:strRef>
          </c:tx>
          <c:spPr>
            <a:ln w="28575" cap="rnd">
              <a:solidFill>
                <a:schemeClr val="tx1">
                  <a:lumMod val="50000"/>
                  <a:lumOff val="50000"/>
                </a:schemeClr>
              </a:solidFill>
              <a:prstDash val="sysDash"/>
              <a:round/>
            </a:ln>
            <a:effectLst/>
          </c:spPr>
          <c:marker>
            <c:symbol val="none"/>
          </c:marker>
          <c:cat>
            <c:strRef>
              <c:extLst>
                <c:ext xmlns:c15="http://schemas.microsoft.com/office/drawing/2012/chart" uri="{02D57815-91ED-43cb-92C2-25804820EDAC}">
                  <c15:fullRef>
                    <c15:sqref>Performance!$B$104:$B$114</c15:sqref>
                  </c15:fullRef>
                </c:ext>
              </c:extLst>
              <c:f>Performance!$B$104:$B$113</c:f>
              <c:strCache>
                <c:ptCount val="10"/>
                <c:pt idx="0">
                  <c:v>2009/10</c:v>
                </c:pt>
                <c:pt idx="1">
                  <c:v>2010/11</c:v>
                </c:pt>
                <c:pt idx="2">
                  <c:v>2011/12</c:v>
                </c:pt>
                <c:pt idx="3">
                  <c:v>2012/13</c:v>
                </c:pt>
                <c:pt idx="4">
                  <c:v>2013/14</c:v>
                </c:pt>
                <c:pt idx="5">
                  <c:v>2014/15</c:v>
                </c:pt>
                <c:pt idx="6">
                  <c:v>2015/16</c:v>
                </c:pt>
                <c:pt idx="7">
                  <c:v>2016/17</c:v>
                </c:pt>
                <c:pt idx="8">
                  <c:v>2017/18</c:v>
                </c:pt>
                <c:pt idx="9">
                  <c:v>2018/19</c:v>
                </c:pt>
              </c:strCache>
            </c:strRef>
          </c:cat>
          <c:val>
            <c:numRef>
              <c:extLst>
                <c:ext xmlns:c15="http://schemas.microsoft.com/office/drawing/2012/chart" uri="{02D57815-91ED-43cb-92C2-25804820EDAC}">
                  <c15:fullRef>
                    <c15:sqref>Performance!$C$104:$C$114</c15:sqref>
                  </c15:fullRef>
                </c:ext>
              </c:extLst>
              <c:f>Performance!$C$104:$C$113</c:f>
              <c:numCache>
                <c:formatCode>#,##0.00</c:formatCode>
                <c:ptCount val="10"/>
                <c:pt idx="0">
                  <c:v>4602</c:v>
                </c:pt>
                <c:pt idx="1">
                  <c:v>4602</c:v>
                </c:pt>
                <c:pt idx="2">
                  <c:v>4602</c:v>
                </c:pt>
                <c:pt idx="3">
                  <c:v>4602</c:v>
                </c:pt>
                <c:pt idx="4">
                  <c:v>4602</c:v>
                </c:pt>
                <c:pt idx="5">
                  <c:v>4602</c:v>
                </c:pt>
                <c:pt idx="6">
                  <c:v>4602</c:v>
                </c:pt>
                <c:pt idx="7">
                  <c:v>4602</c:v>
                </c:pt>
                <c:pt idx="8">
                  <c:v>4602</c:v>
                </c:pt>
                <c:pt idx="9">
                  <c:v>4602</c:v>
                </c:pt>
              </c:numCache>
            </c:numRef>
          </c:val>
          <c:smooth val="0"/>
          <c:extLst>
            <c:ext xmlns:c16="http://schemas.microsoft.com/office/drawing/2014/chart" uri="{C3380CC4-5D6E-409C-BE32-E72D297353CC}">
              <c16:uniqueId val="{00000000-241B-434D-A65C-9701460EF9F6}"/>
            </c:ext>
          </c:extLst>
        </c:ser>
        <c:ser>
          <c:idx val="1"/>
          <c:order val="1"/>
          <c:tx>
            <c:strRef>
              <c:f>Performance!$D$84</c:f>
              <c:strCache>
                <c:ptCount val="1"/>
                <c:pt idx="0">
                  <c:v>Actual</c:v>
                </c:pt>
              </c:strCache>
            </c:strRef>
          </c:tx>
          <c:spPr>
            <a:ln w="28575" cap="rnd">
              <a:solidFill>
                <a:srgbClr val="00B0F0"/>
              </a:solidFill>
              <a:round/>
            </a:ln>
            <a:effectLst/>
          </c:spPr>
          <c:marker>
            <c:symbol val="none"/>
          </c:marker>
          <c:cat>
            <c:strRef>
              <c:extLst>
                <c:ext xmlns:c15="http://schemas.microsoft.com/office/drawing/2012/chart" uri="{02D57815-91ED-43cb-92C2-25804820EDAC}">
                  <c15:fullRef>
                    <c15:sqref>Performance!$B$104:$B$114</c15:sqref>
                  </c15:fullRef>
                </c:ext>
              </c:extLst>
              <c:f>Performance!$B$104:$B$113</c:f>
              <c:strCache>
                <c:ptCount val="10"/>
                <c:pt idx="0">
                  <c:v>2009/10</c:v>
                </c:pt>
                <c:pt idx="1">
                  <c:v>2010/11</c:v>
                </c:pt>
                <c:pt idx="2">
                  <c:v>2011/12</c:v>
                </c:pt>
                <c:pt idx="3">
                  <c:v>2012/13</c:v>
                </c:pt>
                <c:pt idx="4">
                  <c:v>2013/14</c:v>
                </c:pt>
                <c:pt idx="5">
                  <c:v>2014/15</c:v>
                </c:pt>
                <c:pt idx="6">
                  <c:v>2015/16</c:v>
                </c:pt>
                <c:pt idx="7">
                  <c:v>2016/17</c:v>
                </c:pt>
                <c:pt idx="8">
                  <c:v>2017/18</c:v>
                </c:pt>
                <c:pt idx="9">
                  <c:v>2018/19</c:v>
                </c:pt>
              </c:strCache>
            </c:strRef>
          </c:cat>
          <c:val>
            <c:numRef>
              <c:extLst>
                <c:ext xmlns:c15="http://schemas.microsoft.com/office/drawing/2012/chart" uri="{02D57815-91ED-43cb-92C2-25804820EDAC}">
                  <c15:fullRef>
                    <c15:sqref>Performance!$D$104:$D$114</c15:sqref>
                  </c15:fullRef>
                </c:ext>
              </c:extLst>
              <c:f>Performance!$D$104:$D$113</c:f>
              <c:numCache>
                <c:formatCode>#,##0.00</c:formatCode>
                <c:ptCount val="10"/>
                <c:pt idx="0">
                  <c:v>4602</c:v>
                </c:pt>
                <c:pt idx="1">
                  <c:v>0</c:v>
                </c:pt>
                <c:pt idx="2">
                  <c:v>0</c:v>
                </c:pt>
                <c:pt idx="3">
                  <c:v>2657</c:v>
                </c:pt>
                <c:pt idx="4">
                  <c:v>4248</c:v>
                </c:pt>
                <c:pt idx="5">
                  <c:v>3976</c:v>
                </c:pt>
                <c:pt idx="6">
                  <c:v>3319</c:v>
                </c:pt>
                <c:pt idx="7">
                  <c:v>4034</c:v>
                </c:pt>
                <c:pt idx="8">
                  <c:v>4256</c:v>
                </c:pt>
                <c:pt idx="9">
                  <c:v>4200</c:v>
                </c:pt>
              </c:numCache>
            </c:numRef>
          </c:val>
          <c:smooth val="0"/>
          <c:extLst>
            <c:ext xmlns:c16="http://schemas.microsoft.com/office/drawing/2014/chart" uri="{C3380CC4-5D6E-409C-BE32-E72D297353CC}">
              <c16:uniqueId val="{00000001-241B-434D-A65C-9701460EF9F6}"/>
            </c:ext>
          </c:extLst>
        </c:ser>
        <c:ser>
          <c:idx val="2"/>
          <c:order val="2"/>
          <c:tx>
            <c:strRef>
              <c:f>Performance!$E$84</c:f>
              <c:strCache>
                <c:ptCount val="1"/>
                <c:pt idx="0">
                  <c:v>Target</c:v>
                </c:pt>
              </c:strCache>
            </c:strRef>
          </c:tx>
          <c:spPr>
            <a:ln w="28575" cap="rnd">
              <a:solidFill>
                <a:srgbClr val="C00000"/>
              </a:solidFill>
              <a:prstDash val="sysDash"/>
              <a:round/>
            </a:ln>
            <a:effectLst/>
          </c:spPr>
          <c:marker>
            <c:symbol val="none"/>
          </c:marker>
          <c:cat>
            <c:strRef>
              <c:extLst>
                <c:ext xmlns:c15="http://schemas.microsoft.com/office/drawing/2012/chart" uri="{02D57815-91ED-43cb-92C2-25804820EDAC}">
                  <c15:fullRef>
                    <c15:sqref>Performance!$B$104:$B$114</c15:sqref>
                  </c15:fullRef>
                </c:ext>
              </c:extLst>
              <c:f>Performance!$B$104:$B$113</c:f>
              <c:strCache>
                <c:ptCount val="10"/>
                <c:pt idx="0">
                  <c:v>2009/10</c:v>
                </c:pt>
                <c:pt idx="1">
                  <c:v>2010/11</c:v>
                </c:pt>
                <c:pt idx="2">
                  <c:v>2011/12</c:v>
                </c:pt>
                <c:pt idx="3">
                  <c:v>2012/13</c:v>
                </c:pt>
                <c:pt idx="4">
                  <c:v>2013/14</c:v>
                </c:pt>
                <c:pt idx="5">
                  <c:v>2014/15</c:v>
                </c:pt>
                <c:pt idx="6">
                  <c:v>2015/16</c:v>
                </c:pt>
                <c:pt idx="7">
                  <c:v>2016/17</c:v>
                </c:pt>
                <c:pt idx="8">
                  <c:v>2017/18</c:v>
                </c:pt>
                <c:pt idx="9">
                  <c:v>2018/19</c:v>
                </c:pt>
              </c:strCache>
            </c:strRef>
          </c:cat>
          <c:val>
            <c:numRef>
              <c:extLst>
                <c:ext xmlns:c15="http://schemas.microsoft.com/office/drawing/2012/chart" uri="{02D57815-91ED-43cb-92C2-25804820EDAC}">
                  <c15:fullRef>
                    <c15:sqref>Performance!$E$104:$E$114</c15:sqref>
                  </c15:fullRef>
                </c:ext>
              </c:extLst>
              <c:f>Performance!$E$104:$E$113</c:f>
              <c:numCache>
                <c:formatCode>#,##0.00</c:formatCode>
                <c:ptCount val="10"/>
                <c:pt idx="0">
                  <c:v>3221.3999999999996</c:v>
                </c:pt>
                <c:pt idx="1">
                  <c:v>3221.3999999999996</c:v>
                </c:pt>
                <c:pt idx="2">
                  <c:v>3221.3999999999996</c:v>
                </c:pt>
                <c:pt idx="3">
                  <c:v>3221.3999999999996</c:v>
                </c:pt>
                <c:pt idx="4">
                  <c:v>3221.3999999999996</c:v>
                </c:pt>
                <c:pt idx="5">
                  <c:v>3221.3999999999996</c:v>
                </c:pt>
                <c:pt idx="6">
                  <c:v>3221.3999999999996</c:v>
                </c:pt>
                <c:pt idx="7">
                  <c:v>3221.3999999999996</c:v>
                </c:pt>
                <c:pt idx="8">
                  <c:v>3221.3999999999996</c:v>
                </c:pt>
                <c:pt idx="9">
                  <c:v>3221.3999999999996</c:v>
                </c:pt>
              </c:numCache>
            </c:numRef>
          </c:val>
          <c:smooth val="0"/>
          <c:extLst>
            <c:ext xmlns:c16="http://schemas.microsoft.com/office/drawing/2014/chart" uri="{C3380CC4-5D6E-409C-BE32-E72D297353CC}">
              <c16:uniqueId val="{00000002-241B-434D-A65C-9701460EF9F6}"/>
            </c:ext>
          </c:extLst>
        </c:ser>
        <c:dLbls>
          <c:showLegendKey val="0"/>
          <c:showVal val="0"/>
          <c:showCatName val="0"/>
          <c:showSerName val="0"/>
          <c:showPercent val="0"/>
          <c:showBubbleSize val="0"/>
        </c:dLbls>
        <c:smooth val="0"/>
        <c:axId val="566429272"/>
        <c:axId val="566429664"/>
      </c:lineChart>
      <c:catAx>
        <c:axId val="56642927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6429664"/>
        <c:crosses val="autoZero"/>
        <c:auto val="1"/>
        <c:lblAlgn val="ctr"/>
        <c:lblOffset val="100"/>
        <c:noMultiLvlLbl val="0"/>
      </c:catAx>
      <c:valAx>
        <c:axId val="56642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Number of Flights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64292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Waste</a:t>
            </a:r>
            <a:r>
              <a:rPr lang="en-GB" baseline="0"/>
              <a:t> to Landfill</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Performance!$C$84</c:f>
              <c:strCache>
                <c:ptCount val="1"/>
                <c:pt idx="0">
                  <c:v>Baseline</c:v>
                </c:pt>
              </c:strCache>
            </c:strRef>
          </c:tx>
          <c:spPr>
            <a:ln w="28575" cap="rnd">
              <a:solidFill>
                <a:schemeClr val="accent1"/>
              </a:solidFill>
              <a:round/>
            </a:ln>
            <a:effectLst/>
          </c:spPr>
          <c:marker>
            <c:symbol val="none"/>
          </c:marker>
          <c:cat>
            <c:strRef>
              <c:extLst>
                <c:ext xmlns:c15="http://schemas.microsoft.com/office/drawing/2012/chart" uri="{02D57815-91ED-43cb-92C2-25804820EDAC}">
                  <c15:fullRef>
                    <c15:sqref>Performance!$B$126:$B$136</c15:sqref>
                  </c15:fullRef>
                </c:ext>
              </c:extLst>
              <c:f>Performance!$B$126:$B$135</c:f>
              <c:strCache>
                <c:ptCount val="10"/>
                <c:pt idx="0">
                  <c:v>2009/10</c:v>
                </c:pt>
                <c:pt idx="1">
                  <c:v>2010/11</c:v>
                </c:pt>
                <c:pt idx="2">
                  <c:v>2011/12</c:v>
                </c:pt>
                <c:pt idx="3">
                  <c:v>2012/13</c:v>
                </c:pt>
                <c:pt idx="4">
                  <c:v>2013/14</c:v>
                </c:pt>
                <c:pt idx="5">
                  <c:v>2014/15</c:v>
                </c:pt>
                <c:pt idx="6">
                  <c:v>2015/16</c:v>
                </c:pt>
                <c:pt idx="7">
                  <c:v>2016/17</c:v>
                </c:pt>
                <c:pt idx="8">
                  <c:v>2017/18</c:v>
                </c:pt>
                <c:pt idx="9">
                  <c:v>2018/19</c:v>
                </c:pt>
              </c:strCache>
            </c:strRef>
          </c:cat>
          <c:val>
            <c:numRef>
              <c:extLst>
                <c:ext xmlns:c15="http://schemas.microsoft.com/office/drawing/2012/chart" uri="{02D57815-91ED-43cb-92C2-25804820EDAC}">
                  <c15:fullRef>
                    <c15:sqref>Performance!$C$126:$C$136</c15:sqref>
                  </c15:fullRef>
                </c:ext>
              </c:extLst>
              <c:f>Performance!$C$126:$C$135</c:f>
              <c:numCache>
                <c:formatCode>General</c:formatCode>
                <c:ptCount val="10"/>
              </c:numCache>
            </c:numRef>
          </c:val>
          <c:smooth val="0"/>
          <c:extLst>
            <c:ext xmlns:c16="http://schemas.microsoft.com/office/drawing/2014/chart" uri="{C3380CC4-5D6E-409C-BE32-E72D297353CC}">
              <c16:uniqueId val="{00000000-8D84-40E9-887F-3970C4DE49C0}"/>
            </c:ext>
          </c:extLst>
        </c:ser>
        <c:ser>
          <c:idx val="1"/>
          <c:order val="1"/>
          <c:tx>
            <c:strRef>
              <c:f>Performance!$D$84</c:f>
              <c:strCache>
                <c:ptCount val="1"/>
                <c:pt idx="0">
                  <c:v>Actual</c:v>
                </c:pt>
              </c:strCache>
            </c:strRef>
          </c:tx>
          <c:spPr>
            <a:ln w="28575" cap="rnd">
              <a:solidFill>
                <a:schemeClr val="accent4">
                  <a:lumMod val="50000"/>
                </a:schemeClr>
              </a:solidFill>
              <a:round/>
            </a:ln>
            <a:effectLst/>
          </c:spPr>
          <c:marker>
            <c:symbol val="none"/>
          </c:marker>
          <c:cat>
            <c:strRef>
              <c:extLst>
                <c:ext xmlns:c15="http://schemas.microsoft.com/office/drawing/2012/chart" uri="{02D57815-91ED-43cb-92C2-25804820EDAC}">
                  <c15:fullRef>
                    <c15:sqref>Performance!$B$126:$B$136</c15:sqref>
                  </c15:fullRef>
                </c:ext>
              </c:extLst>
              <c:f>Performance!$B$126:$B$135</c:f>
              <c:strCache>
                <c:ptCount val="10"/>
                <c:pt idx="0">
                  <c:v>2009/10</c:v>
                </c:pt>
                <c:pt idx="1">
                  <c:v>2010/11</c:v>
                </c:pt>
                <c:pt idx="2">
                  <c:v>2011/12</c:v>
                </c:pt>
                <c:pt idx="3">
                  <c:v>2012/13</c:v>
                </c:pt>
                <c:pt idx="4">
                  <c:v>2013/14</c:v>
                </c:pt>
                <c:pt idx="5">
                  <c:v>2014/15</c:v>
                </c:pt>
                <c:pt idx="6">
                  <c:v>2015/16</c:v>
                </c:pt>
                <c:pt idx="7">
                  <c:v>2016/17</c:v>
                </c:pt>
                <c:pt idx="8">
                  <c:v>2017/18</c:v>
                </c:pt>
                <c:pt idx="9">
                  <c:v>2018/19</c:v>
                </c:pt>
              </c:strCache>
            </c:strRef>
          </c:cat>
          <c:val>
            <c:numRef>
              <c:extLst>
                <c:ext xmlns:c15="http://schemas.microsoft.com/office/drawing/2012/chart" uri="{02D57815-91ED-43cb-92C2-25804820EDAC}">
                  <c15:fullRef>
                    <c15:sqref>Performance!$D$126:$D$136</c15:sqref>
                  </c15:fullRef>
                </c:ext>
              </c:extLst>
              <c:f>Performance!$D$126:$D$135</c:f>
              <c:numCache>
                <c:formatCode>0%</c:formatCode>
                <c:ptCount val="10"/>
                <c:pt idx="0">
                  <c:v>0.55794627236300021</c:v>
                </c:pt>
                <c:pt idx="1">
                  <c:v>0</c:v>
                </c:pt>
                <c:pt idx="2">
                  <c:v>0</c:v>
                </c:pt>
                <c:pt idx="3">
                  <c:v>0.35325437001359744</c:v>
                </c:pt>
                <c:pt idx="4">
                  <c:v>0.28560790439173234</c:v>
                </c:pt>
                <c:pt idx="5">
                  <c:v>0.26623054623130915</c:v>
                </c:pt>
                <c:pt idx="6">
                  <c:v>0.20818207774197495</c:v>
                </c:pt>
                <c:pt idx="7">
                  <c:v>0.14514300798675928</c:v>
                </c:pt>
                <c:pt idx="8" formatCode="0.0%">
                  <c:v>8.0089213767204404E-2</c:v>
                </c:pt>
                <c:pt idx="9" formatCode="0.0%">
                  <c:v>2.9493507270900603E-2</c:v>
                </c:pt>
              </c:numCache>
            </c:numRef>
          </c:val>
          <c:smooth val="0"/>
          <c:extLst>
            <c:ext xmlns:c16="http://schemas.microsoft.com/office/drawing/2014/chart" uri="{C3380CC4-5D6E-409C-BE32-E72D297353CC}">
              <c16:uniqueId val="{00000001-8D84-40E9-887F-3970C4DE49C0}"/>
            </c:ext>
          </c:extLst>
        </c:ser>
        <c:ser>
          <c:idx val="2"/>
          <c:order val="2"/>
          <c:tx>
            <c:strRef>
              <c:f>Performance!$E$84</c:f>
              <c:strCache>
                <c:ptCount val="1"/>
                <c:pt idx="0">
                  <c:v>Target</c:v>
                </c:pt>
              </c:strCache>
            </c:strRef>
          </c:tx>
          <c:spPr>
            <a:ln w="28575" cap="rnd">
              <a:solidFill>
                <a:srgbClr val="C00000"/>
              </a:solidFill>
              <a:prstDash val="sysDash"/>
              <a:round/>
            </a:ln>
            <a:effectLst/>
          </c:spPr>
          <c:marker>
            <c:symbol val="none"/>
          </c:marker>
          <c:cat>
            <c:strRef>
              <c:extLst>
                <c:ext xmlns:c15="http://schemas.microsoft.com/office/drawing/2012/chart" uri="{02D57815-91ED-43cb-92C2-25804820EDAC}">
                  <c15:fullRef>
                    <c15:sqref>Performance!$B$126:$B$136</c15:sqref>
                  </c15:fullRef>
                </c:ext>
              </c:extLst>
              <c:f>Performance!$B$126:$B$135</c:f>
              <c:strCache>
                <c:ptCount val="10"/>
                <c:pt idx="0">
                  <c:v>2009/10</c:v>
                </c:pt>
                <c:pt idx="1">
                  <c:v>2010/11</c:v>
                </c:pt>
                <c:pt idx="2">
                  <c:v>2011/12</c:v>
                </c:pt>
                <c:pt idx="3">
                  <c:v>2012/13</c:v>
                </c:pt>
                <c:pt idx="4">
                  <c:v>2013/14</c:v>
                </c:pt>
                <c:pt idx="5">
                  <c:v>2014/15</c:v>
                </c:pt>
                <c:pt idx="6">
                  <c:v>2015/16</c:v>
                </c:pt>
                <c:pt idx="7">
                  <c:v>2016/17</c:v>
                </c:pt>
                <c:pt idx="8">
                  <c:v>2017/18</c:v>
                </c:pt>
                <c:pt idx="9">
                  <c:v>2018/19</c:v>
                </c:pt>
              </c:strCache>
            </c:strRef>
          </c:cat>
          <c:val>
            <c:numRef>
              <c:extLst>
                <c:ext xmlns:c15="http://schemas.microsoft.com/office/drawing/2012/chart" uri="{02D57815-91ED-43cb-92C2-25804820EDAC}">
                  <c15:fullRef>
                    <c15:sqref>Performance!$E$126:$E$136</c15:sqref>
                  </c15:fullRef>
                </c:ext>
              </c:extLst>
              <c:f>Performance!$E$126:$E$135</c:f>
              <c:numCache>
                <c:formatCode>0%</c:formatCode>
                <c:ptCount val="10"/>
                <c:pt idx="0">
                  <c:v>0.1</c:v>
                </c:pt>
                <c:pt idx="1">
                  <c:v>0.1</c:v>
                </c:pt>
                <c:pt idx="2">
                  <c:v>0.1</c:v>
                </c:pt>
                <c:pt idx="3">
                  <c:v>0.1</c:v>
                </c:pt>
                <c:pt idx="4">
                  <c:v>0.1</c:v>
                </c:pt>
                <c:pt idx="5">
                  <c:v>0.1</c:v>
                </c:pt>
                <c:pt idx="6">
                  <c:v>0.1</c:v>
                </c:pt>
                <c:pt idx="7">
                  <c:v>0.1</c:v>
                </c:pt>
                <c:pt idx="8">
                  <c:v>0.1</c:v>
                </c:pt>
                <c:pt idx="9">
                  <c:v>0.1</c:v>
                </c:pt>
              </c:numCache>
            </c:numRef>
          </c:val>
          <c:smooth val="0"/>
          <c:extLst>
            <c:ext xmlns:c16="http://schemas.microsoft.com/office/drawing/2014/chart" uri="{C3380CC4-5D6E-409C-BE32-E72D297353CC}">
              <c16:uniqueId val="{00000002-8D84-40E9-887F-3970C4DE49C0}"/>
            </c:ext>
          </c:extLst>
        </c:ser>
        <c:dLbls>
          <c:showLegendKey val="0"/>
          <c:showVal val="0"/>
          <c:showCatName val="0"/>
          <c:showSerName val="0"/>
          <c:showPercent val="0"/>
          <c:showBubbleSize val="0"/>
        </c:dLbls>
        <c:smooth val="0"/>
        <c:axId val="566430448"/>
        <c:axId val="514330672"/>
      </c:lineChart>
      <c:catAx>
        <c:axId val="56643044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4330672"/>
        <c:crosses val="autoZero"/>
        <c:auto val="1"/>
        <c:lblAlgn val="ctr"/>
        <c:lblOffset val="100"/>
        <c:noMultiLvlLbl val="0"/>
      </c:catAx>
      <c:valAx>
        <c:axId val="5143306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 of</a:t>
                </a:r>
                <a:r>
                  <a:rPr lang="en-GB" baseline="0"/>
                  <a:t> total waste</a:t>
                </a:r>
                <a:endParaRPr lang="en-GB"/>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6430448"/>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Waste</a:t>
            </a:r>
            <a:r>
              <a:rPr lang="en-GB" baseline="0"/>
              <a:t> </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Performance!$C$143</c:f>
              <c:strCache>
                <c:ptCount val="1"/>
                <c:pt idx="0">
                  <c:v>Generated</c:v>
                </c:pt>
              </c:strCache>
            </c:strRef>
          </c:tx>
          <c:spPr>
            <a:ln w="28575" cap="rnd">
              <a:solidFill>
                <a:schemeClr val="accent4"/>
              </a:solidFill>
              <a:round/>
            </a:ln>
            <a:effectLst/>
          </c:spPr>
          <c:marker>
            <c:symbol val="none"/>
          </c:marker>
          <c:cat>
            <c:strRef>
              <c:f>Performance!$B$144:$B$153</c:f>
              <c:strCache>
                <c:ptCount val="10"/>
                <c:pt idx="0">
                  <c:v>2009/10</c:v>
                </c:pt>
                <c:pt idx="1">
                  <c:v>2010/11</c:v>
                </c:pt>
                <c:pt idx="2">
                  <c:v>2011/12</c:v>
                </c:pt>
                <c:pt idx="3">
                  <c:v>2012/13</c:v>
                </c:pt>
                <c:pt idx="4">
                  <c:v>2013/14</c:v>
                </c:pt>
                <c:pt idx="5">
                  <c:v>2014/15</c:v>
                </c:pt>
                <c:pt idx="6">
                  <c:v>2015/16</c:v>
                </c:pt>
                <c:pt idx="7">
                  <c:v>2016/17</c:v>
                </c:pt>
                <c:pt idx="8">
                  <c:v>2017/18</c:v>
                </c:pt>
                <c:pt idx="9">
                  <c:v>2018/19</c:v>
                </c:pt>
              </c:strCache>
              <c:extLst/>
            </c:strRef>
          </c:cat>
          <c:val>
            <c:numRef>
              <c:f>Performance!$C$144:$C$153</c:f>
              <c:numCache>
                <c:formatCode>#,##0</c:formatCode>
                <c:ptCount val="10"/>
                <c:pt idx="0">
                  <c:v>70876</c:v>
                </c:pt>
                <c:pt idx="1">
                  <c:v>0</c:v>
                </c:pt>
                <c:pt idx="2">
                  <c:v>0</c:v>
                </c:pt>
                <c:pt idx="3">
                  <c:v>61041</c:v>
                </c:pt>
                <c:pt idx="4">
                  <c:v>55058</c:v>
                </c:pt>
                <c:pt idx="5">
                  <c:v>52432</c:v>
                </c:pt>
                <c:pt idx="6">
                  <c:v>49034</c:v>
                </c:pt>
                <c:pt idx="7">
                  <c:v>49765.500761514326</c:v>
                </c:pt>
                <c:pt idx="8">
                  <c:v>48785.318508091506</c:v>
                </c:pt>
                <c:pt idx="9">
                  <c:v>50347.394112995702</c:v>
                </c:pt>
              </c:numCache>
              <c:extLst/>
            </c:numRef>
          </c:val>
          <c:smooth val="0"/>
          <c:extLst>
            <c:ext xmlns:c16="http://schemas.microsoft.com/office/drawing/2014/chart" uri="{C3380CC4-5D6E-409C-BE32-E72D297353CC}">
              <c16:uniqueId val="{00000000-24AD-4C49-841D-C78EA3DACDF7}"/>
            </c:ext>
          </c:extLst>
        </c:ser>
        <c:ser>
          <c:idx val="2"/>
          <c:order val="2"/>
          <c:tx>
            <c:v>Target</c:v>
          </c:tx>
          <c:spPr>
            <a:ln w="28575" cap="rnd">
              <a:solidFill>
                <a:schemeClr val="accent3"/>
              </a:solidFill>
              <a:round/>
            </a:ln>
            <a:effectLst/>
          </c:spPr>
          <c:marker>
            <c:symbol val="none"/>
          </c:marker>
          <c:cat>
            <c:strRef>
              <c:f>Performance!$B$144:$B$153</c:f>
              <c:strCache>
                <c:ptCount val="10"/>
                <c:pt idx="0">
                  <c:v>2009/10</c:v>
                </c:pt>
                <c:pt idx="1">
                  <c:v>2010/11</c:v>
                </c:pt>
                <c:pt idx="2">
                  <c:v>2011/12</c:v>
                </c:pt>
                <c:pt idx="3">
                  <c:v>2012/13</c:v>
                </c:pt>
                <c:pt idx="4">
                  <c:v>2013/14</c:v>
                </c:pt>
                <c:pt idx="5">
                  <c:v>2014/15</c:v>
                </c:pt>
                <c:pt idx="6">
                  <c:v>2015/16</c:v>
                </c:pt>
                <c:pt idx="7">
                  <c:v>2016/17</c:v>
                </c:pt>
                <c:pt idx="8">
                  <c:v>2017/18</c:v>
                </c:pt>
                <c:pt idx="9">
                  <c:v>2018/19</c:v>
                </c:pt>
              </c:strCache>
              <c:extLst/>
            </c:strRef>
          </c:cat>
          <c:val>
            <c:numLit>
              <c:formatCode>General</c:formatCode>
              <c:ptCount val="10"/>
            </c:numLit>
          </c:val>
          <c:smooth val="0"/>
          <c:extLst xmlns:c15="http://schemas.microsoft.com/office/drawing/2012/chart">
            <c:ext xmlns:c16="http://schemas.microsoft.com/office/drawing/2014/chart" uri="{C3380CC4-5D6E-409C-BE32-E72D297353CC}">
              <c16:uniqueId val="{00000002-24AD-4C49-841D-C78EA3DACDF7}"/>
            </c:ext>
          </c:extLst>
        </c:ser>
        <c:dLbls>
          <c:showLegendKey val="0"/>
          <c:showVal val="0"/>
          <c:showCatName val="0"/>
          <c:showSerName val="0"/>
          <c:showPercent val="0"/>
          <c:showBubbleSize val="0"/>
        </c:dLbls>
        <c:marker val="1"/>
        <c:smooth val="0"/>
        <c:axId val="514329496"/>
        <c:axId val="514328712"/>
        <c:extLst/>
      </c:lineChart>
      <c:lineChart>
        <c:grouping val="standard"/>
        <c:varyColors val="0"/>
        <c:ser>
          <c:idx val="1"/>
          <c:order val="1"/>
          <c:tx>
            <c:strRef>
              <c:f>Performance!$D$143</c:f>
              <c:strCache>
                <c:ptCount val="1"/>
                <c:pt idx="0">
                  <c:v>% recycled</c:v>
                </c:pt>
              </c:strCache>
            </c:strRef>
          </c:tx>
          <c:spPr>
            <a:ln w="28575" cap="rnd">
              <a:solidFill>
                <a:schemeClr val="accent2"/>
              </a:solidFill>
              <a:round/>
            </a:ln>
            <a:effectLst/>
          </c:spPr>
          <c:marker>
            <c:symbol val="none"/>
          </c:marker>
          <c:cat>
            <c:strRef>
              <c:f>(Performance!$B$143:$B$152,Performance!$B$154)</c:f>
              <c:strCache>
                <c:ptCount val="11"/>
                <c:pt idx="0">
                  <c:v>Waste</c:v>
                </c:pt>
                <c:pt idx="1">
                  <c:v>2009/10</c:v>
                </c:pt>
                <c:pt idx="2">
                  <c:v>2010/11</c:v>
                </c:pt>
                <c:pt idx="3">
                  <c:v>2011/12</c:v>
                </c:pt>
                <c:pt idx="4">
                  <c:v>2012/13</c:v>
                </c:pt>
                <c:pt idx="5">
                  <c:v>2013/14</c:v>
                </c:pt>
                <c:pt idx="6">
                  <c:v>2014/15</c:v>
                </c:pt>
                <c:pt idx="7">
                  <c:v>2015/16</c:v>
                </c:pt>
                <c:pt idx="8">
                  <c:v>2016/17</c:v>
                </c:pt>
                <c:pt idx="9">
                  <c:v>2017/18</c:v>
                </c:pt>
                <c:pt idx="10">
                  <c:v>2019/20</c:v>
                </c:pt>
              </c:strCache>
              <c:extLst/>
            </c:strRef>
          </c:cat>
          <c:val>
            <c:numRef>
              <c:f>Performance!$D$144:$D$153</c:f>
              <c:numCache>
                <c:formatCode>0%</c:formatCode>
                <c:ptCount val="10"/>
                <c:pt idx="0">
                  <c:v>0.43563406512782887</c:v>
                </c:pt>
                <c:pt idx="1">
                  <c:v>0</c:v>
                </c:pt>
                <c:pt idx="2">
                  <c:v>0</c:v>
                </c:pt>
                <c:pt idx="3">
                  <c:v>0.53991579430219028</c:v>
                </c:pt>
                <c:pt idx="4">
                  <c:v>0.51156961749427876</c:v>
                </c:pt>
                <c:pt idx="5">
                  <c:v>0.52057903570338726</c:v>
                </c:pt>
                <c:pt idx="6">
                  <c:v>0.59042705061793854</c:v>
                </c:pt>
                <c:pt idx="7">
                  <c:v>0.57972663263808577</c:v>
                </c:pt>
                <c:pt idx="8">
                  <c:v>0.64390458944708739</c:v>
                </c:pt>
                <c:pt idx="9">
                  <c:v>0.83403083113252907</c:v>
                </c:pt>
              </c:numCache>
              <c:extLst/>
            </c:numRef>
          </c:val>
          <c:smooth val="0"/>
          <c:extLst>
            <c:ext xmlns:c16="http://schemas.microsoft.com/office/drawing/2014/chart" uri="{C3380CC4-5D6E-409C-BE32-E72D297353CC}">
              <c16:uniqueId val="{00000001-24AD-4C49-841D-C78EA3DACDF7}"/>
            </c:ext>
          </c:extLst>
        </c:ser>
        <c:dLbls>
          <c:showLegendKey val="0"/>
          <c:showVal val="0"/>
          <c:showCatName val="0"/>
          <c:showSerName val="0"/>
          <c:showPercent val="0"/>
          <c:showBubbleSize val="0"/>
        </c:dLbls>
        <c:marker val="1"/>
        <c:smooth val="0"/>
        <c:axId val="514328320"/>
        <c:axId val="514327928"/>
      </c:lineChart>
      <c:catAx>
        <c:axId val="51432949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4328712"/>
        <c:crosses val="autoZero"/>
        <c:auto val="1"/>
        <c:lblAlgn val="ctr"/>
        <c:lblOffset val="100"/>
        <c:noMultiLvlLbl val="0"/>
      </c:catAx>
      <c:valAx>
        <c:axId val="5143287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tonnes of waste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4329496"/>
        <c:crosses val="autoZero"/>
        <c:crossBetween val="between"/>
      </c:valAx>
      <c:valAx>
        <c:axId val="514327928"/>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 total waste recycled</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4328320"/>
        <c:crosses val="max"/>
        <c:crossBetween val="between"/>
      </c:valAx>
      <c:catAx>
        <c:axId val="514328320"/>
        <c:scaling>
          <c:orientation val="minMax"/>
        </c:scaling>
        <c:delete val="1"/>
        <c:axPos val="b"/>
        <c:numFmt formatCode="General" sourceLinked="1"/>
        <c:majorTickMark val="out"/>
        <c:minorTickMark val="none"/>
        <c:tickLblPos val="nextTo"/>
        <c:crossAx val="51432792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GHG</a:t>
            </a:r>
            <a:r>
              <a:rPr lang="en-GB" baseline="0"/>
              <a:t> Emissions</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Performance!$N$85</c:f>
              <c:strCache>
                <c:ptCount val="1"/>
                <c:pt idx="0">
                  <c:v>2018-19</c:v>
                </c:pt>
              </c:strCache>
            </c:strRef>
          </c:tx>
          <c:spPr>
            <a:ln w="28575" cap="rnd">
              <a:solidFill>
                <a:srgbClr val="00B050"/>
              </a:solidFill>
              <a:prstDash val="sysDot"/>
              <a:round/>
            </a:ln>
            <a:effectLst/>
          </c:spPr>
          <c:marker>
            <c:symbol val="circle"/>
            <c:size val="5"/>
            <c:spPr>
              <a:solidFill>
                <a:srgbClr val="00B050"/>
              </a:solidFill>
              <a:ln w="9525">
                <a:solidFill>
                  <a:srgbClr val="00B050"/>
                </a:solidFill>
              </a:ln>
              <a:effectLst/>
            </c:spPr>
          </c:marker>
          <c:cat>
            <c:strRef>
              <c:f>Performance!$M$86:$M$89</c:f>
              <c:strCache>
                <c:ptCount val="4"/>
                <c:pt idx="0">
                  <c:v>Q1</c:v>
                </c:pt>
                <c:pt idx="1">
                  <c:v>Q2</c:v>
                </c:pt>
                <c:pt idx="2">
                  <c:v>Q3</c:v>
                </c:pt>
                <c:pt idx="3">
                  <c:v>Q4</c:v>
                </c:pt>
              </c:strCache>
            </c:strRef>
          </c:cat>
          <c:val>
            <c:numRef>
              <c:f>Performance!$N$86:$N$89</c:f>
              <c:numCache>
                <c:formatCode>#,##0.00</c:formatCode>
                <c:ptCount val="4"/>
                <c:pt idx="0">
                  <c:v>73793.269271046665</c:v>
                </c:pt>
                <c:pt idx="1">
                  <c:v>56210.470211942549</c:v>
                </c:pt>
                <c:pt idx="2">
                  <c:v>95432.843183031742</c:v>
                </c:pt>
                <c:pt idx="3">
                  <c:v>111074.9099453641</c:v>
                </c:pt>
              </c:numCache>
            </c:numRef>
          </c:val>
          <c:smooth val="0"/>
          <c:extLst>
            <c:ext xmlns:c16="http://schemas.microsoft.com/office/drawing/2014/chart" uri="{C3380CC4-5D6E-409C-BE32-E72D297353CC}">
              <c16:uniqueId val="{00000000-EEE0-4C79-B882-3C77C016BF66}"/>
            </c:ext>
          </c:extLst>
        </c:ser>
        <c:ser>
          <c:idx val="1"/>
          <c:order val="1"/>
          <c:tx>
            <c:strRef>
              <c:f>Performance!$O$85</c:f>
              <c:strCache>
                <c:ptCount val="1"/>
                <c:pt idx="0">
                  <c:v>2019-20</c:v>
                </c:pt>
              </c:strCache>
            </c:strRef>
          </c:tx>
          <c:spPr>
            <a:ln w="28575" cap="rnd">
              <a:solidFill>
                <a:srgbClr val="00B050"/>
              </a:solidFill>
              <a:round/>
            </a:ln>
            <a:effectLst/>
          </c:spPr>
          <c:marker>
            <c:symbol val="circle"/>
            <c:size val="5"/>
            <c:spPr>
              <a:solidFill>
                <a:srgbClr val="00B050"/>
              </a:solidFill>
              <a:ln w="9525">
                <a:solidFill>
                  <a:srgbClr val="00B050"/>
                </a:solidFill>
              </a:ln>
              <a:effectLst/>
            </c:spPr>
          </c:marker>
          <c:cat>
            <c:strRef>
              <c:f>Performance!$M$86:$M$89</c:f>
              <c:strCache>
                <c:ptCount val="4"/>
                <c:pt idx="0">
                  <c:v>Q1</c:v>
                </c:pt>
                <c:pt idx="1">
                  <c:v>Q2</c:v>
                </c:pt>
                <c:pt idx="2">
                  <c:v>Q3</c:v>
                </c:pt>
                <c:pt idx="3">
                  <c:v>Q4</c:v>
                </c:pt>
              </c:strCache>
            </c:strRef>
          </c:cat>
          <c:val>
            <c:numRef>
              <c:f>Performance!$O$86:$O$89</c:f>
              <c:numCache>
                <c:formatCode>#,##0.00</c:formatCode>
                <c:ptCount val="4"/>
                <c:pt idx="0">
                  <c:v>73523.848819970561</c:v>
                </c:pt>
                <c:pt idx="1">
                  <c:v>53616.781990404495</c:v>
                </c:pt>
                <c:pt idx="2">
                  <c:v>0</c:v>
                </c:pt>
                <c:pt idx="3">
                  <c:v>0</c:v>
                </c:pt>
              </c:numCache>
            </c:numRef>
          </c:val>
          <c:smooth val="0"/>
          <c:extLst>
            <c:ext xmlns:c16="http://schemas.microsoft.com/office/drawing/2014/chart" uri="{C3380CC4-5D6E-409C-BE32-E72D297353CC}">
              <c16:uniqueId val="{00000001-EEE0-4C79-B882-3C77C016BF66}"/>
            </c:ext>
          </c:extLst>
        </c:ser>
        <c:dLbls>
          <c:showLegendKey val="0"/>
          <c:showVal val="0"/>
          <c:showCatName val="0"/>
          <c:showSerName val="0"/>
          <c:showPercent val="0"/>
          <c:showBubbleSize val="0"/>
        </c:dLbls>
        <c:marker val="1"/>
        <c:smooth val="0"/>
        <c:axId val="567606128"/>
        <c:axId val="571689400"/>
      </c:lineChart>
      <c:catAx>
        <c:axId val="567606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1689400"/>
        <c:crosses val="autoZero"/>
        <c:auto val="1"/>
        <c:lblAlgn val="ctr"/>
        <c:lblOffset val="100"/>
        <c:noMultiLvlLbl val="0"/>
      </c:catAx>
      <c:valAx>
        <c:axId val="57168940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tCO2e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760612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Domestic</a:t>
            </a:r>
            <a:r>
              <a:rPr lang="en-GB" baseline="0"/>
              <a:t> Flights</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Performance!$N$85</c:f>
              <c:strCache>
                <c:ptCount val="1"/>
                <c:pt idx="0">
                  <c:v>2018-19</c:v>
                </c:pt>
              </c:strCache>
            </c:strRef>
          </c:tx>
          <c:spPr>
            <a:ln w="28575" cap="rnd">
              <a:solidFill>
                <a:srgbClr val="00B0F0"/>
              </a:solidFill>
              <a:prstDash val="sysDot"/>
              <a:round/>
            </a:ln>
            <a:effectLst/>
          </c:spPr>
          <c:marker>
            <c:symbol val="circle"/>
            <c:size val="5"/>
            <c:spPr>
              <a:solidFill>
                <a:srgbClr val="00B0F0"/>
              </a:solidFill>
              <a:ln w="9525">
                <a:solidFill>
                  <a:srgbClr val="00B0F0"/>
                </a:solidFill>
              </a:ln>
              <a:effectLst/>
            </c:spPr>
          </c:marker>
          <c:cat>
            <c:strRef>
              <c:f>Performance!$M$105:$M$108</c:f>
              <c:strCache>
                <c:ptCount val="4"/>
                <c:pt idx="0">
                  <c:v>Q1</c:v>
                </c:pt>
                <c:pt idx="1">
                  <c:v>Q2</c:v>
                </c:pt>
                <c:pt idx="2">
                  <c:v>Q3</c:v>
                </c:pt>
                <c:pt idx="3">
                  <c:v>Q4</c:v>
                </c:pt>
              </c:strCache>
            </c:strRef>
          </c:cat>
          <c:val>
            <c:numRef>
              <c:f>Performance!$N$105:$N$108</c:f>
              <c:numCache>
                <c:formatCode>#,##0.00</c:formatCode>
                <c:ptCount val="4"/>
                <c:pt idx="0">
                  <c:v>1059</c:v>
                </c:pt>
                <c:pt idx="1">
                  <c:v>978</c:v>
                </c:pt>
                <c:pt idx="2">
                  <c:v>1075</c:v>
                </c:pt>
                <c:pt idx="3">
                  <c:v>1088</c:v>
                </c:pt>
              </c:numCache>
            </c:numRef>
          </c:val>
          <c:smooth val="0"/>
          <c:extLst>
            <c:ext xmlns:c16="http://schemas.microsoft.com/office/drawing/2014/chart" uri="{C3380CC4-5D6E-409C-BE32-E72D297353CC}">
              <c16:uniqueId val="{00000000-3E9E-4B1F-AC2E-551304BE1FB6}"/>
            </c:ext>
          </c:extLst>
        </c:ser>
        <c:ser>
          <c:idx val="1"/>
          <c:order val="1"/>
          <c:tx>
            <c:strRef>
              <c:f>Performance!$O$85</c:f>
              <c:strCache>
                <c:ptCount val="1"/>
                <c:pt idx="0">
                  <c:v>2019-20</c:v>
                </c:pt>
              </c:strCache>
            </c:strRef>
          </c:tx>
          <c:spPr>
            <a:ln w="28575" cap="rnd">
              <a:solidFill>
                <a:srgbClr val="00B0F0"/>
              </a:solidFill>
              <a:round/>
            </a:ln>
            <a:effectLst/>
          </c:spPr>
          <c:marker>
            <c:symbol val="circle"/>
            <c:size val="5"/>
            <c:spPr>
              <a:solidFill>
                <a:srgbClr val="00B0F0"/>
              </a:solidFill>
              <a:ln w="9525">
                <a:solidFill>
                  <a:srgbClr val="00B0F0"/>
                </a:solidFill>
              </a:ln>
              <a:effectLst/>
            </c:spPr>
          </c:marker>
          <c:cat>
            <c:strRef>
              <c:f>Performance!$M$105:$M$108</c:f>
              <c:strCache>
                <c:ptCount val="4"/>
                <c:pt idx="0">
                  <c:v>Q1</c:v>
                </c:pt>
                <c:pt idx="1">
                  <c:v>Q2</c:v>
                </c:pt>
                <c:pt idx="2">
                  <c:v>Q3</c:v>
                </c:pt>
                <c:pt idx="3">
                  <c:v>Q4</c:v>
                </c:pt>
              </c:strCache>
            </c:strRef>
          </c:cat>
          <c:val>
            <c:numRef>
              <c:f>Performance!$O$105:$O$108</c:f>
              <c:numCache>
                <c:formatCode>#,##0.00</c:formatCode>
                <c:ptCount val="4"/>
                <c:pt idx="0">
                  <c:v>976</c:v>
                </c:pt>
                <c:pt idx="1">
                  <c:v>772</c:v>
                </c:pt>
                <c:pt idx="2">
                  <c:v>0</c:v>
                </c:pt>
                <c:pt idx="3">
                  <c:v>0</c:v>
                </c:pt>
              </c:numCache>
            </c:numRef>
          </c:val>
          <c:smooth val="0"/>
          <c:extLst>
            <c:ext xmlns:c16="http://schemas.microsoft.com/office/drawing/2014/chart" uri="{C3380CC4-5D6E-409C-BE32-E72D297353CC}">
              <c16:uniqueId val="{00000001-3E9E-4B1F-AC2E-551304BE1FB6}"/>
            </c:ext>
          </c:extLst>
        </c:ser>
        <c:dLbls>
          <c:showLegendKey val="0"/>
          <c:showVal val="0"/>
          <c:showCatName val="0"/>
          <c:showSerName val="0"/>
          <c:showPercent val="0"/>
          <c:showBubbleSize val="0"/>
        </c:dLbls>
        <c:marker val="1"/>
        <c:smooth val="0"/>
        <c:axId val="482583224"/>
        <c:axId val="574842016"/>
      </c:lineChart>
      <c:catAx>
        <c:axId val="482583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4842016"/>
        <c:crosses val="autoZero"/>
        <c:auto val="1"/>
        <c:lblAlgn val="ctr"/>
        <c:lblOffset val="100"/>
        <c:noMultiLvlLbl val="0"/>
      </c:catAx>
      <c:valAx>
        <c:axId val="57484201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number of flights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258322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Waste to Landfill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Performance!$N$125</c:f>
              <c:strCache>
                <c:ptCount val="1"/>
                <c:pt idx="0">
                  <c:v>2018-19</c:v>
                </c:pt>
              </c:strCache>
            </c:strRef>
          </c:tx>
          <c:spPr>
            <a:ln w="28575" cap="rnd">
              <a:solidFill>
                <a:schemeClr val="accent4">
                  <a:lumMod val="50000"/>
                </a:schemeClr>
              </a:solidFill>
              <a:prstDash val="sysDot"/>
              <a:round/>
            </a:ln>
            <a:effectLst/>
          </c:spPr>
          <c:marker>
            <c:symbol val="circle"/>
            <c:size val="5"/>
            <c:spPr>
              <a:solidFill>
                <a:schemeClr val="accent4">
                  <a:lumMod val="50000"/>
                </a:schemeClr>
              </a:solidFill>
              <a:ln w="9525">
                <a:solidFill>
                  <a:schemeClr val="accent4">
                    <a:lumMod val="50000"/>
                  </a:schemeClr>
                </a:solidFill>
              </a:ln>
              <a:effectLst/>
            </c:spPr>
          </c:marker>
          <c:cat>
            <c:strRef>
              <c:f>Performance!$M$126:$M$129</c:f>
              <c:strCache>
                <c:ptCount val="4"/>
                <c:pt idx="0">
                  <c:v>Q1</c:v>
                </c:pt>
                <c:pt idx="1">
                  <c:v>Q2</c:v>
                </c:pt>
                <c:pt idx="2">
                  <c:v>Q3</c:v>
                </c:pt>
                <c:pt idx="3">
                  <c:v>Q4</c:v>
                </c:pt>
              </c:strCache>
            </c:strRef>
          </c:cat>
          <c:val>
            <c:numRef>
              <c:f>Performance!$N$126:$N$129</c:f>
              <c:numCache>
                <c:formatCode>0.00%</c:formatCode>
                <c:ptCount val="4"/>
                <c:pt idx="0">
                  <c:v>3.0484105423494758E-2</c:v>
                </c:pt>
                <c:pt idx="1">
                  <c:v>2.9990440598986486E-2</c:v>
                </c:pt>
                <c:pt idx="2">
                  <c:v>2.8397286274332977E-2</c:v>
                </c:pt>
                <c:pt idx="3">
                  <c:v>2.9109208564116036E-2</c:v>
                </c:pt>
              </c:numCache>
            </c:numRef>
          </c:val>
          <c:smooth val="0"/>
          <c:extLst>
            <c:ext xmlns:c16="http://schemas.microsoft.com/office/drawing/2014/chart" uri="{C3380CC4-5D6E-409C-BE32-E72D297353CC}">
              <c16:uniqueId val="{00000000-7DC0-4FDC-8294-2634E49B45BE}"/>
            </c:ext>
          </c:extLst>
        </c:ser>
        <c:ser>
          <c:idx val="1"/>
          <c:order val="1"/>
          <c:tx>
            <c:strRef>
              <c:f>Performance!$O$125</c:f>
              <c:strCache>
                <c:ptCount val="1"/>
                <c:pt idx="0">
                  <c:v>2019-20</c:v>
                </c:pt>
              </c:strCache>
            </c:strRef>
          </c:tx>
          <c:spPr>
            <a:ln w="28575" cap="rnd">
              <a:solidFill>
                <a:schemeClr val="accent4">
                  <a:lumMod val="50000"/>
                </a:schemeClr>
              </a:solidFill>
              <a:round/>
            </a:ln>
            <a:effectLst/>
          </c:spPr>
          <c:marker>
            <c:symbol val="circle"/>
            <c:size val="5"/>
            <c:spPr>
              <a:solidFill>
                <a:schemeClr val="accent4">
                  <a:lumMod val="50000"/>
                </a:schemeClr>
              </a:solidFill>
              <a:ln w="9525">
                <a:solidFill>
                  <a:schemeClr val="accent4">
                    <a:lumMod val="50000"/>
                  </a:schemeClr>
                </a:solidFill>
              </a:ln>
              <a:effectLst/>
            </c:spPr>
          </c:marker>
          <c:cat>
            <c:strRef>
              <c:f>Performance!$M$126:$M$129</c:f>
              <c:strCache>
                <c:ptCount val="4"/>
                <c:pt idx="0">
                  <c:v>Q1</c:v>
                </c:pt>
                <c:pt idx="1">
                  <c:v>Q2</c:v>
                </c:pt>
                <c:pt idx="2">
                  <c:v>Q3</c:v>
                </c:pt>
                <c:pt idx="3">
                  <c:v>Q4</c:v>
                </c:pt>
              </c:strCache>
            </c:strRef>
          </c:cat>
          <c:val>
            <c:numRef>
              <c:f>Performance!$O$126:$O$129</c:f>
              <c:numCache>
                <c:formatCode>0.00%</c:formatCode>
                <c:ptCount val="4"/>
                <c:pt idx="0">
                  <c:v>2.8193890100153135E-2</c:v>
                </c:pt>
                <c:pt idx="1">
                  <c:v>2.5420694870472445E-2</c:v>
                </c:pt>
                <c:pt idx="2">
                  <c:v>0</c:v>
                </c:pt>
                <c:pt idx="3">
                  <c:v>0</c:v>
                </c:pt>
              </c:numCache>
            </c:numRef>
          </c:val>
          <c:smooth val="0"/>
          <c:extLst>
            <c:ext xmlns:c16="http://schemas.microsoft.com/office/drawing/2014/chart" uri="{C3380CC4-5D6E-409C-BE32-E72D297353CC}">
              <c16:uniqueId val="{00000001-7DC0-4FDC-8294-2634E49B45BE}"/>
            </c:ext>
          </c:extLst>
        </c:ser>
        <c:dLbls>
          <c:showLegendKey val="0"/>
          <c:showVal val="0"/>
          <c:showCatName val="0"/>
          <c:showSerName val="0"/>
          <c:showPercent val="0"/>
          <c:showBubbleSize val="0"/>
        </c:dLbls>
        <c:marker val="1"/>
        <c:smooth val="0"/>
        <c:axId val="574842800"/>
        <c:axId val="574843192"/>
      </c:lineChart>
      <c:catAx>
        <c:axId val="574842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4843192"/>
        <c:crosses val="autoZero"/>
        <c:auto val="1"/>
        <c:lblAlgn val="ctr"/>
        <c:lblOffset val="100"/>
        <c:noMultiLvlLbl val="0"/>
      </c:catAx>
      <c:valAx>
        <c:axId val="57484319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 of total waste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484280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Total Waste Generated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Performance!$N$125</c:f>
              <c:strCache>
                <c:ptCount val="1"/>
                <c:pt idx="0">
                  <c:v>2018-19</c:v>
                </c:pt>
              </c:strCache>
            </c:strRef>
          </c:tx>
          <c:spPr>
            <a:ln w="28575" cap="rnd">
              <a:solidFill>
                <a:schemeClr val="accent4"/>
              </a:solidFill>
              <a:prstDash val="sysDot"/>
              <a:round/>
            </a:ln>
            <a:effectLst/>
          </c:spPr>
          <c:marker>
            <c:symbol val="circle"/>
            <c:size val="5"/>
            <c:spPr>
              <a:solidFill>
                <a:schemeClr val="accent4"/>
              </a:solidFill>
              <a:ln w="9525">
                <a:solidFill>
                  <a:schemeClr val="accent4"/>
                </a:solidFill>
                <a:prstDash val="sysDot"/>
              </a:ln>
              <a:effectLst/>
            </c:spPr>
          </c:marker>
          <c:cat>
            <c:strRef>
              <c:f>Performance!$M$144:$M$147</c:f>
              <c:strCache>
                <c:ptCount val="4"/>
                <c:pt idx="0">
                  <c:v>Q1</c:v>
                </c:pt>
                <c:pt idx="1">
                  <c:v>Q2</c:v>
                </c:pt>
                <c:pt idx="2">
                  <c:v>Q3</c:v>
                </c:pt>
                <c:pt idx="3">
                  <c:v>Q4</c:v>
                </c:pt>
              </c:strCache>
            </c:strRef>
          </c:cat>
          <c:val>
            <c:numRef>
              <c:f>Performance!$N$144:$N$147</c:f>
              <c:numCache>
                <c:formatCode>#,##0.00</c:formatCode>
                <c:ptCount val="4"/>
                <c:pt idx="0">
                  <c:v>12706.236504287283</c:v>
                </c:pt>
                <c:pt idx="1">
                  <c:v>12141.964217231709</c:v>
                </c:pt>
                <c:pt idx="2">
                  <c:v>12390.697942374949</c:v>
                </c:pt>
                <c:pt idx="3">
                  <c:v>13108.495449101758</c:v>
                </c:pt>
              </c:numCache>
            </c:numRef>
          </c:val>
          <c:smooth val="0"/>
          <c:extLst>
            <c:ext xmlns:c16="http://schemas.microsoft.com/office/drawing/2014/chart" uri="{C3380CC4-5D6E-409C-BE32-E72D297353CC}">
              <c16:uniqueId val="{00000000-072D-4E17-959E-6E37FED7526F}"/>
            </c:ext>
          </c:extLst>
        </c:ser>
        <c:ser>
          <c:idx val="1"/>
          <c:order val="1"/>
          <c:tx>
            <c:strRef>
              <c:f>Performance!$O$125</c:f>
              <c:strCache>
                <c:ptCount val="1"/>
                <c:pt idx="0">
                  <c:v>2019-20</c:v>
                </c:pt>
              </c:strCache>
            </c:strRef>
          </c:tx>
          <c:spPr>
            <a:ln w="28575" cap="rnd">
              <a:solidFill>
                <a:schemeClr val="accent4"/>
              </a:solidFill>
              <a:prstDash val="solid"/>
              <a:round/>
            </a:ln>
            <a:effectLst/>
          </c:spPr>
          <c:marker>
            <c:symbol val="circle"/>
            <c:size val="5"/>
            <c:spPr>
              <a:solidFill>
                <a:schemeClr val="accent4"/>
              </a:solidFill>
              <a:ln w="9525">
                <a:solidFill>
                  <a:schemeClr val="accent4"/>
                </a:solidFill>
                <a:prstDash val="solid"/>
              </a:ln>
              <a:effectLst/>
            </c:spPr>
          </c:marker>
          <c:cat>
            <c:strRef>
              <c:f>Performance!$M$144:$M$147</c:f>
              <c:strCache>
                <c:ptCount val="4"/>
                <c:pt idx="0">
                  <c:v>Q1</c:v>
                </c:pt>
                <c:pt idx="1">
                  <c:v>Q2</c:v>
                </c:pt>
                <c:pt idx="2">
                  <c:v>Q3</c:v>
                </c:pt>
                <c:pt idx="3">
                  <c:v>Q4</c:v>
                </c:pt>
              </c:strCache>
            </c:strRef>
          </c:cat>
          <c:val>
            <c:numRef>
              <c:f>Performance!$O$144:$O$147</c:f>
              <c:numCache>
                <c:formatCode>#,##0.00</c:formatCode>
                <c:ptCount val="4"/>
                <c:pt idx="0">
                  <c:v>13153.045522809136</c:v>
                </c:pt>
                <c:pt idx="1">
                  <c:v>12932.770000000002</c:v>
                </c:pt>
                <c:pt idx="2">
                  <c:v>0</c:v>
                </c:pt>
                <c:pt idx="3">
                  <c:v>0</c:v>
                </c:pt>
              </c:numCache>
            </c:numRef>
          </c:val>
          <c:smooth val="0"/>
          <c:extLst>
            <c:ext xmlns:c16="http://schemas.microsoft.com/office/drawing/2014/chart" uri="{C3380CC4-5D6E-409C-BE32-E72D297353CC}">
              <c16:uniqueId val="{00000001-072D-4E17-959E-6E37FED7526F}"/>
            </c:ext>
          </c:extLst>
        </c:ser>
        <c:dLbls>
          <c:showLegendKey val="0"/>
          <c:showVal val="0"/>
          <c:showCatName val="0"/>
          <c:showSerName val="0"/>
          <c:showPercent val="0"/>
          <c:showBubbleSize val="0"/>
        </c:dLbls>
        <c:marker val="1"/>
        <c:smooth val="0"/>
        <c:axId val="574843976"/>
        <c:axId val="574844368"/>
      </c:lineChart>
      <c:catAx>
        <c:axId val="574843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4844368"/>
        <c:crosses val="autoZero"/>
        <c:auto val="1"/>
        <c:lblAlgn val="ctr"/>
        <c:lblOffset val="100"/>
        <c:noMultiLvlLbl val="0"/>
      </c:catAx>
      <c:valAx>
        <c:axId val="574844368"/>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tonnes of waste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484397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withinLinearReversed" id="21">
  <a:schemeClr val="accent1"/>
</cs:colorStyle>
</file>

<file path=xl/charts/colors11.xml><?xml version="1.0" encoding="utf-8"?>
<cs:colorStyle xmlns:cs="http://schemas.microsoft.com/office/drawing/2012/chartStyle" xmlns:a="http://schemas.openxmlformats.org/drawingml/2006/main" meth="withinLinearReversed" id="21">
  <a:schemeClr val="accent1"/>
</cs:colorStyle>
</file>

<file path=xl/charts/colors12.xml><?xml version="1.0" encoding="utf-8"?>
<cs:colorStyle xmlns:cs="http://schemas.microsoft.com/office/drawing/2012/chartStyle" xmlns:a="http://schemas.openxmlformats.org/drawingml/2006/main" meth="withinLinearReversed" id="21">
  <a:schemeClr val="accent1"/>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 id="19">
  <a:schemeClr val="accent6"/>
</cs:colorStyle>
</file>

<file path=xl/charts/colors7.xml><?xml version="1.0" encoding="utf-8"?>
<cs:colorStyle xmlns:cs="http://schemas.microsoft.com/office/drawing/2012/chartStyle" xmlns:a="http://schemas.openxmlformats.org/drawingml/2006/main" meth="withinLinearReversed" id="21">
  <a:schemeClr val="accent1"/>
</cs:colorStyle>
</file>

<file path=xl/charts/colors8.xml><?xml version="1.0" encoding="utf-8"?>
<cs:colorStyle xmlns:cs="http://schemas.microsoft.com/office/drawing/2012/chartStyle" xmlns:a="http://schemas.openxmlformats.org/drawingml/2006/main" meth="withinLinearReversed" id="21">
  <a:schemeClr val="accent1"/>
</cs:colorStyle>
</file>

<file path=xl/charts/colors9.xml><?xml version="1.0" encoding="utf-8"?>
<cs:colorStyle xmlns:cs="http://schemas.microsoft.com/office/drawing/2012/chartStyle" xmlns:a="http://schemas.openxmlformats.org/drawingml/2006/main" meth="withinLinearReversed" id="21">
  <a:schemeClr val="accent1"/>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1" Type="http://schemas.openxmlformats.org/officeDocument/2006/relationships/chart" Target="../charts/chart17.xml"/></Relationships>
</file>

<file path=xl/drawings/drawing1.xml><?xml version="1.0" encoding="utf-8"?>
<xdr:wsDr xmlns:xdr="http://schemas.openxmlformats.org/drawingml/2006/spreadsheetDrawing" xmlns:a="http://schemas.openxmlformats.org/drawingml/2006/main">
  <xdr:twoCellAnchor>
    <xdr:from>
      <xdr:col>0</xdr:col>
      <xdr:colOff>171450</xdr:colOff>
      <xdr:row>82</xdr:row>
      <xdr:rowOff>9525</xdr:rowOff>
    </xdr:from>
    <xdr:to>
      <xdr:col>7</xdr:col>
      <xdr:colOff>857250</xdr:colOff>
      <xdr:row>100</xdr:row>
      <xdr:rowOff>47625</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200025</xdr:colOff>
      <xdr:row>162</xdr:row>
      <xdr:rowOff>9525</xdr:rowOff>
    </xdr:from>
    <xdr:to>
      <xdr:col>8</xdr:col>
      <xdr:colOff>47625</xdr:colOff>
      <xdr:row>180</xdr:row>
      <xdr:rowOff>66676</xdr:rowOff>
    </xdr:to>
    <xdr:graphicFrame macro="">
      <xdr:nvGraphicFramePr>
        <xdr:cNvPr id="3" name="Chart 2">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161924</xdr:colOff>
      <xdr:row>102</xdr:row>
      <xdr:rowOff>0</xdr:rowOff>
    </xdr:from>
    <xdr:to>
      <xdr:col>7</xdr:col>
      <xdr:colOff>876299</xdr:colOff>
      <xdr:row>120</xdr:row>
      <xdr:rowOff>47626</xdr:rowOff>
    </xdr:to>
    <xdr:graphicFrame macro="">
      <xdr:nvGraphicFramePr>
        <xdr:cNvPr id="4" name="Chart 3">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152400</xdr:colOff>
      <xdr:row>122</xdr:row>
      <xdr:rowOff>9525</xdr:rowOff>
    </xdr:from>
    <xdr:to>
      <xdr:col>7</xdr:col>
      <xdr:colOff>876300</xdr:colOff>
      <xdr:row>140</xdr:row>
      <xdr:rowOff>57151</xdr:rowOff>
    </xdr:to>
    <xdr:graphicFrame macro="">
      <xdr:nvGraphicFramePr>
        <xdr:cNvPr id="5" name="Chart 4">
          <a:extLst>
            <a:ext uri="{FF2B5EF4-FFF2-40B4-BE49-F238E27FC236}">
              <a16:creationId xmlns:a16="http://schemas.microsoft.com/office/drawing/2014/main" id="{00000000-0008-0000-0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190500</xdr:colOff>
      <xdr:row>142</xdr:row>
      <xdr:rowOff>9525</xdr:rowOff>
    </xdr:from>
    <xdr:to>
      <xdr:col>8</xdr:col>
      <xdr:colOff>9525</xdr:colOff>
      <xdr:row>160</xdr:row>
      <xdr:rowOff>114301</xdr:rowOff>
    </xdr:to>
    <xdr:graphicFrame macro="">
      <xdr:nvGraphicFramePr>
        <xdr:cNvPr id="6" name="Chart 5">
          <a:extLst>
            <a:ext uri="{FF2B5EF4-FFF2-40B4-BE49-F238E27FC236}">
              <a16:creationId xmlns:a16="http://schemas.microsoft.com/office/drawing/2014/main" id="{00000000-0008-0000-0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947737</xdr:colOff>
      <xdr:row>82</xdr:row>
      <xdr:rowOff>14287</xdr:rowOff>
    </xdr:from>
    <xdr:to>
      <xdr:col>16</xdr:col>
      <xdr:colOff>28575</xdr:colOff>
      <xdr:row>96</xdr:row>
      <xdr:rowOff>90487</xdr:rowOff>
    </xdr:to>
    <xdr:graphicFrame macro="">
      <xdr:nvGraphicFramePr>
        <xdr:cNvPr id="8" name="Chart 7">
          <a:extLst>
            <a:ext uri="{FF2B5EF4-FFF2-40B4-BE49-F238E27FC236}">
              <a16:creationId xmlns:a16="http://schemas.microsoft.com/office/drawing/2014/main" id="{00000000-0008-0000-0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9524</xdr:colOff>
      <xdr:row>99</xdr:row>
      <xdr:rowOff>9525</xdr:rowOff>
    </xdr:from>
    <xdr:to>
      <xdr:col>16</xdr:col>
      <xdr:colOff>19049</xdr:colOff>
      <xdr:row>113</xdr:row>
      <xdr:rowOff>85725</xdr:rowOff>
    </xdr:to>
    <xdr:graphicFrame macro="">
      <xdr:nvGraphicFramePr>
        <xdr:cNvPr id="9" name="Chart 8">
          <a:extLst>
            <a:ext uri="{FF2B5EF4-FFF2-40B4-BE49-F238E27FC236}">
              <a16:creationId xmlns:a16="http://schemas.microsoft.com/office/drawing/2014/main" id="{00000000-0008-0000-0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942975</xdr:colOff>
      <xdr:row>116</xdr:row>
      <xdr:rowOff>0</xdr:rowOff>
    </xdr:from>
    <xdr:to>
      <xdr:col>15</xdr:col>
      <xdr:colOff>581025</xdr:colOff>
      <xdr:row>130</xdr:row>
      <xdr:rowOff>76200</xdr:rowOff>
    </xdr:to>
    <xdr:graphicFrame macro="">
      <xdr:nvGraphicFramePr>
        <xdr:cNvPr id="10" name="Chart 9">
          <a:extLst>
            <a:ext uri="{FF2B5EF4-FFF2-40B4-BE49-F238E27FC236}">
              <a16:creationId xmlns:a16="http://schemas.microsoft.com/office/drawing/2014/main" id="{00000000-0008-0000-0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0</xdr:colOff>
      <xdr:row>134</xdr:row>
      <xdr:rowOff>19050</xdr:rowOff>
    </xdr:from>
    <xdr:to>
      <xdr:col>16</xdr:col>
      <xdr:colOff>0</xdr:colOff>
      <xdr:row>148</xdr:row>
      <xdr:rowOff>95250</xdr:rowOff>
    </xdr:to>
    <xdr:graphicFrame macro="">
      <xdr:nvGraphicFramePr>
        <xdr:cNvPr id="11" name="Chart 10">
          <a:extLst>
            <a:ext uri="{FF2B5EF4-FFF2-40B4-BE49-F238E27FC236}">
              <a16:creationId xmlns:a16="http://schemas.microsoft.com/office/drawing/2014/main" id="{00000000-0008-0000-0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9</xdr:col>
      <xdr:colOff>9525</xdr:colOff>
      <xdr:row>151</xdr:row>
      <xdr:rowOff>28575</xdr:rowOff>
    </xdr:from>
    <xdr:to>
      <xdr:col>15</xdr:col>
      <xdr:colOff>600075</xdr:colOff>
      <xdr:row>165</xdr:row>
      <xdr:rowOff>104775</xdr:rowOff>
    </xdr:to>
    <xdr:graphicFrame macro="">
      <xdr:nvGraphicFramePr>
        <xdr:cNvPr id="12" name="Chart 11">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942974</xdr:colOff>
      <xdr:row>169</xdr:row>
      <xdr:rowOff>9525</xdr:rowOff>
    </xdr:from>
    <xdr:to>
      <xdr:col>15</xdr:col>
      <xdr:colOff>571499</xdr:colOff>
      <xdr:row>183</xdr:row>
      <xdr:rowOff>85725</xdr:rowOff>
    </xdr:to>
    <xdr:graphicFrame macro="">
      <xdr:nvGraphicFramePr>
        <xdr:cNvPr id="13" name="Chart 12">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942975</xdr:colOff>
      <xdr:row>186</xdr:row>
      <xdr:rowOff>9525</xdr:rowOff>
    </xdr:from>
    <xdr:to>
      <xdr:col>16</xdr:col>
      <xdr:colOff>9525</xdr:colOff>
      <xdr:row>200</xdr:row>
      <xdr:rowOff>85725</xdr:rowOff>
    </xdr:to>
    <xdr:graphicFrame macro="">
      <xdr:nvGraphicFramePr>
        <xdr:cNvPr id="14" name="Chart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190501</xdr:colOff>
      <xdr:row>182</xdr:row>
      <xdr:rowOff>9525</xdr:rowOff>
    </xdr:from>
    <xdr:to>
      <xdr:col>8</xdr:col>
      <xdr:colOff>19051</xdr:colOff>
      <xdr:row>200</xdr:row>
      <xdr:rowOff>57151</xdr:rowOff>
    </xdr:to>
    <xdr:graphicFrame macro="">
      <xdr:nvGraphicFramePr>
        <xdr:cNvPr id="7" name="Chart 6">
          <a:extLst>
            <a:ext uri="{FF2B5EF4-FFF2-40B4-BE49-F238E27FC236}">
              <a16:creationId xmlns:a16="http://schemas.microsoft.com/office/drawing/2014/main" id="{00000000-0008-0000-0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xdr:col>
      <xdr:colOff>158750</xdr:colOff>
      <xdr:row>1</xdr:row>
      <xdr:rowOff>4234</xdr:rowOff>
    </xdr:from>
    <xdr:to>
      <xdr:col>8</xdr:col>
      <xdr:colOff>592666</xdr:colOff>
      <xdr:row>11</xdr:row>
      <xdr:rowOff>10584</xdr:rowOff>
    </xdr:to>
    <xdr:graphicFrame macro="">
      <xdr:nvGraphicFramePr>
        <xdr:cNvPr id="3" name="Chart 2">
          <a:extLst>
            <a:ext uri="{FF2B5EF4-FFF2-40B4-BE49-F238E27FC236}">
              <a16:creationId xmlns:a16="http://schemas.microsoft.com/office/drawing/2014/main" id="{00000000-0008-0000-0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xdr:col>
      <xdr:colOff>158750</xdr:colOff>
      <xdr:row>1</xdr:row>
      <xdr:rowOff>4234</xdr:rowOff>
    </xdr:from>
    <xdr:to>
      <xdr:col>8</xdr:col>
      <xdr:colOff>592666</xdr:colOff>
      <xdr:row>11</xdr:row>
      <xdr:rowOff>10584</xdr:rowOff>
    </xdr:to>
    <xdr:graphicFrame macro="">
      <xdr:nvGraphicFramePr>
        <xdr:cNvPr id="2" name="Chart 1">
          <a:extLst>
            <a:ext uri="{FF2B5EF4-FFF2-40B4-BE49-F238E27FC236}">
              <a16:creationId xmlns:a16="http://schemas.microsoft.com/office/drawing/2014/main" id="{35B98E87-9372-46B2-B292-F7C6C74F1F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3</xdr:col>
      <xdr:colOff>158750</xdr:colOff>
      <xdr:row>1</xdr:row>
      <xdr:rowOff>4234</xdr:rowOff>
    </xdr:from>
    <xdr:to>
      <xdr:col>8</xdr:col>
      <xdr:colOff>592666</xdr:colOff>
      <xdr:row>11</xdr:row>
      <xdr:rowOff>10584</xdr:rowOff>
    </xdr:to>
    <xdr:graphicFrame macro="">
      <xdr:nvGraphicFramePr>
        <xdr:cNvPr id="2" name="Chart 1">
          <a:extLst>
            <a:ext uri="{FF2B5EF4-FFF2-40B4-BE49-F238E27FC236}">
              <a16:creationId xmlns:a16="http://schemas.microsoft.com/office/drawing/2014/main" id="{97DDAC08-C875-4F09-BB8E-FCEAFEF2B0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3</xdr:col>
      <xdr:colOff>158750</xdr:colOff>
      <xdr:row>1</xdr:row>
      <xdr:rowOff>4234</xdr:rowOff>
    </xdr:from>
    <xdr:to>
      <xdr:col>8</xdr:col>
      <xdr:colOff>592666</xdr:colOff>
      <xdr:row>11</xdr:row>
      <xdr:rowOff>10584</xdr:rowOff>
    </xdr:to>
    <xdr:graphicFrame macro="">
      <xdr:nvGraphicFramePr>
        <xdr:cNvPr id="2" name="Chart 1">
          <a:extLst>
            <a:ext uri="{FF2B5EF4-FFF2-40B4-BE49-F238E27FC236}">
              <a16:creationId xmlns:a16="http://schemas.microsoft.com/office/drawing/2014/main" id="{3882D0FE-E153-464F-8F7D-78935889D7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ersons/person.xml><?xml version="1.0" encoding="utf-8"?>
<personList xmlns="http://schemas.microsoft.com/office/spreadsheetml/2018/threadedcomments" xmlns:x="http://schemas.openxmlformats.org/spreadsheetml/2006/main">
  <person displayName="Sasha Segar" id="{E90FC774-5BC2-44C9-B1F0-F6DE04367147}" userId="S::Sasha.Segar@carbonsmart.co.uk::16082fe2-c4c8-4ab1-9751-f0db5c3ea8db"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G24" dT="2019-05-24T10:00:10.59" personId="{E90FC774-5BC2-44C9-B1F0-F6DE04367147}" id="{D06B3C14-8771-470C-B163-E03A4CBE7440}">
    <text>Where is natural gas in PBi?</text>
  </threadedComment>
</ThreadedComments>
</file>

<file path=xl/threadedComments/threadedComment2.xml><?xml version="1.0" encoding="utf-8"?>
<ThreadedComments xmlns="http://schemas.microsoft.com/office/spreadsheetml/2018/threadedcomments" xmlns:x="http://schemas.openxmlformats.org/spreadsheetml/2006/main">
  <threadedComment ref="G24" dT="2019-05-24T10:00:10.59" personId="{E90FC774-5BC2-44C9-B1F0-F6DE04367147}" id="{E001AB11-65B4-449C-A6DB-45A087B8D5CC}">
    <text>Where is natural gas in PBi?</text>
  </threadedComment>
</ThreadedComments>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GGCMailbox@defra.gsi.gov.uk"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8.bin"/><Relationship Id="rId4" Type="http://schemas.microsoft.com/office/2017/10/relationships/threadedComment" Target="../threadedComments/threadedComment2.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50"/>
  </sheetPr>
  <dimension ref="A1:IU118"/>
  <sheetViews>
    <sheetView workbookViewId="0"/>
  </sheetViews>
  <sheetFormatPr defaultColWidth="9.109375" defaultRowHeight="15.6" x14ac:dyDescent="0.3"/>
  <cols>
    <col min="1" max="1" width="176.6640625" style="585" customWidth="1"/>
    <col min="2" max="3" width="9.109375" style="570"/>
    <col min="4" max="4" width="10.77734375" style="570" customWidth="1"/>
    <col min="5" max="17" width="9.109375" style="570"/>
    <col min="18" max="18" width="26.109375" style="570" customWidth="1"/>
    <col min="19" max="16384" width="9.109375" style="570"/>
  </cols>
  <sheetData>
    <row r="1" spans="1:39" ht="16.5" customHeight="1" x14ac:dyDescent="0.3">
      <c r="A1" s="288" t="s">
        <v>615</v>
      </c>
    </row>
    <row r="2" spans="1:39" ht="16.5" customHeight="1" x14ac:dyDescent="0.3">
      <c r="A2" s="289" t="s">
        <v>287</v>
      </c>
    </row>
    <row r="3" spans="1:39" ht="33" customHeight="1" x14ac:dyDescent="0.3">
      <c r="A3" s="289" t="s">
        <v>288</v>
      </c>
    </row>
    <row r="4" spans="1:39" ht="13.5" customHeight="1" x14ac:dyDescent="0.3">
      <c r="A4" s="289" t="s">
        <v>387</v>
      </c>
    </row>
    <row r="5" spans="1:39" ht="16.5" customHeight="1" x14ac:dyDescent="0.3">
      <c r="A5" s="288"/>
    </row>
    <row r="6" spans="1:39" ht="27.75" customHeight="1" x14ac:dyDescent="0.45">
      <c r="A6" s="290" t="s">
        <v>315</v>
      </c>
    </row>
    <row r="7" spans="1:39" ht="27.75" customHeight="1" x14ac:dyDescent="0.45">
      <c r="A7" s="603"/>
    </row>
    <row r="8" spans="1:39" ht="32.25" customHeight="1" x14ac:dyDescent="0.45">
      <c r="A8" s="604" t="s">
        <v>378</v>
      </c>
    </row>
    <row r="9" spans="1:39" ht="16.5" customHeight="1" x14ac:dyDescent="0.3">
      <c r="A9" t="s">
        <v>383</v>
      </c>
    </row>
    <row r="10" spans="1:39" ht="30.75" customHeight="1" x14ac:dyDescent="0.4">
      <c r="A10" t="s">
        <v>388</v>
      </c>
    </row>
    <row r="11" spans="1:39" s="571" customFormat="1" ht="16.5" customHeight="1" x14ac:dyDescent="0.3">
      <c r="A11" s="605" t="s">
        <v>389</v>
      </c>
      <c r="B11" s="570"/>
      <c r="C11" s="570"/>
      <c r="D11" s="570"/>
      <c r="E11" s="570"/>
      <c r="F11" s="570"/>
      <c r="G11" s="570"/>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row>
    <row r="12" spans="1:39" s="571" customFormat="1" ht="16.5" customHeight="1" x14ac:dyDescent="0.3">
      <c r="A12"/>
      <c r="B12" s="570"/>
      <c r="C12" s="570"/>
      <c r="D12" s="570"/>
      <c r="E12" s="570"/>
      <c r="F12" s="570"/>
      <c r="G12" s="570"/>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row>
    <row r="13" spans="1:39" ht="16.5" customHeight="1" x14ac:dyDescent="0.4">
      <c r="A13" t="s">
        <v>390</v>
      </c>
    </row>
    <row r="14" spans="1:39" ht="16.5" customHeight="1" x14ac:dyDescent="0.3">
      <c r="A14" s="605" t="s">
        <v>389</v>
      </c>
      <c r="L14" s="572"/>
    </row>
    <row r="15" spans="1:39" ht="16.5" customHeight="1" x14ac:dyDescent="0.3">
      <c r="A15" s="607" t="s">
        <v>391</v>
      </c>
      <c r="L15" s="572"/>
    </row>
    <row r="16" spans="1:39" ht="16.5" customHeight="1" x14ac:dyDescent="0.3">
      <c r="A16" s="606" t="s">
        <v>392</v>
      </c>
      <c r="L16" s="572"/>
    </row>
    <row r="17" spans="1:39" ht="16.5" customHeight="1" x14ac:dyDescent="0.3">
      <c r="A17"/>
      <c r="L17" s="572"/>
    </row>
    <row r="18" spans="1:39" s="571" customFormat="1" ht="50.25" customHeight="1" x14ac:dyDescent="0.3">
      <c r="A18" s="292" t="s">
        <v>384</v>
      </c>
      <c r="B18" s="570"/>
      <c r="C18" s="570"/>
      <c r="D18" s="570"/>
      <c r="E18" s="570"/>
      <c r="F18" s="570"/>
      <c r="G18" s="570"/>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row>
    <row r="19" spans="1:39" s="571" customFormat="1" ht="19.5" customHeight="1" x14ac:dyDescent="0.3">
      <c r="A19" s="292"/>
      <c r="B19" s="570"/>
      <c r="C19" s="570"/>
      <c r="D19" s="570"/>
      <c r="E19" s="570"/>
      <c r="F19" s="570"/>
      <c r="G19" s="570"/>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row>
    <row r="20" spans="1:39" s="574" customFormat="1" ht="16.5" customHeight="1" x14ac:dyDescent="0.35">
      <c r="A20" s="293" t="s">
        <v>393</v>
      </c>
      <c r="B20" s="573"/>
    </row>
    <row r="21" spans="1:39" ht="16.5" customHeight="1" x14ac:dyDescent="0.3">
      <c r="A21" s="289" t="s">
        <v>316</v>
      </c>
    </row>
    <row r="22" spans="1:39" ht="16.5" customHeight="1" x14ac:dyDescent="0.3">
      <c r="A22" s="289" t="s">
        <v>317</v>
      </c>
    </row>
    <row r="23" spans="1:39" x14ac:dyDescent="0.3">
      <c r="A23" s="294"/>
    </row>
    <row r="24" spans="1:39" s="574" customFormat="1" ht="16.5" customHeight="1" x14ac:dyDescent="0.35">
      <c r="A24" s="293" t="s">
        <v>1</v>
      </c>
      <c r="B24" s="573"/>
    </row>
    <row r="25" spans="1:39" ht="16.5" customHeight="1" x14ac:dyDescent="0.3">
      <c r="A25" s="289" t="s">
        <v>379</v>
      </c>
    </row>
    <row r="26" spans="1:39" ht="16.5" customHeight="1" x14ac:dyDescent="0.3">
      <c r="A26" s="289" t="s">
        <v>318</v>
      </c>
    </row>
    <row r="27" spans="1:39" ht="16.5" customHeight="1" x14ac:dyDescent="0.3">
      <c r="A27" s="289"/>
    </row>
    <row r="28" spans="1:39" s="575" customFormat="1" ht="16.5" customHeight="1" x14ac:dyDescent="0.35">
      <c r="A28" s="201" t="s">
        <v>319</v>
      </c>
    </row>
    <row r="29" spans="1:39" ht="16.5" customHeight="1" x14ac:dyDescent="0.3">
      <c r="A29" s="289" t="s">
        <v>320</v>
      </c>
    </row>
    <row r="30" spans="1:39" ht="16.5" customHeight="1" x14ac:dyDescent="0.3">
      <c r="A30" s="289" t="s">
        <v>349</v>
      </c>
      <c r="K30" s="576"/>
      <c r="M30" s="577"/>
      <c r="N30" s="577"/>
      <c r="O30" s="578"/>
    </row>
    <row r="31" spans="1:39" s="579" customFormat="1" ht="16.5" customHeight="1" x14ac:dyDescent="0.3">
      <c r="A31" s="291" t="s">
        <v>321</v>
      </c>
    </row>
    <row r="32" spans="1:39" s="579" customFormat="1" ht="16.5" customHeight="1" x14ac:dyDescent="0.3">
      <c r="A32" s="291"/>
    </row>
    <row r="33" spans="1:255" s="574" customFormat="1" ht="16.5" customHeight="1" x14ac:dyDescent="0.35">
      <c r="A33" s="293" t="s">
        <v>566</v>
      </c>
      <c r="B33" s="573"/>
    </row>
    <row r="34" spans="1:255" ht="16.5" customHeight="1" x14ac:dyDescent="0.3">
      <c r="A34" s="289" t="s">
        <v>322</v>
      </c>
      <c r="L34" s="580"/>
      <c r="M34" s="581"/>
      <c r="N34" s="581"/>
      <c r="O34" s="578"/>
    </row>
    <row r="35" spans="1:255" s="579" customFormat="1" ht="16.5" customHeight="1" x14ac:dyDescent="0.3">
      <c r="A35" s="291" t="s">
        <v>567</v>
      </c>
    </row>
    <row r="36" spans="1:255" s="579" customFormat="1" ht="16.5" customHeight="1" x14ac:dyDescent="0.3">
      <c r="A36" s="291" t="s">
        <v>568</v>
      </c>
    </row>
    <row r="37" spans="1:255" s="579" customFormat="1" ht="16.5" customHeight="1" x14ac:dyDescent="0.3">
      <c r="A37" s="291" t="s">
        <v>569</v>
      </c>
    </row>
    <row r="38" spans="1:255" s="579" customFormat="1" ht="16.5" customHeight="1" x14ac:dyDescent="0.3">
      <c r="A38" s="291" t="s">
        <v>570</v>
      </c>
    </row>
    <row r="39" spans="1:255" ht="16.5" customHeight="1" x14ac:dyDescent="0.3">
      <c r="A39" s="289" t="s">
        <v>323</v>
      </c>
      <c r="B39" s="578"/>
      <c r="C39" s="582"/>
      <c r="D39" s="582"/>
      <c r="E39" s="582"/>
      <c r="F39" s="582"/>
      <c r="G39" s="582"/>
      <c r="H39" s="582"/>
      <c r="I39" s="582"/>
      <c r="J39" s="582"/>
      <c r="K39" s="582"/>
      <c r="L39" s="582"/>
      <c r="M39" s="582"/>
      <c r="N39" s="582"/>
      <c r="O39" s="582"/>
      <c r="P39" s="582"/>
      <c r="Q39" s="582"/>
      <c r="R39" s="582"/>
    </row>
    <row r="40" spans="1:255" ht="16.5" customHeight="1" x14ac:dyDescent="0.3">
      <c r="A40" s="289" t="s">
        <v>324</v>
      </c>
      <c r="B40" s="583"/>
      <c r="C40" s="584"/>
      <c r="D40" s="584"/>
      <c r="E40" s="584"/>
      <c r="F40" s="584"/>
      <c r="G40" s="584"/>
      <c r="H40" s="584"/>
      <c r="I40" s="584"/>
      <c r="J40" s="584"/>
      <c r="K40" s="584"/>
      <c r="L40" s="584"/>
      <c r="M40" s="584"/>
      <c r="N40" s="584"/>
      <c r="O40" s="584"/>
      <c r="P40" s="584"/>
      <c r="Q40" s="584"/>
      <c r="R40" s="584"/>
      <c r="S40" s="582"/>
      <c r="T40" s="582"/>
      <c r="U40" s="582"/>
      <c r="V40" s="582"/>
      <c r="W40" s="582"/>
      <c r="X40" s="582"/>
      <c r="Y40" s="582"/>
      <c r="Z40" s="582"/>
      <c r="AA40" s="582"/>
      <c r="AB40" s="582"/>
      <c r="AC40" s="582"/>
      <c r="AD40" s="582"/>
      <c r="AE40" s="582"/>
      <c r="AF40" s="582"/>
      <c r="AG40" s="582"/>
      <c r="AH40" s="582"/>
      <c r="AI40" s="582"/>
      <c r="AJ40" s="1822"/>
      <c r="AK40" s="1822"/>
      <c r="AL40" s="1822"/>
      <c r="AM40" s="1822"/>
      <c r="AN40" s="1822"/>
      <c r="AO40" s="1822"/>
      <c r="AP40" s="1822"/>
      <c r="AQ40" s="1822"/>
      <c r="AR40" s="1822"/>
      <c r="AS40" s="1822"/>
      <c r="AT40" s="1822"/>
      <c r="AU40" s="1822"/>
      <c r="AV40" s="1822"/>
      <c r="AW40" s="1822"/>
      <c r="AX40" s="1822"/>
      <c r="AY40" s="1822"/>
      <c r="AZ40" s="1822"/>
      <c r="BA40" s="1822"/>
      <c r="BB40" s="1822"/>
      <c r="BC40" s="1822"/>
      <c r="BD40" s="1822"/>
      <c r="BE40" s="1822"/>
      <c r="BF40" s="1822"/>
      <c r="BG40" s="1822"/>
      <c r="BH40" s="1822"/>
      <c r="BI40" s="1822"/>
      <c r="BJ40" s="1822"/>
      <c r="BK40" s="1822"/>
      <c r="BL40" s="1822"/>
      <c r="BM40" s="1822"/>
      <c r="BN40" s="1822"/>
      <c r="BO40" s="1822"/>
      <c r="BP40" s="1822"/>
      <c r="BQ40" s="1822"/>
      <c r="BR40" s="1822"/>
      <c r="BS40" s="1822"/>
      <c r="BT40" s="1822"/>
      <c r="BU40" s="1822"/>
      <c r="BV40" s="1822"/>
      <c r="BW40" s="1822"/>
      <c r="BX40" s="1822"/>
      <c r="BY40" s="1822"/>
      <c r="BZ40" s="1822"/>
      <c r="CA40" s="1822"/>
      <c r="CB40" s="1822"/>
      <c r="CC40" s="1822"/>
      <c r="CD40" s="1822"/>
      <c r="CE40" s="1822"/>
      <c r="CF40" s="1822"/>
      <c r="CG40" s="1822"/>
      <c r="CH40" s="1822"/>
      <c r="CI40" s="1822"/>
      <c r="CJ40" s="1822"/>
      <c r="CK40" s="1822"/>
      <c r="CL40" s="1822"/>
      <c r="CM40" s="1822"/>
      <c r="CN40" s="1822"/>
      <c r="CO40" s="1822"/>
      <c r="CP40" s="1822"/>
      <c r="CQ40" s="1822"/>
      <c r="CR40" s="1822"/>
      <c r="CS40" s="1822"/>
      <c r="CT40" s="1822"/>
      <c r="CU40" s="1822"/>
      <c r="CV40" s="1822"/>
      <c r="CW40" s="1822"/>
      <c r="CX40" s="1822"/>
      <c r="CY40" s="1822"/>
      <c r="CZ40" s="1822"/>
      <c r="DA40" s="1822"/>
      <c r="DB40" s="1822"/>
      <c r="DC40" s="1822"/>
      <c r="DD40" s="1822"/>
      <c r="DE40" s="1822"/>
      <c r="DF40" s="1822"/>
      <c r="DG40" s="1822"/>
      <c r="DH40" s="1822"/>
      <c r="DI40" s="1822"/>
      <c r="DJ40" s="1822"/>
      <c r="DK40" s="1822"/>
      <c r="DL40" s="1822"/>
      <c r="DM40" s="1822"/>
      <c r="DN40" s="1822"/>
      <c r="DO40" s="1822"/>
      <c r="DP40" s="1822"/>
      <c r="DQ40" s="1822"/>
      <c r="DR40" s="1822"/>
      <c r="DS40" s="1822"/>
      <c r="DT40" s="1822"/>
      <c r="DU40" s="1822"/>
      <c r="DV40" s="1822"/>
      <c r="DW40" s="1822"/>
      <c r="DX40" s="1822"/>
      <c r="DY40" s="1822"/>
      <c r="DZ40" s="1822"/>
      <c r="EA40" s="1822"/>
      <c r="EB40" s="1822"/>
      <c r="EC40" s="1822"/>
      <c r="ED40" s="1822"/>
      <c r="EE40" s="1822"/>
      <c r="EF40" s="1822"/>
      <c r="EG40" s="1822"/>
      <c r="EH40" s="1822"/>
      <c r="EI40" s="1822"/>
      <c r="EJ40" s="1822"/>
      <c r="EK40" s="1822"/>
      <c r="EL40" s="1822"/>
      <c r="EM40" s="1822"/>
      <c r="EN40" s="1822"/>
      <c r="EO40" s="1822"/>
      <c r="EP40" s="1822"/>
      <c r="EQ40" s="1822"/>
      <c r="ER40" s="1822"/>
      <c r="ES40" s="1822"/>
      <c r="ET40" s="1822"/>
      <c r="EU40" s="1822"/>
      <c r="EV40" s="1822"/>
      <c r="EW40" s="1822"/>
      <c r="EX40" s="1822"/>
      <c r="EY40" s="1822"/>
      <c r="EZ40" s="1822"/>
      <c r="FA40" s="1822"/>
      <c r="FB40" s="1822"/>
      <c r="FC40" s="1822"/>
      <c r="FD40" s="1822"/>
      <c r="FE40" s="1822"/>
      <c r="FF40" s="1822"/>
      <c r="FG40" s="1822"/>
      <c r="FH40" s="1822"/>
      <c r="FI40" s="1822"/>
      <c r="FJ40" s="1822"/>
      <c r="FK40" s="1822"/>
      <c r="FL40" s="1822"/>
      <c r="FM40" s="1822"/>
      <c r="FN40" s="1822"/>
      <c r="FO40" s="1822"/>
      <c r="FP40" s="1822"/>
      <c r="FQ40" s="1822"/>
      <c r="FR40" s="1822"/>
      <c r="FS40" s="1822"/>
      <c r="FT40" s="1822"/>
      <c r="FU40" s="1822"/>
      <c r="FV40" s="1822"/>
      <c r="FW40" s="1822"/>
      <c r="FX40" s="1822"/>
      <c r="FY40" s="1822"/>
      <c r="FZ40" s="1822"/>
      <c r="GA40" s="1822"/>
      <c r="GB40" s="1822"/>
      <c r="GC40" s="1822"/>
      <c r="GD40" s="1822"/>
      <c r="GE40" s="1822"/>
      <c r="GF40" s="1822"/>
      <c r="GG40" s="1822"/>
      <c r="GH40" s="1822"/>
      <c r="GI40" s="1822"/>
      <c r="GJ40" s="1822"/>
      <c r="GK40" s="1822"/>
      <c r="GL40" s="1822"/>
      <c r="GM40" s="1822"/>
      <c r="GN40" s="1822"/>
      <c r="GO40" s="1822"/>
      <c r="GP40" s="1822"/>
      <c r="GQ40" s="1822"/>
      <c r="GR40" s="1822"/>
      <c r="GS40" s="1822"/>
      <c r="GT40" s="1822"/>
      <c r="GU40" s="1822"/>
      <c r="GV40" s="1822"/>
      <c r="GW40" s="1822"/>
      <c r="GX40" s="1822"/>
      <c r="GY40" s="1822"/>
      <c r="GZ40" s="1822"/>
      <c r="HA40" s="1822"/>
      <c r="HB40" s="1822"/>
      <c r="HC40" s="1822"/>
      <c r="HD40" s="1822"/>
      <c r="HE40" s="1822"/>
      <c r="HF40" s="1822"/>
      <c r="HG40" s="1822"/>
      <c r="HH40" s="1822"/>
      <c r="HI40" s="1822"/>
      <c r="HJ40" s="1822"/>
      <c r="HK40" s="1822"/>
      <c r="HL40" s="1822"/>
      <c r="HM40" s="1822"/>
      <c r="HN40" s="1822"/>
      <c r="HO40" s="1822"/>
      <c r="HP40" s="1822"/>
      <c r="HQ40" s="1822"/>
      <c r="HR40" s="1822"/>
      <c r="HS40" s="1822"/>
      <c r="HT40" s="1822"/>
      <c r="HU40" s="1822"/>
      <c r="HV40" s="1822"/>
      <c r="HW40" s="1822"/>
      <c r="HX40" s="1822"/>
      <c r="HY40" s="1822"/>
      <c r="HZ40" s="1822"/>
      <c r="IA40" s="1822"/>
      <c r="IB40" s="1822"/>
      <c r="IC40" s="1822"/>
      <c r="ID40" s="1822"/>
      <c r="IE40" s="1822"/>
      <c r="IF40" s="1822"/>
      <c r="IG40" s="1822"/>
      <c r="IH40" s="1822"/>
      <c r="II40" s="1822"/>
      <c r="IJ40" s="1822"/>
      <c r="IK40" s="1822"/>
      <c r="IL40" s="1822"/>
      <c r="IM40" s="1822"/>
      <c r="IN40" s="1822"/>
      <c r="IO40" s="1822"/>
      <c r="IP40" s="1822"/>
      <c r="IQ40" s="1822"/>
      <c r="IR40" s="1822"/>
      <c r="IS40" s="1822"/>
      <c r="IT40" s="1822"/>
      <c r="IU40" s="1822"/>
    </row>
    <row r="41" spans="1:255" ht="16.5" customHeight="1" x14ac:dyDescent="0.3">
      <c r="A41" s="289"/>
      <c r="L41" s="580"/>
      <c r="M41" s="581"/>
      <c r="N41" s="581"/>
      <c r="O41" s="578"/>
    </row>
    <row r="42" spans="1:255" s="574" customFormat="1" ht="16.5" customHeight="1" x14ac:dyDescent="0.35">
      <c r="A42" s="293" t="s">
        <v>22</v>
      </c>
      <c r="B42" s="573"/>
    </row>
    <row r="43" spans="1:255" ht="16.5" customHeight="1" x14ac:dyDescent="0.3">
      <c r="A43" s="289" t="s">
        <v>325</v>
      </c>
    </row>
    <row r="44" spans="1:255" ht="16.5" customHeight="1" x14ac:dyDescent="0.3">
      <c r="A44" s="289" t="s">
        <v>326</v>
      </c>
    </row>
    <row r="45" spans="1:255" ht="16.5" customHeight="1" x14ac:dyDescent="0.3">
      <c r="A45" s="289" t="s">
        <v>327</v>
      </c>
      <c r="B45" s="583"/>
      <c r="C45" s="583"/>
      <c r="D45" s="583"/>
      <c r="E45" s="583"/>
      <c r="F45" s="583"/>
      <c r="G45" s="583"/>
      <c r="H45" s="583"/>
      <c r="I45" s="583"/>
      <c r="J45" s="583"/>
      <c r="K45" s="583"/>
      <c r="L45" s="583"/>
      <c r="M45" s="583"/>
      <c r="N45" s="583"/>
      <c r="O45" s="583"/>
      <c r="P45" s="583"/>
      <c r="Q45" s="583"/>
      <c r="R45" s="583"/>
    </row>
    <row r="46" spans="1:255" ht="16.5" customHeight="1" x14ac:dyDescent="0.3">
      <c r="A46" s="289"/>
      <c r="B46" s="583"/>
      <c r="C46" s="583"/>
      <c r="D46" s="583"/>
      <c r="E46" s="583"/>
      <c r="F46" s="583"/>
      <c r="G46" s="583"/>
      <c r="H46" s="583"/>
      <c r="I46" s="583"/>
      <c r="J46" s="583"/>
      <c r="K46" s="583"/>
      <c r="L46" s="583"/>
      <c r="M46" s="583"/>
      <c r="N46" s="583"/>
      <c r="O46" s="583"/>
      <c r="P46" s="583"/>
      <c r="Q46" s="583"/>
      <c r="R46" s="583"/>
    </row>
    <row r="47" spans="1:255" s="575" customFormat="1" ht="16.5" customHeight="1" x14ac:dyDescent="0.35">
      <c r="A47" s="201" t="s">
        <v>198</v>
      </c>
    </row>
    <row r="48" spans="1:255" ht="16.5" customHeight="1" x14ac:dyDescent="0.3">
      <c r="A48" s="289" t="s">
        <v>328</v>
      </c>
    </row>
    <row r="49" spans="1:2" ht="16.5" customHeight="1" x14ac:dyDescent="0.3">
      <c r="A49" s="608" t="s">
        <v>329</v>
      </c>
    </row>
    <row r="50" spans="1:2" ht="34.5" customHeight="1" x14ac:dyDescent="0.3">
      <c r="A50" s="609" t="s">
        <v>330</v>
      </c>
    </row>
    <row r="51" spans="1:2" ht="33" customHeight="1" x14ac:dyDescent="0.3">
      <c r="A51" s="609" t="s">
        <v>331</v>
      </c>
    </row>
    <row r="52" spans="1:2" ht="16.5" customHeight="1" x14ac:dyDescent="0.3">
      <c r="A52" s="608" t="s">
        <v>332</v>
      </c>
    </row>
    <row r="53" spans="1:2" ht="16.5" customHeight="1" x14ac:dyDescent="0.3">
      <c r="A53" s="289"/>
    </row>
    <row r="54" spans="1:2" s="574" customFormat="1" ht="16.5" customHeight="1" x14ac:dyDescent="0.35">
      <c r="A54" s="293" t="s">
        <v>65</v>
      </c>
      <c r="B54" s="573"/>
    </row>
    <row r="55" spans="1:2" ht="16.5" customHeight="1" x14ac:dyDescent="0.3">
      <c r="A55" s="289" t="s">
        <v>333</v>
      </c>
    </row>
    <row r="56" spans="1:2" ht="16.5" customHeight="1" x14ac:dyDescent="0.3">
      <c r="A56" s="289"/>
    </row>
    <row r="57" spans="1:2" s="574" customFormat="1" ht="16.5" customHeight="1" x14ac:dyDescent="0.35">
      <c r="A57" s="293" t="s">
        <v>334</v>
      </c>
      <c r="B57" s="573"/>
    </row>
    <row r="58" spans="1:2" ht="16.5" customHeight="1" x14ac:dyDescent="0.3">
      <c r="A58" s="289" t="s">
        <v>335</v>
      </c>
    </row>
    <row r="59" spans="1:2" ht="16.5" customHeight="1" x14ac:dyDescent="0.3">
      <c r="A59" s="289" t="s">
        <v>336</v>
      </c>
    </row>
    <row r="60" spans="1:2" ht="33" customHeight="1" x14ac:dyDescent="0.3">
      <c r="A60" s="289" t="s">
        <v>528</v>
      </c>
    </row>
    <row r="61" spans="1:2" ht="16.5" customHeight="1" x14ac:dyDescent="0.3">
      <c r="A61" s="289" t="s">
        <v>76</v>
      </c>
    </row>
    <row r="62" spans="1:2" ht="16.5" customHeight="1" x14ac:dyDescent="0.3">
      <c r="A62" s="289" t="s">
        <v>337</v>
      </c>
    </row>
    <row r="63" spans="1:2" s="574" customFormat="1" ht="16.5" customHeight="1" x14ac:dyDescent="0.35">
      <c r="A63" s="289"/>
    </row>
    <row r="64" spans="1:2" s="574" customFormat="1" ht="16.5" customHeight="1" x14ac:dyDescent="0.35">
      <c r="A64" s="293" t="s">
        <v>229</v>
      </c>
      <c r="B64" s="573"/>
    </row>
    <row r="65" spans="1:2" ht="16.5" customHeight="1" x14ac:dyDescent="0.3">
      <c r="A65" s="289" t="s">
        <v>338</v>
      </c>
    </row>
    <row r="66" spans="1:2" ht="16.5" customHeight="1" x14ac:dyDescent="0.3">
      <c r="A66" s="289" t="s">
        <v>380</v>
      </c>
    </row>
    <row r="67" spans="1:2" ht="16.5" customHeight="1" x14ac:dyDescent="0.3">
      <c r="A67" s="289" t="s">
        <v>339</v>
      </c>
    </row>
    <row r="68" spans="1:2" ht="16.5" customHeight="1" x14ac:dyDescent="0.3">
      <c r="A68" s="289" t="s">
        <v>340</v>
      </c>
    </row>
    <row r="69" spans="1:2" ht="16.5" customHeight="1" x14ac:dyDescent="0.3">
      <c r="A69" s="289"/>
    </row>
    <row r="70" spans="1:2" s="574" customFormat="1" ht="16.5" customHeight="1" x14ac:dyDescent="0.35">
      <c r="A70" s="293" t="s">
        <v>228</v>
      </c>
      <c r="B70" s="573"/>
    </row>
    <row r="71" spans="1:2" ht="16.5" customHeight="1" x14ac:dyDescent="0.3">
      <c r="A71" s="289" t="s">
        <v>341</v>
      </c>
    </row>
    <row r="72" spans="1:2" ht="16.5" customHeight="1" x14ac:dyDescent="0.3">
      <c r="A72" s="289" t="s">
        <v>342</v>
      </c>
    </row>
    <row r="73" spans="1:2" ht="16.5" customHeight="1" x14ac:dyDescent="0.3">
      <c r="A73" s="289"/>
    </row>
    <row r="74" spans="1:2" s="575" customFormat="1" ht="16.5" customHeight="1" x14ac:dyDescent="0.35">
      <c r="A74" s="201" t="s">
        <v>343</v>
      </c>
    </row>
    <row r="75" spans="1:2" s="574" customFormat="1" ht="16.5" customHeight="1" x14ac:dyDescent="0.35">
      <c r="A75" s="293" t="s">
        <v>344</v>
      </c>
      <c r="B75" s="573"/>
    </row>
    <row r="76" spans="1:2" ht="16.5" customHeight="1" x14ac:dyDescent="0.3">
      <c r="A76" s="289" t="s">
        <v>345</v>
      </c>
    </row>
    <row r="77" spans="1:2" ht="16.5" customHeight="1" x14ac:dyDescent="0.3">
      <c r="A77" s="289" t="s">
        <v>348</v>
      </c>
    </row>
    <row r="78" spans="1:2" ht="16.5" customHeight="1" x14ac:dyDescent="0.3">
      <c r="A78" s="289" t="s">
        <v>485</v>
      </c>
    </row>
    <row r="79" spans="1:2" ht="16.5" customHeight="1" x14ac:dyDescent="0.3">
      <c r="A79" s="289" t="s">
        <v>346</v>
      </c>
    </row>
    <row r="80" spans="1:2" ht="16.5" customHeight="1" x14ac:dyDescent="0.3">
      <c r="A80" s="289" t="s">
        <v>347</v>
      </c>
    </row>
    <row r="81" spans="1:1" x14ac:dyDescent="0.3">
      <c r="A81" s="294"/>
    </row>
    <row r="82" spans="1:1" x14ac:dyDescent="0.3">
      <c r="A82" s="294"/>
    </row>
    <row r="83" spans="1:1" ht="27.75" customHeight="1" x14ac:dyDescent="0.45">
      <c r="A83" s="290" t="s">
        <v>286</v>
      </c>
    </row>
    <row r="84" spans="1:1" x14ac:dyDescent="0.3">
      <c r="A84" s="294"/>
    </row>
    <row r="85" spans="1:1" s="573" customFormat="1" ht="16.5" customHeight="1" x14ac:dyDescent="0.35">
      <c r="A85" s="293" t="s">
        <v>289</v>
      </c>
    </row>
    <row r="86" spans="1:1" ht="32.25" customHeight="1" x14ac:dyDescent="0.3">
      <c r="A86" s="289" t="s">
        <v>290</v>
      </c>
    </row>
    <row r="87" spans="1:1" ht="16.5" customHeight="1" x14ac:dyDescent="0.3">
      <c r="A87" s="289" t="s">
        <v>291</v>
      </c>
    </row>
    <row r="88" spans="1:1" ht="16.5" customHeight="1" x14ac:dyDescent="0.3">
      <c r="A88" s="289" t="s">
        <v>571</v>
      </c>
    </row>
    <row r="89" spans="1:1" ht="16.5" customHeight="1" x14ac:dyDescent="0.3">
      <c r="A89" s="289" t="s">
        <v>364</v>
      </c>
    </row>
    <row r="90" spans="1:1" ht="16.5" customHeight="1" x14ac:dyDescent="0.3">
      <c r="A90" s="289"/>
    </row>
    <row r="91" spans="1:1" s="573" customFormat="1" ht="16.5" customHeight="1" x14ac:dyDescent="0.35">
      <c r="A91" s="293" t="s">
        <v>292</v>
      </c>
    </row>
    <row r="92" spans="1:1" s="586" customFormat="1" ht="16.5" customHeight="1" x14ac:dyDescent="0.3">
      <c r="A92" s="295" t="s">
        <v>293</v>
      </c>
    </row>
    <row r="93" spans="1:1" ht="33" customHeight="1" x14ac:dyDescent="0.3">
      <c r="A93" s="289" t="s">
        <v>294</v>
      </c>
    </row>
    <row r="94" spans="1:1" ht="16.5" customHeight="1" x14ac:dyDescent="0.3">
      <c r="A94" s="289"/>
    </row>
    <row r="95" spans="1:1" s="586" customFormat="1" ht="16.5" customHeight="1" x14ac:dyDescent="0.3">
      <c r="A95" s="295" t="s">
        <v>295</v>
      </c>
    </row>
    <row r="96" spans="1:1" ht="33.75" customHeight="1" x14ac:dyDescent="0.3">
      <c r="A96" s="289" t="s">
        <v>296</v>
      </c>
    </row>
    <row r="97" spans="1:1" ht="16.5" customHeight="1" x14ac:dyDescent="0.3">
      <c r="A97" s="289" t="s">
        <v>297</v>
      </c>
    </row>
    <row r="98" spans="1:1" ht="32.25" customHeight="1" x14ac:dyDescent="0.3">
      <c r="A98" s="289" t="s">
        <v>298</v>
      </c>
    </row>
    <row r="99" spans="1:1" ht="16.5" customHeight="1" x14ac:dyDescent="0.3">
      <c r="A99" s="289" t="s">
        <v>299</v>
      </c>
    </row>
    <row r="100" spans="1:1" ht="36" customHeight="1" x14ac:dyDescent="0.3">
      <c r="A100" s="289" t="s">
        <v>300</v>
      </c>
    </row>
    <row r="101" spans="1:1" ht="16.5" customHeight="1" x14ac:dyDescent="0.3">
      <c r="A101" s="289" t="s">
        <v>301</v>
      </c>
    </row>
    <row r="102" spans="1:1" ht="16.5" customHeight="1" x14ac:dyDescent="0.3">
      <c r="A102" s="289"/>
    </row>
    <row r="103" spans="1:1" s="586" customFormat="1" ht="16.5" customHeight="1" x14ac:dyDescent="0.3">
      <c r="A103" s="295" t="s">
        <v>302</v>
      </c>
    </row>
    <row r="104" spans="1:1" ht="16.5" customHeight="1" x14ac:dyDescent="0.3">
      <c r="A104" s="289" t="s">
        <v>303</v>
      </c>
    </row>
    <row r="105" spans="1:1" ht="29.25" customHeight="1" x14ac:dyDescent="0.3">
      <c r="A105" s="289" t="s">
        <v>304</v>
      </c>
    </row>
    <row r="106" spans="1:1" ht="16.5" customHeight="1" x14ac:dyDescent="0.3">
      <c r="A106" s="289"/>
    </row>
    <row r="107" spans="1:1" s="586" customFormat="1" ht="16.5" customHeight="1" x14ac:dyDescent="0.3">
      <c r="A107" s="295" t="s">
        <v>305</v>
      </c>
    </row>
    <row r="108" spans="1:1" ht="16.5" customHeight="1" x14ac:dyDescent="0.3">
      <c r="A108" s="289" t="s">
        <v>306</v>
      </c>
    </row>
    <row r="109" spans="1:1" ht="16.5" customHeight="1" x14ac:dyDescent="0.3">
      <c r="A109" s="296" t="s">
        <v>307</v>
      </c>
    </row>
    <row r="110" spans="1:1" ht="16.5" customHeight="1" x14ac:dyDescent="0.3">
      <c r="A110" s="296" t="s">
        <v>308</v>
      </c>
    </row>
    <row r="111" spans="1:1" ht="16.5" customHeight="1" x14ac:dyDescent="0.35">
      <c r="A111" s="296" t="s">
        <v>309</v>
      </c>
    </row>
    <row r="112" spans="1:1" ht="30.75" customHeight="1" x14ac:dyDescent="0.3">
      <c r="A112" s="296" t="s">
        <v>310</v>
      </c>
    </row>
    <row r="113" spans="1:1" x14ac:dyDescent="0.3">
      <c r="A113" s="294"/>
    </row>
    <row r="114" spans="1:1" s="586" customFormat="1" ht="16.5" customHeight="1" x14ac:dyDescent="0.3">
      <c r="A114" s="295" t="s">
        <v>311</v>
      </c>
    </row>
    <row r="115" spans="1:1" ht="16.5" customHeight="1" x14ac:dyDescent="0.3">
      <c r="A115" s="289" t="s">
        <v>312</v>
      </c>
    </row>
    <row r="116" spans="1:1" ht="16.5" customHeight="1" x14ac:dyDescent="0.3">
      <c r="A116" s="289"/>
    </row>
    <row r="117" spans="1:1" s="586" customFormat="1" ht="16.5" customHeight="1" x14ac:dyDescent="0.3">
      <c r="A117" s="295" t="s">
        <v>313</v>
      </c>
    </row>
    <row r="118" spans="1:1" ht="33" customHeight="1" x14ac:dyDescent="0.3">
      <c r="A118" s="289" t="s">
        <v>314</v>
      </c>
    </row>
  </sheetData>
  <sheetProtection algorithmName="SHA-512" hashValue="+IpObM/bEQWd0QDmXX/u6R69orRO9q6eKclphrh2tKYeOtX7AyJ1ddtHpvDqEWTyR5FeNNo8TvnrWTOa3bAKRA==" saltValue="R/7Ea6oA5djMnngQ124qPQ==" spinCount="100000" sheet="1" objects="1" scenarios="1"/>
  <mergeCells count="13">
    <mergeCell ref="HH40:HY40"/>
    <mergeCell ref="HZ40:IQ40"/>
    <mergeCell ref="IR40:IU40"/>
    <mergeCell ref="DV40:EM40"/>
    <mergeCell ref="EN40:FE40"/>
    <mergeCell ref="FF40:FW40"/>
    <mergeCell ref="FX40:GO40"/>
    <mergeCell ref="GP40:HG40"/>
    <mergeCell ref="AJ40:BA40"/>
    <mergeCell ref="BB40:BS40"/>
    <mergeCell ref="BT40:CK40"/>
    <mergeCell ref="CL40:DC40"/>
    <mergeCell ref="DD40:DU40"/>
  </mergeCells>
  <dataValidations disablePrompts="1" count="2">
    <dataValidation type="list" allowBlank="1" showInputMessage="1" showErrorMessage="1" sqref="I89:I112 I14:I17 I20:I22 I24:I25 I114:I118">
      <formula1>$H$1:$H$83</formula1>
    </dataValidation>
    <dataValidation type="list" allowBlank="1" showInputMessage="1" showErrorMessage="1" sqref="I88">
      <formula1>$I$1:$I$83</formula1>
    </dataValidation>
  </dataValidations>
  <hyperlinks>
    <hyperlink ref="A31" r:id="rId1"/>
    <hyperlink ref="A35" location="'Q1'!A1" display="Q1   1st April 2016 - 30th June 2016"/>
    <hyperlink ref="A28" location="Baseline!A1" display="BASELINE"/>
    <hyperlink ref="A36" location="'Q2'!A1" display="Q2   1st July 2016 - 30th September 2016"/>
    <hyperlink ref="A37" location="'Q3'!A1" display="Q3   1st October 2016 - 31st December 2016"/>
    <hyperlink ref="A38" location="'Q4'!A1" display="Q4    1st January 2017-31st March 2017"/>
    <hyperlink ref="A47" location="CHP!A1" display="CHP"/>
    <hyperlink ref="A74" location="'Emission Factors'!A1" display="EMISSION FACTORS"/>
  </hyperlinks>
  <pageMargins left="0.7" right="0.7" top="0.75" bottom="0.75" header="0.3" footer="0.3"/>
  <pageSetup paperSize="9"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1:BC178"/>
  <sheetViews>
    <sheetView zoomScale="80" zoomScaleNormal="80" workbookViewId="0">
      <pane xSplit="2" ySplit="14" topLeftCell="C84" activePane="bottomRight" state="frozen"/>
      <selection activeCell="I110" sqref="I110:K110"/>
      <selection pane="topRight" activeCell="I110" sqref="I110:K110"/>
      <selection pane="bottomLeft" activeCell="I110" sqref="I110:K110"/>
      <selection pane="bottomRight"/>
    </sheetView>
  </sheetViews>
  <sheetFormatPr defaultColWidth="9.109375" defaultRowHeight="15" customHeight="1" x14ac:dyDescent="0.3"/>
  <cols>
    <col min="1" max="1" width="12.6640625" customWidth="1"/>
    <col min="2" max="2" width="39.109375" customWidth="1"/>
    <col min="3" max="7" width="12.33203125" customWidth="1"/>
    <col min="8" max="8" width="12.33203125" hidden="1" customWidth="1"/>
    <col min="9" max="9" width="12.33203125" customWidth="1"/>
    <col min="10" max="10" width="14.21875" customWidth="1"/>
    <col min="11" max="11" width="7.109375" customWidth="1"/>
    <col min="12" max="12" width="10.109375" customWidth="1"/>
    <col min="13" max="13" width="20.77734375" customWidth="1"/>
    <col min="14" max="14" width="7.6640625" customWidth="1"/>
    <col min="15" max="17" width="14.6640625" customWidth="1"/>
    <col min="18" max="18" width="12.33203125" customWidth="1"/>
    <col min="19" max="19" width="12.21875" customWidth="1"/>
    <col min="20" max="21" width="8.77734375" customWidth="1"/>
    <col min="22" max="24" width="8.77734375" hidden="1" customWidth="1"/>
    <col min="25" max="25" width="8.77734375" customWidth="1"/>
    <col min="26" max="26" width="9" customWidth="1"/>
    <col min="27" max="27" width="9.33203125" customWidth="1"/>
    <col min="28" max="28" width="66.77734375" customWidth="1"/>
    <col min="29" max="29" width="14.109375" customWidth="1"/>
    <col min="30" max="33" width="16.33203125" customWidth="1"/>
    <col min="34" max="34" width="14" customWidth="1"/>
    <col min="35" max="35" width="14" hidden="1" customWidth="1"/>
    <col min="36" max="36" width="14.21875" customWidth="1"/>
    <col min="37" max="37" width="14.6640625" customWidth="1"/>
    <col min="38" max="38" width="6.77734375" customWidth="1"/>
    <col min="39" max="39" width="12.33203125" customWidth="1"/>
    <col min="40" max="40" width="20.77734375" customWidth="1"/>
    <col min="41" max="41" width="9.6640625" customWidth="1"/>
    <col min="42" max="46" width="10.21875" customWidth="1"/>
    <col min="47" max="48" width="9.21875" customWidth="1"/>
    <col min="49" max="51" width="9.21875" hidden="1" customWidth="1"/>
    <col min="52" max="54" width="9.21875" customWidth="1"/>
    <col min="55" max="55" width="51" customWidth="1"/>
    <col min="56" max="56" width="9.109375" customWidth="1"/>
  </cols>
  <sheetData>
    <row r="1" spans="1:55" thickBot="1" x14ac:dyDescent="0.35">
      <c r="A1" s="668" t="s">
        <v>414</v>
      </c>
      <c r="B1" s="669" t="s">
        <v>415</v>
      </c>
      <c r="C1" s="670" t="s">
        <v>416</v>
      </c>
      <c r="D1" s="671"/>
      <c r="E1" s="671"/>
      <c r="F1" s="671"/>
      <c r="G1" s="671"/>
      <c r="H1" s="671"/>
      <c r="I1" s="671"/>
      <c r="J1" s="88"/>
      <c r="K1" s="88"/>
      <c r="L1" s="672"/>
      <c r="M1" s="672"/>
      <c r="N1" s="673"/>
      <c r="O1" s="88"/>
      <c r="P1" s="674"/>
      <c r="Q1" s="1157"/>
      <c r="R1" s="1157"/>
      <c r="S1" s="1157"/>
      <c r="T1" s="672"/>
      <c r="U1" s="672"/>
      <c r="V1" s="672"/>
      <c r="W1" s="672"/>
      <c r="X1" s="672"/>
      <c r="Y1" s="675"/>
      <c r="Z1" s="672"/>
      <c r="AA1" s="1331"/>
      <c r="AB1" s="1331"/>
      <c r="AC1" s="676" t="s">
        <v>414</v>
      </c>
      <c r="AD1" s="677" t="s">
        <v>415</v>
      </c>
      <c r="AE1" s="678" t="s">
        <v>416</v>
      </c>
      <c r="AF1" s="673"/>
      <c r="AG1" s="88"/>
      <c r="AH1" s="88"/>
      <c r="AI1" s="88"/>
      <c r="AJ1" s="88"/>
      <c r="AK1" s="88"/>
      <c r="AL1" s="88"/>
      <c r="AM1" s="88"/>
      <c r="AN1" s="88"/>
      <c r="AO1" s="673"/>
      <c r="AP1" s="673"/>
      <c r="AQ1" s="673"/>
      <c r="AR1" s="673"/>
      <c r="AS1" s="673"/>
      <c r="AT1" s="673"/>
      <c r="AU1" s="673"/>
      <c r="AV1" s="673"/>
      <c r="AW1" s="673"/>
      <c r="AX1" s="673"/>
      <c r="AY1" s="673"/>
      <c r="AZ1" s="673"/>
      <c r="BA1" s="673"/>
      <c r="BB1" s="362"/>
      <c r="BC1" s="362"/>
    </row>
    <row r="2" spans="1:55" ht="15" customHeight="1" thickBot="1" x14ac:dyDescent="0.35">
      <c r="A2" s="679" t="s">
        <v>417</v>
      </c>
      <c r="B2" s="680" t="str">
        <f ca="1">IF(COUNTBLANK(AB16:AB43)+COUNTBLANK(AB49)+COUNTBLANK(AB57:AB75)+COUNTBLANK(AB79:AB97)+COUNTBLANK(AB101:AB113)+COUNTBLANK(AB120:AB125)-82=0,"YES","NO")</f>
        <v>NO</v>
      </c>
      <c r="C2" s="681">
        <f ca="1">IF((SUM(Y16:Y43,Y49,Y57:Y75,Y79:Y97,Y101:Y113,Y120:Y125)-(SUMIF(AB16:AB43,"",Y16:Y43)+SUMIF(AB49,"",Y49)+SUMIF(AB57:AB75,"",Y57:Y75)+SUMIF(AB79:AB97,"", Y79:Y97)+SUMIF(AB101:AB113,"", Y101:Y113)+SUMIF(AB120:AB125,"",Y120:Y125)))=0,"",SUM(Y16:Y43,Y49,Y57:Y75,Y79:Y97,Y101:Y113,Y120:Y125)-(SUMIF(AB16:AB43,"",Y16:Y43)+SUMIF(AB49,"",Y49)+SUMIF(AB57:AB75,"",Y57:Y75)+SUMIF(AB79:AB97,"",Y79:Y97)+SUMIF(AB101:AB113,"",Y101:Y113)+SUMIF(AB120:AB125,"",Y120:Y125)))</f>
        <v>1</v>
      </c>
      <c r="D2" s="1157"/>
      <c r="E2" s="1157"/>
      <c r="F2" s="1157"/>
      <c r="G2" s="671"/>
      <c r="H2" s="671"/>
      <c r="I2" s="671"/>
      <c r="J2" s="2269" t="s">
        <v>418</v>
      </c>
      <c r="K2" s="2270"/>
      <c r="L2" s="682" t="s">
        <v>417</v>
      </c>
      <c r="M2" s="682" t="s">
        <v>250</v>
      </c>
      <c r="N2" s="1174" t="s">
        <v>249</v>
      </c>
      <c r="O2" s="683" t="s">
        <v>419</v>
      </c>
      <c r="P2" s="684" t="s">
        <v>420</v>
      </c>
      <c r="Q2" s="1157"/>
      <c r="R2" s="1157"/>
      <c r="S2" s="1157"/>
      <c r="T2" s="1157"/>
      <c r="U2" s="672"/>
      <c r="V2" s="672"/>
      <c r="W2" s="672"/>
      <c r="X2" s="672"/>
      <c r="Y2" s="672"/>
      <c r="Z2" s="672"/>
      <c r="AA2" s="1331"/>
      <c r="AB2" s="1331"/>
      <c r="AC2" s="685" t="s">
        <v>417</v>
      </c>
      <c r="AD2" s="680" t="str">
        <f ca="1">IF(COUNTBLANK(BC16:BC43)+COUNTBLANK(BC49)-25=0,"YES","NO")</f>
        <v>NO</v>
      </c>
      <c r="AE2" s="681" t="e">
        <f ca="1">IF((SUM(BA16:BA43,BA49)-(SUMIF(BC16:BC43,"",BA16:BA43)+SUMIF(BC49,"",BA49)))=0,"",(SUM(BA16:BA43,BA49)-(SUMIF(BC16:BC43,"",BA16:BA43)+SUMIF(BC49,"",BA49))))</f>
        <v>#DIV/0!</v>
      </c>
      <c r="AF2" s="673"/>
      <c r="AG2" s="88"/>
      <c r="AH2" s="1331"/>
      <c r="AI2" s="1331"/>
      <c r="AJ2" s="1331"/>
      <c r="AK2" s="2271" t="s">
        <v>418</v>
      </c>
      <c r="AL2" s="2272"/>
      <c r="AM2" s="686" t="s">
        <v>417</v>
      </c>
      <c r="AN2" s="686" t="s">
        <v>250</v>
      </c>
      <c r="AO2" s="1175" t="s">
        <v>249</v>
      </c>
      <c r="AP2" s="106"/>
      <c r="AQ2" s="106"/>
      <c r="AR2" s="106"/>
      <c r="AS2" s="106"/>
      <c r="AT2" s="106"/>
      <c r="AU2" s="106"/>
      <c r="AV2" s="106"/>
      <c r="AW2" s="106"/>
      <c r="AX2" s="106"/>
      <c r="AY2" s="106"/>
      <c r="AZ2" s="106"/>
      <c r="BA2" s="106"/>
      <c r="BB2" s="362"/>
      <c r="BC2" s="362"/>
    </row>
    <row r="3" spans="1:55" ht="12.75" customHeight="1" x14ac:dyDescent="0.3">
      <c r="A3" s="679" t="s">
        <v>250</v>
      </c>
      <c r="B3" s="687" t="str">
        <f ca="1">IF(COUNTBLANK(AB140:AB142)-3=0,"YES","NO")</f>
        <v>NO</v>
      </c>
      <c r="C3" s="681">
        <f ca="1">IF(AB140="","",T140)</f>
        <v>1</v>
      </c>
      <c r="D3" s="1157"/>
      <c r="E3" s="1157"/>
      <c r="F3" s="1157"/>
      <c r="G3" s="671"/>
      <c r="H3" s="671"/>
      <c r="I3" s="671"/>
      <c r="J3" s="688" t="s">
        <v>395</v>
      </c>
      <c r="K3" s="689" t="s">
        <v>421</v>
      </c>
      <c r="L3" s="1124">
        <f>'QA config'!C6</f>
        <v>0.05</v>
      </c>
      <c r="M3" s="1124">
        <f>'QA config'!D6</f>
        <v>0.25</v>
      </c>
      <c r="N3" s="1124">
        <f>'QA config'!E6</f>
        <v>0.25</v>
      </c>
      <c r="O3" s="1124">
        <f>'QA config'!F6</f>
        <v>0.25</v>
      </c>
      <c r="P3" s="1124">
        <f>'QA config'!G6</f>
        <v>0.25</v>
      </c>
      <c r="Q3" s="1157"/>
      <c r="R3" s="1157"/>
      <c r="S3" s="1157"/>
      <c r="T3" s="1157"/>
      <c r="U3" s="672"/>
      <c r="V3" s="672"/>
      <c r="W3" s="672"/>
      <c r="X3" s="672"/>
      <c r="Y3" s="672"/>
      <c r="Z3" s="672"/>
      <c r="AA3" s="1331"/>
      <c r="AB3" s="1331"/>
      <c r="AC3" s="685" t="s">
        <v>250</v>
      </c>
      <c r="AD3" s="687" t="str">
        <f ca="1">IF(COUNTBLANK(BC140:BC142)-3=0,"YES","NO")</f>
        <v>NO</v>
      </c>
      <c r="AE3" s="681">
        <f ca="1">IF(BC140="","",AU140)</f>
        <v>1</v>
      </c>
      <c r="AF3" s="673"/>
      <c r="AG3" s="88"/>
      <c r="AH3" s="1331"/>
      <c r="AI3" s="1331"/>
      <c r="AJ3" s="1331"/>
      <c r="AK3" s="690" t="s">
        <v>395</v>
      </c>
      <c r="AL3" s="691" t="s">
        <v>421</v>
      </c>
      <c r="AM3" s="692">
        <f t="shared" ref="AM3:AO4" si="0">+L3</f>
        <v>0.05</v>
      </c>
      <c r="AN3" s="692">
        <f t="shared" si="0"/>
        <v>0.25</v>
      </c>
      <c r="AO3" s="693">
        <f t="shared" si="0"/>
        <v>0.25</v>
      </c>
      <c r="AP3" s="106"/>
      <c r="AQ3" s="106"/>
      <c r="AR3" s="106"/>
      <c r="AS3" s="106"/>
      <c r="AT3" s="106"/>
      <c r="AU3" s="106"/>
      <c r="AV3" s="106"/>
      <c r="AW3" s="106"/>
      <c r="AX3" s="106"/>
      <c r="AY3" s="106"/>
      <c r="AZ3" s="106"/>
      <c r="BA3" s="106"/>
      <c r="BB3" s="591"/>
      <c r="BC3" s="362"/>
    </row>
    <row r="4" spans="1:55" thickBot="1" x14ac:dyDescent="0.35">
      <c r="A4" s="694" t="s">
        <v>249</v>
      </c>
      <c r="B4" s="687" t="str">
        <f ca="1">IF(COUNTBLANK(AB149:AB157)+COUNTBLANK(AB161)-10=0,"YES","NO")</f>
        <v>NO</v>
      </c>
      <c r="C4" s="681">
        <f ca="1">IF((SUM(Y149:Y157,Y161)-(SUMIF(AB149:AB157,"",Y149:Y157)+SUMIF(AB161,"",Y161)))=0,"",SUM(Y149:Y157,Y161)-(SUMIF(AB149:AB157,"",Y149:Y157)+SUMIF(AB161,"",Y161)))</f>
        <v>1.0120346242516314</v>
      </c>
      <c r="D4" s="1157"/>
      <c r="E4" s="1157"/>
      <c r="F4" s="1157"/>
      <c r="G4" s="671"/>
      <c r="H4" s="671"/>
      <c r="I4" s="671"/>
      <c r="J4" s="690" t="s">
        <v>394</v>
      </c>
      <c r="K4" s="691"/>
      <c r="L4" s="1124">
        <f>'QA config'!C7</f>
        <v>1E-3</v>
      </c>
      <c r="M4" s="1124">
        <f>'QA config'!D7</f>
        <v>0.05</v>
      </c>
      <c r="N4" s="1124">
        <f>'QA config'!E7</f>
        <v>0.05</v>
      </c>
      <c r="O4" s="1124">
        <f>'QA config'!F7</f>
        <v>0.05</v>
      </c>
      <c r="P4" s="1124">
        <f>'QA config'!G7</f>
        <v>0.05</v>
      </c>
      <c r="Q4" s="1157"/>
      <c r="R4" s="1157"/>
      <c r="S4" s="1157"/>
      <c r="T4" s="1157"/>
      <c r="U4" s="672"/>
      <c r="V4" s="672"/>
      <c r="W4" s="672"/>
      <c r="X4" s="672"/>
      <c r="Y4" s="672"/>
      <c r="Z4" s="672"/>
      <c r="AA4" s="1331"/>
      <c r="AB4" s="1331"/>
      <c r="AC4" s="695" t="s">
        <v>249</v>
      </c>
      <c r="AD4" s="696" t="str">
        <f ca="1">IF(COUNTBLANK(BC149:BC157)+COUNTBLANK(BC161)-10=0,"YES","NO")</f>
        <v>NO</v>
      </c>
      <c r="AE4" s="697" t="e">
        <f ca="1">IF((SUM(AZ149:AZ157,AZ161)-(SUMIF(BC149:BC157,"",AZ149:AZ157)+SUMIF(BC161,"",AZ161)))=0,"",SUM(AZ149:AZ157,AZ161)-(SUMIF(BC149:BC157,"",AZ149:AZ157)+SUMIF(BC161,"",AZ161)))</f>
        <v>#VALUE!</v>
      </c>
      <c r="AF4" s="673"/>
      <c r="AG4" s="88"/>
      <c r="AH4" s="1331"/>
      <c r="AI4" s="1331"/>
      <c r="AJ4" s="1331"/>
      <c r="AK4" s="690" t="s">
        <v>394</v>
      </c>
      <c r="AL4" s="691"/>
      <c r="AM4" s="692">
        <f t="shared" si="0"/>
        <v>1E-3</v>
      </c>
      <c r="AN4" s="692">
        <f t="shared" si="0"/>
        <v>0.05</v>
      </c>
      <c r="AO4" s="693">
        <f t="shared" si="0"/>
        <v>0.05</v>
      </c>
      <c r="AP4" s="106"/>
      <c r="AQ4" s="106"/>
      <c r="AR4" s="106"/>
      <c r="AS4" s="106"/>
      <c r="AT4" s="106"/>
      <c r="AU4" s="106"/>
      <c r="AV4" s="106"/>
      <c r="AW4" s="106"/>
      <c r="AX4" s="106"/>
      <c r="AY4" s="106"/>
      <c r="AZ4" s="106"/>
      <c r="BA4" s="106"/>
      <c r="BB4" s="698"/>
      <c r="BC4" s="362"/>
    </row>
    <row r="5" spans="1:55" thickBot="1" x14ac:dyDescent="0.35">
      <c r="A5" s="694" t="s">
        <v>397</v>
      </c>
      <c r="B5" s="687" t="str">
        <f ca="1">IF(COUNTBLANK(AB169)-1=0,"YES","NO")</f>
        <v>NO</v>
      </c>
      <c r="C5" s="681">
        <f ca="1">IF(AB169="","",+T169)</f>
        <v>1</v>
      </c>
      <c r="D5" s="1157"/>
      <c r="E5" s="1157"/>
      <c r="F5" s="1157"/>
      <c r="G5" s="671"/>
      <c r="H5" s="671"/>
      <c r="I5" s="671"/>
      <c r="J5" s="699" t="s">
        <v>396</v>
      </c>
      <c r="K5" s="700" t="s">
        <v>422</v>
      </c>
      <c r="L5" s="701">
        <f>+L4</f>
        <v>1E-3</v>
      </c>
      <c r="M5" s="701">
        <f>+M4</f>
        <v>0.05</v>
      </c>
      <c r="N5" s="701">
        <f>+N4</f>
        <v>0.05</v>
      </c>
      <c r="O5" s="701">
        <f>+O4</f>
        <v>0.05</v>
      </c>
      <c r="P5" s="702">
        <f>+P4</f>
        <v>0.05</v>
      </c>
      <c r="Q5" s="1157"/>
      <c r="R5" s="1157"/>
      <c r="S5" s="1157"/>
      <c r="T5" s="1157"/>
      <c r="U5" s="672"/>
      <c r="V5" s="672"/>
      <c r="W5" s="672"/>
      <c r="X5" s="672"/>
      <c r="Y5" s="672"/>
      <c r="Z5" s="672"/>
      <c r="AA5" s="672"/>
      <c r="AB5" s="672"/>
      <c r="AC5" s="672"/>
      <c r="AD5" s="672"/>
      <c r="AE5" s="672"/>
      <c r="AF5" s="672"/>
      <c r="AG5" s="88"/>
      <c r="AH5" s="1331"/>
      <c r="AI5" s="1331"/>
      <c r="AJ5" s="1331"/>
      <c r="AK5" s="699" t="s">
        <v>396</v>
      </c>
      <c r="AL5" s="700" t="s">
        <v>422</v>
      </c>
      <c r="AM5" s="701">
        <f>+AM4</f>
        <v>1E-3</v>
      </c>
      <c r="AN5" s="701">
        <f>+AN4</f>
        <v>0.05</v>
      </c>
      <c r="AO5" s="702">
        <f>+AO4</f>
        <v>0.05</v>
      </c>
      <c r="AP5" s="106"/>
      <c r="AQ5" s="106"/>
      <c r="AR5" s="106"/>
      <c r="AS5" s="106"/>
      <c r="AT5" s="106"/>
      <c r="AU5" s="106"/>
      <c r="AV5" s="106"/>
      <c r="AW5" s="106"/>
      <c r="AX5" s="106"/>
      <c r="AY5" s="106"/>
      <c r="AZ5" s="106"/>
      <c r="BA5" s="106"/>
      <c r="BB5" s="703"/>
      <c r="BC5" s="362"/>
    </row>
    <row r="6" spans="1:55" thickBot="1" x14ac:dyDescent="0.35">
      <c r="A6" s="704" t="s">
        <v>420</v>
      </c>
      <c r="B6" s="696" t="str">
        <f ca="1">IF(COUNTBLANK(AB177:AB178)-2=0,"YES","NO")</f>
        <v>NO</v>
      </c>
      <c r="C6" s="697">
        <f ca="1">IF(AB177="","",+T177)</f>
        <v>1</v>
      </c>
      <c r="D6" s="1157"/>
      <c r="E6" s="1157"/>
      <c r="F6" s="1157"/>
      <c r="G6" s="671"/>
      <c r="H6" s="671"/>
      <c r="I6" s="671"/>
      <c r="J6" s="671"/>
      <c r="K6" s="671"/>
      <c r="L6" s="671"/>
      <c r="M6" s="1157"/>
      <c r="N6" s="705"/>
      <c r="O6" s="706"/>
      <c r="P6" s="706"/>
      <c r="Q6" s="706"/>
      <c r="R6" s="706"/>
      <c r="S6" s="1157"/>
      <c r="T6" s="1157"/>
      <c r="U6" s="1157"/>
      <c r="V6" s="1157"/>
      <c r="W6" s="1157"/>
      <c r="X6" s="1157"/>
      <c r="Y6" s="1157"/>
      <c r="Z6" s="672"/>
      <c r="AA6" s="1157"/>
      <c r="AB6" s="1157"/>
      <c r="AC6" s="1157"/>
      <c r="AD6" s="1157"/>
      <c r="AE6" s="1157"/>
      <c r="AF6" s="1157"/>
      <c r="AG6" s="1157"/>
      <c r="AH6" s="1157"/>
      <c r="AI6" s="1157"/>
      <c r="AJ6" s="88"/>
      <c r="AK6" s="88"/>
      <c r="AL6" s="88"/>
      <c r="AM6" s="88"/>
      <c r="AN6" s="88"/>
      <c r="AO6" s="88"/>
      <c r="AP6" s="88"/>
      <c r="AQ6" s="88"/>
      <c r="AR6" s="88"/>
      <c r="AS6" s="106"/>
      <c r="AT6" s="106"/>
      <c r="AU6" s="106"/>
      <c r="AV6" s="106"/>
      <c r="AW6" s="106"/>
      <c r="AX6" s="106"/>
      <c r="AY6" s="106"/>
      <c r="AZ6" s="106"/>
      <c r="BA6" s="106"/>
      <c r="BB6" s="106"/>
      <c r="BC6" s="106"/>
    </row>
    <row r="7" spans="1:55" ht="15.75" customHeight="1" thickBot="1" x14ac:dyDescent="0.35">
      <c r="A7" s="673"/>
      <c r="B7" s="673"/>
      <c r="C7" s="673"/>
      <c r="D7" s="673"/>
      <c r="E7" s="673"/>
      <c r="F7" s="673"/>
      <c r="G7" s="707"/>
      <c r="H7" s="707"/>
      <c r="I7" s="671"/>
      <c r="J7" s="2278" t="s">
        <v>413</v>
      </c>
      <c r="K7" s="1337" t="str">
        <f>C14</f>
        <v>Q3</v>
      </c>
      <c r="L7" s="1332">
        <f ca="1">INDIRECT(CONCATENATE("'",K7,"'!",IF(LEN(K7)=2,"F142","F137")))</f>
        <v>0</v>
      </c>
      <c r="M7" s="673"/>
      <c r="N7" s="673"/>
      <c r="O7" s="708" t="s">
        <v>423</v>
      </c>
      <c r="P7" s="1326" t="s">
        <v>424</v>
      </c>
      <c r="Q7" s="1329"/>
      <c r="R7" s="50"/>
      <c r="S7" s="50"/>
      <c r="T7" s="673"/>
      <c r="U7" s="88"/>
      <c r="V7" s="88"/>
      <c r="W7" s="88"/>
      <c r="X7" s="88"/>
      <c r="Y7" s="88"/>
      <c r="Z7" s="88"/>
      <c r="AA7" s="88"/>
      <c r="AB7" s="88"/>
      <c r="AC7" s="88"/>
      <c r="AD7" s="88"/>
      <c r="AE7" s="88"/>
      <c r="AF7" s="88"/>
      <c r="AG7" s="88"/>
      <c r="AH7" s="88"/>
      <c r="AI7" s="88"/>
      <c r="AJ7" s="88"/>
      <c r="AK7" s="2278" t="s">
        <v>413</v>
      </c>
      <c r="AL7" s="1337" t="str">
        <f>AD14</f>
        <v>Q3</v>
      </c>
      <c r="AM7" s="1362">
        <f ca="1">INDIRECT(CONCATENATE("'",AL7,"'!",IF(LEN(AL7)=2,"H142","H137")))</f>
        <v>0</v>
      </c>
      <c r="AN7" s="88"/>
      <c r="AO7" s="88"/>
      <c r="AP7" s="88"/>
      <c r="AQ7" s="88"/>
      <c r="AR7" s="88"/>
      <c r="AS7" s="106"/>
      <c r="AT7" s="106"/>
      <c r="AU7" s="106"/>
      <c r="AV7" s="106"/>
      <c r="AW7" s="106"/>
      <c r="AX7" s="106"/>
      <c r="AY7" s="106"/>
      <c r="AZ7" s="106"/>
      <c r="BA7" s="106"/>
      <c r="BB7" s="106"/>
      <c r="BC7" s="106"/>
    </row>
    <row r="8" spans="1:55" ht="14.4" x14ac:dyDescent="0.3">
      <c r="A8" s="673"/>
      <c r="B8" s="673"/>
      <c r="C8" s="673"/>
      <c r="D8" s="673"/>
      <c r="E8" s="673"/>
      <c r="F8" s="673"/>
      <c r="G8" s="673"/>
      <c r="H8" s="673"/>
      <c r="I8" s="671"/>
      <c r="J8" s="2279"/>
      <c r="K8" s="1336" t="str">
        <f>D14</f>
        <v>Q2</v>
      </c>
      <c r="L8" s="1333">
        <f ca="1">INDIRECT(CONCATENATE("'",K8,"'!",IF(LEN(K8)=2,"F142","F137")))</f>
        <v>53616.781990404495</v>
      </c>
      <c r="M8" s="673"/>
      <c r="N8" s="671"/>
      <c r="O8" s="712">
        <f>'QA config'!D3</f>
        <v>100</v>
      </c>
      <c r="P8" s="1327" t="s">
        <v>425</v>
      </c>
      <c r="Q8" s="1330"/>
      <c r="R8" s="50"/>
      <c r="S8" s="50"/>
      <c r="T8" s="673"/>
      <c r="U8" s="88"/>
      <c r="V8" s="88"/>
      <c r="W8" s="88"/>
      <c r="X8" s="88"/>
      <c r="Y8" s="88"/>
      <c r="Z8" s="88"/>
      <c r="AA8" s="88"/>
      <c r="AB8" s="88"/>
      <c r="AC8" s="88"/>
      <c r="AD8" s="88"/>
      <c r="AE8" s="88"/>
      <c r="AF8" s="88"/>
      <c r="AG8" s="88"/>
      <c r="AH8" s="88"/>
      <c r="AI8" s="88"/>
      <c r="AJ8" s="88"/>
      <c r="AK8" s="2279"/>
      <c r="AL8" s="1336" t="str">
        <f>AE14</f>
        <v>Q2</v>
      </c>
      <c r="AM8" s="1363">
        <f ca="1">INDIRECT(CONCATENATE("'",AL8,"'!",IF(LEN(AL8)=2,"H142","H137")))</f>
        <v>794.6497385104999</v>
      </c>
      <c r="AN8" s="88"/>
      <c r="AO8" s="88"/>
      <c r="AP8" s="88"/>
      <c r="AQ8" s="88"/>
      <c r="AR8" s="88"/>
      <c r="AS8" s="88"/>
      <c r="AT8" s="88"/>
      <c r="AU8" s="88"/>
      <c r="AV8" s="88"/>
      <c r="AW8" s="88"/>
      <c r="AX8" s="88"/>
      <c r="AY8" s="88"/>
      <c r="AZ8" s="88"/>
      <c r="BA8" s="88"/>
      <c r="BB8" s="88"/>
      <c r="BC8" s="88"/>
    </row>
    <row r="9" spans="1:55" thickBot="1" x14ac:dyDescent="0.35">
      <c r="A9" s="673"/>
      <c r="B9" s="673"/>
      <c r="C9" s="673"/>
      <c r="D9" s="673"/>
      <c r="E9" s="673"/>
      <c r="F9" s="673"/>
      <c r="G9" s="673"/>
      <c r="H9" s="673"/>
      <c r="I9" s="671"/>
      <c r="J9" s="2279"/>
      <c r="K9" s="1335" t="s">
        <v>525</v>
      </c>
      <c r="L9" s="1333">
        <f>'2019-2020'!$F$142</f>
        <v>127140.63081037506</v>
      </c>
      <c r="M9" s="673"/>
      <c r="N9" s="673"/>
      <c r="O9" s="714">
        <f>'QA config'!C3</f>
        <v>800</v>
      </c>
      <c r="P9" s="1328" t="s">
        <v>426</v>
      </c>
      <c r="Q9" s="1330"/>
      <c r="R9" s="50"/>
      <c r="S9" s="50"/>
      <c r="T9" s="673"/>
      <c r="U9" s="673"/>
      <c r="V9" s="673"/>
      <c r="W9" s="673"/>
      <c r="X9" s="673"/>
      <c r="Y9" s="709"/>
      <c r="Z9" s="196"/>
      <c r="AA9" s="196"/>
      <c r="AB9" s="88"/>
      <c r="AC9" s="50"/>
      <c r="AD9" s="88"/>
      <c r="AE9" s="88"/>
      <c r="AF9" s="88"/>
      <c r="AG9" s="88"/>
      <c r="AH9" s="88"/>
      <c r="AI9" s="88"/>
      <c r="AJ9" s="89"/>
      <c r="AK9" s="2279"/>
      <c r="AL9" s="1335" t="s">
        <v>525</v>
      </c>
      <c r="AM9" s="1363">
        <f>'2019-2020'!$H$142</f>
        <v>1670.7065949952803</v>
      </c>
      <c r="AN9" s="88"/>
      <c r="AO9" s="1170"/>
      <c r="AP9" s="88"/>
      <c r="AQ9" s="88"/>
      <c r="AR9" s="88"/>
      <c r="AS9" s="88"/>
      <c r="AT9" s="88"/>
      <c r="AU9" s="2227"/>
      <c r="AV9" s="2227"/>
      <c r="AW9" s="1164"/>
      <c r="AX9" s="1164"/>
      <c r="AY9" s="1164"/>
      <c r="AZ9" s="710"/>
      <c r="BA9" s="711"/>
      <c r="BB9" s="50"/>
      <c r="BC9" s="88"/>
    </row>
    <row r="10" spans="1:55" thickBot="1" x14ac:dyDescent="0.35">
      <c r="A10" s="673"/>
      <c r="B10" s="673"/>
      <c r="C10" s="671"/>
      <c r="D10" s="671"/>
      <c r="E10" s="671"/>
      <c r="F10" s="671"/>
      <c r="G10" s="671"/>
      <c r="H10" s="671"/>
      <c r="I10" s="671"/>
      <c r="J10" s="2280"/>
      <c r="K10" s="1338" t="s">
        <v>524</v>
      </c>
      <c r="L10" s="1334">
        <f>'2018-2019'!$F$142</f>
        <v>336511.49261138501</v>
      </c>
      <c r="M10" s="673"/>
      <c r="N10" s="673"/>
      <c r="O10" s="88"/>
      <c r="P10" s="88"/>
      <c r="Q10" s="88"/>
      <c r="R10" s="88"/>
      <c r="S10" s="88"/>
      <c r="T10" s="196"/>
      <c r="U10" s="196"/>
      <c r="V10" s="196"/>
      <c r="W10" s="196"/>
      <c r="X10" s="196"/>
      <c r="Y10" s="709"/>
      <c r="Z10" s="196"/>
      <c r="AA10" s="196"/>
      <c r="AB10" s="713"/>
      <c r="AC10" s="50"/>
      <c r="AD10" s="88"/>
      <c r="AE10" s="88"/>
      <c r="AF10" s="88"/>
      <c r="AG10" s="88"/>
      <c r="AH10" s="88"/>
      <c r="AI10" s="88"/>
      <c r="AJ10" s="89"/>
      <c r="AK10" s="2280"/>
      <c r="AL10" s="1338" t="s">
        <v>524</v>
      </c>
      <c r="AM10" s="1364">
        <f>'2018-2019'!$H$142</f>
        <v>7606.1139040172638</v>
      </c>
      <c r="AN10" s="88"/>
      <c r="AO10" s="362"/>
      <c r="AP10" s="88"/>
      <c r="AQ10" s="88"/>
      <c r="AR10" s="88"/>
      <c r="AS10" s="88"/>
      <c r="AT10" s="88"/>
      <c r="AU10" s="2227"/>
      <c r="AV10" s="2227"/>
      <c r="AW10" s="1164"/>
      <c r="AX10" s="1164"/>
      <c r="AY10" s="1164"/>
      <c r="AZ10" s="710"/>
      <c r="BA10" s="711"/>
      <c r="BB10" s="50"/>
      <c r="BC10" s="88"/>
    </row>
    <row r="11" spans="1:55" ht="14.4" x14ac:dyDescent="0.3">
      <c r="A11" s="673"/>
      <c r="B11" s="673"/>
      <c r="C11" s="671"/>
      <c r="D11" s="671"/>
      <c r="E11" s="671"/>
      <c r="F11" s="671"/>
      <c r="G11" s="671"/>
      <c r="H11" s="671"/>
      <c r="I11" s="671"/>
      <c r="J11" s="1331"/>
      <c r="K11" s="1331"/>
      <c r="L11" s="1331"/>
      <c r="M11" s="673"/>
      <c r="N11" s="1176"/>
      <c r="O11" s="88"/>
      <c r="P11" s="88"/>
      <c r="Q11" s="88"/>
      <c r="R11" s="88"/>
      <c r="S11" s="673"/>
      <c r="T11" s="1064"/>
      <c r="U11" s="196"/>
      <c r="V11" s="196"/>
      <c r="W11" s="196"/>
      <c r="X11" s="196"/>
      <c r="Y11" s="709"/>
      <c r="Z11" s="196"/>
      <c r="AA11" s="196"/>
      <c r="AB11" s="715"/>
      <c r="AC11" s="50"/>
      <c r="AD11" s="88"/>
      <c r="AE11" s="88"/>
      <c r="AF11" s="88"/>
      <c r="AG11" s="88"/>
      <c r="AH11" s="88"/>
      <c r="AI11" s="88"/>
      <c r="AJ11" s="89"/>
      <c r="AK11" s="88"/>
      <c r="AL11" s="716" t="s">
        <v>427</v>
      </c>
      <c r="AM11" s="665"/>
      <c r="AN11" s="88"/>
      <c r="AO11" s="1176"/>
      <c r="AP11" s="88"/>
      <c r="AQ11" s="88"/>
      <c r="AR11" s="88"/>
      <c r="AS11" s="88"/>
      <c r="AT11" s="673"/>
      <c r="AU11" s="2227"/>
      <c r="AV11" s="2227"/>
      <c r="AW11" s="1164"/>
      <c r="AX11" s="1164"/>
      <c r="AY11" s="1164"/>
      <c r="AZ11" s="710"/>
      <c r="BA11" s="711"/>
      <c r="BB11" s="50"/>
      <c r="BC11" s="665"/>
    </row>
    <row r="12" spans="1:55" ht="15" customHeight="1" thickBot="1" x14ac:dyDescent="0.35">
      <c r="A12" s="673"/>
      <c r="B12" s="673"/>
      <c r="C12" s="717"/>
      <c r="D12" s="717"/>
      <c r="E12" s="717"/>
      <c r="F12" s="717"/>
      <c r="G12" s="1057"/>
      <c r="H12" s="1057"/>
      <c r="I12" s="671"/>
      <c r="J12" s="92"/>
      <c r="K12" s="88"/>
      <c r="L12" s="93"/>
      <c r="M12" s="718"/>
      <c r="N12" s="90"/>
      <c r="O12" s="92"/>
      <c r="P12" s="92"/>
      <c r="Q12" s="1065"/>
      <c r="R12" s="1064"/>
      <c r="S12" s="1064"/>
      <c r="T12" s="1064"/>
      <c r="U12" s="196"/>
      <c r="V12" s="196"/>
      <c r="W12" s="196"/>
      <c r="X12" s="196"/>
      <c r="Y12" s="709"/>
      <c r="Z12" s="196"/>
      <c r="AA12" s="196"/>
      <c r="AB12" s="719"/>
      <c r="AC12" s="50"/>
      <c r="AD12" s="91"/>
      <c r="AE12" s="91"/>
      <c r="AF12" s="91"/>
      <c r="AG12" s="91"/>
      <c r="AH12" s="673"/>
      <c r="AI12" s="673"/>
      <c r="AJ12" s="720"/>
      <c r="AK12" s="92"/>
      <c r="AL12" s="88"/>
      <c r="AM12" s="93"/>
      <c r="AN12" s="718"/>
      <c r="AO12" s="90"/>
      <c r="AP12" s="92"/>
      <c r="AQ12" s="92"/>
      <c r="AR12" s="92"/>
      <c r="AS12" s="93"/>
      <c r="AT12" s="93"/>
      <c r="AU12" s="2273"/>
      <c r="AV12" s="2273"/>
      <c r="AW12" s="2273"/>
      <c r="AX12" s="2273"/>
      <c r="AY12" s="2273"/>
      <c r="AZ12" s="2273"/>
      <c r="BA12" s="2273"/>
      <c r="BB12" s="50"/>
      <c r="BC12" s="93"/>
    </row>
    <row r="13" spans="1:55" ht="28.2" customHeight="1" x14ac:dyDescent="0.3">
      <c r="A13" s="2274" t="str">
        <f>+Performance!C2</f>
        <v>MINISTRY OF JUSTICE (MoJ)</v>
      </c>
      <c r="B13" s="2275"/>
      <c r="C13" s="1244" t="s">
        <v>176</v>
      </c>
      <c r="D13" s="2254" t="s">
        <v>177</v>
      </c>
      <c r="E13" s="2255"/>
      <c r="F13" s="2255"/>
      <c r="G13" s="2256"/>
      <c r="H13" s="2257"/>
      <c r="I13" s="2258"/>
      <c r="J13" s="2168" t="s">
        <v>428</v>
      </c>
      <c r="K13" s="2169"/>
      <c r="L13" s="2173" t="s">
        <v>429</v>
      </c>
      <c r="M13" s="2171"/>
      <c r="N13" s="2174"/>
      <c r="O13" s="2173" t="s">
        <v>430</v>
      </c>
      <c r="P13" s="2170"/>
      <c r="Q13" s="2170"/>
      <c r="R13" s="2171"/>
      <c r="S13" s="2174"/>
      <c r="T13" s="2173" t="s">
        <v>418</v>
      </c>
      <c r="U13" s="2268"/>
      <c r="V13" s="2268"/>
      <c r="W13" s="2268"/>
      <c r="X13" s="2268"/>
      <c r="Y13" s="2171"/>
      <c r="Z13" s="2171"/>
      <c r="AA13" s="2174"/>
      <c r="AB13" s="2152" t="s">
        <v>431</v>
      </c>
      <c r="AC13" s="2266" t="s">
        <v>432</v>
      </c>
      <c r="AD13" s="1320" t="s">
        <v>176</v>
      </c>
      <c r="AE13" s="2217" t="s">
        <v>177</v>
      </c>
      <c r="AF13" s="2219"/>
      <c r="AG13" s="2219"/>
      <c r="AH13" s="2219"/>
      <c r="AI13" s="2219"/>
      <c r="AJ13" s="2221"/>
      <c r="AK13" s="2198" t="s">
        <v>428</v>
      </c>
      <c r="AL13" s="2199"/>
      <c r="AM13" s="2185" t="s">
        <v>429</v>
      </c>
      <c r="AN13" s="2183"/>
      <c r="AO13" s="2186"/>
      <c r="AP13" s="2182" t="s">
        <v>430</v>
      </c>
      <c r="AQ13" s="2182"/>
      <c r="AR13" s="2182"/>
      <c r="AS13" s="2183"/>
      <c r="AT13" s="2184"/>
      <c r="AU13" s="2185" t="s">
        <v>418</v>
      </c>
      <c r="AV13" s="2183"/>
      <c r="AW13" s="2183"/>
      <c r="AX13" s="2183"/>
      <c r="AY13" s="2183"/>
      <c r="AZ13" s="2183"/>
      <c r="BA13" s="2183"/>
      <c r="BB13" s="2186"/>
      <c r="BC13" s="2211" t="s">
        <v>433</v>
      </c>
    </row>
    <row r="14" spans="1:55" ht="55.8" thickBot="1" x14ac:dyDescent="0.35">
      <c r="A14" s="2276"/>
      <c r="B14" s="2277"/>
      <c r="C14" s="1250" t="s">
        <v>202</v>
      </c>
      <c r="D14" s="821" t="s">
        <v>201</v>
      </c>
      <c r="E14" s="1251" t="s">
        <v>199</v>
      </c>
      <c r="F14" s="1251" t="s">
        <v>561</v>
      </c>
      <c r="G14" s="822" t="s">
        <v>560</v>
      </c>
      <c r="H14" s="1339" t="s">
        <v>557</v>
      </c>
      <c r="I14" s="823" t="s">
        <v>178</v>
      </c>
      <c r="J14" s="724" t="s">
        <v>434</v>
      </c>
      <c r="K14" s="725" t="s">
        <v>435</v>
      </c>
      <c r="L14" s="1052" t="s">
        <v>436</v>
      </c>
      <c r="M14" s="726" t="s">
        <v>437</v>
      </c>
      <c r="N14" s="727" t="s">
        <v>435</v>
      </c>
      <c r="O14" s="728" t="s">
        <v>438</v>
      </c>
      <c r="P14" s="925" t="s">
        <v>470</v>
      </c>
      <c r="Q14" s="925" t="s">
        <v>471</v>
      </c>
      <c r="R14" s="1169" t="s">
        <v>439</v>
      </c>
      <c r="S14" s="729" t="s">
        <v>440</v>
      </c>
      <c r="T14" s="2261" t="s">
        <v>441</v>
      </c>
      <c r="U14" s="2262"/>
      <c r="V14" s="829" t="str">
        <f>C14</f>
        <v>Q3</v>
      </c>
      <c r="W14" s="829" t="str">
        <f>D14</f>
        <v>Q2</v>
      </c>
      <c r="X14" s="829" t="str">
        <f>H14</f>
        <v>2018-2019</v>
      </c>
      <c r="Y14" s="2157" t="s">
        <v>442</v>
      </c>
      <c r="Z14" s="2155"/>
      <c r="AA14" s="830" t="s">
        <v>435</v>
      </c>
      <c r="AB14" s="2153"/>
      <c r="AC14" s="2267"/>
      <c r="AD14" s="1386" t="str">
        <f t="shared" ref="AD14:AI14" si="1">C14</f>
        <v>Q3</v>
      </c>
      <c r="AE14" s="832" t="str">
        <f t="shared" si="1"/>
        <v>Q2</v>
      </c>
      <c r="AF14" s="1385" t="str">
        <f t="shared" si="1"/>
        <v>Q1</v>
      </c>
      <c r="AG14" s="1385" t="str">
        <f t="shared" si="1"/>
        <v>Q4-19</v>
      </c>
      <c r="AH14" s="833" t="str">
        <f t="shared" si="1"/>
        <v>Q3-19</v>
      </c>
      <c r="AI14" s="833" t="str">
        <f t="shared" si="1"/>
        <v>2018-2019</v>
      </c>
      <c r="AJ14" s="834" t="str">
        <f t="shared" ref="AJ14" si="2">I14</f>
        <v>25% of previous year total</v>
      </c>
      <c r="AK14" s="958" t="s">
        <v>434</v>
      </c>
      <c r="AL14" s="959" t="s">
        <v>435</v>
      </c>
      <c r="AM14" s="1167" t="s">
        <v>436</v>
      </c>
      <c r="AN14" s="837" t="s">
        <v>437</v>
      </c>
      <c r="AO14" s="927" t="s">
        <v>435</v>
      </c>
      <c r="AP14" s="928" t="s">
        <v>438</v>
      </c>
      <c r="AQ14" s="730" t="s">
        <v>470</v>
      </c>
      <c r="AR14" s="730" t="s">
        <v>471</v>
      </c>
      <c r="AS14" s="1168" t="s">
        <v>439</v>
      </c>
      <c r="AT14" s="1162" t="s">
        <v>440</v>
      </c>
      <c r="AU14" s="1167" t="s">
        <v>441</v>
      </c>
      <c r="AV14" s="1168" t="s">
        <v>444</v>
      </c>
      <c r="AW14" s="1168" t="str">
        <f>AD14</f>
        <v>Q3</v>
      </c>
      <c r="AX14" s="1168" t="str">
        <f>AE14</f>
        <v>Q2</v>
      </c>
      <c r="AY14" s="1168" t="str">
        <f>AI14</f>
        <v>2018-2019</v>
      </c>
      <c r="AZ14" s="1168" t="s">
        <v>442</v>
      </c>
      <c r="BA14" s="1168" t="s">
        <v>443</v>
      </c>
      <c r="BB14" s="732" t="s">
        <v>435</v>
      </c>
      <c r="BC14" s="2212"/>
    </row>
    <row r="15" spans="1:55" ht="12.75" customHeight="1" thickBot="1" x14ac:dyDescent="0.35">
      <c r="A15" s="2264" t="s">
        <v>32</v>
      </c>
      <c r="B15" s="2265"/>
      <c r="C15" s="1177">
        <f t="shared" ref="C15:H15" ca="1" si="3">INDIRECT(CONCATENATE("'",C$14,"'!$D$19"),TRUE)</f>
        <v>0</v>
      </c>
      <c r="D15" s="733">
        <f t="shared" ca="1" si="3"/>
        <v>199681147.51999998</v>
      </c>
      <c r="E15" s="734">
        <f t="shared" ca="1" si="3"/>
        <v>303985370.11227977</v>
      </c>
      <c r="F15" s="734">
        <f t="shared" ca="1" si="3"/>
        <v>482342086.93393362</v>
      </c>
      <c r="G15" s="734">
        <f t="shared" ca="1" si="3"/>
        <v>401159358.01937699</v>
      </c>
      <c r="H15" s="734">
        <f t="shared" ca="1" si="3"/>
        <v>1373672655.4588969</v>
      </c>
      <c r="I15" s="735">
        <f ca="1">H15/4</f>
        <v>343418163.86472422</v>
      </c>
      <c r="J15" s="1281"/>
      <c r="K15" s="1271"/>
      <c r="L15" s="1272"/>
      <c r="M15" s="1273"/>
      <c r="N15" s="1274"/>
      <c r="O15" s="1275">
        <f ca="1">IF(OR(+$J15="missing?",+$J15="new category"),"",IF($D15=0,"",IF(SUM($C15:$I15)=0,"",IFERROR((($C15-$D15)/$D15),"N/A"))))</f>
        <v>-1</v>
      </c>
      <c r="P15" s="1276">
        <f ca="1">IF(OR(+$J15="missing?",+$J15="new category"),"",IF($E15=0,"",IF(SUM($C15:$I15)=0,"",IFERROR((($C15-$E15)/$E15),"N/A"))))</f>
        <v>-1</v>
      </c>
      <c r="Q15" s="1276">
        <f ca="1">IF(OR(+$J15="missing?",+$J15="new category"),"",IF($F15=0,"",IF(SUM($C15:$I15)=0,"",IFERROR((($C15-$F15)/$F15),"N/A"))))</f>
        <v>-1</v>
      </c>
      <c r="R15" s="1276">
        <f ca="1">IF(OR(+$J15="missing?",+$J15="new category"),"",IF($G15=0,"",IF(SUM($C15:$I15)=0,"",IFERROR((($C15-$G15)/$G15),"N/A"))))</f>
        <v>-1</v>
      </c>
      <c r="S15" s="1277">
        <f ca="1">IF(OR(+$J15="missing?",+$J15="new category"),"",IF($I15=0,"",IF(SUM($C15:$I15)=0,"",IFERROR((($C15-$I15)/$I15),"N/A"))))</f>
        <v>-1</v>
      </c>
      <c r="T15" s="1343"/>
      <c r="U15" s="1344"/>
      <c r="V15" s="1344"/>
      <c r="W15" s="1344"/>
      <c r="X15" s="1344"/>
      <c r="Y15" s="1345"/>
      <c r="Z15" s="1344"/>
      <c r="AA15" s="741"/>
      <c r="AB15" s="1278"/>
      <c r="AC15" s="742" t="str">
        <f ca="1">IF(AD15&gt;C15,"Offices only&gt;Total Estate","")</f>
        <v/>
      </c>
      <c r="AD15" s="1381">
        <f t="shared" ref="AD15:AI15" ca="1" si="4">INDIRECT(CONCATENATE("'",AD$14,"'!$G$19"),TRUE)</f>
        <v>0</v>
      </c>
      <c r="AE15" s="995">
        <f t="shared" ca="1" si="4"/>
        <v>3066005.5300000003</v>
      </c>
      <c r="AF15" s="996">
        <f t="shared" ca="1" si="4"/>
        <v>3408011.6600585929</v>
      </c>
      <c r="AG15" s="996">
        <f t="shared" ca="1" si="4"/>
        <v>5472091.390625</v>
      </c>
      <c r="AH15" s="996">
        <f t="shared" ca="1" si="4"/>
        <v>5127048.6480532698</v>
      </c>
      <c r="AI15" s="996">
        <f t="shared" ca="1" si="4"/>
        <v>24322654.292481523</v>
      </c>
      <c r="AJ15" s="997">
        <f ca="1">AI15/4</f>
        <v>6080663.5731203808</v>
      </c>
      <c r="AK15" s="1382"/>
      <c r="AL15" s="1383"/>
      <c r="AM15" s="1389"/>
      <c r="AN15" s="1384"/>
      <c r="AO15" s="1390"/>
      <c r="AP15" s="1387">
        <f ca="1">IF(OR(+$AK15="missing?",+$AK15="new category"),"",IF($AE15=0,"",IF(SUM($AD15:$AJ15)=0,"",IFERROR((($AD15-$AE15)/$AE15),"N/A"))))</f>
        <v>-1</v>
      </c>
      <c r="AQ15" s="745">
        <f ca="1">IF(OR(+$AK15="missing?",+$AK15="new category"),"",IF($AF15=0,"",IF(SUM($AD15:$AJ15)=0,"",IFERROR((($AD15-$AF15)/$AF15),"N/A"))))</f>
        <v>-1</v>
      </c>
      <c r="AR15" s="739">
        <f ca="1">IF(OR(+$AK15="missing?",+$AK15="new category"),"",IF($AG15=0,"",IF(SUM($AD15:$AJ15)=0,"",IFERROR((($AD15-$AG15)/$AG15),"N/A"))))</f>
        <v>-1</v>
      </c>
      <c r="AS15" s="739">
        <f ca="1">IF(OR(+$AK15="missing?",+$AK15="new category"),"",IF($AH15=0,"",IF(SUM($AD15:$AJ15)=0,"",IFERROR((($AD15-$AH15)/$AH15),"N/A"))))</f>
        <v>-1</v>
      </c>
      <c r="AT15" s="1365">
        <f ca="1">IF(OR(+$AK15="missing?",+$AK15="new category"),"",IF($AJ15=0,"",IF(SUM($AD15:$AJ15)=0,"",IFERROR((($AD15-$AJ15)/$AJ15),"N/A"))))</f>
        <v>-1</v>
      </c>
      <c r="AU15" s="1371"/>
      <c r="AV15" s="1372"/>
      <c r="AW15" s="1372"/>
      <c r="AX15" s="1372"/>
      <c r="AY15" s="1372"/>
      <c r="AZ15" s="1372"/>
      <c r="BA15" s="1372"/>
      <c r="BB15" s="1373"/>
      <c r="BC15" s="1368"/>
    </row>
    <row r="16" spans="1:55" ht="12.75" customHeight="1" x14ac:dyDescent="0.3">
      <c r="A16" s="2236" t="s">
        <v>36</v>
      </c>
      <c r="B16" s="1246" t="str">
        <f>'Q1'!C20</f>
        <v>Mains Standard Grid Electricity Consumption (Scope 2+3)*</v>
      </c>
      <c r="C16" s="1262">
        <f t="shared" ref="C16:H25" ca="1" si="5">INDEX(INDIRECT(CONCATENATE("'",C$14,"'!$D$20:$D$35"),TRUE),MATCH($B16,INDIRECT(CONCATENATE("'",C$14,"'!$C$20:$C$35"),TRUE),0))</f>
        <v>0</v>
      </c>
      <c r="D16" s="1263">
        <f t="shared" ca="1" si="5"/>
        <v>82581261</v>
      </c>
      <c r="E16" s="1264">
        <f t="shared" ca="1" si="5"/>
        <v>85866883.833344698</v>
      </c>
      <c r="F16" s="1264">
        <f t="shared" ca="1" si="5"/>
        <v>96807243.177263305</v>
      </c>
      <c r="G16" s="1264">
        <f t="shared" ca="1" si="5"/>
        <v>93973803.189505905</v>
      </c>
      <c r="H16" s="1264">
        <f t="shared" ca="1" si="5"/>
        <v>362017255.85655791</v>
      </c>
      <c r="I16" s="1265">
        <f t="shared" ref="I16:I43" ca="1" si="6">H16/4</f>
        <v>90504313.964139476</v>
      </c>
      <c r="J16" s="800" t="str">
        <f t="shared" ref="J16:J43" ca="1" si="7">IF(AND(C16&gt;0,SUM(D16:I16)&gt;0),"",IF(AND(C16=0,SUM(C16:I16)=0),"",IF(AND(C16=0,D16&gt;0),"Missing value?",IF(AND(C16=0,I16&gt;0),"Missing value?","New category"))))</f>
        <v>Missing value?</v>
      </c>
      <c r="K16" s="801"/>
      <c r="L16" s="895"/>
      <c r="M16" s="763"/>
      <c r="N16" s="896"/>
      <c r="O16" s="802">
        <f t="shared" ref="O16:O34" ca="1" si="8">IF(OR(+$J16="missing?",+$J16="new category"),"",IF($D16=0,"",IF(SUM($C16:$I16)=0,"",IFERROR((($C16-$D16)/$D16),"N/A"))))</f>
        <v>-1</v>
      </c>
      <c r="P16" s="764">
        <f t="shared" ref="P16:P43" ca="1" si="9">IF(OR(+$J16="missing?",+$J16="new category"),"",IF($E16=0,"",IF(SUM($C16:$I16)=0,"",IFERROR((($C16-$E16)/$E16),"N/A"))))</f>
        <v>-1</v>
      </c>
      <c r="Q16" s="764">
        <f t="shared" ref="Q16:Q43" ca="1" si="10">IF(OR(+$J16="missing?",+$J16="new category"),"",IF($F16=0,"",IF(SUM($C16:$I16)=0,"",IFERROR((($C16-$F16)/$F16),"N/A"))))</f>
        <v>-1</v>
      </c>
      <c r="R16" s="764">
        <f t="shared" ref="R16:R81" ca="1" si="11">IF(OR(+$J16="missing?",+$J16="new category"),"",IF($G16=0,"",IF(SUM($C16:$I16)=0,"",IFERROR((($C16-$G16)/$G16),"N/A"))))</f>
        <v>-1</v>
      </c>
      <c r="S16" s="803">
        <f t="shared" ref="S16:S81" ca="1" si="12">IF(OR(+$J16="missing?",+$J16="new category"),"",IF($I16=0,"",IF(SUM($C16:$I16)=0,"",IFERROR((($C16-$I16)/$I16),"N/A"))))</f>
        <v>-1</v>
      </c>
      <c r="T16" s="1243">
        <f ca="1">IF(SUM(C16:I16)=0,"",IF(OR(AND(C16=0,SUM(D16:I16)&gt;0),AND(C16&gt;0,SUM(D16:I16)=0)),1,IF(MAX(IF(O16&lt;0,-O16,O16),IF(P16&lt;0,-P16,P16),IF(Q16&lt;0,-Q16,Q16),IF(R16&lt;0,-R16,R16),IF(S16&lt;0,-S16,S16))=0,"",MAX(IF(O16&lt;0,-O16,O16),IF(P16&lt;0,-P16,P16),IF(Q16&lt;0,-Q16,Q16),IF(R16&lt;0,-R16,R16),IF(S16&lt;0,-S16,S16)))))</f>
        <v>1</v>
      </c>
      <c r="U16" s="1166" t="str">
        <f t="shared" ref="U16:U43" ca="1" si="13">IF(+T16="","",IF(T16&gt;L$3,"H",IF(T16&gt;L$4,"M","")))</f>
        <v>H</v>
      </c>
      <c r="V16" s="1350">
        <f t="shared" ref="V16:X31" ca="1" si="14">INDEX(INDIRECT(CONCATENATE("'",V$14,"'!$F$20:$F$35"),TRUE),MATCH($B16,INDIRECT(CONCATENATE("'",V$14,"'!$C$20:$C$35"),TRUE),0))</f>
        <v>0</v>
      </c>
      <c r="W16" s="1350">
        <f t="shared" ca="1" si="14"/>
        <v>22899.783675300001</v>
      </c>
      <c r="X16" s="1350">
        <f t="shared" ca="1" si="14"/>
        <v>111211.70099913457</v>
      </c>
      <c r="Y16" s="1074">
        <f ca="1">IF(V16=0,IF(W16&gt;0, W16/L$8, IF(X16&gt;0,X16/L$10, "")), IF(T16="", "", V16/L$7*T16))</f>
        <v>0.42710104607542937</v>
      </c>
      <c r="Z16" s="1166" t="str">
        <f t="shared" ref="Z16:Z43" ca="1" si="15">IF(+Y16="","",IF(Y16&gt;L$3,"H",IF(Y16&gt;L$4,"M","")))</f>
        <v>H</v>
      </c>
      <c r="AA16" s="751"/>
      <c r="AB16" s="1279" t="str">
        <f ca="1">IF(CONCATENATE(IF(K16="OK","",J16),"    ",IF(L16="","",IF(N16="OK","",CONCATENATE(M16," = ",ROUND(L16,3),"kgCO2e/kWh"))),"    ",IF(AND(+AA16="",Z16="M"),"Value change with medium impact",IF(AND(AA16="",Z16="H"),"Value change with high impact",""))," ")="         ","",CONCATENATE(IF(K16="OK","",J16),"    ",IF(L16="","",IF(N16="OK","",CONCATENATE(M16," = ",ROUND(L16,3),"kgCO2e/kWh"))),"    ",IF(AND(+AA16="",Z16="M"),"Value change with medium impact",IF(AND(AA16="",Z16="H"),"Value change with high impact",""))," "))</f>
        <v xml:space="preserve">Missing value?        Value change with high impact </v>
      </c>
      <c r="AC16" s="1268" t="str">
        <f t="shared" ref="AC16:AC43" ca="1" si="16">IF(AD16&gt;C16,"Offices only&gt;Total Estate","")</f>
        <v/>
      </c>
      <c r="AD16" s="759">
        <f t="shared" ref="AD16:AI25" ca="1" si="17">INDEX(INDIRECT(CONCATENATE("'",AD$14,"'!$G$20:$G$35"),TRUE),MATCH($B16,INDIRECT(CONCATENATE("'",AD$14,"'!$C$20:$C$35"),TRUE),0))</f>
        <v>0</v>
      </c>
      <c r="AE16" s="760">
        <f t="shared" ca="1" si="17"/>
        <v>475651</v>
      </c>
      <c r="AF16" s="761">
        <f t="shared" ca="1" si="17"/>
        <v>447893.80078125</v>
      </c>
      <c r="AG16" s="761">
        <f t="shared" ca="1" si="17"/>
        <v>668313</v>
      </c>
      <c r="AH16" s="761">
        <f t="shared" ca="1" si="17"/>
        <v>608935</v>
      </c>
      <c r="AI16" s="761">
        <f t="shared" ca="1" si="17"/>
        <v>5409992</v>
      </c>
      <c r="AJ16" s="961">
        <f t="shared" ref="AJ16:AJ43" ca="1" si="18">AI16/4</f>
        <v>1352498</v>
      </c>
      <c r="AK16" s="1361" t="str">
        <f t="shared" ref="AK16:AK43" ca="1" si="19">IF(AND(AD16&gt;0,SUM(AE16:AJ16)&gt;0),"",IF(AND(AD16=0,SUM(AD16:AJ16)=0),"",IF(AND(AD16=0,AE16&gt;0),"Missing value?",IF(AND(AD16=0,AJ16&gt;0),"Missing value?","New category"))))</f>
        <v>Missing value?</v>
      </c>
      <c r="AL16" s="801"/>
      <c r="AM16" s="895"/>
      <c r="AN16" s="763"/>
      <c r="AO16" s="1391"/>
      <c r="AP16" s="1388">
        <f t="shared" ref="AP16:AP43" ca="1" si="20">IF(OR(+$AK16="missing?",+$AK16="new category"),"",IF($AE16=0,"",IF(SUM($AD16:$AJ16)=0,"",IFERROR((($AD16-$AE16)/$AE16),"N/A"))))</f>
        <v>-1</v>
      </c>
      <c r="AQ16" s="764">
        <f t="shared" ref="AQ16:AQ43" ca="1" si="21">IF(OR(+$AK16="missing?",+$AK16="new category"),"",IF($AF16=0,"",IF(SUM($AD16:$AJ16)=0,"",IFERROR((($AD16-$AF16)/$AF16),"N/A"))))</f>
        <v>-1</v>
      </c>
      <c r="AR16" s="765">
        <f t="shared" ref="AR16:AR43" ca="1" si="22">IF(OR(+$AK16="missing?",+$AK16="new category"),"",IF($AG16=0,"",IF(SUM($AD16:$AJ16)=0,"",IFERROR((($AD16-$AG16)/$AG16),"N/A"))))</f>
        <v>-1</v>
      </c>
      <c r="AS16" s="765">
        <f t="shared" ref="AS16:AS43" ca="1" si="23">IF(OR(+$AK16="missing?",+$AK16="new category"),"",IF($AH16=0,"",IF(SUM($AD16:$AJ16)=0,"",IFERROR((($AD16-$AH16)/$AH16),"N/A"))))</f>
        <v>-1</v>
      </c>
      <c r="AT16" s="1366">
        <f ca="1">IF(OR(+$AK16="missing?",+$AK16="new category"),"",IF($AJ16=0,"",IF(SUM($AD16:$AJ16)=0,"",IFERROR((($AD16-$AJ16)/$AJ16),"N/A"))))</f>
        <v>-1</v>
      </c>
      <c r="AU16" s="1376">
        <f ca="1">IF(MAX(IF(AP16&lt;0,-AP16,AP16),IF(AS16&lt;0,-AS16,AS16),IF(AT16&lt;0,-AT16,AT16))=0,"",MAX(IF(AP16&lt;0,-AP16,AP16),IF(AQ16&lt;0,-AQ16,AQ16),IF(AR16&lt;0,-AR16,AR16),IF(AS16&lt;0,-AS16,AS16),IF(AT16&lt;0,-AT16,AT16)))</f>
        <v>1</v>
      </c>
      <c r="AV16" s="766" t="str">
        <f t="shared" ref="AV16:AV43" ca="1" si="24">IF(+AU16="","",IF(AU16&gt;L$3,"H",IF(AU16&gt;L$4,"M","")))</f>
        <v>H</v>
      </c>
      <c r="AW16" s="1349">
        <f t="shared" ref="AW16:AY31" ca="1" si="25">INDEX(INDIRECT(CONCATENATE("'",AW$14,"'!$H$20:$H$35"),TRUE),MATCH($B16,INDIRECT(CONCATENATE("'",AW$14,"'!$C$20:$C$35"),TRUE),0))</f>
        <v>0</v>
      </c>
      <c r="AX16" s="1349">
        <f t="shared" ca="1" si="25"/>
        <v>131.89802229999998</v>
      </c>
      <c r="AY16" s="1349">
        <f t="shared" ca="1" si="25"/>
        <v>1661.9495423999999</v>
      </c>
      <c r="AZ16" s="1377">
        <f ca="1">IF(AW16=0,IF(AX16&gt;0, AX16/AM$8, IF(AY16&gt;0,AY16/AM$10, "")), IF(AU16="", "", AW16/AM$7*AU16))</f>
        <v>0.16598259070371188</v>
      </c>
      <c r="BA16" s="766" t="str">
        <f t="shared" ref="BA16:BA43" ca="1" si="26">IF(+AZ16="","",IF(AZ16&gt;L$3,"H",IF(AZ16&gt;L$4,"M","")))</f>
        <v>H</v>
      </c>
      <c r="BB16" s="801"/>
      <c r="BC16" s="1279" t="str">
        <f ca="1">IF(CONCATENATE(AC16, "    ", IF(AL16="OK","",AK16), "    ",IF(AM16="","",IF(AO16="OK","",CONCATENATE(AN16," = ",ROUND(AM16,3),"kgCO2e/kWh"))),"    ",IF(AND(+BB16="",BA16="M"),"Value change with medium impact",IF(AND(BB16="",BA16="H"),"Value change with high impact",""))," ")="            ","",CONCATENATE(AC16, "    ", IF(AL16="OK","",AK16), "    ",IF(AM16="","",IF(AO16="OK","",CONCATENATE(AN16," = ",ROUND(AM16,3),"kgCO2e/kWh"))),"    ",IF(AND(+BB16="",BA16="M"),"Value change with medium impact",IF(AND(BB16="",BA16="H"),"Value change with high impact",""))," "))</f>
        <v xml:space="preserve">    Missing value?        Value change with high impact </v>
      </c>
    </row>
    <row r="17" spans="1:55" ht="12.75" customHeight="1" x14ac:dyDescent="0.3">
      <c r="A17" s="2236"/>
      <c r="B17" s="1246" t="str">
        <f>'Q1'!C21</f>
        <v>Mains Green Tariff  Electricity  Consumption (Scope 2+3)*</v>
      </c>
      <c r="C17" s="1252">
        <f t="shared" ca="1" si="5"/>
        <v>0</v>
      </c>
      <c r="D17" s="1258">
        <f t="shared" ca="1" si="5"/>
        <v>19147624</v>
      </c>
      <c r="E17" s="1060">
        <f t="shared" ca="1" si="5"/>
        <v>20428376</v>
      </c>
      <c r="F17" s="1060">
        <f t="shared" ca="1" si="5"/>
        <v>23655629</v>
      </c>
      <c r="G17" s="1060">
        <f t="shared" ca="1" si="5"/>
        <v>23265552</v>
      </c>
      <c r="H17" s="1060">
        <f t="shared" ca="1" si="5"/>
        <v>90146951</v>
      </c>
      <c r="I17" s="1266">
        <f t="shared" ca="1" si="6"/>
        <v>22536737.75</v>
      </c>
      <c r="J17" s="771" t="str">
        <f t="shared" ca="1" si="7"/>
        <v>Missing value?</v>
      </c>
      <c r="K17" s="772"/>
      <c r="L17" s="773"/>
      <c r="M17" s="774"/>
      <c r="N17" s="775"/>
      <c r="O17" s="776">
        <f t="shared" ca="1" si="8"/>
        <v>-1</v>
      </c>
      <c r="P17" s="777">
        <f t="shared" ca="1" si="9"/>
        <v>-1</v>
      </c>
      <c r="Q17" s="777">
        <f t="shared" ca="1" si="10"/>
        <v>-1</v>
      </c>
      <c r="R17" s="777">
        <f t="shared" ca="1" si="11"/>
        <v>-1</v>
      </c>
      <c r="S17" s="778">
        <f t="shared" ca="1" si="12"/>
        <v>-1</v>
      </c>
      <c r="T17" s="1066">
        <f t="shared" ref="T17:T43" ca="1" si="27">IF(SUM(C17:I17)=0,"",IF(OR(AND(C17=0,SUM(D17:I17)&gt;0),AND(C17&gt;0,SUM(D17:I17)=0)),1,IF(MAX(IF(O17&lt;0,-O17,O17),IF(P17&lt;0,-P17,P17),IF(Q17&lt;0,-Q17,Q17),IF(R17&lt;0,-R17,R17),IF(S17&lt;0,-S17,S17))=0,"",MAX(IF(O17&lt;0,-O17,O17),IF(P17&lt;0,-P17,P17),IF(Q17&lt;0,-Q17,Q17),IF(R17&lt;0,-R17,R17),IF(S17&lt;0,-S17,S17)))))</f>
        <v>1</v>
      </c>
      <c r="U17" s="1165" t="str">
        <f t="shared" ca="1" si="13"/>
        <v>H</v>
      </c>
      <c r="V17" s="1350">
        <f t="shared" ca="1" si="14"/>
        <v>0</v>
      </c>
      <c r="W17" s="1350">
        <f t="shared" ca="1" si="14"/>
        <v>5309.6361351999994</v>
      </c>
      <c r="X17" s="1350">
        <f t="shared" ca="1" si="14"/>
        <v>27693.143347199999</v>
      </c>
      <c r="Y17" s="1067">
        <f t="shared" ref="Y17:Y31" ca="1" si="28">IF(V17=0,IF(W17&gt;0, W17/L$8, IF(X17&gt;0,X17/L$10, "")), IF(T17="", "", V17/L$7*T17))</f>
        <v>9.9029369874347101E-2</v>
      </c>
      <c r="Z17" s="1165" t="str">
        <f t="shared" ca="1" si="15"/>
        <v>H</v>
      </c>
      <c r="AA17" s="772"/>
      <c r="AB17" s="946" t="str">
        <f t="shared" ref="AB17:AB43" ca="1" si="29">IF(CONCATENATE(IF(K17="OK","",J17),"    ",IF(L17="","",IF(N17="OK","",CONCATENATE(M17," = ",ROUND(L17,3),"kgCO2e/kWh"))),"    ",IF(AND(+AA17="",Z17="M"),"Value change with medium impact",IF(AND(AA17="",Z17="H"),"Value change with high impact",""))," ")="         ","",CONCATENATE(IF(K17="OK","",J17),"    ",IF(L17="","",IF(N17="OK","",CONCATENATE(M17," = ",ROUND(L17,3),"kgCO2e/kWh"))),"    ",IF(AND(+AA17="",Z17="M"),"Value change with medium impact",IF(AND(AA17="",Z17="H"),"Value change with high impact",""))," "))</f>
        <v xml:space="preserve">Missing value?        Value change with high impact </v>
      </c>
      <c r="AC17" s="1269" t="str">
        <f t="shared" ca="1" si="16"/>
        <v/>
      </c>
      <c r="AD17" s="780">
        <f t="shared" ca="1" si="17"/>
        <v>0</v>
      </c>
      <c r="AE17" s="781">
        <f t="shared" ca="1" si="17"/>
        <v>1977946</v>
      </c>
      <c r="AF17" s="769">
        <f t="shared" ca="1" si="17"/>
        <v>2221918</v>
      </c>
      <c r="AG17" s="769">
        <f t="shared" ca="1" si="17"/>
        <v>2757691</v>
      </c>
      <c r="AH17" s="769">
        <f t="shared" ca="1" si="17"/>
        <v>3037924</v>
      </c>
      <c r="AI17" s="769">
        <f t="shared" ca="1" si="17"/>
        <v>14076710</v>
      </c>
      <c r="AJ17" s="967">
        <f t="shared" ca="1" si="18"/>
        <v>3519177.5</v>
      </c>
      <c r="AK17" s="771" t="str">
        <f t="shared" ca="1" si="19"/>
        <v>Missing value?</v>
      </c>
      <c r="AL17" s="772"/>
      <c r="AM17" s="773"/>
      <c r="AN17" s="774"/>
      <c r="AO17" s="1392"/>
      <c r="AP17" s="938">
        <f t="shared" ca="1" si="20"/>
        <v>-1</v>
      </c>
      <c r="AQ17" s="756">
        <f t="shared" ca="1" si="21"/>
        <v>-1</v>
      </c>
      <c r="AR17" s="783">
        <f t="shared" ca="1" si="22"/>
        <v>-1</v>
      </c>
      <c r="AS17" s="783">
        <f t="shared" ca="1" si="23"/>
        <v>-1</v>
      </c>
      <c r="AT17" s="1367">
        <f ca="1">IF(OR(+$AK17="missing?",+$AK17="new category"),"",IF($AJ17=0,"",IF(SUM($AD17:$AJ17)=0,"",IFERROR((($AD17-$AJ17)/$AJ17),"N/A"))))</f>
        <v>-1</v>
      </c>
      <c r="AU17" s="1369">
        <f t="shared" ref="AU17:AU43" ca="1" si="30">IF(MAX(IF(AP17&lt;0,-AP17,AP17),IF(AS17&lt;0,-AS17,AS17),IF(AT17&lt;0,-AT17,AT17))=0,"",MAX(IF(AP17&lt;0,-AP17,AP17),IF(AQ17&lt;0,-AQ17,AQ17),IF(AR17&lt;0,-AR17,AR17),IF(AS17&lt;0,-AS17,AS17),IF(AT17&lt;0,-AT17,AT17)))</f>
        <v>1</v>
      </c>
      <c r="AV17" s="1165" t="str">
        <f t="shared" ca="1" si="24"/>
        <v>H</v>
      </c>
      <c r="AW17" s="1350">
        <f t="shared" ca="1" si="25"/>
        <v>0</v>
      </c>
      <c r="AX17" s="1350">
        <f t="shared" ca="1" si="25"/>
        <v>548.48442579999994</v>
      </c>
      <c r="AY17" s="1350">
        <f t="shared" ca="1" si="25"/>
        <v>4324.3653119999999</v>
      </c>
      <c r="AZ17" s="1357">
        <f t="shared" ref="AZ17:AZ31" ca="1" si="31">IF(AW17=0,IF(AX17&gt;0, AX17/AM$8, IF(AY17&gt;0,AY17/AM$10, "")), IF(AU17="", "", AW17/AM$7*AU17))</f>
        <v>0.69022161490682055</v>
      </c>
      <c r="BA17" s="1165" t="str">
        <f t="shared" ca="1" si="26"/>
        <v>H</v>
      </c>
      <c r="BB17" s="772"/>
      <c r="BC17" s="946" t="str">
        <f t="shared" ref="BC17" ca="1" si="32">IF(CONCATENATE(AC17, "    ", IF(AL17="OK","",AK17), "    ",IF(AM17="","",IF(AO17="OK","",CONCATENATE(AN17," = ",ROUND(AM17,3),"kgCO2e/kWh"))),"    ",IF(AND(+BB17="",BA17="M"),"Value change with medium impact",IF(AND(BB17="",BA17="H"),"Value change with high impact",""))," ")="            ","",CONCATENATE(AC17, "    ", IF(AL17="OK","",AK17), "    ",IF(AM17="","",IF(AO17="OK","",CONCATENATE(AN17," = ",ROUND(AM17,3),"kgCO2e/kWh"))),"    ",IF(AND(+BB17="",BA17="M"),"Value change with medium impact",IF(AND(BB17="",BA17="H"),"Value change with high impact",""))," "))</f>
        <v xml:space="preserve">    Missing value?        Value change with high impact </v>
      </c>
    </row>
    <row r="18" spans="1:55" ht="12.75" customHeight="1" x14ac:dyDescent="0.3">
      <c r="A18" s="2236"/>
      <c r="B18" s="1246" t="str">
        <f>'Q1'!C22</f>
        <v>CHP Bought Electricity (GQ)  Consumption (Scope 2+3)*</v>
      </c>
      <c r="C18" s="1252">
        <f t="shared" ca="1" si="5"/>
        <v>0</v>
      </c>
      <c r="D18" s="1258">
        <f t="shared" ca="1" si="5"/>
        <v>0</v>
      </c>
      <c r="E18" s="1060">
        <f t="shared" ca="1" si="5"/>
        <v>0</v>
      </c>
      <c r="F18" s="1060">
        <f t="shared" ca="1" si="5"/>
        <v>0</v>
      </c>
      <c r="G18" s="1060">
        <f t="shared" ca="1" si="5"/>
        <v>0</v>
      </c>
      <c r="H18" s="1060">
        <f t="shared" ca="1" si="5"/>
        <v>0</v>
      </c>
      <c r="I18" s="1266">
        <f t="shared" ca="1" si="6"/>
        <v>0</v>
      </c>
      <c r="J18" s="771" t="str">
        <f t="shared" ca="1" si="7"/>
        <v/>
      </c>
      <c r="K18" s="772"/>
      <c r="L18" s="773"/>
      <c r="M18" s="774"/>
      <c r="N18" s="775"/>
      <c r="O18" s="776" t="str">
        <f t="shared" ca="1" si="8"/>
        <v/>
      </c>
      <c r="P18" s="777" t="str">
        <f t="shared" ca="1" si="9"/>
        <v/>
      </c>
      <c r="Q18" s="777" t="str">
        <f t="shared" ca="1" si="10"/>
        <v/>
      </c>
      <c r="R18" s="777" t="str">
        <f t="shared" ca="1" si="11"/>
        <v/>
      </c>
      <c r="S18" s="778" t="str">
        <f t="shared" ca="1" si="12"/>
        <v/>
      </c>
      <c r="T18" s="1066" t="str">
        <f t="shared" ca="1" si="27"/>
        <v/>
      </c>
      <c r="U18" s="1165" t="str">
        <f t="shared" ca="1" si="13"/>
        <v/>
      </c>
      <c r="V18" s="1350">
        <f t="shared" ca="1" si="14"/>
        <v>0</v>
      </c>
      <c r="W18" s="1350">
        <f t="shared" ca="1" si="14"/>
        <v>0</v>
      </c>
      <c r="X18" s="1350">
        <f t="shared" ca="1" si="14"/>
        <v>0</v>
      </c>
      <c r="Y18" s="1067" t="str">
        <f t="shared" ca="1" si="28"/>
        <v/>
      </c>
      <c r="Z18" s="1165" t="str">
        <f t="shared" ca="1" si="15"/>
        <v/>
      </c>
      <c r="AA18" s="772"/>
      <c r="AB18" s="946" t="str">
        <f t="shared" ca="1" si="29"/>
        <v/>
      </c>
      <c r="AC18" s="1269" t="str">
        <f t="shared" ca="1" si="16"/>
        <v/>
      </c>
      <c r="AD18" s="780">
        <f t="shared" ca="1" si="17"/>
        <v>0</v>
      </c>
      <c r="AE18" s="781">
        <f t="shared" ca="1" si="17"/>
        <v>0</v>
      </c>
      <c r="AF18" s="769">
        <f t="shared" ca="1" si="17"/>
        <v>0</v>
      </c>
      <c r="AG18" s="769">
        <f t="shared" ca="1" si="17"/>
        <v>0</v>
      </c>
      <c r="AH18" s="769">
        <f t="shared" ca="1" si="17"/>
        <v>0</v>
      </c>
      <c r="AI18" s="769">
        <f t="shared" ca="1" si="17"/>
        <v>0</v>
      </c>
      <c r="AJ18" s="967">
        <f t="shared" ca="1" si="18"/>
        <v>0</v>
      </c>
      <c r="AK18" s="771" t="str">
        <f t="shared" ca="1" si="19"/>
        <v/>
      </c>
      <c r="AL18" s="772"/>
      <c r="AM18" s="773"/>
      <c r="AN18" s="774"/>
      <c r="AO18" s="1392"/>
      <c r="AP18" s="938" t="str">
        <f t="shared" ca="1" si="20"/>
        <v/>
      </c>
      <c r="AQ18" s="756" t="str">
        <f t="shared" ca="1" si="21"/>
        <v/>
      </c>
      <c r="AR18" s="783" t="str">
        <f t="shared" ca="1" si="22"/>
        <v/>
      </c>
      <c r="AS18" s="783" t="str">
        <f t="shared" ca="1" si="23"/>
        <v/>
      </c>
      <c r="AT18" s="1367" t="str">
        <f t="shared" ref="AT18:AT28" ca="1" si="33">IF(OR(+$AK18="missing?",+$AK18="new category"),"",IF($AJ18=0,"",IF(SUM($AD18:$AJ18)=0,"",IFERROR((($AD18-$AJ18)/$AJ18),"N/A"))))</f>
        <v/>
      </c>
      <c r="AU18" s="1369" t="str">
        <f t="shared" ca="1" si="30"/>
        <v/>
      </c>
      <c r="AV18" s="1165" t="str">
        <f t="shared" ca="1" si="24"/>
        <v/>
      </c>
      <c r="AW18" s="1350">
        <f t="shared" ca="1" si="25"/>
        <v>0</v>
      </c>
      <c r="AX18" s="1350">
        <f t="shared" ca="1" si="25"/>
        <v>0</v>
      </c>
      <c r="AY18" s="1350">
        <f t="shared" ca="1" si="25"/>
        <v>0</v>
      </c>
      <c r="AZ18" s="1357" t="str">
        <f t="shared" ca="1" si="31"/>
        <v/>
      </c>
      <c r="BA18" s="1165" t="str">
        <f t="shared" ca="1" si="26"/>
        <v/>
      </c>
      <c r="BB18" s="772"/>
      <c r="BC18" s="946" t="str">
        <f ca="1">IF(CONCATENATE(AC18, "    ", IF(AL18="OK","",AK18), "    ",IF(AM18="","",IF(AO18="OK","",CONCATENATE(AN18," = ",ROUND(AM18,3),"kgCO2e/kWh"))),"    ",IF(AND(+BB18="",BA18="M"),"Value change with medium impact",IF(AND(BB18="",BA18="H"),"Value change with high impact",""))," ")="             ","",CONCATENATE(AC18, "    ", IF(AL18="OK","",AK18), "    ",IF(AM18="","",IF(AO18="OK","",CONCATENATE(AN18," = ",ROUND(AM18,3),"kgCO2e/kWh"))),"    ",IF(AND(+BB18="",BA18="M"),"Value change with medium impact",IF(AND(BB18="",BA18="H"),"Value change with high impact",""))," "))</f>
        <v/>
      </c>
    </row>
    <row r="19" spans="1:55" ht="12.75" customHeight="1" x14ac:dyDescent="0.3">
      <c r="A19" s="2236"/>
      <c r="B19" s="1246" t="str">
        <f>'Q1'!C23</f>
        <v>CHP Bought Electricity (Other) Consumption (Scope 2+3)*</v>
      </c>
      <c r="C19" s="1252">
        <f t="shared" ca="1" si="5"/>
        <v>0</v>
      </c>
      <c r="D19" s="1258">
        <f t="shared" ca="1" si="5"/>
        <v>0</v>
      </c>
      <c r="E19" s="1060">
        <f t="shared" ca="1" si="5"/>
        <v>0</v>
      </c>
      <c r="F19" s="1060">
        <f t="shared" ca="1" si="5"/>
        <v>0</v>
      </c>
      <c r="G19" s="1060">
        <f t="shared" ca="1" si="5"/>
        <v>0</v>
      </c>
      <c r="H19" s="1060">
        <f t="shared" ca="1" si="5"/>
        <v>0</v>
      </c>
      <c r="I19" s="1266">
        <f t="shared" ca="1" si="6"/>
        <v>0</v>
      </c>
      <c r="J19" s="771" t="str">
        <f t="shared" ca="1" si="7"/>
        <v/>
      </c>
      <c r="K19" s="772"/>
      <c r="L19" s="773"/>
      <c r="M19" s="774"/>
      <c r="N19" s="775"/>
      <c r="O19" s="776" t="str">
        <f t="shared" ca="1" si="8"/>
        <v/>
      </c>
      <c r="P19" s="777" t="str">
        <f t="shared" ca="1" si="9"/>
        <v/>
      </c>
      <c r="Q19" s="777" t="str">
        <f t="shared" ca="1" si="10"/>
        <v/>
      </c>
      <c r="R19" s="777" t="str">
        <f t="shared" ca="1" si="11"/>
        <v/>
      </c>
      <c r="S19" s="778" t="str">
        <f t="shared" ca="1" si="12"/>
        <v/>
      </c>
      <c r="T19" s="1066" t="str">
        <f t="shared" ca="1" si="27"/>
        <v/>
      </c>
      <c r="U19" s="1165" t="str">
        <f t="shared" ca="1" si="13"/>
        <v/>
      </c>
      <c r="V19" s="1350">
        <f t="shared" ca="1" si="14"/>
        <v>0</v>
      </c>
      <c r="W19" s="1350">
        <f t="shared" ca="1" si="14"/>
        <v>0</v>
      </c>
      <c r="X19" s="1350">
        <f t="shared" ca="1" si="14"/>
        <v>0</v>
      </c>
      <c r="Y19" s="1067" t="str">
        <f t="shared" ca="1" si="28"/>
        <v/>
      </c>
      <c r="Z19" s="1165" t="str">
        <f t="shared" ca="1" si="15"/>
        <v/>
      </c>
      <c r="AA19" s="772"/>
      <c r="AB19" s="946" t="str">
        <f ca="1">IF(CONCATENATE(IF(K19="OK","",J19),"    ",IF(L19="","",IF(N19="OK","",CONCATENATE(M19," = ",ROUND(L19,3),"kgCO2e/kWh"))),"    ",IF(AND(+AA19="",Z19="M"),"Value change with medium impact",IF(AND(AA19="",Z19="H"),"Value change with high impact",""))," ")="         ","",CONCATENATE(IF(K19="OK","",J19),"    ",IF(L19="","",IF(N19="OK","",CONCATENATE(M19," = ",ROUND(L19,3),"kgCO2e/kWh"))),"    ",IF(AND(+AA19="",Z19="M"),"Value change with medium impact",IF(AND(AA19="",Z19="H"),"Value change with high impact",""))," "))</f>
        <v/>
      </c>
      <c r="AC19" s="1269" t="str">
        <f t="shared" ca="1" si="16"/>
        <v/>
      </c>
      <c r="AD19" s="780">
        <f t="shared" ca="1" si="17"/>
        <v>0</v>
      </c>
      <c r="AE19" s="781">
        <f t="shared" ca="1" si="17"/>
        <v>0</v>
      </c>
      <c r="AF19" s="769">
        <f t="shared" ca="1" si="17"/>
        <v>0</v>
      </c>
      <c r="AG19" s="769">
        <f t="shared" ca="1" si="17"/>
        <v>0</v>
      </c>
      <c r="AH19" s="769">
        <f t="shared" ca="1" si="17"/>
        <v>0</v>
      </c>
      <c r="AI19" s="769">
        <f t="shared" ca="1" si="17"/>
        <v>0</v>
      </c>
      <c r="AJ19" s="967">
        <f t="shared" ca="1" si="18"/>
        <v>0</v>
      </c>
      <c r="AK19" s="771" t="str">
        <f t="shared" ca="1" si="19"/>
        <v/>
      </c>
      <c r="AL19" s="772"/>
      <c r="AM19" s="773"/>
      <c r="AN19" s="774"/>
      <c r="AO19" s="1392"/>
      <c r="AP19" s="938" t="str">
        <f t="shared" ca="1" si="20"/>
        <v/>
      </c>
      <c r="AQ19" s="756" t="str">
        <f t="shared" ca="1" si="21"/>
        <v/>
      </c>
      <c r="AR19" s="783" t="str">
        <f t="shared" ca="1" si="22"/>
        <v/>
      </c>
      <c r="AS19" s="783" t="str">
        <f t="shared" ca="1" si="23"/>
        <v/>
      </c>
      <c r="AT19" s="1367" t="str">
        <f t="shared" ca="1" si="33"/>
        <v/>
      </c>
      <c r="AU19" s="1369" t="str">
        <f t="shared" ca="1" si="30"/>
        <v/>
      </c>
      <c r="AV19" s="1165" t="str">
        <f t="shared" ca="1" si="24"/>
        <v/>
      </c>
      <c r="AW19" s="1350">
        <f t="shared" ca="1" si="25"/>
        <v>0</v>
      </c>
      <c r="AX19" s="1350">
        <f t="shared" ca="1" si="25"/>
        <v>0</v>
      </c>
      <c r="AY19" s="1350">
        <f t="shared" ca="1" si="25"/>
        <v>0</v>
      </c>
      <c r="AZ19" s="1357" t="str">
        <f t="shared" ca="1" si="31"/>
        <v/>
      </c>
      <c r="BA19" s="1165" t="str">
        <f t="shared" ca="1" si="26"/>
        <v/>
      </c>
      <c r="BB19" s="772"/>
      <c r="BC19" s="946" t="str">
        <f t="shared" ref="BC19:BC43" ca="1" si="34">IF(CONCATENATE(AC19, "    ", IF(AL19="OK","",AK19), "    ",IF(AM19="","",IF(AO19="OK","",CONCATENATE(AN19," = ",ROUND(AM19,3),"kgCO2e/kWh"))),"    ",IF(AND(+BB19="",BA19="M"),"Value change with medium impact",IF(AND(BB19="",BA19="H"),"Value change with high impact",""))," ")="             ","",CONCATENATE(AC19, "    ", IF(AL19="OK","",AK19), "    ",IF(AM19="","",IF(AO19="OK","",CONCATENATE(AN19," = ",ROUND(AM19,3),"kgCO2e/kWh"))),"    ",IF(AND(+BB19="",BA19="M"),"Value change with medium impact",IF(AND(BB19="",BA19="H"),"Value change with high impact",""))," "))</f>
        <v/>
      </c>
    </row>
    <row r="20" spans="1:55" ht="12.75" customHeight="1" x14ac:dyDescent="0.3">
      <c r="A20" s="2236"/>
      <c r="B20" s="1246" t="str">
        <f>'Q1'!C24</f>
        <v>Natural Gas (Scope 1)</v>
      </c>
      <c r="C20" s="1252">
        <f t="shared" ca="1" si="5"/>
        <v>0</v>
      </c>
      <c r="D20" s="1258">
        <f t="shared" ca="1" si="5"/>
        <v>93348969.579999998</v>
      </c>
      <c r="E20" s="1060">
        <f t="shared" ca="1" si="5"/>
        <v>187582302.541558</v>
      </c>
      <c r="F20" s="1060">
        <f t="shared" ca="1" si="5"/>
        <v>342734657.59192502</v>
      </c>
      <c r="G20" s="1060">
        <f t="shared" ca="1" si="5"/>
        <v>269864659.32309502</v>
      </c>
      <c r="H20" s="1060">
        <f t="shared" ca="1" si="5"/>
        <v>877312308.58363605</v>
      </c>
      <c r="I20" s="1266">
        <f t="shared" ca="1" si="6"/>
        <v>219328077.14590901</v>
      </c>
      <c r="J20" s="771" t="str">
        <f t="shared" ca="1" si="7"/>
        <v>Missing value?</v>
      </c>
      <c r="K20" s="772"/>
      <c r="L20" s="773"/>
      <c r="M20" s="774"/>
      <c r="N20" s="775"/>
      <c r="O20" s="776">
        <f t="shared" ca="1" si="8"/>
        <v>-1</v>
      </c>
      <c r="P20" s="777">
        <f t="shared" ca="1" si="9"/>
        <v>-1</v>
      </c>
      <c r="Q20" s="777">
        <f t="shared" ca="1" si="10"/>
        <v>-1</v>
      </c>
      <c r="R20" s="777">
        <f t="shared" ca="1" si="11"/>
        <v>-1</v>
      </c>
      <c r="S20" s="778">
        <f t="shared" ca="1" si="12"/>
        <v>-1</v>
      </c>
      <c r="T20" s="1066">
        <f t="shared" ca="1" si="27"/>
        <v>1</v>
      </c>
      <c r="U20" s="1165" t="str">
        <f t="shared" ca="1" si="13"/>
        <v>H</v>
      </c>
      <c r="V20" s="1350">
        <f t="shared" ca="1" si="14"/>
        <v>0</v>
      </c>
      <c r="W20" s="1350">
        <f t="shared" ca="1" si="14"/>
        <v>17162.208057282998</v>
      </c>
      <c r="X20" s="1350">
        <f t="shared" ca="1" si="14"/>
        <v>161390.3722870457</v>
      </c>
      <c r="Y20" s="1067">
        <f t="shared" ca="1" si="28"/>
        <v>0.32009022959181743</v>
      </c>
      <c r="Z20" s="1165" t="str">
        <f t="shared" ca="1" si="15"/>
        <v>H</v>
      </c>
      <c r="AA20" s="772"/>
      <c r="AB20" s="946" t="str">
        <f t="shared" ca="1" si="29"/>
        <v xml:space="preserve">Missing value?        Value change with high impact </v>
      </c>
      <c r="AC20" s="1269" t="str">
        <f t="shared" ca="1" si="16"/>
        <v/>
      </c>
      <c r="AD20" s="780">
        <f t="shared" ca="1" si="17"/>
        <v>0</v>
      </c>
      <c r="AE20" s="781">
        <f t="shared" ca="1" si="17"/>
        <v>589421.53</v>
      </c>
      <c r="AF20" s="769">
        <f t="shared" ca="1" si="17"/>
        <v>738199.85927734303</v>
      </c>
      <c r="AG20" s="769">
        <f t="shared" ca="1" si="17"/>
        <v>2046087.390625</v>
      </c>
      <c r="AH20" s="769">
        <f t="shared" ca="1" si="17"/>
        <v>1480189.6480532701</v>
      </c>
      <c r="AI20" s="769">
        <f t="shared" ca="1" si="17"/>
        <v>4812965.292481523</v>
      </c>
      <c r="AJ20" s="967">
        <f t="shared" ca="1" si="18"/>
        <v>1203241.3231203808</v>
      </c>
      <c r="AK20" s="771" t="str">
        <f t="shared" ca="1" si="19"/>
        <v>Missing value?</v>
      </c>
      <c r="AL20" s="772"/>
      <c r="AM20" s="773"/>
      <c r="AN20" s="774"/>
      <c r="AO20" s="1392"/>
      <c r="AP20" s="938">
        <f t="shared" ca="1" si="20"/>
        <v>-1</v>
      </c>
      <c r="AQ20" s="756">
        <f t="shared" ca="1" si="21"/>
        <v>-1</v>
      </c>
      <c r="AR20" s="783">
        <f t="shared" ca="1" si="22"/>
        <v>-1</v>
      </c>
      <c r="AS20" s="783">
        <f t="shared" ca="1" si="23"/>
        <v>-1</v>
      </c>
      <c r="AT20" s="1367">
        <f t="shared" ca="1" si="33"/>
        <v>-1</v>
      </c>
      <c r="AU20" s="1369">
        <f t="shared" ca="1" si="30"/>
        <v>1</v>
      </c>
      <c r="AV20" s="1165" t="str">
        <f t="shared" ca="1" si="24"/>
        <v>H</v>
      </c>
      <c r="AW20" s="1350">
        <f t="shared" ca="1" si="25"/>
        <v>0</v>
      </c>
      <c r="AX20" s="1350">
        <f t="shared" ca="1" si="25"/>
        <v>108.36514829050002</v>
      </c>
      <c r="AY20" s="1350">
        <f t="shared" ca="1" si="25"/>
        <v>885.3930952049011</v>
      </c>
      <c r="AZ20" s="1357">
        <f t="shared" ca="1" si="31"/>
        <v>0.13636844390538758</v>
      </c>
      <c r="BA20" s="1165" t="str">
        <f t="shared" ca="1" si="26"/>
        <v>H</v>
      </c>
      <c r="BB20" s="772"/>
      <c r="BC20" s="946" t="str">
        <f t="shared" ca="1" si="34"/>
        <v xml:space="preserve">    Missing value?        Value change with high impact </v>
      </c>
    </row>
    <row r="21" spans="1:55" ht="12.75" customHeight="1" x14ac:dyDescent="0.3">
      <c r="A21" s="2236"/>
      <c r="B21" s="1246" t="str">
        <f>'Q1'!C25</f>
        <v>Gas Oil (Scope 1)</v>
      </c>
      <c r="C21" s="1252">
        <f t="shared" ca="1" si="5"/>
        <v>0</v>
      </c>
      <c r="D21" s="1258">
        <f t="shared" ca="1" si="5"/>
        <v>4220581.5</v>
      </c>
      <c r="E21" s="1060">
        <f t="shared" ca="1" si="5"/>
        <v>9674252.3800000008</v>
      </c>
      <c r="F21" s="1060">
        <f t="shared" ca="1" si="5"/>
        <v>18334192.238652799</v>
      </c>
      <c r="G21" s="1060">
        <f t="shared" ca="1" si="5"/>
        <v>13355042.448577501</v>
      </c>
      <c r="H21" s="1060">
        <f t="shared" ca="1" si="5"/>
        <v>41638438.00199572</v>
      </c>
      <c r="I21" s="1266">
        <f t="shared" ca="1" si="6"/>
        <v>10409609.50049893</v>
      </c>
      <c r="J21" s="771" t="str">
        <f t="shared" ca="1" si="7"/>
        <v>Missing value?</v>
      </c>
      <c r="K21" s="772"/>
      <c r="L21" s="773"/>
      <c r="M21" s="774"/>
      <c r="N21" s="775"/>
      <c r="O21" s="776">
        <f t="shared" ca="1" si="8"/>
        <v>-1</v>
      </c>
      <c r="P21" s="777">
        <f t="shared" ca="1" si="9"/>
        <v>-1</v>
      </c>
      <c r="Q21" s="777">
        <f t="shared" ca="1" si="10"/>
        <v>-1</v>
      </c>
      <c r="R21" s="777">
        <f t="shared" ca="1" si="11"/>
        <v>-1</v>
      </c>
      <c r="S21" s="778">
        <f t="shared" ca="1" si="12"/>
        <v>-1</v>
      </c>
      <c r="T21" s="1066">
        <f t="shared" ca="1" si="27"/>
        <v>1</v>
      </c>
      <c r="U21" s="1165" t="str">
        <f t="shared" ca="1" si="13"/>
        <v>H</v>
      </c>
      <c r="V21" s="1350">
        <f t="shared" ca="1" si="14"/>
        <v>0</v>
      </c>
      <c r="W21" s="1350">
        <f t="shared" ca="1" si="14"/>
        <v>1083.67650594</v>
      </c>
      <c r="X21" s="1350">
        <f t="shared" ca="1" si="14"/>
        <v>11513.860876311855</v>
      </c>
      <c r="Y21" s="1067">
        <f t="shared" ca="1" si="28"/>
        <v>2.0211517098022401E-2</v>
      </c>
      <c r="Z21" s="1165" t="str">
        <f t="shared" ca="1" si="15"/>
        <v>M</v>
      </c>
      <c r="AA21" s="772"/>
      <c r="AB21" s="946" t="str">
        <f t="shared" ca="1" si="29"/>
        <v xml:space="preserve">Missing value?        Value change with medium impact </v>
      </c>
      <c r="AC21" s="1269" t="str">
        <f t="shared" ca="1" si="16"/>
        <v/>
      </c>
      <c r="AD21" s="1252">
        <f t="shared" ca="1" si="17"/>
        <v>0</v>
      </c>
      <c r="AE21" s="1258">
        <f t="shared" ca="1" si="17"/>
        <v>22987</v>
      </c>
      <c r="AF21" s="1060">
        <f t="shared" ca="1" si="17"/>
        <v>0</v>
      </c>
      <c r="AG21" s="1060">
        <f t="shared" ca="1" si="17"/>
        <v>0</v>
      </c>
      <c r="AH21" s="1060">
        <f t="shared" ca="1" si="17"/>
        <v>0</v>
      </c>
      <c r="AI21" s="1060">
        <f t="shared" ca="1" si="17"/>
        <v>22987</v>
      </c>
      <c r="AJ21" s="1266">
        <f t="shared" ca="1" si="18"/>
        <v>5746.75</v>
      </c>
      <c r="AK21" s="771" t="str">
        <f t="shared" ca="1" si="19"/>
        <v>Missing value?</v>
      </c>
      <c r="AL21" s="772"/>
      <c r="AM21" s="773"/>
      <c r="AN21" s="774"/>
      <c r="AO21" s="775"/>
      <c r="AP21" s="944">
        <f t="shared" ca="1" si="20"/>
        <v>-1</v>
      </c>
      <c r="AQ21" s="777" t="str">
        <f t="shared" ca="1" si="21"/>
        <v/>
      </c>
      <c r="AR21" s="777" t="str">
        <f t="shared" ca="1" si="22"/>
        <v/>
      </c>
      <c r="AS21" s="777" t="str">
        <f t="shared" ca="1" si="23"/>
        <v/>
      </c>
      <c r="AT21" s="945">
        <f t="shared" ca="1" si="33"/>
        <v>-1</v>
      </c>
      <c r="AU21" s="1370">
        <f t="shared" ca="1" si="30"/>
        <v>1</v>
      </c>
      <c r="AV21" s="1165" t="str">
        <f t="shared" ca="1" si="24"/>
        <v>H</v>
      </c>
      <c r="AW21" s="1350">
        <f t="shared" ca="1" si="25"/>
        <v>0</v>
      </c>
      <c r="AX21" s="1350">
        <f t="shared" ca="1" si="25"/>
        <v>5.9021421199999997</v>
      </c>
      <c r="AY21" s="1350">
        <f t="shared" ca="1" si="25"/>
        <v>6.3563652399999997</v>
      </c>
      <c r="AZ21" s="1357">
        <f t="shared" ca="1" si="31"/>
        <v>7.4273504840799906E-3</v>
      </c>
      <c r="BA21" s="1165" t="str">
        <f t="shared" ca="1" si="26"/>
        <v>M</v>
      </c>
      <c r="BB21" s="772"/>
      <c r="BC21" s="946" t="str">
        <f t="shared" ca="1" si="34"/>
        <v xml:space="preserve">    Missing value?        Value change with medium impact </v>
      </c>
    </row>
    <row r="22" spans="1:55" ht="12.75" customHeight="1" x14ac:dyDescent="0.3">
      <c r="A22" s="2236"/>
      <c r="B22" s="1246" t="str">
        <f>'Q1'!C26</f>
        <v>LPG (Scope 1)</v>
      </c>
      <c r="C22" s="1252">
        <f t="shared" ca="1" si="5"/>
        <v>0</v>
      </c>
      <c r="D22" s="1258">
        <f t="shared" ca="1" si="5"/>
        <v>136725.41</v>
      </c>
      <c r="E22" s="1060">
        <f t="shared" ca="1" si="5"/>
        <v>185170.3</v>
      </c>
      <c r="F22" s="1060">
        <f t="shared" ca="1" si="5"/>
        <v>514003.592759119</v>
      </c>
      <c r="G22" s="1060">
        <f t="shared" ca="1" si="5"/>
        <v>413026.89053500199</v>
      </c>
      <c r="H22" s="1060">
        <f t="shared" ca="1" si="5"/>
        <v>1476390.881731621</v>
      </c>
      <c r="I22" s="1266">
        <f t="shared" ca="1" si="6"/>
        <v>369097.72043290525</v>
      </c>
      <c r="J22" s="771" t="str">
        <f t="shared" ca="1" si="7"/>
        <v>Missing value?</v>
      </c>
      <c r="K22" s="772"/>
      <c r="L22" s="773"/>
      <c r="M22" s="774"/>
      <c r="N22" s="775"/>
      <c r="O22" s="776">
        <f t="shared" ca="1" si="8"/>
        <v>-1</v>
      </c>
      <c r="P22" s="777">
        <f t="shared" ca="1" si="9"/>
        <v>-1</v>
      </c>
      <c r="Q22" s="777">
        <f t="shared" ca="1" si="10"/>
        <v>-1</v>
      </c>
      <c r="R22" s="777">
        <f t="shared" ca="1" si="11"/>
        <v>-1</v>
      </c>
      <c r="S22" s="778">
        <f t="shared" ca="1" si="12"/>
        <v>-1</v>
      </c>
      <c r="T22" s="1066">
        <f t="shared" ca="1" si="27"/>
        <v>1</v>
      </c>
      <c r="U22" s="1165" t="str">
        <f t="shared" ca="1" si="13"/>
        <v>H</v>
      </c>
      <c r="V22" s="1350">
        <f t="shared" ca="1" si="14"/>
        <v>0</v>
      </c>
      <c r="W22" s="1350">
        <f t="shared" ca="1" si="14"/>
        <v>29.323498682699999</v>
      </c>
      <c r="X22" s="1350">
        <f t="shared" ca="1" si="14"/>
        <v>316.65631631379807</v>
      </c>
      <c r="Y22" s="1067">
        <f t="shared" ca="1" si="28"/>
        <v>5.4690896383799881E-4</v>
      </c>
      <c r="Z22" s="1165" t="str">
        <f t="shared" ca="1" si="15"/>
        <v/>
      </c>
      <c r="AA22" s="772"/>
      <c r="AB22" s="946" t="str">
        <f t="shared" ca="1" si="29"/>
        <v xml:space="preserve">Missing value?         </v>
      </c>
      <c r="AC22" s="1269" t="str">
        <f t="shared" ca="1" si="16"/>
        <v/>
      </c>
      <c r="AD22" s="1252">
        <f t="shared" ca="1" si="17"/>
        <v>0</v>
      </c>
      <c r="AE22" s="1258">
        <f t="shared" ca="1" si="17"/>
        <v>0</v>
      </c>
      <c r="AF22" s="1060">
        <f t="shared" ca="1" si="17"/>
        <v>0</v>
      </c>
      <c r="AG22" s="1060">
        <f t="shared" ca="1" si="17"/>
        <v>0</v>
      </c>
      <c r="AH22" s="1060">
        <f t="shared" ca="1" si="17"/>
        <v>0</v>
      </c>
      <c r="AI22" s="1060">
        <f t="shared" ca="1" si="17"/>
        <v>0</v>
      </c>
      <c r="AJ22" s="1266">
        <f t="shared" ca="1" si="18"/>
        <v>0</v>
      </c>
      <c r="AK22" s="771" t="str">
        <f t="shared" ca="1" si="19"/>
        <v/>
      </c>
      <c r="AL22" s="772"/>
      <c r="AM22" s="773"/>
      <c r="AN22" s="774"/>
      <c r="AO22" s="775"/>
      <c r="AP22" s="944" t="str">
        <f t="shared" ca="1" si="20"/>
        <v/>
      </c>
      <c r="AQ22" s="777" t="str">
        <f t="shared" ca="1" si="21"/>
        <v/>
      </c>
      <c r="AR22" s="777" t="str">
        <f t="shared" ca="1" si="22"/>
        <v/>
      </c>
      <c r="AS22" s="777" t="str">
        <f t="shared" ca="1" si="23"/>
        <v/>
      </c>
      <c r="AT22" s="945" t="str">
        <f t="shared" ca="1" si="33"/>
        <v/>
      </c>
      <c r="AU22" s="1370" t="str">
        <f t="shared" ca="1" si="30"/>
        <v/>
      </c>
      <c r="AV22" s="1165" t="str">
        <f t="shared" ca="1" si="24"/>
        <v/>
      </c>
      <c r="AW22" s="1350">
        <f t="shared" ca="1" si="25"/>
        <v>0</v>
      </c>
      <c r="AX22" s="1350">
        <f t="shared" ca="1" si="25"/>
        <v>0</v>
      </c>
      <c r="AY22" s="1350">
        <f t="shared" ca="1" si="25"/>
        <v>0</v>
      </c>
      <c r="AZ22" s="1357" t="str">
        <f t="shared" ca="1" si="31"/>
        <v/>
      </c>
      <c r="BA22" s="1165" t="str">
        <f t="shared" ca="1" si="26"/>
        <v/>
      </c>
      <c r="BB22" s="772"/>
      <c r="BC22" s="946" t="str">
        <f t="shared" ca="1" si="34"/>
        <v/>
      </c>
    </row>
    <row r="23" spans="1:55" ht="12.75" customHeight="1" x14ac:dyDescent="0.3">
      <c r="A23" s="2236"/>
      <c r="B23" s="1246" t="str">
        <f>'Q1'!C27</f>
        <v>Solid Fossil Fuels (Scope 1)</v>
      </c>
      <c r="C23" s="1252">
        <f t="shared" ca="1" si="5"/>
        <v>0</v>
      </c>
      <c r="D23" s="1258">
        <f t="shared" ca="1" si="5"/>
        <v>0</v>
      </c>
      <c r="E23" s="1060">
        <f t="shared" ca="1" si="5"/>
        <v>0</v>
      </c>
      <c r="F23" s="1060">
        <f t="shared" ca="1" si="5"/>
        <v>0</v>
      </c>
      <c r="G23" s="1060">
        <f t="shared" ca="1" si="5"/>
        <v>0</v>
      </c>
      <c r="H23" s="1060">
        <f t="shared" ca="1" si="5"/>
        <v>0</v>
      </c>
      <c r="I23" s="1266">
        <f t="shared" ca="1" si="6"/>
        <v>0</v>
      </c>
      <c r="J23" s="771" t="str">
        <f t="shared" ca="1" si="7"/>
        <v/>
      </c>
      <c r="K23" s="772"/>
      <c r="L23" s="773"/>
      <c r="M23" s="774"/>
      <c r="N23" s="775"/>
      <c r="O23" s="776" t="str">
        <f t="shared" ca="1" si="8"/>
        <v/>
      </c>
      <c r="P23" s="777" t="str">
        <f t="shared" ca="1" si="9"/>
        <v/>
      </c>
      <c r="Q23" s="777" t="str">
        <f t="shared" ca="1" si="10"/>
        <v/>
      </c>
      <c r="R23" s="777" t="str">
        <f t="shared" ca="1" si="11"/>
        <v/>
      </c>
      <c r="S23" s="778" t="str">
        <f t="shared" ca="1" si="12"/>
        <v/>
      </c>
      <c r="T23" s="1066" t="str">
        <f t="shared" ca="1" si="27"/>
        <v/>
      </c>
      <c r="U23" s="1165" t="str">
        <f t="shared" ca="1" si="13"/>
        <v/>
      </c>
      <c r="V23" s="1350">
        <f t="shared" ca="1" si="14"/>
        <v>0</v>
      </c>
      <c r="W23" s="1350">
        <f t="shared" ca="1" si="14"/>
        <v>0</v>
      </c>
      <c r="X23" s="1350">
        <f t="shared" ca="1" si="14"/>
        <v>0</v>
      </c>
      <c r="Y23" s="1067" t="str">
        <f t="shared" ca="1" si="28"/>
        <v/>
      </c>
      <c r="Z23" s="1165" t="str">
        <f t="shared" ca="1" si="15"/>
        <v/>
      </c>
      <c r="AA23" s="772"/>
      <c r="AB23" s="946" t="str">
        <f t="shared" ca="1" si="29"/>
        <v/>
      </c>
      <c r="AC23" s="1269" t="str">
        <f t="shared" ca="1" si="16"/>
        <v/>
      </c>
      <c r="AD23" s="1252">
        <f t="shared" ca="1" si="17"/>
        <v>0</v>
      </c>
      <c r="AE23" s="1258">
        <f t="shared" ca="1" si="17"/>
        <v>0</v>
      </c>
      <c r="AF23" s="1060">
        <f t="shared" ca="1" si="17"/>
        <v>0</v>
      </c>
      <c r="AG23" s="1060">
        <f t="shared" ca="1" si="17"/>
        <v>0</v>
      </c>
      <c r="AH23" s="1060">
        <f t="shared" ca="1" si="17"/>
        <v>0</v>
      </c>
      <c r="AI23" s="1060">
        <f t="shared" ca="1" si="17"/>
        <v>0</v>
      </c>
      <c r="AJ23" s="1266">
        <f t="shared" ca="1" si="18"/>
        <v>0</v>
      </c>
      <c r="AK23" s="771" t="str">
        <f t="shared" ca="1" si="19"/>
        <v/>
      </c>
      <c r="AL23" s="772"/>
      <c r="AM23" s="773"/>
      <c r="AN23" s="774"/>
      <c r="AO23" s="775"/>
      <c r="AP23" s="944" t="str">
        <f t="shared" ca="1" si="20"/>
        <v/>
      </c>
      <c r="AQ23" s="777" t="str">
        <f t="shared" ca="1" si="21"/>
        <v/>
      </c>
      <c r="AR23" s="777" t="str">
        <f t="shared" ca="1" si="22"/>
        <v/>
      </c>
      <c r="AS23" s="777" t="str">
        <f t="shared" ca="1" si="23"/>
        <v/>
      </c>
      <c r="AT23" s="945" t="str">
        <f t="shared" ca="1" si="33"/>
        <v/>
      </c>
      <c r="AU23" s="1370" t="str">
        <f t="shared" ca="1" si="30"/>
        <v/>
      </c>
      <c r="AV23" s="1165" t="str">
        <f t="shared" ca="1" si="24"/>
        <v/>
      </c>
      <c r="AW23" s="1350">
        <f t="shared" ca="1" si="25"/>
        <v>0</v>
      </c>
      <c r="AX23" s="1350">
        <f t="shared" ca="1" si="25"/>
        <v>0</v>
      </c>
      <c r="AY23" s="1350">
        <f t="shared" ca="1" si="25"/>
        <v>0</v>
      </c>
      <c r="AZ23" s="1357" t="str">
        <f t="shared" ca="1" si="31"/>
        <v/>
      </c>
      <c r="BA23" s="1165" t="str">
        <f t="shared" ca="1" si="26"/>
        <v/>
      </c>
      <c r="BB23" s="772"/>
      <c r="BC23" s="946" t="str">
        <f t="shared" ca="1" si="34"/>
        <v/>
      </c>
    </row>
    <row r="24" spans="1:55" ht="12.75" customHeight="1" x14ac:dyDescent="0.3">
      <c r="A24" s="2236"/>
      <c r="B24" s="1246" t="str">
        <f>'Q1'!C28</f>
        <v>Solid Fuels (Biomass) (Scope 1)</v>
      </c>
      <c r="C24" s="1252">
        <f t="shared" ca="1" si="5"/>
        <v>0</v>
      </c>
      <c r="D24" s="1258">
        <f t="shared" ca="1" si="5"/>
        <v>227032.26</v>
      </c>
      <c r="E24" s="1060">
        <f t="shared" ca="1" si="5"/>
        <v>229500</v>
      </c>
      <c r="F24" s="1060">
        <f t="shared" ca="1" si="5"/>
        <v>271000</v>
      </c>
      <c r="G24" s="1060">
        <f t="shared" ca="1" si="5"/>
        <v>268878.00750732399</v>
      </c>
      <c r="H24" s="1060">
        <f t="shared" ca="1" si="5"/>
        <v>996410.26557183999</v>
      </c>
      <c r="I24" s="1266">
        <f t="shared" ca="1" si="6"/>
        <v>249102.56639296</v>
      </c>
      <c r="J24" s="771" t="str">
        <f t="shared" ca="1" si="7"/>
        <v>Missing value?</v>
      </c>
      <c r="K24" s="772"/>
      <c r="L24" s="784" t="str">
        <f ca="1">IF(C24&gt;0,'Q3'!E28,"")</f>
        <v/>
      </c>
      <c r="M24" s="785" t="str">
        <f ca="1">IF(L24="","",IF('Q3'!I28=0,"Fuel type not stated",'Q3'!I28))</f>
        <v/>
      </c>
      <c r="N24" s="772"/>
      <c r="O24" s="776">
        <f t="shared" ca="1" si="8"/>
        <v>-1</v>
      </c>
      <c r="P24" s="777">
        <f t="shared" ca="1" si="9"/>
        <v>-1</v>
      </c>
      <c r="Q24" s="777">
        <f t="shared" ca="1" si="10"/>
        <v>-1</v>
      </c>
      <c r="R24" s="777">
        <f t="shared" ca="1" si="11"/>
        <v>-1</v>
      </c>
      <c r="S24" s="778">
        <f t="shared" ca="1" si="12"/>
        <v>-1</v>
      </c>
      <c r="T24" s="1066">
        <f t="shared" ca="1" si="27"/>
        <v>1</v>
      </c>
      <c r="U24" s="1165" t="str">
        <f t="shared" ca="1" si="13"/>
        <v>H</v>
      </c>
      <c r="V24" s="1350">
        <f t="shared" ca="1" si="14"/>
        <v>0</v>
      </c>
      <c r="W24" s="1350">
        <f t="shared" ca="1" si="14"/>
        <v>3.5485142238000003</v>
      </c>
      <c r="X24" s="1350">
        <f t="shared" ca="1" si="14"/>
        <v>15.005938599511911</v>
      </c>
      <c r="Y24" s="1067">
        <f t="shared" ca="1" si="28"/>
        <v>6.6182901921175695E-5</v>
      </c>
      <c r="Z24" s="1165" t="str">
        <f t="shared" ca="1" si="15"/>
        <v/>
      </c>
      <c r="AA24" s="772"/>
      <c r="AB24" s="946" t="str">
        <f t="shared" ca="1" si="29"/>
        <v xml:space="preserve">Missing value?         </v>
      </c>
      <c r="AC24" s="1269" t="str">
        <f t="shared" ca="1" si="16"/>
        <v/>
      </c>
      <c r="AD24" s="1252">
        <f t="shared" ca="1" si="17"/>
        <v>0</v>
      </c>
      <c r="AE24" s="1258">
        <f t="shared" ca="1" si="17"/>
        <v>0</v>
      </c>
      <c r="AF24" s="1060">
        <f t="shared" ca="1" si="17"/>
        <v>0</v>
      </c>
      <c r="AG24" s="1060">
        <f t="shared" ca="1" si="17"/>
        <v>0</v>
      </c>
      <c r="AH24" s="1060">
        <f t="shared" ca="1" si="17"/>
        <v>0</v>
      </c>
      <c r="AI24" s="1060">
        <f t="shared" ca="1" si="17"/>
        <v>0</v>
      </c>
      <c r="AJ24" s="1266">
        <f t="shared" ca="1" si="18"/>
        <v>0</v>
      </c>
      <c r="AK24" s="771" t="str">
        <f t="shared" ca="1" si="19"/>
        <v/>
      </c>
      <c r="AL24" s="772"/>
      <c r="AM24" s="784" t="str">
        <f ca="1">IF(AD24&gt;0,'Q3'!E28,"")</f>
        <v/>
      </c>
      <c r="AN24" s="785" t="str">
        <f ca="1">IF(AM24="","",IF('Q3'!I28=0,"Fuel type not stated",'Q3'!I28))</f>
        <v/>
      </c>
      <c r="AO24" s="772"/>
      <c r="AP24" s="944" t="str">
        <f t="shared" ca="1" si="20"/>
        <v/>
      </c>
      <c r="AQ24" s="777" t="str">
        <f t="shared" ca="1" si="21"/>
        <v/>
      </c>
      <c r="AR24" s="777" t="str">
        <f t="shared" ca="1" si="22"/>
        <v/>
      </c>
      <c r="AS24" s="777" t="str">
        <f t="shared" ca="1" si="23"/>
        <v/>
      </c>
      <c r="AT24" s="945" t="str">
        <f t="shared" ca="1" si="33"/>
        <v/>
      </c>
      <c r="AU24" s="1370" t="str">
        <f t="shared" ca="1" si="30"/>
        <v/>
      </c>
      <c r="AV24" s="1165" t="str">
        <f t="shared" ca="1" si="24"/>
        <v/>
      </c>
      <c r="AW24" s="1350">
        <f t="shared" ca="1" si="25"/>
        <v>0</v>
      </c>
      <c r="AX24" s="1350">
        <f t="shared" ca="1" si="25"/>
        <v>0</v>
      </c>
      <c r="AY24" s="1350">
        <f t="shared" ca="1" si="25"/>
        <v>0</v>
      </c>
      <c r="AZ24" s="1357" t="str">
        <f t="shared" ca="1" si="31"/>
        <v/>
      </c>
      <c r="BA24" s="1165" t="str">
        <f t="shared" ca="1" si="26"/>
        <v/>
      </c>
      <c r="BB24" s="772"/>
      <c r="BC24" s="946" t="str">
        <f t="shared" ca="1" si="34"/>
        <v/>
      </c>
    </row>
    <row r="25" spans="1:55" ht="12.75" customHeight="1" x14ac:dyDescent="0.3">
      <c r="A25" s="2236"/>
      <c r="B25" s="1246" t="str">
        <f>'Q1'!C29</f>
        <v>District Heating (Scope 2+3)*</v>
      </c>
      <c r="C25" s="1252">
        <f t="shared" ca="1" si="5"/>
        <v>0</v>
      </c>
      <c r="D25" s="1258">
        <f t="shared" ca="1" si="5"/>
        <v>0</v>
      </c>
      <c r="E25" s="1060">
        <f t="shared" ca="1" si="5"/>
        <v>0</v>
      </c>
      <c r="F25" s="1060">
        <f t="shared" ca="1" si="5"/>
        <v>0</v>
      </c>
      <c r="G25" s="1060">
        <f t="shared" ca="1" si="5"/>
        <v>0</v>
      </c>
      <c r="H25" s="1060">
        <f t="shared" ca="1" si="5"/>
        <v>0</v>
      </c>
      <c r="I25" s="1266">
        <f t="shared" ca="1" si="6"/>
        <v>0</v>
      </c>
      <c r="J25" s="771" t="str">
        <f t="shared" ca="1" si="7"/>
        <v/>
      </c>
      <c r="K25" s="772"/>
      <c r="L25" s="784" t="str">
        <f ca="1">IF(C25&gt;0,'Q3'!E29,"")</f>
        <v/>
      </c>
      <c r="M25" s="785" t="str">
        <f ca="1">IF(L25="","",IF('Q3'!I29=0,"Fuel type not stated",'Q3'!I29))</f>
        <v/>
      </c>
      <c r="N25" s="772"/>
      <c r="O25" s="776" t="str">
        <f ca="1">IF(OR(+$J25="missing?",+$J25="new category"),"",IF($D25=0,"",IF(SUM($C25:$I25)=0,"",IFERROR((($C25-$D25)/$D25),"N/A"))))</f>
        <v/>
      </c>
      <c r="P25" s="777" t="str">
        <f t="shared" ca="1" si="9"/>
        <v/>
      </c>
      <c r="Q25" s="777" t="str">
        <f t="shared" ca="1" si="10"/>
        <v/>
      </c>
      <c r="R25" s="777" t="str">
        <f t="shared" ca="1" si="11"/>
        <v/>
      </c>
      <c r="S25" s="778" t="str">
        <f t="shared" ca="1" si="12"/>
        <v/>
      </c>
      <c r="T25" s="1066" t="str">
        <f t="shared" ca="1" si="27"/>
        <v/>
      </c>
      <c r="U25" s="1165" t="str">
        <f t="shared" ca="1" si="13"/>
        <v/>
      </c>
      <c r="V25" s="1350">
        <f t="shared" ca="1" si="14"/>
        <v>0</v>
      </c>
      <c r="W25" s="1350">
        <f t="shared" ca="1" si="14"/>
        <v>0</v>
      </c>
      <c r="X25" s="1350">
        <f t="shared" ca="1" si="14"/>
        <v>0</v>
      </c>
      <c r="Y25" s="1067" t="str">
        <f t="shared" ca="1" si="28"/>
        <v/>
      </c>
      <c r="Z25" s="1165" t="str">
        <f t="shared" ca="1" si="15"/>
        <v/>
      </c>
      <c r="AA25" s="772"/>
      <c r="AB25" s="946" t="str">
        <f t="shared" ca="1" si="29"/>
        <v/>
      </c>
      <c r="AC25" s="1269" t="str">
        <f t="shared" ca="1" si="16"/>
        <v/>
      </c>
      <c r="AD25" s="1252">
        <f t="shared" ca="1" si="17"/>
        <v>0</v>
      </c>
      <c r="AE25" s="1258">
        <f t="shared" ca="1" si="17"/>
        <v>0</v>
      </c>
      <c r="AF25" s="1060">
        <f t="shared" ca="1" si="17"/>
        <v>0</v>
      </c>
      <c r="AG25" s="1060">
        <f t="shared" ca="1" si="17"/>
        <v>0</v>
      </c>
      <c r="AH25" s="1060">
        <f t="shared" ca="1" si="17"/>
        <v>0</v>
      </c>
      <c r="AI25" s="1060">
        <f t="shared" ca="1" si="17"/>
        <v>0</v>
      </c>
      <c r="AJ25" s="1266">
        <f t="shared" ca="1" si="18"/>
        <v>0</v>
      </c>
      <c r="AK25" s="771" t="str">
        <f t="shared" ca="1" si="19"/>
        <v/>
      </c>
      <c r="AL25" s="772"/>
      <c r="AM25" s="784" t="str">
        <f ca="1">IF(AD25&gt;0,'Q3'!E29,"")</f>
        <v/>
      </c>
      <c r="AN25" s="785" t="str">
        <f ca="1">IF(AM25="","",IF('Q3'!I29=0,"Fuel type not stated",'Q3'!I29))</f>
        <v/>
      </c>
      <c r="AO25" s="772"/>
      <c r="AP25" s="944" t="str">
        <f t="shared" ca="1" si="20"/>
        <v/>
      </c>
      <c r="AQ25" s="777" t="str">
        <f t="shared" ca="1" si="21"/>
        <v/>
      </c>
      <c r="AR25" s="777" t="str">
        <f t="shared" ca="1" si="22"/>
        <v/>
      </c>
      <c r="AS25" s="777" t="str">
        <f t="shared" ca="1" si="23"/>
        <v/>
      </c>
      <c r="AT25" s="945" t="str">
        <f t="shared" ca="1" si="33"/>
        <v/>
      </c>
      <c r="AU25" s="1370" t="str">
        <f t="shared" ca="1" si="30"/>
        <v/>
      </c>
      <c r="AV25" s="1165" t="str">
        <f t="shared" ca="1" si="24"/>
        <v/>
      </c>
      <c r="AW25" s="1350">
        <f t="shared" ca="1" si="25"/>
        <v>0</v>
      </c>
      <c r="AX25" s="1350">
        <f t="shared" ca="1" si="25"/>
        <v>0</v>
      </c>
      <c r="AY25" s="1350">
        <f t="shared" ca="1" si="25"/>
        <v>0</v>
      </c>
      <c r="AZ25" s="1357" t="str">
        <f t="shared" ca="1" si="31"/>
        <v/>
      </c>
      <c r="BA25" s="1165" t="str">
        <f t="shared" ca="1" si="26"/>
        <v/>
      </c>
      <c r="BB25" s="772"/>
      <c r="BC25" s="946" t="str">
        <f t="shared" ca="1" si="34"/>
        <v/>
      </c>
    </row>
    <row r="26" spans="1:55" ht="12.75" customHeight="1" x14ac:dyDescent="0.3">
      <c r="A26" s="2236"/>
      <c r="B26" s="1246" t="str">
        <f>'Q1'!C30</f>
        <v>Heat from renewable sources (Scope 2)</v>
      </c>
      <c r="C26" s="1252">
        <f t="shared" ref="C26:H31" ca="1" si="35">INDEX(INDIRECT(CONCATENATE("'",C$14,"'!$D$20:$D$35"),TRUE),MATCH($B26,INDIRECT(CONCATENATE("'",C$14,"'!$C$20:$C$35"),TRUE),0))</f>
        <v>0</v>
      </c>
      <c r="D26" s="1258">
        <f t="shared" ca="1" si="35"/>
        <v>0</v>
      </c>
      <c r="E26" s="1060">
        <f t="shared" ca="1" si="35"/>
        <v>0</v>
      </c>
      <c r="F26" s="1060">
        <f t="shared" ca="1" si="35"/>
        <v>0</v>
      </c>
      <c r="G26" s="1060">
        <f t="shared" ca="1" si="35"/>
        <v>0</v>
      </c>
      <c r="H26" s="1060">
        <f t="shared" ca="1" si="35"/>
        <v>0</v>
      </c>
      <c r="I26" s="1266">
        <f t="shared" ca="1" si="6"/>
        <v>0</v>
      </c>
      <c r="J26" s="771" t="str">
        <f t="shared" ca="1" si="7"/>
        <v/>
      </c>
      <c r="K26" s="772"/>
      <c r="L26" s="784" t="str">
        <f ca="1">IF(C26&gt;0,'Q3'!E30,"")</f>
        <v/>
      </c>
      <c r="M26" s="785" t="str">
        <f ca="1">IF(L26="","",IF('Q3'!I30=0,"Fuel type not stated",'Q3'!I30))</f>
        <v/>
      </c>
      <c r="N26" s="772"/>
      <c r="O26" s="776" t="str">
        <f ca="1">IF(OR(+$J26="missing?",+$J26="new category"),"",IF($D26=0,"",IF(SUM($C26:$I26)=0,"",IFERROR((($C26-$D26)/$D26),"N/A"))))</f>
        <v/>
      </c>
      <c r="P26" s="777" t="str">
        <f t="shared" ca="1" si="9"/>
        <v/>
      </c>
      <c r="Q26" s="777" t="str">
        <f t="shared" ca="1" si="10"/>
        <v/>
      </c>
      <c r="R26" s="777" t="str">
        <f t="shared" ca="1" si="11"/>
        <v/>
      </c>
      <c r="S26" s="778" t="str">
        <f t="shared" ca="1" si="12"/>
        <v/>
      </c>
      <c r="T26" s="1066" t="str">
        <f t="shared" ca="1" si="27"/>
        <v/>
      </c>
      <c r="U26" s="1165" t="str">
        <f t="shared" ca="1" si="13"/>
        <v/>
      </c>
      <c r="V26" s="1350">
        <f t="shared" ca="1" si="14"/>
        <v>0</v>
      </c>
      <c r="W26" s="1350">
        <f t="shared" ca="1" si="14"/>
        <v>0</v>
      </c>
      <c r="X26" s="1350">
        <f t="shared" ca="1" si="14"/>
        <v>0</v>
      </c>
      <c r="Y26" s="1067" t="str">
        <f t="shared" ca="1" si="28"/>
        <v/>
      </c>
      <c r="Z26" s="1165" t="str">
        <f t="shared" ca="1" si="15"/>
        <v/>
      </c>
      <c r="AA26" s="772"/>
      <c r="AB26" s="946" t="str">
        <f t="shared" ca="1" si="29"/>
        <v/>
      </c>
      <c r="AC26" s="1269" t="str">
        <f t="shared" ca="1" si="16"/>
        <v/>
      </c>
      <c r="AD26" s="1252">
        <f t="shared" ref="AD26:AI31" ca="1" si="36">INDEX(INDIRECT(CONCATENATE("'",AD$14,"'!$G$20:$G$35"),TRUE),MATCH($B26,INDIRECT(CONCATENATE("'",AD$14,"'!$C$20:$C$35"),TRUE),0))</f>
        <v>0</v>
      </c>
      <c r="AE26" s="1258">
        <f t="shared" ca="1" si="36"/>
        <v>0</v>
      </c>
      <c r="AF26" s="1060">
        <f t="shared" ca="1" si="36"/>
        <v>0</v>
      </c>
      <c r="AG26" s="1060">
        <f t="shared" ca="1" si="36"/>
        <v>0</v>
      </c>
      <c r="AH26" s="1060">
        <f t="shared" ca="1" si="36"/>
        <v>0</v>
      </c>
      <c r="AI26" s="1060">
        <f t="shared" ca="1" si="36"/>
        <v>0</v>
      </c>
      <c r="AJ26" s="1266">
        <f t="shared" ca="1" si="18"/>
        <v>0</v>
      </c>
      <c r="AK26" s="771" t="str">
        <f t="shared" ca="1" si="19"/>
        <v/>
      </c>
      <c r="AL26" s="772"/>
      <c r="AM26" s="784" t="str">
        <f ca="1">IF(AD26&gt;0,'Q3'!E30,"")</f>
        <v/>
      </c>
      <c r="AN26" s="785" t="str">
        <f ca="1">IF(AM26="","",IF('Q3'!I30=0,"Fuel type not stated",'Q3'!I30))</f>
        <v/>
      </c>
      <c r="AO26" s="772"/>
      <c r="AP26" s="944" t="str">
        <f t="shared" ca="1" si="20"/>
        <v/>
      </c>
      <c r="AQ26" s="777" t="str">
        <f t="shared" ca="1" si="21"/>
        <v/>
      </c>
      <c r="AR26" s="777" t="str">
        <f t="shared" ca="1" si="22"/>
        <v/>
      </c>
      <c r="AS26" s="777" t="str">
        <f t="shared" ca="1" si="23"/>
        <v/>
      </c>
      <c r="AT26" s="945" t="str">
        <f t="shared" ca="1" si="33"/>
        <v/>
      </c>
      <c r="AU26" s="1370" t="str">
        <f t="shared" ca="1" si="30"/>
        <v/>
      </c>
      <c r="AV26" s="1165" t="str">
        <f t="shared" ca="1" si="24"/>
        <v/>
      </c>
      <c r="AW26" s="1350">
        <f t="shared" ca="1" si="25"/>
        <v>0</v>
      </c>
      <c r="AX26" s="1350">
        <f t="shared" ca="1" si="25"/>
        <v>0</v>
      </c>
      <c r="AY26" s="1350">
        <f t="shared" ca="1" si="25"/>
        <v>0</v>
      </c>
      <c r="AZ26" s="1357" t="str">
        <f t="shared" ca="1" si="31"/>
        <v/>
      </c>
      <c r="BA26" s="1165" t="str">
        <f t="shared" ca="1" si="26"/>
        <v/>
      </c>
      <c r="BB26" s="772"/>
      <c r="BC26" s="946" t="str">
        <f t="shared" ca="1" si="34"/>
        <v/>
      </c>
    </row>
    <row r="27" spans="1:55" ht="12.75" customHeight="1" x14ac:dyDescent="0.3">
      <c r="A27" s="2236"/>
      <c r="B27" s="1246" t="str">
        <f>'Q1'!C31</f>
        <v>Heat from non renewable sources (excluding WDHS) (Scope 2) (please specify, incl. CO2e factor and notes)</v>
      </c>
      <c r="C27" s="1252">
        <f t="shared" ca="1" si="35"/>
        <v>0</v>
      </c>
      <c r="D27" s="1258">
        <f t="shared" ca="1" si="35"/>
        <v>0</v>
      </c>
      <c r="E27" s="1060">
        <f t="shared" ca="1" si="35"/>
        <v>0</v>
      </c>
      <c r="F27" s="1060">
        <f t="shared" ca="1" si="35"/>
        <v>0</v>
      </c>
      <c r="G27" s="1060">
        <f t="shared" ca="1" si="35"/>
        <v>0</v>
      </c>
      <c r="H27" s="1060">
        <f t="shared" ca="1" si="35"/>
        <v>0</v>
      </c>
      <c r="I27" s="1266">
        <f t="shared" ca="1" si="6"/>
        <v>0</v>
      </c>
      <c r="J27" s="771" t="str">
        <f t="shared" ca="1" si="7"/>
        <v/>
      </c>
      <c r="K27" s="772"/>
      <c r="L27" s="784" t="str">
        <f ca="1">IF(C27&gt;0,'Q3'!E31,"")</f>
        <v/>
      </c>
      <c r="M27" s="785" t="str">
        <f ca="1">IF(L27="","",IF('Q3'!I31=0,"Fuel type not stated",'Q3'!I31))</f>
        <v/>
      </c>
      <c r="N27" s="772"/>
      <c r="O27" s="776" t="str">
        <f t="shared" ca="1" si="8"/>
        <v/>
      </c>
      <c r="P27" s="777" t="str">
        <f t="shared" ca="1" si="9"/>
        <v/>
      </c>
      <c r="Q27" s="777" t="str">
        <f t="shared" ca="1" si="10"/>
        <v/>
      </c>
      <c r="R27" s="777" t="str">
        <f t="shared" ca="1" si="11"/>
        <v/>
      </c>
      <c r="S27" s="778" t="str">
        <f t="shared" ca="1" si="12"/>
        <v/>
      </c>
      <c r="T27" s="1066" t="str">
        <f t="shared" ca="1" si="27"/>
        <v/>
      </c>
      <c r="U27" s="1165" t="str">
        <f t="shared" ca="1" si="13"/>
        <v/>
      </c>
      <c r="V27" s="1350">
        <f t="shared" ca="1" si="14"/>
        <v>0</v>
      </c>
      <c r="W27" s="1350">
        <f t="shared" ca="1" si="14"/>
        <v>0</v>
      </c>
      <c r="X27" s="1350">
        <f t="shared" ca="1" si="14"/>
        <v>0</v>
      </c>
      <c r="Y27" s="1067" t="str">
        <f t="shared" ca="1" si="28"/>
        <v/>
      </c>
      <c r="Z27" s="1165" t="str">
        <f t="shared" ca="1" si="15"/>
        <v/>
      </c>
      <c r="AA27" s="772"/>
      <c r="AB27" s="946" t="str">
        <f t="shared" ca="1" si="29"/>
        <v/>
      </c>
      <c r="AC27" s="1269" t="str">
        <f t="shared" ca="1" si="16"/>
        <v/>
      </c>
      <c r="AD27" s="1252">
        <f t="shared" ca="1" si="36"/>
        <v>0</v>
      </c>
      <c r="AE27" s="1258">
        <f t="shared" ca="1" si="36"/>
        <v>0</v>
      </c>
      <c r="AF27" s="1060">
        <f t="shared" ca="1" si="36"/>
        <v>0</v>
      </c>
      <c r="AG27" s="1060">
        <f t="shared" ca="1" si="36"/>
        <v>0</v>
      </c>
      <c r="AH27" s="1060">
        <f t="shared" ca="1" si="36"/>
        <v>0</v>
      </c>
      <c r="AI27" s="1060">
        <f t="shared" ca="1" si="36"/>
        <v>0</v>
      </c>
      <c r="AJ27" s="1266">
        <f t="shared" ca="1" si="18"/>
        <v>0</v>
      </c>
      <c r="AK27" s="771" t="str">
        <f t="shared" ca="1" si="19"/>
        <v/>
      </c>
      <c r="AL27" s="772"/>
      <c r="AM27" s="784" t="str">
        <f ca="1">IF(AD27&gt;0,'Q3'!E31,"")</f>
        <v/>
      </c>
      <c r="AN27" s="785" t="str">
        <f ca="1">IF(AM27="","",IF('Q3'!I31=0,"Fuel type not stated",'Q3'!I31))</f>
        <v/>
      </c>
      <c r="AO27" s="772"/>
      <c r="AP27" s="944" t="str">
        <f t="shared" ca="1" si="20"/>
        <v/>
      </c>
      <c r="AQ27" s="777" t="str">
        <f t="shared" ca="1" si="21"/>
        <v/>
      </c>
      <c r="AR27" s="777" t="str">
        <f t="shared" ca="1" si="22"/>
        <v/>
      </c>
      <c r="AS27" s="777" t="str">
        <f t="shared" ca="1" si="23"/>
        <v/>
      </c>
      <c r="AT27" s="945" t="str">
        <f t="shared" ca="1" si="33"/>
        <v/>
      </c>
      <c r="AU27" s="1370" t="str">
        <f t="shared" ca="1" si="30"/>
        <v/>
      </c>
      <c r="AV27" s="1165" t="str">
        <f t="shared" ca="1" si="24"/>
        <v/>
      </c>
      <c r="AW27" s="1350">
        <f t="shared" ca="1" si="25"/>
        <v>0</v>
      </c>
      <c r="AX27" s="1350">
        <f t="shared" ca="1" si="25"/>
        <v>0</v>
      </c>
      <c r="AY27" s="1350">
        <f t="shared" ca="1" si="25"/>
        <v>0</v>
      </c>
      <c r="AZ27" s="1357" t="str">
        <f t="shared" ca="1" si="31"/>
        <v/>
      </c>
      <c r="BA27" s="1165" t="str">
        <f t="shared" ca="1" si="26"/>
        <v/>
      </c>
      <c r="BB27" s="772"/>
      <c r="BC27" s="946" t="str">
        <f t="shared" ca="1" si="34"/>
        <v/>
      </c>
    </row>
    <row r="28" spans="1:55" ht="12.75" customHeight="1" x14ac:dyDescent="0.3">
      <c r="A28" s="2236"/>
      <c r="B28" s="1246" t="str">
        <f>'Q1'!C32</f>
        <v>Heat from WDHS (Scope 2+3)</v>
      </c>
      <c r="C28" s="1252">
        <f t="shared" ca="1" si="35"/>
        <v>0</v>
      </c>
      <c r="D28" s="1258">
        <f t="shared" ca="1" si="35"/>
        <v>0</v>
      </c>
      <c r="E28" s="1060">
        <f t="shared" ca="1" si="35"/>
        <v>0</v>
      </c>
      <c r="F28" s="1060">
        <f t="shared" ca="1" si="35"/>
        <v>0</v>
      </c>
      <c r="G28" s="1060">
        <f t="shared" ca="1" si="35"/>
        <v>0</v>
      </c>
      <c r="H28" s="1060">
        <f t="shared" ca="1" si="35"/>
        <v>0</v>
      </c>
      <c r="I28" s="1266">
        <f t="shared" ca="1" si="6"/>
        <v>0</v>
      </c>
      <c r="J28" s="771" t="str">
        <f t="shared" ca="1" si="7"/>
        <v/>
      </c>
      <c r="K28" s="772"/>
      <c r="L28" s="784" t="str">
        <f ca="1">IF(C28&gt;0,'Q3'!E32,"")</f>
        <v/>
      </c>
      <c r="M28" s="785" t="str">
        <f ca="1">IF(L28="","",IF('Q3'!I32=0,"Fuel type not stated",'Q3'!I32))</f>
        <v/>
      </c>
      <c r="N28" s="772"/>
      <c r="O28" s="776" t="str">
        <f t="shared" ca="1" si="8"/>
        <v/>
      </c>
      <c r="P28" s="777" t="str">
        <f t="shared" ca="1" si="9"/>
        <v/>
      </c>
      <c r="Q28" s="777" t="str">
        <f t="shared" ca="1" si="10"/>
        <v/>
      </c>
      <c r="R28" s="777" t="str">
        <f t="shared" ca="1" si="11"/>
        <v/>
      </c>
      <c r="S28" s="778" t="str">
        <f t="shared" ca="1" si="12"/>
        <v/>
      </c>
      <c r="T28" s="1066" t="str">
        <f t="shared" ca="1" si="27"/>
        <v/>
      </c>
      <c r="U28" s="1165" t="str">
        <f t="shared" ca="1" si="13"/>
        <v/>
      </c>
      <c r="V28" s="1350">
        <f t="shared" ca="1" si="14"/>
        <v>0</v>
      </c>
      <c r="W28" s="1350">
        <f t="shared" ca="1" si="14"/>
        <v>0</v>
      </c>
      <c r="X28" s="1350">
        <f t="shared" ca="1" si="14"/>
        <v>0</v>
      </c>
      <c r="Y28" s="1067" t="str">
        <f t="shared" ca="1" si="28"/>
        <v/>
      </c>
      <c r="Z28" s="1165" t="str">
        <f t="shared" ca="1" si="15"/>
        <v/>
      </c>
      <c r="AA28" s="772"/>
      <c r="AB28" s="946" t="str">
        <f t="shared" ca="1" si="29"/>
        <v/>
      </c>
      <c r="AC28" s="1269" t="str">
        <f t="shared" ca="1" si="16"/>
        <v/>
      </c>
      <c r="AD28" s="1252">
        <f t="shared" ca="1" si="36"/>
        <v>0</v>
      </c>
      <c r="AE28" s="1258">
        <f t="shared" ca="1" si="36"/>
        <v>0</v>
      </c>
      <c r="AF28" s="1060">
        <f t="shared" ca="1" si="36"/>
        <v>0</v>
      </c>
      <c r="AG28" s="1060">
        <f t="shared" ca="1" si="36"/>
        <v>0</v>
      </c>
      <c r="AH28" s="1060">
        <f t="shared" ca="1" si="36"/>
        <v>0</v>
      </c>
      <c r="AI28" s="1060">
        <f t="shared" ca="1" si="36"/>
        <v>0</v>
      </c>
      <c r="AJ28" s="1266">
        <f t="shared" ca="1" si="18"/>
        <v>0</v>
      </c>
      <c r="AK28" s="771" t="str">
        <f t="shared" ca="1" si="19"/>
        <v/>
      </c>
      <c r="AL28" s="772"/>
      <c r="AM28" s="784" t="str">
        <f ca="1">IF(AD28&gt;0,'Q3'!E32,"")</f>
        <v/>
      </c>
      <c r="AN28" s="785" t="str">
        <f ca="1">IF(AM28="","",IF('Q3'!I32=0,"Fuel type not stated",'Q3'!I32))</f>
        <v/>
      </c>
      <c r="AO28" s="772"/>
      <c r="AP28" s="944" t="str">
        <f t="shared" ca="1" si="20"/>
        <v/>
      </c>
      <c r="AQ28" s="777" t="str">
        <f t="shared" ca="1" si="21"/>
        <v/>
      </c>
      <c r="AR28" s="777" t="str">
        <f t="shared" ca="1" si="22"/>
        <v/>
      </c>
      <c r="AS28" s="777" t="str">
        <f t="shared" ca="1" si="23"/>
        <v/>
      </c>
      <c r="AT28" s="945" t="str">
        <f t="shared" ca="1" si="33"/>
        <v/>
      </c>
      <c r="AU28" s="1370" t="str">
        <f t="shared" ca="1" si="30"/>
        <v/>
      </c>
      <c r="AV28" s="1165" t="str">
        <f t="shared" ca="1" si="24"/>
        <v/>
      </c>
      <c r="AW28" s="1350">
        <f t="shared" ca="1" si="25"/>
        <v>0</v>
      </c>
      <c r="AX28" s="1350">
        <f t="shared" ca="1" si="25"/>
        <v>0</v>
      </c>
      <c r="AY28" s="1350">
        <f t="shared" ca="1" si="25"/>
        <v>0</v>
      </c>
      <c r="AZ28" s="1357" t="str">
        <f t="shared" ca="1" si="31"/>
        <v/>
      </c>
      <c r="BA28" s="1165" t="str">
        <f t="shared" ca="1" si="26"/>
        <v/>
      </c>
      <c r="BB28" s="772"/>
      <c r="BC28" s="946" t="str">
        <f t="shared" ca="1" si="34"/>
        <v/>
      </c>
    </row>
    <row r="29" spans="1:55" ht="12.75" customHeight="1" x14ac:dyDescent="0.3">
      <c r="A29" s="2236"/>
      <c r="B29" s="1246" t="str">
        <f>'Q1'!C33</f>
        <v>Other 1 (enter CO2 factor and specify scope and fuel in "Notes")</v>
      </c>
      <c r="C29" s="1252">
        <f t="shared" ca="1" si="35"/>
        <v>0</v>
      </c>
      <c r="D29" s="1258">
        <f t="shared" ca="1" si="35"/>
        <v>0</v>
      </c>
      <c r="E29" s="1060">
        <f t="shared" ca="1" si="35"/>
        <v>0</v>
      </c>
      <c r="F29" s="1060">
        <f t="shared" ca="1" si="35"/>
        <v>0</v>
      </c>
      <c r="G29" s="1060">
        <f t="shared" ca="1" si="35"/>
        <v>0</v>
      </c>
      <c r="H29" s="1060">
        <f t="shared" ca="1" si="35"/>
        <v>0</v>
      </c>
      <c r="I29" s="1266">
        <f t="shared" ca="1" si="6"/>
        <v>0</v>
      </c>
      <c r="J29" s="771" t="str">
        <f t="shared" ca="1" si="7"/>
        <v/>
      </c>
      <c r="K29" s="772"/>
      <c r="L29" s="784" t="str">
        <f ca="1">IF(C29&gt;0,'Q3'!E33,"")</f>
        <v/>
      </c>
      <c r="M29" s="785" t="str">
        <f ca="1">IF(L29="","",IF('Q3'!I33=0,"Fuel type not stated",'Q3'!I33))</f>
        <v/>
      </c>
      <c r="N29" s="772"/>
      <c r="O29" s="776" t="str">
        <f ca="1">IF(OR(+$J29="missing?",+$J29="new category"),"",IF($D29=0,"",IF(SUM($C29:$I29)=0,"",IFERROR((($C29-$D29)/$D29),"N/A"))))</f>
        <v/>
      </c>
      <c r="P29" s="777" t="str">
        <f t="shared" ca="1" si="9"/>
        <v/>
      </c>
      <c r="Q29" s="777" t="str">
        <f t="shared" ca="1" si="10"/>
        <v/>
      </c>
      <c r="R29" s="777" t="str">
        <f ca="1">IF(OR(+$J29="missing?",+$J29="new category"),"",IF($G29=0,"",IF(SUM($C29:$I29)=0,"",IFERROR((($C29-$G29)/$G29),"N/A"))))</f>
        <v/>
      </c>
      <c r="S29" s="778" t="str">
        <f ca="1">IF(OR(+$J29="missing?",+$J29="new category"),"",IF($I29=0,"",IF(SUM($C29:$I29)=0,"",IFERROR((($C29-$I29)/$I29),"N/A"))))</f>
        <v/>
      </c>
      <c r="T29" s="1280" t="str">
        <f t="shared" ca="1" si="27"/>
        <v/>
      </c>
      <c r="U29" s="1165" t="str">
        <f t="shared" ca="1" si="13"/>
        <v/>
      </c>
      <c r="V29" s="1350">
        <f t="shared" ca="1" si="14"/>
        <v>0</v>
      </c>
      <c r="W29" s="1350">
        <f t="shared" ca="1" si="14"/>
        <v>0</v>
      </c>
      <c r="X29" s="1350">
        <f t="shared" ca="1" si="14"/>
        <v>0</v>
      </c>
      <c r="Y29" s="1067" t="str">
        <f t="shared" ca="1" si="28"/>
        <v/>
      </c>
      <c r="Z29" s="1165" t="str">
        <f t="shared" ca="1" si="15"/>
        <v/>
      </c>
      <c r="AA29" s="772"/>
      <c r="AB29" s="946" t="str">
        <f t="shared" ca="1" si="29"/>
        <v/>
      </c>
      <c r="AC29" s="1269" t="str">
        <f t="shared" ca="1" si="16"/>
        <v/>
      </c>
      <c r="AD29" s="1252">
        <f t="shared" ca="1" si="36"/>
        <v>0</v>
      </c>
      <c r="AE29" s="1258">
        <f t="shared" ca="1" si="36"/>
        <v>0</v>
      </c>
      <c r="AF29" s="1060">
        <f t="shared" ca="1" si="36"/>
        <v>0</v>
      </c>
      <c r="AG29" s="1060">
        <f t="shared" ca="1" si="36"/>
        <v>0</v>
      </c>
      <c r="AH29" s="1060">
        <f t="shared" ca="1" si="36"/>
        <v>0</v>
      </c>
      <c r="AI29" s="1060">
        <f t="shared" ca="1" si="36"/>
        <v>0</v>
      </c>
      <c r="AJ29" s="1266">
        <f t="shared" ca="1" si="18"/>
        <v>0</v>
      </c>
      <c r="AK29" s="771" t="str">
        <f t="shared" ca="1" si="19"/>
        <v/>
      </c>
      <c r="AL29" s="772"/>
      <c r="AM29" s="784" t="str">
        <f ca="1">IF(AD29&gt;0,'Q3'!E33,"")</f>
        <v/>
      </c>
      <c r="AN29" s="785" t="str">
        <f ca="1">IF(AM29="","",IF('Q3'!I33=0,"Fuel type not stated",'Q3'!I33))</f>
        <v/>
      </c>
      <c r="AO29" s="772"/>
      <c r="AP29" s="944" t="str">
        <f t="shared" ca="1" si="20"/>
        <v/>
      </c>
      <c r="AQ29" s="777" t="str">
        <f t="shared" ca="1" si="21"/>
        <v/>
      </c>
      <c r="AR29" s="777" t="str">
        <f t="shared" ca="1" si="22"/>
        <v/>
      </c>
      <c r="AS29" s="777" t="str">
        <f t="shared" ca="1" si="23"/>
        <v/>
      </c>
      <c r="AT29" s="945" t="str">
        <f ca="1">IF(OR(+$AK29="missing?",+$AK29="new category"),"",IF($AJ29=0,"",IF(SUM($AD29:$AJ29)=0,"",IFERROR((($AD29-$AJ29)/$AJ29),"N/A"))))</f>
        <v/>
      </c>
      <c r="AU29" s="776" t="str">
        <f t="shared" ca="1" si="30"/>
        <v/>
      </c>
      <c r="AV29" s="1165" t="str">
        <f t="shared" ca="1" si="24"/>
        <v/>
      </c>
      <c r="AW29" s="1350">
        <f t="shared" ca="1" si="25"/>
        <v>0</v>
      </c>
      <c r="AX29" s="1350">
        <f t="shared" ca="1" si="25"/>
        <v>0</v>
      </c>
      <c r="AY29" s="1350">
        <f t="shared" ca="1" si="25"/>
        <v>0</v>
      </c>
      <c r="AZ29" s="1357" t="str">
        <f t="shared" ca="1" si="31"/>
        <v/>
      </c>
      <c r="BA29" s="1165" t="str">
        <f t="shared" ca="1" si="26"/>
        <v/>
      </c>
      <c r="BB29" s="772"/>
      <c r="BC29" s="946" t="str">
        <f t="shared" ca="1" si="34"/>
        <v/>
      </c>
    </row>
    <row r="30" spans="1:55" ht="12.75" customHeight="1" x14ac:dyDescent="0.3">
      <c r="A30" s="2236"/>
      <c r="B30" s="1246" t="str">
        <f>'Q1'!C34</f>
        <v>Other 2 (enter CO2 factor and specify scope and fuel in "Notes")</v>
      </c>
      <c r="C30" s="1252">
        <f t="shared" ca="1" si="35"/>
        <v>0</v>
      </c>
      <c r="D30" s="1258">
        <f t="shared" ca="1" si="35"/>
        <v>0</v>
      </c>
      <c r="E30" s="1060">
        <f t="shared" ca="1" si="35"/>
        <v>0</v>
      </c>
      <c r="F30" s="1060">
        <f t="shared" ca="1" si="35"/>
        <v>0</v>
      </c>
      <c r="G30" s="1060">
        <f t="shared" ca="1" si="35"/>
        <v>0</v>
      </c>
      <c r="H30" s="1060">
        <f t="shared" ca="1" si="35"/>
        <v>0</v>
      </c>
      <c r="I30" s="1266">
        <f t="shared" ca="1" si="6"/>
        <v>0</v>
      </c>
      <c r="J30" s="771" t="str">
        <f t="shared" ref="J30:J31" ca="1" si="37">IF(AND(C30&gt;0,SUM(D30:I30)&gt;0),"",IF(AND(C30=0,SUM(C30:I30)=0),"",IF(AND(C30=0,D30&gt;0),"Missing value?",IF(AND(C30=0,I30&gt;0),"Missing value?","New category"))))</f>
        <v/>
      </c>
      <c r="K30" s="772"/>
      <c r="L30" s="784" t="str">
        <f ca="1">IF(C30&gt;0,'Q3'!E34,"")</f>
        <v/>
      </c>
      <c r="M30" s="785" t="str">
        <f ca="1">IF(L30="","",IF('Q3'!I34=0,"Fuel type not stated",'Q3'!I34))</f>
        <v/>
      </c>
      <c r="N30" s="772"/>
      <c r="O30" s="776" t="str">
        <f t="shared" ref="O30:O31" ca="1" si="38">IF(OR(+$J30="missing?",+$J30="new category"),"",IF($D30=0,"",IF(SUM($C30:$I30)=0,"",IFERROR((($C30-$D30)/$D30),"N/A"))))</f>
        <v/>
      </c>
      <c r="P30" s="777" t="str">
        <f t="shared" ca="1" si="9"/>
        <v/>
      </c>
      <c r="Q30" s="777" t="str">
        <f t="shared" ca="1" si="10"/>
        <v/>
      </c>
      <c r="R30" s="777" t="str">
        <f t="shared" ref="R30:R31" ca="1" si="39">IF(OR(+$J30="missing?",+$J30="new category"),"",IF($G30=0,"",IF(SUM($C30:$I30)=0,"",IFERROR((($C30-$G30)/$G30),"N/A"))))</f>
        <v/>
      </c>
      <c r="S30" s="778" t="str">
        <f t="shared" ref="S30:S31" ca="1" si="40">IF(OR(+$J30="missing?",+$J30="new category"),"",IF($I30=0,"",IF(SUM($C30:$I30)=0,"",IFERROR((($C30-$I30)/$I30),"N/A"))))</f>
        <v/>
      </c>
      <c r="T30" s="1280" t="str">
        <f t="shared" ref="T30:T31" ca="1" si="41">IF(SUM(C30:I30)=0,"",IF(OR(AND(C30=0,SUM(D30:I30)&gt;0),AND(C30&gt;0,SUM(D30:I30)=0)),1,IF(MAX(IF(O30&lt;0,-O30,O30),IF(P30&lt;0,-P30,P30),IF(Q30&lt;0,-Q30,Q30),IF(R30&lt;0,-R30,R30),IF(S30&lt;0,-S30,S30))=0,"",MAX(IF(O30&lt;0,-O30,O30),IF(P30&lt;0,-P30,P30),IF(Q30&lt;0,-Q30,Q30),IF(R30&lt;0,-R30,R30),IF(S30&lt;0,-S30,S30)))))</f>
        <v/>
      </c>
      <c r="U30" s="1165" t="str">
        <f t="shared" ca="1" si="13"/>
        <v/>
      </c>
      <c r="V30" s="1350">
        <f t="shared" ca="1" si="14"/>
        <v>0</v>
      </c>
      <c r="W30" s="1350">
        <f t="shared" ca="1" si="14"/>
        <v>0</v>
      </c>
      <c r="X30" s="1350">
        <f t="shared" ca="1" si="14"/>
        <v>0</v>
      </c>
      <c r="Y30" s="1067" t="str">
        <f t="shared" ca="1" si="28"/>
        <v/>
      </c>
      <c r="Z30" s="1165" t="str">
        <f t="shared" ca="1" si="15"/>
        <v/>
      </c>
      <c r="AA30" s="772"/>
      <c r="AB30" s="946" t="str">
        <f t="shared" ca="1" si="29"/>
        <v/>
      </c>
      <c r="AC30" s="1269" t="str">
        <f t="shared" ca="1" si="16"/>
        <v/>
      </c>
      <c r="AD30" s="1252">
        <f t="shared" ca="1" si="36"/>
        <v>0</v>
      </c>
      <c r="AE30" s="1258">
        <f t="shared" ca="1" si="36"/>
        <v>0</v>
      </c>
      <c r="AF30" s="1060">
        <f t="shared" ca="1" si="36"/>
        <v>0</v>
      </c>
      <c r="AG30" s="1060">
        <f t="shared" ca="1" si="36"/>
        <v>0</v>
      </c>
      <c r="AH30" s="1060">
        <f t="shared" ca="1" si="36"/>
        <v>0</v>
      </c>
      <c r="AI30" s="1060">
        <f t="shared" ca="1" si="36"/>
        <v>0</v>
      </c>
      <c r="AJ30" s="1266">
        <f t="shared" ca="1" si="18"/>
        <v>0</v>
      </c>
      <c r="AK30" s="771" t="str">
        <f t="shared" ref="AK30:AK31" ca="1" si="42">IF(AND(AD30&gt;0,SUM(AE30:AJ30)&gt;0),"",IF(AND(AD30=0,SUM(AD30:AJ30)=0),"",IF(AND(AD30=0,AE30&gt;0),"Missing value?",IF(AND(AD30=0,AJ30&gt;0),"Missing value?","New category"))))</f>
        <v/>
      </c>
      <c r="AL30" s="772"/>
      <c r="AM30" s="784" t="str">
        <f ca="1">IF(AD30&gt;0,'Q3'!E34,"")</f>
        <v/>
      </c>
      <c r="AN30" s="785" t="str">
        <f ca="1">IF(AM30="","",IF('Q3'!I34=0,"Fuel type not stated",'Q3'!I34))</f>
        <v/>
      </c>
      <c r="AO30" s="772"/>
      <c r="AP30" s="944" t="str">
        <f t="shared" ca="1" si="20"/>
        <v/>
      </c>
      <c r="AQ30" s="777" t="str">
        <f t="shared" ca="1" si="21"/>
        <v/>
      </c>
      <c r="AR30" s="777" t="str">
        <f t="shared" ca="1" si="22"/>
        <v/>
      </c>
      <c r="AS30" s="777" t="str">
        <f t="shared" ca="1" si="23"/>
        <v/>
      </c>
      <c r="AT30" s="945" t="str">
        <f t="shared" ref="AT30:AT31" ca="1" si="43">IF(OR(+$AK30="missing?",+$AK30="new category"),"",IF($AJ30=0,"",IF(SUM($AD30:$AJ30)=0,"",IFERROR((($AD30-$AJ30)/$AJ30),"N/A"))))</f>
        <v/>
      </c>
      <c r="AU30" s="776" t="str">
        <f t="shared" ca="1" si="30"/>
        <v/>
      </c>
      <c r="AV30" s="1165" t="str">
        <f t="shared" ca="1" si="24"/>
        <v/>
      </c>
      <c r="AW30" s="1350">
        <f t="shared" ca="1" si="25"/>
        <v>0</v>
      </c>
      <c r="AX30" s="1350">
        <f t="shared" ca="1" si="25"/>
        <v>0</v>
      </c>
      <c r="AY30" s="1350">
        <f t="shared" ca="1" si="25"/>
        <v>0</v>
      </c>
      <c r="AZ30" s="1357" t="str">
        <f t="shared" ca="1" si="31"/>
        <v/>
      </c>
      <c r="BA30" s="1165" t="str">
        <f t="shared" ca="1" si="26"/>
        <v/>
      </c>
      <c r="BB30" s="772"/>
      <c r="BC30" s="946" t="str">
        <f t="shared" ca="1" si="34"/>
        <v/>
      </c>
    </row>
    <row r="31" spans="1:55" ht="12.75" customHeight="1" thickBot="1" x14ac:dyDescent="0.35">
      <c r="A31" s="2236"/>
      <c r="B31" s="1254" t="str">
        <f>'Q1'!C35</f>
        <v>Other 3 (enter CO2 factor and specify scope and fuel in "Notes")</v>
      </c>
      <c r="C31" s="1255">
        <f t="shared" ca="1" si="35"/>
        <v>0</v>
      </c>
      <c r="D31" s="1259">
        <f t="shared" ca="1" si="35"/>
        <v>8969.77</v>
      </c>
      <c r="E31" s="1256">
        <f t="shared" ca="1" si="35"/>
        <v>7679.0573770491701</v>
      </c>
      <c r="F31" s="1256">
        <f t="shared" ca="1" si="35"/>
        <v>21388.333333333299</v>
      </c>
      <c r="G31" s="1256">
        <f t="shared" ca="1" si="35"/>
        <v>14476.16015625</v>
      </c>
      <c r="H31" s="1256">
        <f t="shared" ca="1" si="35"/>
        <v>54754.869403927871</v>
      </c>
      <c r="I31" s="1267">
        <f t="shared" ca="1" si="6"/>
        <v>13688.717350981968</v>
      </c>
      <c r="J31" s="812" t="str">
        <f t="shared" ca="1" si="37"/>
        <v>Missing value?</v>
      </c>
      <c r="K31" s="790"/>
      <c r="L31" s="791" t="str">
        <f ca="1">IF(C31&gt;0,'Q3'!E35,"")</f>
        <v/>
      </c>
      <c r="M31" s="792" t="str">
        <f ca="1">IF(L31="","",IF('Q3'!I35=0,"Fuel type not stated",'Q3'!I35))</f>
        <v/>
      </c>
      <c r="N31" s="790"/>
      <c r="O31" s="793">
        <f t="shared" ca="1" si="38"/>
        <v>-1</v>
      </c>
      <c r="P31" s="1070">
        <f t="shared" ca="1" si="9"/>
        <v>-1</v>
      </c>
      <c r="Q31" s="1070">
        <f t="shared" ca="1" si="10"/>
        <v>-1</v>
      </c>
      <c r="R31" s="1070">
        <f t="shared" ca="1" si="39"/>
        <v>-1</v>
      </c>
      <c r="S31" s="1071">
        <f t="shared" ca="1" si="40"/>
        <v>-1</v>
      </c>
      <c r="T31" s="1346">
        <f t="shared" ca="1" si="41"/>
        <v>1</v>
      </c>
      <c r="U31" s="884" t="str">
        <f t="shared" ca="1" si="13"/>
        <v>H</v>
      </c>
      <c r="V31" s="1350">
        <f t="shared" ca="1" si="14"/>
        <v>0</v>
      </c>
      <c r="W31" s="1350">
        <f t="shared" ca="1" si="14"/>
        <v>2.2132907475000003</v>
      </c>
      <c r="X31" s="1350">
        <f t="shared" ca="1" si="14"/>
        <v>13.505288538478808</v>
      </c>
      <c r="Y31" s="1347">
        <f t="shared" ca="1" si="28"/>
        <v>4.1279813247577986E-5</v>
      </c>
      <c r="Z31" s="884" t="str">
        <f t="shared" ca="1" si="15"/>
        <v/>
      </c>
      <c r="AA31" s="880"/>
      <c r="AB31" s="954" t="str">
        <f t="shared" ca="1" si="29"/>
        <v xml:space="preserve">Missing value?         </v>
      </c>
      <c r="AC31" s="1270" t="str">
        <f t="shared" ca="1" si="16"/>
        <v/>
      </c>
      <c r="AD31" s="1255">
        <f t="shared" ca="1" si="36"/>
        <v>0</v>
      </c>
      <c r="AE31" s="1259">
        <f t="shared" ca="1" si="36"/>
        <v>0</v>
      </c>
      <c r="AF31" s="1256">
        <f t="shared" ca="1" si="36"/>
        <v>0</v>
      </c>
      <c r="AG31" s="1256">
        <f t="shared" ca="1" si="36"/>
        <v>0</v>
      </c>
      <c r="AH31" s="1256">
        <f t="shared" ca="1" si="36"/>
        <v>0</v>
      </c>
      <c r="AI31" s="1256">
        <f t="shared" ca="1" si="36"/>
        <v>0</v>
      </c>
      <c r="AJ31" s="1267">
        <f t="shared" ca="1" si="18"/>
        <v>0</v>
      </c>
      <c r="AK31" s="812" t="str">
        <f t="shared" ca="1" si="42"/>
        <v/>
      </c>
      <c r="AL31" s="790"/>
      <c r="AM31" s="791" t="str">
        <f ca="1">IF(AD31&gt;0,'Q3'!E35,"")</f>
        <v/>
      </c>
      <c r="AN31" s="792" t="str">
        <f ca="1">IF(AM31="","",IF('Q3'!I35=0,"Fuel type not stated",'Q3'!I35))</f>
        <v/>
      </c>
      <c r="AO31" s="790"/>
      <c r="AP31" s="952" t="str">
        <f t="shared" ca="1" si="20"/>
        <v/>
      </c>
      <c r="AQ31" s="1070" t="str">
        <f t="shared" ca="1" si="21"/>
        <v/>
      </c>
      <c r="AR31" s="1070" t="str">
        <f t="shared" ca="1" si="22"/>
        <v/>
      </c>
      <c r="AS31" s="1070" t="str">
        <f t="shared" ca="1" si="23"/>
        <v/>
      </c>
      <c r="AT31" s="953" t="str">
        <f t="shared" ca="1" si="43"/>
        <v/>
      </c>
      <c r="AU31" s="793" t="str">
        <f t="shared" ca="1" si="30"/>
        <v/>
      </c>
      <c r="AV31" s="1163" t="str">
        <f t="shared" ca="1" si="24"/>
        <v/>
      </c>
      <c r="AW31" s="1351">
        <f t="shared" ca="1" si="25"/>
        <v>0</v>
      </c>
      <c r="AX31" s="1351">
        <f t="shared" ca="1" si="25"/>
        <v>0</v>
      </c>
      <c r="AY31" s="1351">
        <f t="shared" ca="1" si="25"/>
        <v>0</v>
      </c>
      <c r="AZ31" s="1073" t="str">
        <f t="shared" ca="1" si="31"/>
        <v/>
      </c>
      <c r="BA31" s="1163" t="str">
        <f t="shared" ca="1" si="26"/>
        <v/>
      </c>
      <c r="BB31" s="790"/>
      <c r="BC31" s="954" t="str">
        <f t="shared" ca="1" si="34"/>
        <v/>
      </c>
    </row>
    <row r="32" spans="1:55" ht="12.75" customHeight="1" x14ac:dyDescent="0.3">
      <c r="A32" s="2228" t="s">
        <v>179</v>
      </c>
      <c r="B32" s="1247" t="str">
        <f>'Q1'!C36</f>
        <v xml:space="preserve">Electricity from renewable sources </v>
      </c>
      <c r="C32" s="1257">
        <f t="shared" ref="C32:H43" ca="1" si="44">INDEX(INDIRECT(CONCATENATE("'",C$14,"'!$D$36:$D$47"),TRUE),MATCH($B32,INDIRECT(CONCATENATE("'",C$14,"'!$C$36:$C$47"),TRUE),0))</f>
        <v>0</v>
      </c>
      <c r="D32" s="1260">
        <f t="shared" ca="1" si="44"/>
        <v>9984</v>
      </c>
      <c r="E32" s="1058">
        <f t="shared" ca="1" si="44"/>
        <v>11206</v>
      </c>
      <c r="F32" s="1058">
        <f t="shared" ca="1" si="44"/>
        <v>3973</v>
      </c>
      <c r="G32" s="1058">
        <f t="shared" ca="1" si="44"/>
        <v>3920</v>
      </c>
      <c r="H32" s="1058">
        <f t="shared" ca="1" si="44"/>
        <v>30146</v>
      </c>
      <c r="I32" s="1059">
        <f t="shared" ca="1" si="6"/>
        <v>7536.5</v>
      </c>
      <c r="J32" s="868" t="str">
        <f t="shared" ca="1" si="7"/>
        <v>Missing value?</v>
      </c>
      <c r="K32" s="751"/>
      <c r="L32" s="891" t="str">
        <f ca="1">IF(C32&gt;0,'Q3'!E36,"")</f>
        <v/>
      </c>
      <c r="M32" s="807" t="str">
        <f ca="1">IF(L32="","",IF('Q3'!I36=0,"Fuel type not stated",'Q3'!I36))</f>
        <v/>
      </c>
      <c r="N32" s="751"/>
      <c r="O32" s="755">
        <f t="shared" ca="1" si="8"/>
        <v>-1</v>
      </c>
      <c r="P32" s="756">
        <f t="shared" ca="1" si="9"/>
        <v>-1</v>
      </c>
      <c r="Q32" s="756">
        <f t="shared" ca="1" si="10"/>
        <v>-1</v>
      </c>
      <c r="R32" s="756">
        <f t="shared" ca="1" si="11"/>
        <v>-1</v>
      </c>
      <c r="S32" s="757">
        <f t="shared" ca="1" si="12"/>
        <v>-1</v>
      </c>
      <c r="T32" s="1236">
        <f t="shared" ca="1" si="27"/>
        <v>1</v>
      </c>
      <c r="U32" s="766" t="str">
        <f t="shared" ca="1" si="13"/>
        <v>H</v>
      </c>
      <c r="V32" s="1349">
        <f t="shared" ref="V32:X43" ca="1" si="45">INDEX(INDIRECT(CONCATENATE("'",V$14,"'!$F$36:$F$47"),TRUE),MATCH($B32,INDIRECT(CONCATENATE("'",V$14,"'!$C$36:$C$47"),TRUE),0))</f>
        <v>0</v>
      </c>
      <c r="W32" s="1349">
        <f t="shared" ca="1" si="45"/>
        <v>0</v>
      </c>
      <c r="X32" s="1349">
        <f t="shared" ca="1" si="45"/>
        <v>0</v>
      </c>
      <c r="Y32" s="1237" t="str">
        <f ca="1">IF(V32=0,IF(W32&gt;0, W32/L$8, IF(X32&gt;0,X32/L$10, "")), IF(T32="", "", V32/L$7*T32))</f>
        <v/>
      </c>
      <c r="Z32" s="766" t="str">
        <f t="shared" ca="1" si="15"/>
        <v/>
      </c>
      <c r="AA32" s="801"/>
      <c r="AB32" s="804" t="str">
        <f t="shared" ca="1" si="29"/>
        <v xml:space="preserve">Missing value?         </v>
      </c>
      <c r="AC32" s="805" t="str">
        <f t="shared" ca="1" si="16"/>
        <v/>
      </c>
      <c r="AD32" s="1257">
        <f t="shared" ref="AD32:AI43" ca="1" si="46">INDEX(INDIRECT(CONCATENATE("'",AD$14,"'!$G$36:$G$47"),TRUE),MATCH($B32,INDIRECT(CONCATENATE("'",AD$14,"'!$C$36:$C$47"),TRUE),0))</f>
        <v>0</v>
      </c>
      <c r="AE32" s="1260">
        <f t="shared" ca="1" si="46"/>
        <v>0</v>
      </c>
      <c r="AF32" s="1058">
        <f t="shared" ca="1" si="46"/>
        <v>0</v>
      </c>
      <c r="AG32" s="1058">
        <f t="shared" ca="1" si="46"/>
        <v>0</v>
      </c>
      <c r="AH32" s="1058">
        <f t="shared" ca="1" si="46"/>
        <v>0</v>
      </c>
      <c r="AI32" s="1058">
        <f t="shared" ca="1" si="46"/>
        <v>0</v>
      </c>
      <c r="AJ32" s="1340">
        <f t="shared" ca="1" si="18"/>
        <v>0</v>
      </c>
      <c r="AK32" s="973" t="str">
        <f t="shared" ca="1" si="19"/>
        <v/>
      </c>
      <c r="AL32" s="751"/>
      <c r="AM32" s="1360" t="str">
        <f ca="1">IF(AD32&gt;0,'Q3'!E36,"")</f>
        <v/>
      </c>
      <c r="AN32" s="807" t="str">
        <f ca="1">IF(AM32="","",IF('Q3'!I36=0,"Fuel type not stated",'Q3'!I36))</f>
        <v/>
      </c>
      <c r="AO32" s="751"/>
      <c r="AP32" s="755" t="str">
        <f t="shared" ca="1" si="20"/>
        <v/>
      </c>
      <c r="AQ32" s="756" t="str">
        <f t="shared" ca="1" si="21"/>
        <v/>
      </c>
      <c r="AR32" s="756" t="str">
        <f t="shared" ca="1" si="22"/>
        <v/>
      </c>
      <c r="AS32" s="756" t="str">
        <f t="shared" ca="1" si="23"/>
        <v/>
      </c>
      <c r="AT32" s="939" t="str">
        <f ca="1">IF(OR(+$AK32="missing?",+$AK32="new category"),"",IF($AJ32=0,"",IF(SUM($AD32:$AJ32)=0,"",IFERROR((($AD32-$AJ32)/$AJ32),"N/A"))))</f>
        <v/>
      </c>
      <c r="AU32" s="1374" t="str">
        <f t="shared" ca="1" si="30"/>
        <v/>
      </c>
      <c r="AV32" s="1166" t="str">
        <f t="shared" ca="1" si="24"/>
        <v/>
      </c>
      <c r="AW32" s="1349">
        <f t="shared" ref="AW32:AY43" ca="1" si="47">INDEX(INDIRECT(CONCATENATE("'",AW$14,"'!$H$36:$H$47"),TRUE),MATCH($B32,INDIRECT(CONCATENATE("'",AW$14,"'!$C$36:$C$47"),TRUE),0))</f>
        <v>0</v>
      </c>
      <c r="AX32" s="1349">
        <f t="shared" ca="1" si="47"/>
        <v>0</v>
      </c>
      <c r="AY32" s="1349">
        <f t="shared" ca="1" si="47"/>
        <v>0</v>
      </c>
      <c r="AZ32" s="1375" t="str">
        <f ca="1">IF(AW32=0,IF(AX32&gt;0, AX32/AM$8, IF(AY32&gt;0,AY32/AM$10, "")), IF(AU32="", "", AW32/AM$7*AU32))</f>
        <v/>
      </c>
      <c r="BA32" s="1166" t="str">
        <f t="shared" ca="1" si="26"/>
        <v/>
      </c>
      <c r="BB32" s="751"/>
      <c r="BC32" s="871" t="str">
        <f t="shared" ca="1" si="34"/>
        <v/>
      </c>
    </row>
    <row r="33" spans="1:55" ht="12.75" customHeight="1" x14ac:dyDescent="0.3">
      <c r="A33" s="2229"/>
      <c r="B33" s="1248" t="str">
        <f>'Q1'!C37</f>
        <v>Heat from renewable sources</v>
      </c>
      <c r="C33" s="1252">
        <f t="shared" ca="1" si="44"/>
        <v>0</v>
      </c>
      <c r="D33" s="1258">
        <f t="shared" ca="1" si="44"/>
        <v>0</v>
      </c>
      <c r="E33" s="1060">
        <f t="shared" ca="1" si="44"/>
        <v>0</v>
      </c>
      <c r="F33" s="1060">
        <f t="shared" ca="1" si="44"/>
        <v>0</v>
      </c>
      <c r="G33" s="1060">
        <f t="shared" ca="1" si="44"/>
        <v>0</v>
      </c>
      <c r="H33" s="1060">
        <f t="shared" ca="1" si="44"/>
        <v>0</v>
      </c>
      <c r="I33" s="1061">
        <f t="shared" ca="1" si="6"/>
        <v>0</v>
      </c>
      <c r="J33" s="872" t="str">
        <f t="shared" ca="1" si="7"/>
        <v/>
      </c>
      <c r="K33" s="772"/>
      <c r="L33" s="784" t="str">
        <f ca="1">IF(C33&gt;0,'Q3'!E37,"")</f>
        <v/>
      </c>
      <c r="M33" s="785" t="str">
        <f ca="1">IF(L33="","",IF('Q3'!I37=0,"Fuel type not stated",'Q3'!I37))</f>
        <v/>
      </c>
      <c r="N33" s="772"/>
      <c r="O33" s="776" t="str">
        <f t="shared" ca="1" si="8"/>
        <v/>
      </c>
      <c r="P33" s="777" t="str">
        <f t="shared" ca="1" si="9"/>
        <v/>
      </c>
      <c r="Q33" s="777" t="str">
        <f t="shared" ca="1" si="10"/>
        <v/>
      </c>
      <c r="R33" s="777" t="str">
        <f t="shared" ca="1" si="11"/>
        <v/>
      </c>
      <c r="S33" s="778" t="str">
        <f t="shared" ca="1" si="12"/>
        <v/>
      </c>
      <c r="T33" s="1066" t="str">
        <f t="shared" ca="1" si="27"/>
        <v/>
      </c>
      <c r="U33" s="1165" t="str">
        <f t="shared" ca="1" si="13"/>
        <v/>
      </c>
      <c r="V33" s="1350">
        <f t="shared" ca="1" si="45"/>
        <v>0</v>
      </c>
      <c r="W33" s="1350">
        <f t="shared" ca="1" si="45"/>
        <v>0</v>
      </c>
      <c r="X33" s="1350">
        <f t="shared" ca="1" si="45"/>
        <v>0</v>
      </c>
      <c r="Y33" s="1067" t="str">
        <f t="shared" ref="Y33:Y43" ca="1" si="48">IF(V33=0,IF(W33&gt;0, W33/L$8, IF(X33&gt;0,X33/L$10, "")), IF(T33="", "", V33/L$7*T33))</f>
        <v/>
      </c>
      <c r="Z33" s="1165" t="str">
        <f t="shared" ca="1" si="15"/>
        <v/>
      </c>
      <c r="AA33" s="772"/>
      <c r="AB33" s="779" t="str">
        <f t="shared" ca="1" si="29"/>
        <v/>
      </c>
      <c r="AC33" s="47" t="str">
        <f ca="1">IF(AD33&gt;C33,"Offices only&gt;Total Estate","")</f>
        <v/>
      </c>
      <c r="AD33" s="1252">
        <f t="shared" ca="1" si="46"/>
        <v>0</v>
      </c>
      <c r="AE33" s="1258">
        <f t="shared" ca="1" si="46"/>
        <v>0</v>
      </c>
      <c r="AF33" s="1060">
        <f t="shared" ca="1" si="46"/>
        <v>0</v>
      </c>
      <c r="AG33" s="1060">
        <f t="shared" ca="1" si="46"/>
        <v>0</v>
      </c>
      <c r="AH33" s="1060">
        <f t="shared" ca="1" si="46"/>
        <v>0</v>
      </c>
      <c r="AI33" s="1060">
        <f t="shared" ca="1" si="46"/>
        <v>0</v>
      </c>
      <c r="AJ33" s="1266">
        <f t="shared" ca="1" si="18"/>
        <v>0</v>
      </c>
      <c r="AK33" s="771" t="str">
        <f t="shared" ca="1" si="19"/>
        <v/>
      </c>
      <c r="AL33" s="772"/>
      <c r="AM33" s="1358" t="str">
        <f ca="1">IF(AD33&gt;0,'Q3'!E37,"")</f>
        <v/>
      </c>
      <c r="AN33" s="785" t="str">
        <f ca="1">IF(AM33="","",IF('Q3'!I37=0,"Fuel type not stated",'Q3'!I37))</f>
        <v/>
      </c>
      <c r="AO33" s="772"/>
      <c r="AP33" s="776" t="str">
        <f t="shared" ca="1" si="20"/>
        <v/>
      </c>
      <c r="AQ33" s="777" t="str">
        <f t="shared" ca="1" si="21"/>
        <v/>
      </c>
      <c r="AR33" s="777" t="str">
        <f t="shared" ca="1" si="22"/>
        <v/>
      </c>
      <c r="AS33" s="777" t="str">
        <f t="shared" ca="1" si="23"/>
        <v/>
      </c>
      <c r="AT33" s="945" t="str">
        <f ca="1">IF(OR(+$AK33="missing?",+$AK33="new category"),"",IF($AJ33=0,"",IF(SUM($AD33:$AJ33)=0,"",IFERROR((($AD33-$AJ33)/$AJ33),"N/A"))))</f>
        <v/>
      </c>
      <c r="AU33" s="1370" t="str">
        <f t="shared" ca="1" si="30"/>
        <v/>
      </c>
      <c r="AV33" s="1165" t="str">
        <f t="shared" ca="1" si="24"/>
        <v/>
      </c>
      <c r="AW33" s="1350">
        <f t="shared" ca="1" si="47"/>
        <v>0</v>
      </c>
      <c r="AX33" s="1350">
        <f t="shared" ca="1" si="47"/>
        <v>0</v>
      </c>
      <c r="AY33" s="1350">
        <f t="shared" ca="1" si="47"/>
        <v>0</v>
      </c>
      <c r="AZ33" s="1357" t="str">
        <f t="shared" ref="AZ33:AZ43" ca="1" si="49">IF(AW33=0,IF(AX33&gt;0, AX33/AM$8, IF(AY33&gt;0,AY33/AM$10, "")), IF(AU33="", "", AW33/AM$7*AU33))</f>
        <v/>
      </c>
      <c r="BA33" s="1165" t="str">
        <f t="shared" ca="1" si="26"/>
        <v/>
      </c>
      <c r="BB33" s="772"/>
      <c r="BC33" s="946" t="str">
        <f t="shared" ca="1" si="34"/>
        <v/>
      </c>
    </row>
    <row r="34" spans="1:55" ht="12.75" customHeight="1" x14ac:dyDescent="0.3">
      <c r="A34" s="2229"/>
      <c r="B34" s="1248" t="str">
        <f>'Q1'!C38</f>
        <v>Solar water heating</v>
      </c>
      <c r="C34" s="1252">
        <f t="shared" ca="1" si="44"/>
        <v>0</v>
      </c>
      <c r="D34" s="1258">
        <f t="shared" ca="1" si="44"/>
        <v>0</v>
      </c>
      <c r="E34" s="1060">
        <f t="shared" ca="1" si="44"/>
        <v>0</v>
      </c>
      <c r="F34" s="1060">
        <f t="shared" ca="1" si="44"/>
        <v>0</v>
      </c>
      <c r="G34" s="1060">
        <f t="shared" ca="1" si="44"/>
        <v>0</v>
      </c>
      <c r="H34" s="1060">
        <f t="shared" ca="1" si="44"/>
        <v>0</v>
      </c>
      <c r="I34" s="1061">
        <f t="shared" ca="1" si="6"/>
        <v>0</v>
      </c>
      <c r="J34" s="872" t="str">
        <f t="shared" ca="1" si="7"/>
        <v/>
      </c>
      <c r="K34" s="772"/>
      <c r="L34" s="784" t="str">
        <f ca="1">IF(C34&gt;0,'Q3'!E38,"")</f>
        <v/>
      </c>
      <c r="M34" s="785" t="str">
        <f ca="1">IF(L34="","",IF('Q3'!I38=0,"Fuel type not stated",'Q3'!I38))</f>
        <v/>
      </c>
      <c r="N34" s="772"/>
      <c r="O34" s="776" t="str">
        <f t="shared" ca="1" si="8"/>
        <v/>
      </c>
      <c r="P34" s="777" t="str">
        <f t="shared" ca="1" si="9"/>
        <v/>
      </c>
      <c r="Q34" s="777" t="str">
        <f t="shared" ca="1" si="10"/>
        <v/>
      </c>
      <c r="R34" s="777" t="str">
        <f t="shared" ca="1" si="11"/>
        <v/>
      </c>
      <c r="S34" s="778" t="str">
        <f t="shared" ca="1" si="12"/>
        <v/>
      </c>
      <c r="T34" s="1066" t="str">
        <f t="shared" ca="1" si="27"/>
        <v/>
      </c>
      <c r="U34" s="1165" t="str">
        <f t="shared" ca="1" si="13"/>
        <v/>
      </c>
      <c r="V34" s="1350">
        <f t="shared" ca="1" si="45"/>
        <v>0</v>
      </c>
      <c r="W34" s="1350">
        <f t="shared" ca="1" si="45"/>
        <v>0</v>
      </c>
      <c r="X34" s="1350">
        <f t="shared" ca="1" si="45"/>
        <v>0</v>
      </c>
      <c r="Y34" s="1067" t="str">
        <f t="shared" ca="1" si="48"/>
        <v/>
      </c>
      <c r="Z34" s="1165" t="str">
        <f t="shared" ca="1" si="15"/>
        <v/>
      </c>
      <c r="AA34" s="772"/>
      <c r="AB34" s="779" t="str">
        <f t="shared" ca="1" si="29"/>
        <v/>
      </c>
      <c r="AC34" s="47" t="str">
        <f t="shared" ca="1" si="16"/>
        <v/>
      </c>
      <c r="AD34" s="1252">
        <f t="shared" ca="1" si="46"/>
        <v>0</v>
      </c>
      <c r="AE34" s="1258">
        <f t="shared" ca="1" si="46"/>
        <v>0</v>
      </c>
      <c r="AF34" s="1060">
        <f t="shared" ca="1" si="46"/>
        <v>0</v>
      </c>
      <c r="AG34" s="1060">
        <f t="shared" ca="1" si="46"/>
        <v>0</v>
      </c>
      <c r="AH34" s="1060">
        <f t="shared" ca="1" si="46"/>
        <v>0</v>
      </c>
      <c r="AI34" s="1060">
        <f t="shared" ca="1" si="46"/>
        <v>0</v>
      </c>
      <c r="AJ34" s="1266">
        <f t="shared" ca="1" si="18"/>
        <v>0</v>
      </c>
      <c r="AK34" s="771" t="str">
        <f t="shared" ca="1" si="19"/>
        <v/>
      </c>
      <c r="AL34" s="772"/>
      <c r="AM34" s="1358" t="str">
        <f ca="1">IF(AD34&gt;0,'Q3'!E38,"")</f>
        <v/>
      </c>
      <c r="AN34" s="785" t="str">
        <f ca="1">IF(AM34="","",IF('Q3'!I38=0,"Fuel type not stated",'Q3'!I38))</f>
        <v/>
      </c>
      <c r="AO34" s="772"/>
      <c r="AP34" s="776" t="str">
        <f t="shared" ca="1" si="20"/>
        <v/>
      </c>
      <c r="AQ34" s="777" t="str">
        <f t="shared" ca="1" si="21"/>
        <v/>
      </c>
      <c r="AR34" s="777" t="str">
        <f t="shared" ca="1" si="22"/>
        <v/>
      </c>
      <c r="AS34" s="777" t="str">
        <f t="shared" ca="1" si="23"/>
        <v/>
      </c>
      <c r="AT34" s="945" t="str">
        <f t="shared" ref="AT34:AT42" ca="1" si="50">IF(OR(+$AK34="missing?",+$AK34="new category"),"",IF($AJ34=0,"",IF(SUM($AD34:$AJ34)=0,"",IFERROR((($AD34-$AJ34)/$AJ34),"N/A"))))</f>
        <v/>
      </c>
      <c r="AU34" s="1370" t="str">
        <f t="shared" ca="1" si="30"/>
        <v/>
      </c>
      <c r="AV34" s="1165" t="str">
        <f t="shared" ca="1" si="24"/>
        <v/>
      </c>
      <c r="AW34" s="1350">
        <f t="shared" ca="1" si="47"/>
        <v>0</v>
      </c>
      <c r="AX34" s="1350">
        <f t="shared" ca="1" si="47"/>
        <v>0</v>
      </c>
      <c r="AY34" s="1350">
        <f t="shared" ca="1" si="47"/>
        <v>0</v>
      </c>
      <c r="AZ34" s="1357" t="str">
        <f t="shared" ca="1" si="49"/>
        <v/>
      </c>
      <c r="BA34" s="1165" t="str">
        <f t="shared" ca="1" si="26"/>
        <v/>
      </c>
      <c r="BB34" s="772"/>
      <c r="BC34" s="946" t="str">
        <f t="shared" ca="1" si="34"/>
        <v/>
      </c>
    </row>
    <row r="35" spans="1:55" ht="12.75" customHeight="1" x14ac:dyDescent="0.3">
      <c r="A35" s="2229"/>
      <c r="B35" s="1248" t="str">
        <f>'Q1'!C39</f>
        <v>Other 1 (enter CO2 factor and specify fuel in "Notes")</v>
      </c>
      <c r="C35" s="1252">
        <f t="shared" ca="1" si="44"/>
        <v>0</v>
      </c>
      <c r="D35" s="1258">
        <f t="shared" ca="1" si="44"/>
        <v>0</v>
      </c>
      <c r="E35" s="1060">
        <f t="shared" ca="1" si="44"/>
        <v>0</v>
      </c>
      <c r="F35" s="1060">
        <f t="shared" ca="1" si="44"/>
        <v>0</v>
      </c>
      <c r="G35" s="1060">
        <f t="shared" ca="1" si="44"/>
        <v>0</v>
      </c>
      <c r="H35" s="1060">
        <f t="shared" ca="1" si="44"/>
        <v>0</v>
      </c>
      <c r="I35" s="1061">
        <f t="shared" ca="1" si="6"/>
        <v>0</v>
      </c>
      <c r="J35" s="872" t="str">
        <f t="shared" ca="1" si="7"/>
        <v/>
      </c>
      <c r="K35" s="772"/>
      <c r="L35" s="784" t="str">
        <f ca="1">IF(C35&gt;0,'Q3'!E39,"")</f>
        <v/>
      </c>
      <c r="M35" s="785" t="str">
        <f ca="1">IF(L35="","",IF('Q3'!I39=0,"Fuel type not stated",'Q3'!I39))</f>
        <v/>
      </c>
      <c r="N35" s="772"/>
      <c r="O35" s="776" t="str">
        <f t="shared" ref="O35:O100" ca="1" si="51">IF(OR(+$J35="missing?",+$J35="new category"),"",IF($D35=0,"",IF(SUM($C35:$I35)=0,"",IFERROR((($C35-$D35)/$D35),"N/A"))))</f>
        <v/>
      </c>
      <c r="P35" s="777" t="str">
        <f t="shared" ca="1" si="9"/>
        <v/>
      </c>
      <c r="Q35" s="777" t="str">
        <f t="shared" ca="1" si="10"/>
        <v/>
      </c>
      <c r="R35" s="777" t="str">
        <f t="shared" ca="1" si="11"/>
        <v/>
      </c>
      <c r="S35" s="778" t="str">
        <f t="shared" ca="1" si="12"/>
        <v/>
      </c>
      <c r="T35" s="1066" t="str">
        <f t="shared" ca="1" si="27"/>
        <v/>
      </c>
      <c r="U35" s="1165" t="str">
        <f t="shared" ca="1" si="13"/>
        <v/>
      </c>
      <c r="V35" s="1350">
        <f t="shared" ca="1" si="45"/>
        <v>0</v>
      </c>
      <c r="W35" s="1350">
        <f t="shared" ca="1" si="45"/>
        <v>0</v>
      </c>
      <c r="X35" s="1350">
        <f t="shared" ca="1" si="45"/>
        <v>0</v>
      </c>
      <c r="Y35" s="1067" t="str">
        <f t="shared" ca="1" si="48"/>
        <v/>
      </c>
      <c r="Z35" s="1165" t="str">
        <f t="shared" ca="1" si="15"/>
        <v/>
      </c>
      <c r="AA35" s="772"/>
      <c r="AB35" s="779" t="str">
        <f t="shared" ca="1" si="29"/>
        <v/>
      </c>
      <c r="AC35" s="47" t="str">
        <f t="shared" ca="1" si="16"/>
        <v/>
      </c>
      <c r="AD35" s="1252">
        <f t="shared" ca="1" si="46"/>
        <v>0</v>
      </c>
      <c r="AE35" s="1258">
        <f t="shared" ca="1" si="46"/>
        <v>0</v>
      </c>
      <c r="AF35" s="1060">
        <f t="shared" ca="1" si="46"/>
        <v>0</v>
      </c>
      <c r="AG35" s="1060">
        <f t="shared" ca="1" si="46"/>
        <v>0</v>
      </c>
      <c r="AH35" s="1060">
        <f t="shared" ca="1" si="46"/>
        <v>0</v>
      </c>
      <c r="AI35" s="1060">
        <f t="shared" ca="1" si="46"/>
        <v>0</v>
      </c>
      <c r="AJ35" s="1266">
        <f t="shared" ca="1" si="18"/>
        <v>0</v>
      </c>
      <c r="AK35" s="771" t="str">
        <f t="shared" ca="1" si="19"/>
        <v/>
      </c>
      <c r="AL35" s="772"/>
      <c r="AM35" s="1358" t="str">
        <f ca="1">IF(AD35&gt;0,'Q3'!E39,"")</f>
        <v/>
      </c>
      <c r="AN35" s="785" t="str">
        <f ca="1">IF(AM35="","",IF('Q3'!I39=0,"Fuel type not stated",'Q3'!I39))</f>
        <v/>
      </c>
      <c r="AO35" s="772"/>
      <c r="AP35" s="776" t="str">
        <f t="shared" ca="1" si="20"/>
        <v/>
      </c>
      <c r="AQ35" s="777" t="str">
        <f t="shared" ca="1" si="21"/>
        <v/>
      </c>
      <c r="AR35" s="777" t="str">
        <f t="shared" ca="1" si="22"/>
        <v/>
      </c>
      <c r="AS35" s="777" t="str">
        <f t="shared" ca="1" si="23"/>
        <v/>
      </c>
      <c r="AT35" s="945" t="str">
        <f t="shared" ca="1" si="50"/>
        <v/>
      </c>
      <c r="AU35" s="1370" t="str">
        <f t="shared" ca="1" si="30"/>
        <v/>
      </c>
      <c r="AV35" s="1165" t="str">
        <f t="shared" ca="1" si="24"/>
        <v/>
      </c>
      <c r="AW35" s="1350">
        <f t="shared" ca="1" si="47"/>
        <v>0</v>
      </c>
      <c r="AX35" s="1350">
        <f t="shared" ca="1" si="47"/>
        <v>0</v>
      </c>
      <c r="AY35" s="1350">
        <f t="shared" ca="1" si="47"/>
        <v>0</v>
      </c>
      <c r="AZ35" s="1357" t="str">
        <f t="shared" ca="1" si="49"/>
        <v/>
      </c>
      <c r="BA35" s="1165" t="str">
        <f t="shared" ca="1" si="26"/>
        <v/>
      </c>
      <c r="BB35" s="772"/>
      <c r="BC35" s="946" t="str">
        <f t="shared" ca="1" si="34"/>
        <v/>
      </c>
    </row>
    <row r="36" spans="1:55" ht="12.75" customHeight="1" x14ac:dyDescent="0.3">
      <c r="A36" s="2229"/>
      <c r="B36" s="1248" t="str">
        <f>'Q1'!C40</f>
        <v>Other 2 (enter CO2 factor and specify fuel in "Notes")</v>
      </c>
      <c r="C36" s="1252">
        <f t="shared" ca="1" si="44"/>
        <v>0</v>
      </c>
      <c r="D36" s="1258">
        <f t="shared" ca="1" si="44"/>
        <v>0</v>
      </c>
      <c r="E36" s="1060">
        <f t="shared" ca="1" si="44"/>
        <v>0</v>
      </c>
      <c r="F36" s="1060">
        <f t="shared" ca="1" si="44"/>
        <v>0</v>
      </c>
      <c r="G36" s="1060">
        <f t="shared" ca="1" si="44"/>
        <v>0</v>
      </c>
      <c r="H36" s="1060">
        <f t="shared" ca="1" si="44"/>
        <v>0</v>
      </c>
      <c r="I36" s="1061">
        <f t="shared" ca="1" si="6"/>
        <v>0</v>
      </c>
      <c r="J36" s="872" t="str">
        <f t="shared" ref="J36:J37" ca="1" si="52">IF(AND(C36&gt;0,SUM(D36:I36)&gt;0),"",IF(AND(C36=0,SUM(C36:I36)=0),"",IF(AND(C36=0,D36&gt;0),"Missing value?",IF(AND(C36=0,I36&gt;0),"Missing value?","New category"))))</f>
        <v/>
      </c>
      <c r="K36" s="772"/>
      <c r="L36" s="784" t="str">
        <f ca="1">IF(C36&gt;0,'Q3'!E40,"")</f>
        <v/>
      </c>
      <c r="M36" s="785" t="str">
        <f ca="1">IF(L36="","",IF('Q3'!I40=0,"Fuel type not stated",'Q3'!I40))</f>
        <v/>
      </c>
      <c r="N36" s="772"/>
      <c r="O36" s="776" t="str">
        <f t="shared" ca="1" si="51"/>
        <v/>
      </c>
      <c r="P36" s="777" t="str">
        <f t="shared" ca="1" si="9"/>
        <v/>
      </c>
      <c r="Q36" s="777" t="str">
        <f t="shared" ca="1" si="10"/>
        <v/>
      </c>
      <c r="R36" s="777" t="str">
        <f t="shared" ca="1" si="11"/>
        <v/>
      </c>
      <c r="S36" s="778" t="str">
        <f t="shared" ca="1" si="12"/>
        <v/>
      </c>
      <c r="T36" s="1066" t="str">
        <f t="shared" ref="T36:T37" ca="1" si="53">IF(SUM(C36:I36)=0,"",IF(OR(AND(C36=0,SUM(D36:I36)&gt;0),AND(C36&gt;0,SUM(D36:I36)=0)),1,IF(MAX(IF(O36&lt;0,-O36,O36),IF(P36&lt;0,-P36,P36),IF(Q36&lt;0,-Q36,Q36),IF(R36&lt;0,-R36,R36),IF(S36&lt;0,-S36,S36))=0,"",MAX(IF(O36&lt;0,-O36,O36),IF(P36&lt;0,-P36,P36),IF(Q36&lt;0,-Q36,Q36),IF(R36&lt;0,-R36,R36),IF(S36&lt;0,-S36,S36)))))</f>
        <v/>
      </c>
      <c r="U36" s="1165" t="str">
        <f t="shared" ca="1" si="13"/>
        <v/>
      </c>
      <c r="V36" s="1350">
        <f t="shared" ca="1" si="45"/>
        <v>0</v>
      </c>
      <c r="W36" s="1350">
        <f t="shared" ca="1" si="45"/>
        <v>0</v>
      </c>
      <c r="X36" s="1350">
        <f t="shared" ca="1" si="45"/>
        <v>0</v>
      </c>
      <c r="Y36" s="1067" t="str">
        <f t="shared" ca="1" si="48"/>
        <v/>
      </c>
      <c r="Z36" s="1165" t="str">
        <f t="shared" ca="1" si="15"/>
        <v/>
      </c>
      <c r="AA36" s="772"/>
      <c r="AB36" s="779" t="str">
        <f t="shared" ca="1" si="29"/>
        <v/>
      </c>
      <c r="AC36" s="47" t="str">
        <f t="shared" ca="1" si="16"/>
        <v/>
      </c>
      <c r="AD36" s="1252">
        <f t="shared" ca="1" si="46"/>
        <v>0</v>
      </c>
      <c r="AE36" s="1258">
        <f t="shared" ca="1" si="46"/>
        <v>0</v>
      </c>
      <c r="AF36" s="1060">
        <f t="shared" ca="1" si="46"/>
        <v>0</v>
      </c>
      <c r="AG36" s="1060">
        <f t="shared" ca="1" si="46"/>
        <v>0</v>
      </c>
      <c r="AH36" s="1060">
        <f t="shared" ca="1" si="46"/>
        <v>0</v>
      </c>
      <c r="AI36" s="1060">
        <f t="shared" ca="1" si="46"/>
        <v>0</v>
      </c>
      <c r="AJ36" s="1266">
        <f t="shared" ca="1" si="18"/>
        <v>0</v>
      </c>
      <c r="AK36" s="771" t="str">
        <f t="shared" ref="AK36:AK37" ca="1" si="54">IF(AND(AD36&gt;0,SUM(AE36:AJ36)&gt;0),"",IF(AND(AD36=0,SUM(AD36:AJ36)=0),"",IF(AND(AD36=0,AE36&gt;0),"Missing value?",IF(AND(AD36=0,AJ36&gt;0),"Missing value?","New category"))))</f>
        <v/>
      </c>
      <c r="AL36" s="772"/>
      <c r="AM36" s="1358" t="str">
        <f ca="1">IF(AD36&gt;0,'Q3'!E40,"")</f>
        <v/>
      </c>
      <c r="AN36" s="785" t="str">
        <f ca="1">IF(AM36="","",IF('Q3'!I40=0,"Fuel type not stated",'Q3'!I40))</f>
        <v/>
      </c>
      <c r="AO36" s="772"/>
      <c r="AP36" s="776" t="str">
        <f t="shared" ca="1" si="20"/>
        <v/>
      </c>
      <c r="AQ36" s="777" t="str">
        <f t="shared" ca="1" si="21"/>
        <v/>
      </c>
      <c r="AR36" s="777" t="str">
        <f t="shared" ca="1" si="22"/>
        <v/>
      </c>
      <c r="AS36" s="777" t="str">
        <f t="shared" ca="1" si="23"/>
        <v/>
      </c>
      <c r="AT36" s="945" t="str">
        <f t="shared" ca="1" si="50"/>
        <v/>
      </c>
      <c r="AU36" s="1370" t="str">
        <f t="shared" ca="1" si="30"/>
        <v/>
      </c>
      <c r="AV36" s="1165" t="str">
        <f t="shared" ca="1" si="24"/>
        <v/>
      </c>
      <c r="AW36" s="1350">
        <f t="shared" ca="1" si="47"/>
        <v>0</v>
      </c>
      <c r="AX36" s="1350">
        <f t="shared" ca="1" si="47"/>
        <v>0</v>
      </c>
      <c r="AY36" s="1350">
        <f t="shared" ca="1" si="47"/>
        <v>0</v>
      </c>
      <c r="AZ36" s="1357" t="str">
        <f t="shared" ca="1" si="49"/>
        <v/>
      </c>
      <c r="BA36" s="1165" t="str">
        <f t="shared" ca="1" si="26"/>
        <v/>
      </c>
      <c r="BB36" s="772"/>
      <c r="BC36" s="946" t="str">
        <f t="shared" ca="1" si="34"/>
        <v/>
      </c>
    </row>
    <row r="37" spans="1:55" ht="12.75" customHeight="1" x14ac:dyDescent="0.3">
      <c r="A37" s="2229"/>
      <c r="B37" s="1248" t="str">
        <f>'Q1'!C41</f>
        <v>Other 3 (enter CO2 factor and specify fuel in "Notes")</v>
      </c>
      <c r="C37" s="1252">
        <f t="shared" ca="1" si="44"/>
        <v>0</v>
      </c>
      <c r="D37" s="1258">
        <f t="shared" ca="1" si="44"/>
        <v>0</v>
      </c>
      <c r="E37" s="1060">
        <f t="shared" ca="1" si="44"/>
        <v>0</v>
      </c>
      <c r="F37" s="1060">
        <f t="shared" ca="1" si="44"/>
        <v>0</v>
      </c>
      <c r="G37" s="1060">
        <f t="shared" ca="1" si="44"/>
        <v>0</v>
      </c>
      <c r="H37" s="1060">
        <f t="shared" ca="1" si="44"/>
        <v>0</v>
      </c>
      <c r="I37" s="1061">
        <f t="shared" ca="1" si="6"/>
        <v>0</v>
      </c>
      <c r="J37" s="872" t="str">
        <f t="shared" ca="1" si="52"/>
        <v/>
      </c>
      <c r="K37" s="772"/>
      <c r="L37" s="784" t="str">
        <f ca="1">IF(C37&gt;0,'Q3'!E41,"")</f>
        <v/>
      </c>
      <c r="M37" s="785" t="str">
        <f ca="1">IF(L37="","",IF('Q3'!I41=0,"Fuel type not stated",'Q3'!I41))</f>
        <v/>
      </c>
      <c r="N37" s="772"/>
      <c r="O37" s="776" t="str">
        <f t="shared" ca="1" si="51"/>
        <v/>
      </c>
      <c r="P37" s="777" t="str">
        <f t="shared" ca="1" si="9"/>
        <v/>
      </c>
      <c r="Q37" s="777" t="str">
        <f t="shared" ca="1" si="10"/>
        <v/>
      </c>
      <c r="R37" s="777" t="str">
        <f t="shared" ca="1" si="11"/>
        <v/>
      </c>
      <c r="S37" s="778" t="str">
        <f t="shared" ca="1" si="12"/>
        <v/>
      </c>
      <c r="T37" s="1066" t="str">
        <f t="shared" ca="1" si="53"/>
        <v/>
      </c>
      <c r="U37" s="1165" t="str">
        <f t="shared" ca="1" si="13"/>
        <v/>
      </c>
      <c r="V37" s="1350">
        <f t="shared" ca="1" si="45"/>
        <v>0</v>
      </c>
      <c r="W37" s="1350">
        <f t="shared" ca="1" si="45"/>
        <v>0</v>
      </c>
      <c r="X37" s="1350">
        <f t="shared" ca="1" si="45"/>
        <v>0</v>
      </c>
      <c r="Y37" s="1067" t="str">
        <f t="shared" ca="1" si="48"/>
        <v/>
      </c>
      <c r="Z37" s="1165" t="str">
        <f t="shared" ca="1" si="15"/>
        <v/>
      </c>
      <c r="AA37" s="772"/>
      <c r="AB37" s="779" t="str">
        <f t="shared" ca="1" si="29"/>
        <v/>
      </c>
      <c r="AC37" s="47" t="str">
        <f t="shared" ca="1" si="16"/>
        <v/>
      </c>
      <c r="AD37" s="1252">
        <f t="shared" ca="1" si="46"/>
        <v>0</v>
      </c>
      <c r="AE37" s="1258">
        <f t="shared" ca="1" si="46"/>
        <v>0</v>
      </c>
      <c r="AF37" s="1060">
        <f t="shared" ca="1" si="46"/>
        <v>0</v>
      </c>
      <c r="AG37" s="1060">
        <f t="shared" ca="1" si="46"/>
        <v>0</v>
      </c>
      <c r="AH37" s="1060">
        <f t="shared" ca="1" si="46"/>
        <v>0</v>
      </c>
      <c r="AI37" s="1060">
        <f t="shared" ca="1" si="46"/>
        <v>0</v>
      </c>
      <c r="AJ37" s="1266">
        <f t="shared" ca="1" si="18"/>
        <v>0</v>
      </c>
      <c r="AK37" s="771" t="str">
        <f t="shared" ca="1" si="54"/>
        <v/>
      </c>
      <c r="AL37" s="772"/>
      <c r="AM37" s="1358" t="str">
        <f ca="1">IF(AD37&gt;0,'Q3'!E41,"")</f>
        <v/>
      </c>
      <c r="AN37" s="785" t="str">
        <f ca="1">IF(AM37="","",IF('Q3'!I41=0,"Fuel type not stated",'Q3'!I41))</f>
        <v/>
      </c>
      <c r="AO37" s="772"/>
      <c r="AP37" s="776" t="str">
        <f t="shared" ca="1" si="20"/>
        <v/>
      </c>
      <c r="AQ37" s="777" t="str">
        <f t="shared" ca="1" si="21"/>
        <v/>
      </c>
      <c r="AR37" s="777" t="str">
        <f t="shared" ca="1" si="22"/>
        <v/>
      </c>
      <c r="AS37" s="777" t="str">
        <f t="shared" ca="1" si="23"/>
        <v/>
      </c>
      <c r="AT37" s="945" t="str">
        <f t="shared" ca="1" si="50"/>
        <v/>
      </c>
      <c r="AU37" s="1370" t="str">
        <f t="shared" ca="1" si="30"/>
        <v/>
      </c>
      <c r="AV37" s="1165" t="str">
        <f t="shared" ca="1" si="24"/>
        <v/>
      </c>
      <c r="AW37" s="1350">
        <f t="shared" ca="1" si="47"/>
        <v>0</v>
      </c>
      <c r="AX37" s="1350">
        <f t="shared" ca="1" si="47"/>
        <v>0</v>
      </c>
      <c r="AY37" s="1350">
        <f t="shared" ca="1" si="47"/>
        <v>0</v>
      </c>
      <c r="AZ37" s="1357" t="str">
        <f t="shared" ca="1" si="49"/>
        <v/>
      </c>
      <c r="BA37" s="1165" t="str">
        <f t="shared" ca="1" si="26"/>
        <v/>
      </c>
      <c r="BB37" s="772"/>
      <c r="BC37" s="946" t="str">
        <f t="shared" ca="1" si="34"/>
        <v/>
      </c>
    </row>
    <row r="38" spans="1:55" ht="12.75" customHeight="1" x14ac:dyDescent="0.3">
      <c r="A38" s="2229"/>
      <c r="B38" s="1248" t="str">
        <f>'Q1'!C42</f>
        <v>CHP1 Electricity</v>
      </c>
      <c r="C38" s="1252">
        <f t="shared" ca="1" si="44"/>
        <v>0</v>
      </c>
      <c r="D38" s="1258">
        <f t="shared" ca="1" si="44"/>
        <v>0</v>
      </c>
      <c r="E38" s="1060">
        <f t="shared" ca="1" si="44"/>
        <v>0</v>
      </c>
      <c r="F38" s="1060">
        <f t="shared" ca="1" si="44"/>
        <v>0</v>
      </c>
      <c r="G38" s="1060">
        <f t="shared" ca="1" si="44"/>
        <v>0</v>
      </c>
      <c r="H38" s="1060">
        <f t="shared" ca="1" si="44"/>
        <v>0</v>
      </c>
      <c r="I38" s="1061">
        <f t="shared" ca="1" si="6"/>
        <v>0</v>
      </c>
      <c r="J38" s="872" t="str">
        <f t="shared" ca="1" si="7"/>
        <v/>
      </c>
      <c r="K38" s="772"/>
      <c r="L38" s="784" t="str">
        <f ca="1">IF(C38&gt;0,'Q3'!E42,"")</f>
        <v/>
      </c>
      <c r="M38" s="785" t="str">
        <f ca="1">IF(L38="","",IF('Q3'!I42=0,"Fuel type not stated",'Q3'!I42))</f>
        <v/>
      </c>
      <c r="N38" s="772"/>
      <c r="O38" s="776" t="str">
        <f t="shared" ca="1" si="51"/>
        <v/>
      </c>
      <c r="P38" s="777" t="str">
        <f t="shared" ca="1" si="9"/>
        <v/>
      </c>
      <c r="Q38" s="777" t="str">
        <f t="shared" ca="1" si="10"/>
        <v/>
      </c>
      <c r="R38" s="777" t="str">
        <f t="shared" ca="1" si="11"/>
        <v/>
      </c>
      <c r="S38" s="778" t="str">
        <f t="shared" ca="1" si="12"/>
        <v/>
      </c>
      <c r="T38" s="1066" t="str">
        <f t="shared" ca="1" si="27"/>
        <v/>
      </c>
      <c r="U38" s="1165" t="str">
        <f t="shared" ca="1" si="13"/>
        <v/>
      </c>
      <c r="V38" s="1350">
        <f t="shared" ca="1" si="45"/>
        <v>0</v>
      </c>
      <c r="W38" s="1350">
        <f t="shared" ca="1" si="45"/>
        <v>0</v>
      </c>
      <c r="X38" s="1350">
        <f t="shared" ca="1" si="45"/>
        <v>0</v>
      </c>
      <c r="Y38" s="1067" t="str">
        <f t="shared" ca="1" si="48"/>
        <v/>
      </c>
      <c r="Z38" s="1165" t="str">
        <f t="shared" ca="1" si="15"/>
        <v/>
      </c>
      <c r="AA38" s="772"/>
      <c r="AB38" s="779" t="str">
        <f t="shared" ca="1" si="29"/>
        <v/>
      </c>
      <c r="AC38" s="47" t="str">
        <f t="shared" ca="1" si="16"/>
        <v/>
      </c>
      <c r="AD38" s="1252">
        <f t="shared" ca="1" si="46"/>
        <v>0</v>
      </c>
      <c r="AE38" s="1258">
        <f t="shared" ca="1" si="46"/>
        <v>0</v>
      </c>
      <c r="AF38" s="1060">
        <f t="shared" ca="1" si="46"/>
        <v>0</v>
      </c>
      <c r="AG38" s="1060">
        <f t="shared" ca="1" si="46"/>
        <v>0</v>
      </c>
      <c r="AH38" s="1060">
        <f t="shared" ca="1" si="46"/>
        <v>0</v>
      </c>
      <c r="AI38" s="1060">
        <f t="shared" ca="1" si="46"/>
        <v>0</v>
      </c>
      <c r="AJ38" s="1266">
        <f t="shared" ca="1" si="18"/>
        <v>0</v>
      </c>
      <c r="AK38" s="771" t="str">
        <f t="shared" ca="1" si="19"/>
        <v/>
      </c>
      <c r="AL38" s="772"/>
      <c r="AM38" s="1358" t="str">
        <f ca="1">IF(AD38&gt;0,'Q3'!E42,"")</f>
        <v/>
      </c>
      <c r="AN38" s="785" t="str">
        <f ca="1">IF(AM38="","",IF('Q3'!I42=0,"Fuel type not stated",'Q3'!I42))</f>
        <v/>
      </c>
      <c r="AO38" s="772"/>
      <c r="AP38" s="776" t="str">
        <f t="shared" ca="1" si="20"/>
        <v/>
      </c>
      <c r="AQ38" s="777" t="str">
        <f t="shared" ca="1" si="21"/>
        <v/>
      </c>
      <c r="AR38" s="777" t="str">
        <f t="shared" ca="1" si="22"/>
        <v/>
      </c>
      <c r="AS38" s="777" t="str">
        <f t="shared" ca="1" si="23"/>
        <v/>
      </c>
      <c r="AT38" s="945" t="str">
        <f t="shared" ca="1" si="50"/>
        <v/>
      </c>
      <c r="AU38" s="1370" t="str">
        <f t="shared" ca="1" si="30"/>
        <v/>
      </c>
      <c r="AV38" s="1165" t="str">
        <f t="shared" ca="1" si="24"/>
        <v/>
      </c>
      <c r="AW38" s="1350">
        <f t="shared" ca="1" si="47"/>
        <v>0</v>
      </c>
      <c r="AX38" s="1350">
        <f t="shared" ca="1" si="47"/>
        <v>0</v>
      </c>
      <c r="AY38" s="1350">
        <f t="shared" ca="1" si="47"/>
        <v>0</v>
      </c>
      <c r="AZ38" s="1357" t="str">
        <f t="shared" ca="1" si="49"/>
        <v/>
      </c>
      <c r="BA38" s="1165" t="str">
        <f t="shared" ca="1" si="26"/>
        <v/>
      </c>
      <c r="BB38" s="772"/>
      <c r="BC38" s="946" t="str">
        <f t="shared" ca="1" si="34"/>
        <v/>
      </c>
    </row>
    <row r="39" spans="1:55" ht="12.75" customHeight="1" x14ac:dyDescent="0.3">
      <c r="A39" s="2229"/>
      <c r="B39" s="1248" t="str">
        <f>'Q1'!C43</f>
        <v>CHP1 Heat</v>
      </c>
      <c r="C39" s="1252">
        <f t="shared" ca="1" si="44"/>
        <v>0</v>
      </c>
      <c r="D39" s="1258">
        <f t="shared" ca="1" si="44"/>
        <v>0</v>
      </c>
      <c r="E39" s="1060">
        <f t="shared" ca="1" si="44"/>
        <v>0</v>
      </c>
      <c r="F39" s="1060">
        <f t="shared" ca="1" si="44"/>
        <v>0</v>
      </c>
      <c r="G39" s="1060">
        <f t="shared" ca="1" si="44"/>
        <v>0</v>
      </c>
      <c r="H39" s="1060">
        <f t="shared" ca="1" si="44"/>
        <v>0</v>
      </c>
      <c r="I39" s="1061">
        <f t="shared" ca="1" si="6"/>
        <v>0</v>
      </c>
      <c r="J39" s="872" t="str">
        <f t="shared" ca="1" si="7"/>
        <v/>
      </c>
      <c r="K39" s="772"/>
      <c r="L39" s="784" t="str">
        <f ca="1">IF(C39&gt;0,'Q3'!E43,"")</f>
        <v/>
      </c>
      <c r="M39" s="785" t="str">
        <f ca="1">IF(L39="","",IF('Q3'!I43=0,"Fuel type not stated",'Q3'!I43))</f>
        <v/>
      </c>
      <c r="N39" s="772"/>
      <c r="O39" s="776" t="str">
        <f t="shared" ca="1" si="51"/>
        <v/>
      </c>
      <c r="P39" s="777" t="str">
        <f t="shared" ca="1" si="9"/>
        <v/>
      </c>
      <c r="Q39" s="777" t="str">
        <f t="shared" ca="1" si="10"/>
        <v/>
      </c>
      <c r="R39" s="777" t="str">
        <f t="shared" ca="1" si="11"/>
        <v/>
      </c>
      <c r="S39" s="778" t="str">
        <f t="shared" ca="1" si="12"/>
        <v/>
      </c>
      <c r="T39" s="1066" t="str">
        <f t="shared" ca="1" si="27"/>
        <v/>
      </c>
      <c r="U39" s="1165" t="str">
        <f t="shared" ca="1" si="13"/>
        <v/>
      </c>
      <c r="V39" s="1350">
        <f t="shared" ca="1" si="45"/>
        <v>0</v>
      </c>
      <c r="W39" s="1350">
        <f t="shared" ca="1" si="45"/>
        <v>0</v>
      </c>
      <c r="X39" s="1350">
        <f t="shared" ca="1" si="45"/>
        <v>0</v>
      </c>
      <c r="Y39" s="1067" t="str">
        <f t="shared" ca="1" si="48"/>
        <v/>
      </c>
      <c r="Z39" s="1165" t="str">
        <f t="shared" ca="1" si="15"/>
        <v/>
      </c>
      <c r="AA39" s="772"/>
      <c r="AB39" s="779" t="str">
        <f t="shared" ca="1" si="29"/>
        <v/>
      </c>
      <c r="AC39" s="47" t="str">
        <f t="shared" ca="1" si="16"/>
        <v/>
      </c>
      <c r="AD39" s="1252">
        <f t="shared" ca="1" si="46"/>
        <v>0</v>
      </c>
      <c r="AE39" s="1258">
        <f t="shared" ca="1" si="46"/>
        <v>0</v>
      </c>
      <c r="AF39" s="1060">
        <f t="shared" ca="1" si="46"/>
        <v>0</v>
      </c>
      <c r="AG39" s="1060">
        <f t="shared" ca="1" si="46"/>
        <v>0</v>
      </c>
      <c r="AH39" s="1060">
        <f t="shared" ca="1" si="46"/>
        <v>0</v>
      </c>
      <c r="AI39" s="1060">
        <f t="shared" ca="1" si="46"/>
        <v>0</v>
      </c>
      <c r="AJ39" s="1266">
        <f t="shared" ca="1" si="18"/>
        <v>0</v>
      </c>
      <c r="AK39" s="771" t="str">
        <f t="shared" ca="1" si="19"/>
        <v/>
      </c>
      <c r="AL39" s="772"/>
      <c r="AM39" s="1358" t="str">
        <f ca="1">IF(AD39&gt;0,'Q3'!E43,"")</f>
        <v/>
      </c>
      <c r="AN39" s="785" t="str">
        <f ca="1">IF(AM39="","",IF('Q3'!I43=0,"Fuel type not stated",'Q3'!I43))</f>
        <v/>
      </c>
      <c r="AO39" s="772"/>
      <c r="AP39" s="776" t="str">
        <f t="shared" ca="1" si="20"/>
        <v/>
      </c>
      <c r="AQ39" s="777" t="str">
        <f t="shared" ca="1" si="21"/>
        <v/>
      </c>
      <c r="AR39" s="777" t="str">
        <f t="shared" ca="1" si="22"/>
        <v/>
      </c>
      <c r="AS39" s="777" t="str">
        <f t="shared" ca="1" si="23"/>
        <v/>
      </c>
      <c r="AT39" s="945" t="str">
        <f t="shared" ca="1" si="50"/>
        <v/>
      </c>
      <c r="AU39" s="1370" t="str">
        <f t="shared" ca="1" si="30"/>
        <v/>
      </c>
      <c r="AV39" s="1165" t="str">
        <f t="shared" ca="1" si="24"/>
        <v/>
      </c>
      <c r="AW39" s="1350">
        <f t="shared" ca="1" si="47"/>
        <v>0</v>
      </c>
      <c r="AX39" s="1350">
        <f t="shared" ca="1" si="47"/>
        <v>0</v>
      </c>
      <c r="AY39" s="1350">
        <f t="shared" ca="1" si="47"/>
        <v>0</v>
      </c>
      <c r="AZ39" s="1357" t="str">
        <f t="shared" ca="1" si="49"/>
        <v/>
      </c>
      <c r="BA39" s="1165" t="str">
        <f t="shared" ca="1" si="26"/>
        <v/>
      </c>
      <c r="BB39" s="772"/>
      <c r="BC39" s="946" t="str">
        <f t="shared" ca="1" si="34"/>
        <v/>
      </c>
    </row>
    <row r="40" spans="1:55" ht="12.75" customHeight="1" x14ac:dyDescent="0.3">
      <c r="A40" s="2229"/>
      <c r="B40" s="1248" t="str">
        <f>'Q1'!C44</f>
        <v>CHP2 Electricity</v>
      </c>
      <c r="C40" s="1252">
        <f t="shared" ca="1" si="44"/>
        <v>0</v>
      </c>
      <c r="D40" s="1258">
        <f t="shared" ca="1" si="44"/>
        <v>0</v>
      </c>
      <c r="E40" s="1060">
        <f t="shared" ca="1" si="44"/>
        <v>0</v>
      </c>
      <c r="F40" s="1060">
        <f t="shared" ca="1" si="44"/>
        <v>0</v>
      </c>
      <c r="G40" s="1060">
        <f t="shared" ca="1" si="44"/>
        <v>0</v>
      </c>
      <c r="H40" s="1060">
        <f t="shared" ca="1" si="44"/>
        <v>0</v>
      </c>
      <c r="I40" s="1061">
        <f t="shared" ca="1" si="6"/>
        <v>0</v>
      </c>
      <c r="J40" s="872" t="str">
        <f t="shared" ca="1" si="7"/>
        <v/>
      </c>
      <c r="K40" s="772"/>
      <c r="L40" s="784" t="str">
        <f ca="1">IF(C40&gt;0,'Q3'!E44,"")</f>
        <v/>
      </c>
      <c r="M40" s="785" t="str">
        <f ca="1">IF(L40="","",IF('Q3'!I44=0,"Fuel type not stated",'Q3'!I44))</f>
        <v/>
      </c>
      <c r="N40" s="772"/>
      <c r="O40" s="810" t="str">
        <f t="shared" ca="1" si="51"/>
        <v/>
      </c>
      <c r="P40" s="783" t="str">
        <f t="shared" ca="1" si="9"/>
        <v/>
      </c>
      <c r="Q40" s="783" t="str">
        <f t="shared" ca="1" si="10"/>
        <v/>
      </c>
      <c r="R40" s="783" t="str">
        <f t="shared" ca="1" si="11"/>
        <v/>
      </c>
      <c r="S40" s="811" t="str">
        <f t="shared" ca="1" si="12"/>
        <v/>
      </c>
      <c r="T40" s="1066" t="str">
        <f t="shared" ca="1" si="27"/>
        <v/>
      </c>
      <c r="U40" s="1165" t="str">
        <f t="shared" ca="1" si="13"/>
        <v/>
      </c>
      <c r="V40" s="1350">
        <f t="shared" ca="1" si="45"/>
        <v>0</v>
      </c>
      <c r="W40" s="1350">
        <f t="shared" ca="1" si="45"/>
        <v>0</v>
      </c>
      <c r="X40" s="1350">
        <f t="shared" ca="1" si="45"/>
        <v>0</v>
      </c>
      <c r="Y40" s="1067" t="str">
        <f t="shared" ca="1" si="48"/>
        <v/>
      </c>
      <c r="Z40" s="1165" t="str">
        <f t="shared" ca="1" si="15"/>
        <v/>
      </c>
      <c r="AA40" s="772"/>
      <c r="AB40" s="779" t="str">
        <f t="shared" ca="1" si="29"/>
        <v/>
      </c>
      <c r="AC40" s="47" t="str">
        <f t="shared" ca="1" si="16"/>
        <v/>
      </c>
      <c r="AD40" s="1252">
        <f t="shared" ca="1" si="46"/>
        <v>0</v>
      </c>
      <c r="AE40" s="1258">
        <f t="shared" ca="1" si="46"/>
        <v>0</v>
      </c>
      <c r="AF40" s="1060">
        <f t="shared" ca="1" si="46"/>
        <v>0</v>
      </c>
      <c r="AG40" s="1060">
        <f t="shared" ca="1" si="46"/>
        <v>0</v>
      </c>
      <c r="AH40" s="1060">
        <f t="shared" ca="1" si="46"/>
        <v>0</v>
      </c>
      <c r="AI40" s="1060">
        <f t="shared" ca="1" si="46"/>
        <v>0</v>
      </c>
      <c r="AJ40" s="1266">
        <f t="shared" ca="1" si="18"/>
        <v>0</v>
      </c>
      <c r="AK40" s="771" t="str">
        <f t="shared" ca="1" si="19"/>
        <v/>
      </c>
      <c r="AL40" s="772"/>
      <c r="AM40" s="1358" t="str">
        <f ca="1">IF(AD40&gt;0,'Q3'!E44,"")</f>
        <v/>
      </c>
      <c r="AN40" s="785" t="str">
        <f ca="1">IF(AM40="","",IF('Q3'!I44=0,"Fuel type not stated",'Q3'!I44))</f>
        <v/>
      </c>
      <c r="AO40" s="772"/>
      <c r="AP40" s="810" t="str">
        <f t="shared" ca="1" si="20"/>
        <v/>
      </c>
      <c r="AQ40" s="783" t="str">
        <f t="shared" ca="1" si="21"/>
        <v/>
      </c>
      <c r="AR40" s="783" t="str">
        <f t="shared" ca="1" si="22"/>
        <v/>
      </c>
      <c r="AS40" s="783" t="str">
        <f t="shared" ca="1" si="23"/>
        <v/>
      </c>
      <c r="AT40" s="1367" t="str">
        <f t="shared" ca="1" si="50"/>
        <v/>
      </c>
      <c r="AU40" s="1370" t="str">
        <f t="shared" ca="1" si="30"/>
        <v/>
      </c>
      <c r="AV40" s="1165" t="str">
        <f t="shared" ca="1" si="24"/>
        <v/>
      </c>
      <c r="AW40" s="1350">
        <f t="shared" ca="1" si="47"/>
        <v>0</v>
      </c>
      <c r="AX40" s="1350">
        <f t="shared" ca="1" si="47"/>
        <v>0</v>
      </c>
      <c r="AY40" s="1350">
        <f t="shared" ca="1" si="47"/>
        <v>0</v>
      </c>
      <c r="AZ40" s="1357" t="str">
        <f t="shared" ca="1" si="49"/>
        <v/>
      </c>
      <c r="BA40" s="1165" t="str">
        <f t="shared" ca="1" si="26"/>
        <v/>
      </c>
      <c r="BB40" s="772"/>
      <c r="BC40" s="946" t="str">
        <f t="shared" ca="1" si="34"/>
        <v/>
      </c>
    </row>
    <row r="41" spans="1:55" ht="12.75" customHeight="1" x14ac:dyDescent="0.3">
      <c r="A41" s="2229"/>
      <c r="B41" s="1248" t="str">
        <f>'Q1'!C45</f>
        <v>CHP2 Heat</v>
      </c>
      <c r="C41" s="1252">
        <f t="shared" ca="1" si="44"/>
        <v>0</v>
      </c>
      <c r="D41" s="1258">
        <f t="shared" ca="1" si="44"/>
        <v>0</v>
      </c>
      <c r="E41" s="1060">
        <f t="shared" ca="1" si="44"/>
        <v>0</v>
      </c>
      <c r="F41" s="1060">
        <f t="shared" ca="1" si="44"/>
        <v>0</v>
      </c>
      <c r="G41" s="1060">
        <f t="shared" ca="1" si="44"/>
        <v>0</v>
      </c>
      <c r="H41" s="1060">
        <f t="shared" ca="1" si="44"/>
        <v>0</v>
      </c>
      <c r="I41" s="1061">
        <f t="shared" ca="1" si="6"/>
        <v>0</v>
      </c>
      <c r="J41" s="872" t="str">
        <f t="shared" ca="1" si="7"/>
        <v/>
      </c>
      <c r="K41" s="772"/>
      <c r="L41" s="784" t="str">
        <f ca="1">IF(C41&gt;0,'Q3'!E45,"")</f>
        <v/>
      </c>
      <c r="M41" s="785" t="str">
        <f ca="1">IF(L41="","",IF('Q3'!I45=0,"Fuel type not stated",'Q3'!I45))</f>
        <v/>
      </c>
      <c r="N41" s="772"/>
      <c r="O41" s="810" t="str">
        <f t="shared" ca="1" si="51"/>
        <v/>
      </c>
      <c r="P41" s="783" t="str">
        <f t="shared" ca="1" si="9"/>
        <v/>
      </c>
      <c r="Q41" s="783" t="str">
        <f t="shared" ca="1" si="10"/>
        <v/>
      </c>
      <c r="R41" s="783" t="str">
        <f t="shared" ca="1" si="11"/>
        <v/>
      </c>
      <c r="S41" s="811" t="str">
        <f t="shared" ca="1" si="12"/>
        <v/>
      </c>
      <c r="T41" s="1066" t="str">
        <f t="shared" ca="1" si="27"/>
        <v/>
      </c>
      <c r="U41" s="1165" t="str">
        <f t="shared" ca="1" si="13"/>
        <v/>
      </c>
      <c r="V41" s="1350">
        <f t="shared" ca="1" si="45"/>
        <v>0</v>
      </c>
      <c r="W41" s="1350">
        <f t="shared" ca="1" si="45"/>
        <v>0</v>
      </c>
      <c r="X41" s="1350">
        <f t="shared" ca="1" si="45"/>
        <v>0</v>
      </c>
      <c r="Y41" s="1067" t="str">
        <f t="shared" ca="1" si="48"/>
        <v/>
      </c>
      <c r="Z41" s="1165" t="str">
        <f t="shared" ca="1" si="15"/>
        <v/>
      </c>
      <c r="AA41" s="772"/>
      <c r="AB41" s="779" t="str">
        <f t="shared" ca="1" si="29"/>
        <v/>
      </c>
      <c r="AC41" s="47" t="str">
        <f t="shared" ca="1" si="16"/>
        <v/>
      </c>
      <c r="AD41" s="1252">
        <f t="shared" ca="1" si="46"/>
        <v>0</v>
      </c>
      <c r="AE41" s="1258">
        <f t="shared" ca="1" si="46"/>
        <v>0</v>
      </c>
      <c r="AF41" s="1060">
        <f t="shared" ca="1" si="46"/>
        <v>0</v>
      </c>
      <c r="AG41" s="1060">
        <f t="shared" ca="1" si="46"/>
        <v>0</v>
      </c>
      <c r="AH41" s="1060">
        <f t="shared" ca="1" si="46"/>
        <v>0</v>
      </c>
      <c r="AI41" s="1060">
        <f t="shared" ca="1" si="46"/>
        <v>0</v>
      </c>
      <c r="AJ41" s="1266">
        <f t="shared" ca="1" si="18"/>
        <v>0</v>
      </c>
      <c r="AK41" s="771" t="str">
        <f t="shared" ca="1" si="19"/>
        <v/>
      </c>
      <c r="AL41" s="772"/>
      <c r="AM41" s="1358" t="str">
        <f ca="1">IF(AD41&gt;0,'Q3'!E45,"")</f>
        <v/>
      </c>
      <c r="AN41" s="785" t="str">
        <f ca="1">IF(AM41="","",IF('Q3'!I45=0,"Fuel type not stated",'Q3'!I45))</f>
        <v/>
      </c>
      <c r="AO41" s="772"/>
      <c r="AP41" s="810" t="str">
        <f t="shared" ca="1" si="20"/>
        <v/>
      </c>
      <c r="AQ41" s="783" t="str">
        <f t="shared" ca="1" si="21"/>
        <v/>
      </c>
      <c r="AR41" s="783" t="str">
        <f t="shared" ca="1" si="22"/>
        <v/>
      </c>
      <c r="AS41" s="783" t="str">
        <f t="shared" ca="1" si="23"/>
        <v/>
      </c>
      <c r="AT41" s="1367" t="str">
        <f t="shared" ca="1" si="50"/>
        <v/>
      </c>
      <c r="AU41" s="1370" t="str">
        <f t="shared" ca="1" si="30"/>
        <v/>
      </c>
      <c r="AV41" s="1165" t="str">
        <f t="shared" ca="1" si="24"/>
        <v/>
      </c>
      <c r="AW41" s="1350">
        <f t="shared" ca="1" si="47"/>
        <v>0</v>
      </c>
      <c r="AX41" s="1350">
        <f t="shared" ca="1" si="47"/>
        <v>0</v>
      </c>
      <c r="AY41" s="1350">
        <f t="shared" ca="1" si="47"/>
        <v>0</v>
      </c>
      <c r="AZ41" s="1357" t="str">
        <f t="shared" ca="1" si="49"/>
        <v/>
      </c>
      <c r="BA41" s="1165" t="str">
        <f t="shared" ca="1" si="26"/>
        <v/>
      </c>
      <c r="BB41" s="772"/>
      <c r="BC41" s="946" t="str">
        <f t="shared" ca="1" si="34"/>
        <v/>
      </c>
    </row>
    <row r="42" spans="1:55" ht="12.75" customHeight="1" x14ac:dyDescent="0.3">
      <c r="A42" s="2229"/>
      <c r="B42" s="1248" t="str">
        <f>'Q1'!C46</f>
        <v>CHP3 Electricity</v>
      </c>
      <c r="C42" s="1252">
        <f t="shared" ca="1" si="44"/>
        <v>0</v>
      </c>
      <c r="D42" s="1258">
        <f t="shared" ca="1" si="44"/>
        <v>0</v>
      </c>
      <c r="E42" s="1060">
        <f t="shared" ca="1" si="44"/>
        <v>0</v>
      </c>
      <c r="F42" s="1060">
        <f t="shared" ca="1" si="44"/>
        <v>0</v>
      </c>
      <c r="G42" s="1060">
        <f t="shared" ca="1" si="44"/>
        <v>0</v>
      </c>
      <c r="H42" s="1060">
        <f t="shared" ca="1" si="44"/>
        <v>0</v>
      </c>
      <c r="I42" s="1061">
        <f t="shared" ca="1" si="6"/>
        <v>0</v>
      </c>
      <c r="J42" s="872" t="str">
        <f t="shared" ca="1" si="7"/>
        <v/>
      </c>
      <c r="K42" s="772"/>
      <c r="L42" s="784" t="str">
        <f ca="1">IF(C42&gt;0,'Q3'!E46,"")</f>
        <v/>
      </c>
      <c r="M42" s="785" t="str">
        <f ca="1">IF(L42="","",IF('Q3'!I46=0,"Fuel type not stated",'Q3'!I46))</f>
        <v/>
      </c>
      <c r="N42" s="772"/>
      <c r="O42" s="810" t="str">
        <f t="shared" ca="1" si="51"/>
        <v/>
      </c>
      <c r="P42" s="783" t="str">
        <f t="shared" ca="1" si="9"/>
        <v/>
      </c>
      <c r="Q42" s="783" t="str">
        <f t="shared" ca="1" si="10"/>
        <v/>
      </c>
      <c r="R42" s="783" t="str">
        <f t="shared" ca="1" si="11"/>
        <v/>
      </c>
      <c r="S42" s="811" t="str">
        <f t="shared" ca="1" si="12"/>
        <v/>
      </c>
      <c r="T42" s="1066" t="str">
        <f t="shared" ca="1" si="27"/>
        <v/>
      </c>
      <c r="U42" s="1165" t="str">
        <f t="shared" ca="1" si="13"/>
        <v/>
      </c>
      <c r="V42" s="1350">
        <f t="shared" ca="1" si="45"/>
        <v>0</v>
      </c>
      <c r="W42" s="1350">
        <f t="shared" ca="1" si="45"/>
        <v>0</v>
      </c>
      <c r="X42" s="1350">
        <f t="shared" ca="1" si="45"/>
        <v>0</v>
      </c>
      <c r="Y42" s="1067" t="str">
        <f t="shared" ca="1" si="48"/>
        <v/>
      </c>
      <c r="Z42" s="1165" t="str">
        <f t="shared" ca="1" si="15"/>
        <v/>
      </c>
      <c r="AA42" s="772"/>
      <c r="AB42" s="779" t="str">
        <f t="shared" ca="1" si="29"/>
        <v/>
      </c>
      <c r="AC42" s="47" t="str">
        <f t="shared" ca="1" si="16"/>
        <v/>
      </c>
      <c r="AD42" s="1252">
        <f t="shared" ca="1" si="46"/>
        <v>0</v>
      </c>
      <c r="AE42" s="1258">
        <f t="shared" ca="1" si="46"/>
        <v>0</v>
      </c>
      <c r="AF42" s="1060">
        <f t="shared" ca="1" si="46"/>
        <v>0</v>
      </c>
      <c r="AG42" s="1060">
        <f t="shared" ca="1" si="46"/>
        <v>0</v>
      </c>
      <c r="AH42" s="1060">
        <f t="shared" ca="1" si="46"/>
        <v>0</v>
      </c>
      <c r="AI42" s="1060">
        <f t="shared" ca="1" si="46"/>
        <v>0</v>
      </c>
      <c r="AJ42" s="1266">
        <f t="shared" ca="1" si="18"/>
        <v>0</v>
      </c>
      <c r="AK42" s="771" t="str">
        <f t="shared" ca="1" si="19"/>
        <v/>
      </c>
      <c r="AL42" s="772"/>
      <c r="AM42" s="1358" t="str">
        <f ca="1">IF(AD42&gt;0,'Q3'!E46,"")</f>
        <v/>
      </c>
      <c r="AN42" s="785" t="str">
        <f ca="1">IF(AM42="","",IF('Q3'!I46=0,"Fuel type not stated",'Q3'!I46))</f>
        <v/>
      </c>
      <c r="AO42" s="772"/>
      <c r="AP42" s="810" t="str">
        <f t="shared" ca="1" si="20"/>
        <v/>
      </c>
      <c r="AQ42" s="783" t="str">
        <f t="shared" ca="1" si="21"/>
        <v/>
      </c>
      <c r="AR42" s="783" t="str">
        <f t="shared" ca="1" si="22"/>
        <v/>
      </c>
      <c r="AS42" s="783" t="str">
        <f t="shared" ca="1" si="23"/>
        <v/>
      </c>
      <c r="AT42" s="1367" t="str">
        <f t="shared" ca="1" si="50"/>
        <v/>
      </c>
      <c r="AU42" s="1370" t="str">
        <f t="shared" ca="1" si="30"/>
        <v/>
      </c>
      <c r="AV42" s="1165" t="str">
        <f t="shared" ca="1" si="24"/>
        <v/>
      </c>
      <c r="AW42" s="1350">
        <f t="shared" ca="1" si="47"/>
        <v>0</v>
      </c>
      <c r="AX42" s="1350">
        <f t="shared" ca="1" si="47"/>
        <v>0</v>
      </c>
      <c r="AY42" s="1350">
        <f t="shared" ca="1" si="47"/>
        <v>0</v>
      </c>
      <c r="AZ42" s="1357" t="str">
        <f t="shared" ca="1" si="49"/>
        <v/>
      </c>
      <c r="BA42" s="1165" t="str">
        <f t="shared" ca="1" si="26"/>
        <v/>
      </c>
      <c r="BB42" s="772"/>
      <c r="BC42" s="946" t="str">
        <f t="shared" ca="1" si="34"/>
        <v/>
      </c>
    </row>
    <row r="43" spans="1:55" ht="12.75" customHeight="1" thickBot="1" x14ac:dyDescent="0.35">
      <c r="A43" s="2230"/>
      <c r="B43" s="1249" t="str">
        <f>'Q1'!C47</f>
        <v>CHP3 Heat</v>
      </c>
      <c r="C43" s="1253">
        <f t="shared" ca="1" si="44"/>
        <v>0</v>
      </c>
      <c r="D43" s="1261">
        <f t="shared" ca="1" si="44"/>
        <v>0</v>
      </c>
      <c r="E43" s="1062">
        <f t="shared" ca="1" si="44"/>
        <v>0</v>
      </c>
      <c r="F43" s="1062">
        <f t="shared" ca="1" si="44"/>
        <v>0</v>
      </c>
      <c r="G43" s="1062">
        <f t="shared" ca="1" si="44"/>
        <v>0</v>
      </c>
      <c r="H43" s="1062">
        <f t="shared" ca="1" si="44"/>
        <v>0</v>
      </c>
      <c r="I43" s="1063">
        <f t="shared" ca="1" si="6"/>
        <v>0</v>
      </c>
      <c r="J43" s="849" t="str">
        <f t="shared" ca="1" si="7"/>
        <v/>
      </c>
      <c r="K43" s="790"/>
      <c r="L43" s="791" t="str">
        <f ca="1">IF(C43&gt;0,'Q3'!E47,"")</f>
        <v/>
      </c>
      <c r="M43" s="792" t="str">
        <f ca="1">IF(L43="","",IF('Q3'!I47=0,"Fuel type not stated",'Q3'!I47))</f>
        <v/>
      </c>
      <c r="N43" s="790"/>
      <c r="O43" s="813" t="str">
        <f t="shared" ca="1" si="51"/>
        <v/>
      </c>
      <c r="P43" s="1072" t="str">
        <f t="shared" ca="1" si="9"/>
        <v/>
      </c>
      <c r="Q43" s="1072" t="str">
        <f t="shared" ca="1" si="10"/>
        <v/>
      </c>
      <c r="R43" s="1072" t="str">
        <f t="shared" ca="1" si="11"/>
        <v/>
      </c>
      <c r="S43" s="1075" t="str">
        <f t="shared" ca="1" si="12"/>
        <v/>
      </c>
      <c r="T43" s="1348" t="str">
        <f t="shared" ca="1" si="27"/>
        <v/>
      </c>
      <c r="U43" s="1163" t="str">
        <f t="shared" ca="1" si="13"/>
        <v/>
      </c>
      <c r="V43" s="1351">
        <f t="shared" ca="1" si="45"/>
        <v>0</v>
      </c>
      <c r="W43" s="1351">
        <f t="shared" ca="1" si="45"/>
        <v>0</v>
      </c>
      <c r="X43" s="1351">
        <f t="shared" ca="1" si="45"/>
        <v>0</v>
      </c>
      <c r="Y43" s="1239" t="str">
        <f t="shared" ca="1" si="48"/>
        <v/>
      </c>
      <c r="Z43" s="1163" t="str">
        <f t="shared" ca="1" si="15"/>
        <v/>
      </c>
      <c r="AA43" s="790"/>
      <c r="AB43" s="794" t="str">
        <f t="shared" ca="1" si="29"/>
        <v/>
      </c>
      <c r="AC43" s="48" t="str">
        <f t="shared" ca="1" si="16"/>
        <v/>
      </c>
      <c r="AD43" s="1253">
        <f t="shared" ca="1" si="46"/>
        <v>0</v>
      </c>
      <c r="AE43" s="1261">
        <f t="shared" ca="1" si="46"/>
        <v>0</v>
      </c>
      <c r="AF43" s="1062">
        <f t="shared" ca="1" si="46"/>
        <v>0</v>
      </c>
      <c r="AG43" s="1062">
        <f t="shared" ca="1" si="46"/>
        <v>0</v>
      </c>
      <c r="AH43" s="1062">
        <f t="shared" ca="1" si="46"/>
        <v>0</v>
      </c>
      <c r="AI43" s="1062">
        <f t="shared" ca="1" si="46"/>
        <v>0</v>
      </c>
      <c r="AJ43" s="1341">
        <f t="shared" ca="1" si="18"/>
        <v>0</v>
      </c>
      <c r="AK43" s="812" t="str">
        <f t="shared" ca="1" si="19"/>
        <v/>
      </c>
      <c r="AL43" s="790"/>
      <c r="AM43" s="1359" t="str">
        <f ca="1">IF(AD43&gt;0,'Q3'!E47,"")</f>
        <v/>
      </c>
      <c r="AN43" s="792" t="str">
        <f ca="1">IF(AM43="","",IF('Q3'!I47=0,"Fuel type not stated",'Q3'!I47))</f>
        <v/>
      </c>
      <c r="AO43" s="790"/>
      <c r="AP43" s="813" t="str">
        <f t="shared" ca="1" si="20"/>
        <v/>
      </c>
      <c r="AQ43" s="1072" t="str">
        <f t="shared" ca="1" si="21"/>
        <v/>
      </c>
      <c r="AR43" s="1072" t="str">
        <f t="shared" ca="1" si="22"/>
        <v/>
      </c>
      <c r="AS43" s="1072" t="str">
        <f t="shared" ca="1" si="23"/>
        <v/>
      </c>
      <c r="AT43" s="1342" t="str">
        <f ca="1">IF(OR(+$AK43="missing?",+$AK43="new category"),"",IF($AJ43=0,"",IF(SUM($AD43:$AJ43)=0,"",IFERROR((($AD43-$AJ43)/$AJ43),"N/A"))))</f>
        <v/>
      </c>
      <c r="AU43" s="813" t="str">
        <f t="shared" ca="1" si="30"/>
        <v/>
      </c>
      <c r="AV43" s="1163" t="str">
        <f t="shared" ca="1" si="24"/>
        <v/>
      </c>
      <c r="AW43" s="1351">
        <f t="shared" ca="1" si="47"/>
        <v>0</v>
      </c>
      <c r="AX43" s="1351">
        <f t="shared" ca="1" si="47"/>
        <v>0</v>
      </c>
      <c r="AY43" s="1351">
        <f t="shared" ca="1" si="47"/>
        <v>0</v>
      </c>
      <c r="AZ43" s="1073" t="str">
        <f t="shared" ca="1" si="49"/>
        <v/>
      </c>
      <c r="BA43" s="1163" t="str">
        <f t="shared" ca="1" si="26"/>
        <v/>
      </c>
      <c r="BB43" s="790"/>
      <c r="BC43" s="954" t="str">
        <f t="shared" ca="1" si="34"/>
        <v/>
      </c>
    </row>
    <row r="44" spans="1:55" ht="14.4" x14ac:dyDescent="0.3">
      <c r="A44" s="673"/>
      <c r="B44" s="90"/>
      <c r="C44" s="814"/>
      <c r="D44" s="814"/>
      <c r="E44" s="814"/>
      <c r="F44" s="814"/>
      <c r="G44" s="814"/>
      <c r="H44" s="814"/>
      <c r="I44" s="814"/>
      <c r="J44" s="90"/>
      <c r="K44" s="90"/>
      <c r="L44" s="90"/>
      <c r="M44" s="815"/>
      <c r="N44" s="90"/>
      <c r="O44" s="90"/>
      <c r="P44" s="90"/>
      <c r="Q44" s="90"/>
      <c r="R44" s="90"/>
      <c r="S44" s="90"/>
      <c r="T44" s="90"/>
      <c r="U44" s="90"/>
      <c r="V44" s="90"/>
      <c r="W44" s="90"/>
      <c r="X44" s="90"/>
      <c r="Y44" s="90"/>
      <c r="Z44" s="90"/>
      <c r="AA44" s="90"/>
      <c r="AB44" s="90"/>
      <c r="AC44" s="50"/>
      <c r="AD44" s="50"/>
      <c r="AE44" s="50"/>
      <c r="AF44" s="50"/>
      <c r="AG44" s="50"/>
      <c r="AH44" s="50"/>
      <c r="AI44" s="50"/>
      <c r="AJ44" s="50"/>
      <c r="AK44" s="50"/>
      <c r="AL44" s="50"/>
      <c r="AM44" s="50"/>
      <c r="AN44" s="50"/>
      <c r="AO44" s="50"/>
      <c r="AP44" s="50"/>
      <c r="AQ44" s="50"/>
      <c r="AR44" s="50"/>
      <c r="AS44" s="50"/>
      <c r="AT44" s="50"/>
      <c r="AU44" s="50"/>
      <c r="AV44" s="50"/>
      <c r="AW44" s="50"/>
      <c r="AX44" s="50"/>
      <c r="AY44" s="50"/>
      <c r="AZ44" s="50"/>
      <c r="BA44" s="50"/>
      <c r="BB44" s="50"/>
      <c r="BC44" s="50"/>
    </row>
    <row r="45" spans="1:55" ht="14.4" x14ac:dyDescent="0.3">
      <c r="A45" s="816" t="s">
        <v>65</v>
      </c>
      <c r="B45" s="817"/>
      <c r="C45" s="818"/>
      <c r="D45" s="818"/>
      <c r="E45" s="818"/>
      <c r="F45" s="818"/>
      <c r="G45" s="818"/>
      <c r="H45" s="818"/>
      <c r="I45" s="819" t="s">
        <v>23</v>
      </c>
      <c r="J45" s="819" t="s">
        <v>23</v>
      </c>
      <c r="K45" s="819" t="s">
        <v>23</v>
      </c>
      <c r="L45" s="819" t="s">
        <v>23</v>
      </c>
      <c r="M45" s="819" t="s">
        <v>23</v>
      </c>
      <c r="N45" s="819" t="s">
        <v>23</v>
      </c>
      <c r="O45" s="819" t="s">
        <v>23</v>
      </c>
      <c r="P45" s="819" t="s">
        <v>23</v>
      </c>
      <c r="Q45" s="819" t="s">
        <v>23</v>
      </c>
      <c r="R45" s="819" t="s">
        <v>23</v>
      </c>
      <c r="S45" s="819" t="s">
        <v>23</v>
      </c>
      <c r="T45" s="819" t="s">
        <v>23</v>
      </c>
      <c r="U45" s="819"/>
      <c r="V45" s="819"/>
      <c r="W45" s="819"/>
      <c r="X45" s="819"/>
      <c r="Y45" s="819" t="s">
        <v>23</v>
      </c>
      <c r="Z45" s="819" t="s">
        <v>23</v>
      </c>
      <c r="AA45" s="819" t="s">
        <v>23</v>
      </c>
      <c r="AB45" s="819" t="s">
        <v>23</v>
      </c>
      <c r="AC45" s="1076" t="s">
        <v>144</v>
      </c>
      <c r="AD45" s="1076" t="s">
        <v>144</v>
      </c>
      <c r="AE45" s="1076" t="s">
        <v>144</v>
      </c>
      <c r="AF45" s="1076" t="s">
        <v>144</v>
      </c>
      <c r="AG45" s="1076" t="s">
        <v>144</v>
      </c>
      <c r="AH45" s="1076" t="s">
        <v>144</v>
      </c>
      <c r="AI45" s="1076"/>
      <c r="AJ45" s="1076" t="s">
        <v>144</v>
      </c>
      <c r="AK45" s="1076" t="s">
        <v>144</v>
      </c>
      <c r="AL45" s="1076" t="s">
        <v>144</v>
      </c>
      <c r="AM45" s="1076" t="s">
        <v>144</v>
      </c>
      <c r="AN45" s="1076" t="s">
        <v>144</v>
      </c>
      <c r="AO45" s="1076" t="s">
        <v>144</v>
      </c>
      <c r="AP45" s="1076" t="s">
        <v>144</v>
      </c>
      <c r="AQ45" s="1076" t="s">
        <v>144</v>
      </c>
      <c r="AR45" s="1076" t="s">
        <v>144</v>
      </c>
      <c r="AS45" s="1076" t="s">
        <v>144</v>
      </c>
      <c r="AT45" s="1076" t="s">
        <v>144</v>
      </c>
      <c r="AU45" s="1076" t="s">
        <v>144</v>
      </c>
      <c r="AV45" s="1076"/>
      <c r="AW45" s="1076"/>
      <c r="AX45" s="1076"/>
      <c r="AY45" s="1076"/>
      <c r="AZ45" s="1076" t="s">
        <v>144</v>
      </c>
      <c r="BA45" s="1076" t="s">
        <v>144</v>
      </c>
      <c r="BB45" s="1076" t="s">
        <v>144</v>
      </c>
      <c r="BC45" s="1076" t="s">
        <v>144</v>
      </c>
    </row>
    <row r="46" spans="1:55" thickBot="1" x14ac:dyDescent="0.35">
      <c r="A46" s="1170"/>
      <c r="B46" s="55"/>
      <c r="C46" s="820"/>
      <c r="D46" s="820"/>
      <c r="E46" s="820"/>
      <c r="F46" s="820"/>
      <c r="G46" s="814"/>
      <c r="H46" s="814"/>
      <c r="I46" s="814"/>
      <c r="J46" s="90"/>
      <c r="K46" s="90"/>
      <c r="L46" s="90"/>
      <c r="M46" s="815"/>
      <c r="N46" s="90"/>
      <c r="O46" s="90"/>
      <c r="P46" s="90"/>
      <c r="Q46" s="90"/>
      <c r="R46" s="90"/>
      <c r="S46" s="90"/>
      <c r="T46" s="90"/>
      <c r="U46" s="90"/>
      <c r="V46" s="90"/>
      <c r="W46" s="90"/>
      <c r="X46" s="90"/>
      <c r="Y46" s="90"/>
      <c r="Z46" s="90"/>
      <c r="AA46" s="90"/>
      <c r="AB46" s="90"/>
      <c r="AC46" s="50"/>
      <c r="AD46" s="50"/>
      <c r="AE46" s="50"/>
      <c r="AF46" s="50"/>
      <c r="AG46" s="50"/>
      <c r="AH46" s="50"/>
      <c r="AI46" s="50"/>
      <c r="AJ46" s="50"/>
      <c r="AK46" s="50"/>
      <c r="AL46" s="50"/>
      <c r="AM46" s="50"/>
      <c r="AN46" s="50"/>
      <c r="AO46" s="50"/>
      <c r="AP46" s="50"/>
      <c r="AQ46" s="50"/>
      <c r="AR46" s="50"/>
      <c r="AS46" s="50"/>
      <c r="AT46" s="50"/>
      <c r="AU46" s="50"/>
      <c r="AV46" s="50"/>
      <c r="AW46" s="50"/>
      <c r="AX46" s="50"/>
      <c r="AY46" s="50"/>
      <c r="AZ46" s="50"/>
      <c r="BA46" s="50"/>
      <c r="BB46" s="50"/>
      <c r="BC46" s="50"/>
    </row>
    <row r="47" spans="1:55" ht="27.6" x14ac:dyDescent="0.3">
      <c r="A47" s="2250"/>
      <c r="B47" s="2251"/>
      <c r="C47" s="1244" t="s">
        <v>176</v>
      </c>
      <c r="D47" s="2254" t="s">
        <v>177</v>
      </c>
      <c r="E47" s="2255"/>
      <c r="F47" s="2255"/>
      <c r="G47" s="2256"/>
      <c r="H47" s="2257"/>
      <c r="I47" s="2258"/>
      <c r="J47" s="2168" t="s">
        <v>428</v>
      </c>
      <c r="K47" s="2169"/>
      <c r="L47" s="2170" t="s">
        <v>429</v>
      </c>
      <c r="M47" s="2171"/>
      <c r="N47" s="2172"/>
      <c r="O47" s="2173" t="s">
        <v>430</v>
      </c>
      <c r="P47" s="2170"/>
      <c r="Q47" s="2170"/>
      <c r="R47" s="2171"/>
      <c r="S47" s="2174"/>
      <c r="T47" s="2173" t="s">
        <v>418</v>
      </c>
      <c r="U47" s="2171"/>
      <c r="V47" s="2171"/>
      <c r="W47" s="2171"/>
      <c r="X47" s="2171"/>
      <c r="Y47" s="2171"/>
      <c r="Z47" s="2171"/>
      <c r="AA47" s="2174"/>
      <c r="AB47" s="2192" t="s">
        <v>433</v>
      </c>
      <c r="AC47" s="2215" t="s">
        <v>432</v>
      </c>
      <c r="AD47" s="1318" t="s">
        <v>176</v>
      </c>
      <c r="AE47" s="2217" t="s">
        <v>177</v>
      </c>
      <c r="AF47" s="2218"/>
      <c r="AG47" s="2218"/>
      <c r="AH47" s="2219"/>
      <c r="AI47" s="2220"/>
      <c r="AJ47" s="2221"/>
      <c r="AK47" s="2209" t="s">
        <v>428</v>
      </c>
      <c r="AL47" s="2210"/>
      <c r="AM47" s="2185" t="s">
        <v>429</v>
      </c>
      <c r="AN47" s="2183"/>
      <c r="AO47" s="2184"/>
      <c r="AP47" s="2185" t="s">
        <v>430</v>
      </c>
      <c r="AQ47" s="2182"/>
      <c r="AR47" s="2182"/>
      <c r="AS47" s="2183"/>
      <c r="AT47" s="2186"/>
      <c r="AU47" s="2194" t="s">
        <v>418</v>
      </c>
      <c r="AV47" s="2194"/>
      <c r="AW47" s="2194"/>
      <c r="AX47" s="2194"/>
      <c r="AY47" s="2194"/>
      <c r="AZ47" s="2194"/>
      <c r="BA47" s="2194"/>
      <c r="BB47" s="2194"/>
      <c r="BC47" s="2215" t="s">
        <v>433</v>
      </c>
    </row>
    <row r="48" spans="1:55" ht="55.8" thickBot="1" x14ac:dyDescent="0.35">
      <c r="A48" s="2252"/>
      <c r="B48" s="2253"/>
      <c r="C48" s="1250" t="str">
        <f>C14</f>
        <v>Q3</v>
      </c>
      <c r="D48" s="821" t="str">
        <f t="shared" ref="D48:I48" si="55">D14</f>
        <v>Q2</v>
      </c>
      <c r="E48" s="925" t="str">
        <f t="shared" si="55"/>
        <v>Q1</v>
      </c>
      <c r="F48" s="925" t="str">
        <f t="shared" si="55"/>
        <v>Q4-19</v>
      </c>
      <c r="G48" s="822" t="str">
        <f t="shared" si="55"/>
        <v>Q3-19</v>
      </c>
      <c r="H48" s="822" t="str">
        <f t="shared" si="55"/>
        <v>2018-2019</v>
      </c>
      <c r="I48" s="823" t="str">
        <f t="shared" si="55"/>
        <v>25% of previous year total</v>
      </c>
      <c r="J48" s="824" t="s">
        <v>434</v>
      </c>
      <c r="K48" s="825" t="s">
        <v>435</v>
      </c>
      <c r="L48" s="1050" t="s">
        <v>436</v>
      </c>
      <c r="M48" s="826" t="s">
        <v>437</v>
      </c>
      <c r="N48" s="827" t="s">
        <v>435</v>
      </c>
      <c r="O48" s="828" t="s">
        <v>438</v>
      </c>
      <c r="P48" s="925" t="s">
        <v>470</v>
      </c>
      <c r="Q48" s="925" t="s">
        <v>471</v>
      </c>
      <c r="R48" s="829" t="s">
        <v>439</v>
      </c>
      <c r="S48" s="830" t="s">
        <v>440</v>
      </c>
      <c r="T48" s="2261" t="s">
        <v>441</v>
      </c>
      <c r="U48" s="2262"/>
      <c r="V48" s="1403"/>
      <c r="W48" s="1403"/>
      <c r="X48" s="1403"/>
      <c r="Y48" s="2263" t="s">
        <v>442</v>
      </c>
      <c r="Z48" s="2262"/>
      <c r="AA48" s="830" t="s">
        <v>435</v>
      </c>
      <c r="AB48" s="2249" t="s">
        <v>433</v>
      </c>
      <c r="AC48" s="2216"/>
      <c r="AD48" s="1319" t="str">
        <f>AD14</f>
        <v>Q3</v>
      </c>
      <c r="AE48" s="832" t="str">
        <f t="shared" ref="AE48:AI48" si="56">AE14</f>
        <v>Q2</v>
      </c>
      <c r="AF48" s="730" t="str">
        <f t="shared" si="56"/>
        <v>Q1</v>
      </c>
      <c r="AG48" s="730" t="str">
        <f t="shared" si="56"/>
        <v>Q4-19</v>
      </c>
      <c r="AH48" s="833" t="str">
        <f t="shared" si="56"/>
        <v>Q3-19</v>
      </c>
      <c r="AI48" s="833" t="str">
        <f t="shared" si="56"/>
        <v>2018-2019</v>
      </c>
      <c r="AJ48" s="834" t="s">
        <v>178</v>
      </c>
      <c r="AK48" s="835" t="s">
        <v>434</v>
      </c>
      <c r="AL48" s="836" t="s">
        <v>435</v>
      </c>
      <c r="AM48" s="1167" t="s">
        <v>436</v>
      </c>
      <c r="AN48" s="837" t="s">
        <v>437</v>
      </c>
      <c r="AO48" s="838" t="s">
        <v>435</v>
      </c>
      <c r="AP48" s="731" t="s">
        <v>438</v>
      </c>
      <c r="AQ48" s="730" t="s">
        <v>470</v>
      </c>
      <c r="AR48" s="730" t="s">
        <v>471</v>
      </c>
      <c r="AS48" s="1168" t="s">
        <v>439</v>
      </c>
      <c r="AT48" s="732" t="s">
        <v>440</v>
      </c>
      <c r="AU48" s="1378" t="s">
        <v>441</v>
      </c>
      <c r="AV48" s="839" t="s">
        <v>444</v>
      </c>
      <c r="AW48" s="1403"/>
      <c r="AX48" s="1403"/>
      <c r="AY48" s="1403"/>
      <c r="AZ48" s="839" t="s">
        <v>442</v>
      </c>
      <c r="BA48" s="839" t="s">
        <v>443</v>
      </c>
      <c r="BB48" s="1379" t="s">
        <v>435</v>
      </c>
      <c r="BC48" s="2216"/>
    </row>
    <row r="49" spans="1:55" ht="12.75" customHeight="1" thickBot="1" x14ac:dyDescent="0.35">
      <c r="A49" s="2241" t="s">
        <v>69</v>
      </c>
      <c r="B49" s="2242"/>
      <c r="C49" s="1177">
        <f t="shared" ref="C49:H49" ca="1" si="57">INDIRECT(CONCATENATE("'",C$14,"'!$D$53"),TRUE)</f>
        <v>0</v>
      </c>
      <c r="D49" s="840">
        <f t="shared" ca="1" si="57"/>
        <v>0</v>
      </c>
      <c r="E49" s="743">
        <f t="shared" ca="1" si="57"/>
        <v>0</v>
      </c>
      <c r="F49" s="743">
        <f t="shared" ca="1" si="57"/>
        <v>0</v>
      </c>
      <c r="G49" s="743">
        <f t="shared" ca="1" si="57"/>
        <v>0</v>
      </c>
      <c r="H49" s="743">
        <f t="shared" ca="1" si="57"/>
        <v>0</v>
      </c>
      <c r="I49" s="841">
        <f t="shared" ref="I49" ca="1" si="58">H49/4</f>
        <v>0</v>
      </c>
      <c r="J49" s="842" t="str">
        <f ca="1">IF(AND(C49&gt;0,SUM(D49:I49)&gt;0),"",IF(AND(C49=0,SUM(C49:I49)=0),"",IF(AND(C49=0,D49&gt;0),"Missing value?",IF(AND(C49=0,I49&gt;0),"Missing value?","New category"))))</f>
        <v/>
      </c>
      <c r="K49" s="843"/>
      <c r="L49" s="844"/>
      <c r="M49" s="744"/>
      <c r="N49" s="845"/>
      <c r="O49" s="846" t="str">
        <f t="shared" ca="1" si="51"/>
        <v/>
      </c>
      <c r="P49" s="745" t="str">
        <f ca="1">IF(OR(+$J49="missing?",+$J49="new category"),"",IF($E49=0,"",IF(SUM($C49:$I49)=0,"",IFERROR((($C49-$E49)/$E49),"N/A"))))</f>
        <v/>
      </c>
      <c r="Q49" s="745" t="str">
        <f ca="1">IF(OR(+$J49="missing?",+$J49="new category"),"",IF($F49=0,"",IF(SUM($C49:$I49)=0,"",IFERROR((($C49-$F49)/$F49),"N/A"))))</f>
        <v/>
      </c>
      <c r="R49" s="745" t="str">
        <f t="shared" ca="1" si="11"/>
        <v/>
      </c>
      <c r="S49" s="1356" t="str">
        <f t="shared" ca="1" si="12"/>
        <v/>
      </c>
      <c r="T49" s="846" t="str">
        <f t="shared" ref="T49" ca="1" si="59">IF(SUM(C49:I49)=0,"",IF(OR(AND(C49=0,SUM(D49:I49)&gt;0),AND(C49&gt;0,SUM(D49:I49)=0)),1,IF(MAX(IF(O49&lt;0,-O49,O49),IF(P49&lt;0,-P49,P49),IF(Q49&lt;0,-Q49,Q49),IF(R49&lt;0,-R49,R49),IF(S49&lt;0,-S49,S49))=0,"",MAX(IF(O49&lt;0,-O49,O49),IF(P49&lt;0,-P49,P49),IF(Q49&lt;0,-Q49,Q49),IF(R49&lt;0,-R49,R49),IF(S49&lt;0,-S49,S49)))))</f>
        <v/>
      </c>
      <c r="U49" s="847" t="str">
        <f ca="1">IF(+T49="","",IF(T49&gt;L$3,"H",IF(T49&gt;L$4,"M","")))</f>
        <v/>
      </c>
      <c r="V49" s="1404"/>
      <c r="W49" s="1404"/>
      <c r="X49" s="1404"/>
      <c r="Y49" s="1054" t="str">
        <f ca="1">IF(MAX(C49:G49,I49)&gt;0,T49*(MAX(C49:G49,I49)/1000)/L$7,"")</f>
        <v/>
      </c>
      <c r="Z49" s="847" t="str">
        <f ca="1">IF(+Y49="","",IF(Y49&gt;L$3,"H",IF(Y49&gt;L$4,"M","")))</f>
        <v/>
      </c>
      <c r="AA49" s="843"/>
      <c r="AB49" s="954" t="str">
        <f t="shared" ref="AB49" ca="1" si="60">IF(CONCATENATE(IF(K49="OK","",J49),"    ",IF(L49="","",IF(N49="OK","",CONCATENATE(M49," = ",ROUND(L49,3),"kgCO2e/kWh"))),"    ",IF(AND(+AA49="",Z49="M"),"Value change with medium impact",IF(AND(AA49="",Z49="H"),"Value change with high impact",""))," ")="         ","",CONCATENATE(IF(K49="OK","",J49),"    ",IF(L49="","",IF(N49="OK","",CONCATENATE(M49," = ",ROUND(L49,3),"kgCO2e/kWh"))),"    ",IF(AND(+AA49="",Z49="M"),"Value change with medium impact",IF(AND(AA49="",Z49="H"),"Value change with high impact",""))," "))</f>
        <v/>
      </c>
      <c r="AC49" s="48" t="str">
        <f ca="1">IF(AD49&gt;C49,"Offices only&gt;Total Estate","")</f>
        <v/>
      </c>
      <c r="AD49" s="848">
        <f t="shared" ref="AD49:AI49" ca="1" si="61">INDIRECT(CONCATENATE("'",AD$14,"'!$G$53"),TRUE)</f>
        <v>0</v>
      </c>
      <c r="AE49" s="786">
        <f t="shared" ca="1" si="61"/>
        <v>0</v>
      </c>
      <c r="AF49" s="787">
        <f t="shared" ca="1" si="61"/>
        <v>0</v>
      </c>
      <c r="AG49" s="787">
        <f t="shared" ca="1" si="61"/>
        <v>728049.589172362</v>
      </c>
      <c r="AH49" s="787">
        <f t="shared" ca="1" si="61"/>
        <v>0</v>
      </c>
      <c r="AI49" s="787">
        <f t="shared" ca="1" si="61"/>
        <v>728049.589172362</v>
      </c>
      <c r="AJ49" s="788">
        <f ca="1">AI49/4</f>
        <v>182012.3972930905</v>
      </c>
      <c r="AK49" s="849" t="str">
        <f t="shared" ref="AK49" ca="1" si="62">IF(AND(AD49&gt;0,SUM(AE49:AJ49)&gt;0),"",IF(AND(AD49=0,SUM(AD49:AJ49)=0),"",IF(AND(AD49=0,AE49&gt;0),"Missing value?",IF(AND(AD49=0,AJ49&gt;0),"Missing value?","New category"))))</f>
        <v>Missing value?</v>
      </c>
      <c r="AL49" s="796"/>
      <c r="AM49" s="850"/>
      <c r="AN49" s="744"/>
      <c r="AO49" s="851"/>
      <c r="AP49" s="793" t="str">
        <f t="shared" ref="AP49" ca="1" si="63">IF(OR(+$AK49="missing?",+$AK49="new category"),"",IF($AE49=0,"",IF(SUM($AD49:$AJ49)=0,"",IFERROR((($AD49-$AE49)/$AE49),"N/A"))))</f>
        <v/>
      </c>
      <c r="AQ49" s="1070" t="str">
        <f t="shared" ref="AQ49" ca="1" si="64">IF(OR(+$AK49="missing?",+$AK49="new category"),"",IF($AF49=0,"",IF(SUM($AD49:$AJ49)=0,"",IFERROR((($AD49-$AF49)/$AF49),"N/A"))))</f>
        <v/>
      </c>
      <c r="AR49" s="1072">
        <f t="shared" ref="AR49" ca="1" si="65">IF(OR(+$AK49="missing?",+$AK49="new category"),"",IF($AG49=0,"",IF(SUM($AD49:$AJ49)=0,"",IFERROR((($AD49-$AG49)/$AG49),"N/A"))))</f>
        <v>-1</v>
      </c>
      <c r="AS49" s="1072" t="str">
        <f t="shared" ref="AS49" ca="1" si="66">IF(OR(+$AK49="missing?",+$AK49="new category"),"",IF($AH49=0,"",IF(SUM($AD49:$AJ49)=0,"",IFERROR((($AD49-$AH49)/$AH49),"N/A"))))</f>
        <v/>
      </c>
      <c r="AT49" s="1075">
        <f ca="1">IF(OR(+$AK49="missing?",+$AK49="new category"),"",IF($AJ49=0,"",IF(SUM($AD49:$AJ49)=0,"",IFERROR((($AD49-$AJ49)/$AJ49),"N/A"))))</f>
        <v>-1</v>
      </c>
      <c r="AU49" s="1380">
        <f t="shared" ref="AU49" ca="1" si="67">IF(MAX(IF(AP49&lt;0,-AP49,AP49),IF(AS49&lt;0,-AS49,AS49),IF(AT49&lt;0,-AT49,AT49))=0,"",MAX(IF(AP49&lt;0,-AP49,AP49),IF(AQ49&lt;0,-AQ49,AQ49),IF(AR49&lt;0,-AR49,AR49),IF(AS49&lt;0,-AS49,AS49),IF(AT49&lt;0,-AT49,AT49)))</f>
        <v>1</v>
      </c>
      <c r="AV49" s="847" t="str">
        <f ca="1">IF(+AU49="","",IF(AU49&gt;L$3,"H",IF(AU49&gt;L$4,"M","")))</f>
        <v>H</v>
      </c>
      <c r="AW49" s="1404"/>
      <c r="AX49" s="1404"/>
      <c r="AY49" s="1404"/>
      <c r="AZ49" s="1054" t="e">
        <f ca="1">IF(MAX(AD49:AH49,AJ49)&gt;0,AU49*(MAX(AD49:AH49,AJ49)/1000)/AM$7,"")</f>
        <v>#DIV/0!</v>
      </c>
      <c r="BA49" s="847" t="e">
        <f ca="1">IF(+AZ49="","",IF(AZ49&gt;L$3,"H",IF(AZ49&gt;L$4,"M","")))</f>
        <v>#DIV/0!</v>
      </c>
      <c r="BB49" s="843"/>
      <c r="BC49" s="794" t="e">
        <f ca="1">IF(CONCATENATE(AC49, "    ", IF(AL49="OK","",AK49), "    ",IF(AM49="","",IF(AO49="OK","",CONCATENATE(AN49," = ",ROUND(AM49,3),"kgCO2e/kWh"))),"    ",IF(AND(+BB49="",BA49="M"),"Value change with medium impact",IF(AND(BB49="",BA49="H"),"Value change with high impact",""))," ")="             ","",CONCATENATE(AC49, "    ", IF(AL49="OK","",AK49), "    ",IF(AM49="","",IF(AO49="OK","",CONCATENATE(AN49," = ",ROUND(AM49,3),"kgCO2e/kWh"))),"    ",IF(AND(+BB49="",BA49="M"),"Value change with medium impact",IF(AND(BB49="",BA49="H"),"Value change with high impact",""))," "))</f>
        <v>#DIV/0!</v>
      </c>
    </row>
    <row r="50" spans="1:55" ht="14.4" x14ac:dyDescent="0.3">
      <c r="A50" s="90"/>
      <c r="B50" s="90"/>
      <c r="C50" s="814"/>
      <c r="D50" s="814"/>
      <c r="E50" s="814"/>
      <c r="F50" s="814"/>
      <c r="G50" s="814"/>
      <c r="H50" s="814"/>
      <c r="I50" s="814"/>
      <c r="J50" s="852" t="str">
        <f>IF(AND(C50&gt;0,SUM(D50:I50)&gt;0),"",IF(AND(C50=0,SUM(C50:I50)=0),"",IF(AND(C50=0,D50&gt;0),"missing?",IF(AND(C50=0,I50&gt;0),"missing?","new category"))))</f>
        <v/>
      </c>
      <c r="K50" s="852"/>
      <c r="L50" s="852"/>
      <c r="M50" s="853"/>
      <c r="N50" s="852"/>
      <c r="O50" s="854" t="str">
        <f t="shared" si="51"/>
        <v/>
      </c>
      <c r="P50" s="854"/>
      <c r="Q50" s="854"/>
      <c r="R50" s="854" t="str">
        <f t="shared" si="11"/>
        <v/>
      </c>
      <c r="S50" s="854" t="str">
        <f t="shared" si="12"/>
        <v/>
      </c>
      <c r="T50" s="855" t="str">
        <f>IF(MAX(IF(O50&lt;0,-O50,O50),IF(R50&lt;0,-R50,R50),IF(S50&lt;0,-S50,S50))=0,"",MAX(IF(O50&lt;0,-O50,O50),IF(R50&lt;0,-R50,R50),IF(S50&lt;0,-S50,S50)))</f>
        <v/>
      </c>
      <c r="U50" s="855"/>
      <c r="V50" s="855"/>
      <c r="W50" s="855"/>
      <c r="X50" s="855"/>
      <c r="Y50" s="855"/>
      <c r="Z50" s="713" t="str">
        <f>IF(+Y50="","",IF(Y50&gt;L$3,"H",IF(Y50&lt;L$4,"L","M")))</f>
        <v/>
      </c>
      <c r="AA50" s="856"/>
      <c r="AB50" s="854" t="str">
        <f>IF(AND(OR(AA50="OK",Z50="L",Z50=""),OR(J50="",K50="OK"),OR(+L50="",N50="OK")),"","Unresolved issue")</f>
        <v/>
      </c>
      <c r="AC50" s="50"/>
      <c r="AD50" s="50"/>
      <c r="AE50" s="50"/>
      <c r="AF50" s="50"/>
      <c r="AG50" s="50"/>
      <c r="AH50" s="50"/>
      <c r="AI50" s="50"/>
      <c r="AJ50" s="50"/>
      <c r="AK50" s="50"/>
      <c r="AL50" s="50"/>
      <c r="AM50" s="50"/>
      <c r="AN50" s="50"/>
      <c r="AO50" s="50"/>
      <c r="AP50" s="50"/>
      <c r="AQ50" s="50"/>
      <c r="AR50" s="50"/>
      <c r="AS50" s="50"/>
      <c r="AT50" s="50"/>
      <c r="AU50" s="50"/>
      <c r="AV50" s="50"/>
      <c r="AW50" s="50"/>
      <c r="AX50" s="50"/>
      <c r="AY50" s="50"/>
      <c r="AZ50" s="50"/>
      <c r="BA50" s="50"/>
      <c r="BB50" s="50"/>
      <c r="BC50" s="50"/>
    </row>
    <row r="51" spans="1:55" ht="14.4" x14ac:dyDescent="0.3">
      <c r="A51" s="90"/>
      <c r="B51" s="90"/>
      <c r="C51" s="814"/>
      <c r="D51" s="814"/>
      <c r="E51" s="814"/>
      <c r="F51" s="814"/>
      <c r="G51" s="814"/>
      <c r="H51" s="814"/>
      <c r="I51" s="814"/>
      <c r="J51" s="852"/>
      <c r="K51" s="852"/>
      <c r="L51" s="852"/>
      <c r="M51" s="853"/>
      <c r="N51" s="852"/>
      <c r="O51" s="854"/>
      <c r="P51" s="854"/>
      <c r="Q51" s="854"/>
      <c r="R51" s="854"/>
      <c r="S51" s="854"/>
      <c r="T51" s="855"/>
      <c r="U51" s="855"/>
      <c r="V51" s="855"/>
      <c r="W51" s="855"/>
      <c r="X51" s="855"/>
      <c r="Y51" s="855"/>
      <c r="Z51" s="713"/>
      <c r="AA51" s="856"/>
      <c r="AB51" s="854"/>
      <c r="AC51" s="50"/>
      <c r="AD51" s="50"/>
      <c r="AE51" s="50"/>
      <c r="AF51" s="50"/>
      <c r="AG51" s="50"/>
      <c r="AH51" s="50"/>
      <c r="AI51" s="50"/>
      <c r="AJ51" s="50"/>
      <c r="AK51" s="50"/>
      <c r="AL51" s="50"/>
      <c r="AM51" s="50"/>
      <c r="AN51" s="50"/>
      <c r="AO51" s="50"/>
      <c r="AP51" s="50"/>
      <c r="AQ51" s="50"/>
      <c r="AR51" s="50"/>
      <c r="AS51" s="50"/>
      <c r="AT51" s="50"/>
      <c r="AU51" s="50"/>
      <c r="AV51" s="50"/>
      <c r="AW51" s="50"/>
      <c r="AX51" s="50"/>
      <c r="AY51" s="50"/>
      <c r="AZ51" s="50"/>
      <c r="BA51" s="50"/>
      <c r="BB51" s="50"/>
      <c r="BC51" s="50"/>
    </row>
    <row r="52" spans="1:55" ht="14.4" x14ac:dyDescent="0.3">
      <c r="A52" s="816" t="s">
        <v>71</v>
      </c>
      <c r="B52" s="817"/>
      <c r="C52" s="857"/>
      <c r="D52" s="857"/>
      <c r="E52" s="857"/>
      <c r="F52" s="857"/>
      <c r="G52" s="857"/>
      <c r="H52" s="857"/>
      <c r="I52" s="819" t="s">
        <v>23</v>
      </c>
      <c r="J52" s="819" t="s">
        <v>23</v>
      </c>
      <c r="K52" s="819" t="s">
        <v>23</v>
      </c>
      <c r="L52" s="819" t="s">
        <v>23</v>
      </c>
      <c r="M52" s="819" t="s">
        <v>23</v>
      </c>
      <c r="N52" s="819" t="s">
        <v>23</v>
      </c>
      <c r="O52" s="819" t="s">
        <v>23</v>
      </c>
      <c r="P52" s="819" t="s">
        <v>23</v>
      </c>
      <c r="Q52" s="819" t="s">
        <v>23</v>
      </c>
      <c r="R52" s="819" t="s">
        <v>23</v>
      </c>
      <c r="S52" s="819" t="s">
        <v>23</v>
      </c>
      <c r="T52" s="819" t="s">
        <v>23</v>
      </c>
      <c r="U52" s="819"/>
      <c r="V52" s="819"/>
      <c r="W52" s="819"/>
      <c r="X52" s="819"/>
      <c r="Y52" s="819" t="s">
        <v>23</v>
      </c>
      <c r="Z52" s="819" t="s">
        <v>23</v>
      </c>
      <c r="AA52" s="819" t="s">
        <v>23</v>
      </c>
      <c r="AB52" s="819" t="s">
        <v>23</v>
      </c>
      <c r="AC52" s="50"/>
      <c r="AD52" s="50"/>
      <c r="AE52" s="50"/>
      <c r="AF52" s="50"/>
      <c r="AG52" s="50"/>
      <c r="AH52" s="50"/>
      <c r="AI52" s="50"/>
      <c r="AJ52" s="50"/>
      <c r="AK52" s="50"/>
      <c r="AL52" s="50"/>
      <c r="AM52" s="50"/>
      <c r="AN52" s="50"/>
      <c r="AO52" s="50"/>
      <c r="AP52" s="50"/>
      <c r="AQ52" s="50"/>
      <c r="AR52" s="50"/>
      <c r="AS52" s="50"/>
      <c r="AT52" s="50"/>
      <c r="AU52" s="50"/>
      <c r="AV52" s="50"/>
      <c r="AW52" s="50"/>
      <c r="AX52" s="50"/>
      <c r="AY52" s="50"/>
      <c r="AZ52" s="50"/>
      <c r="BA52" s="50"/>
      <c r="BB52" s="50"/>
      <c r="BC52" s="50"/>
    </row>
    <row r="53" spans="1:55" ht="13.5" customHeight="1" thickBot="1" x14ac:dyDescent="0.35">
      <c r="A53" s="1170"/>
      <c r="B53" s="55"/>
      <c r="C53" s="820"/>
      <c r="D53" s="820"/>
      <c r="E53" s="820"/>
      <c r="F53" s="820"/>
      <c r="G53" s="820"/>
      <c r="H53" s="820"/>
      <c r="I53" s="820"/>
      <c r="J53" s="852"/>
      <c r="K53" s="852"/>
      <c r="L53" s="852"/>
      <c r="M53" s="853"/>
      <c r="N53" s="852"/>
      <c r="O53" s="854"/>
      <c r="P53" s="854"/>
      <c r="Q53" s="854"/>
      <c r="R53" s="854"/>
      <c r="S53" s="854"/>
      <c r="T53" s="855"/>
      <c r="U53" s="855"/>
      <c r="V53" s="855"/>
      <c r="W53" s="855"/>
      <c r="X53" s="855"/>
      <c r="Y53" s="855"/>
      <c r="Z53" s="713"/>
      <c r="AA53" s="856"/>
      <c r="AB53" s="854"/>
      <c r="AC53" s="50"/>
      <c r="AD53" s="50"/>
      <c r="AE53" s="50"/>
      <c r="AF53" s="50"/>
      <c r="AG53" s="50"/>
      <c r="AH53" s="50"/>
      <c r="AI53" s="50"/>
      <c r="AJ53" s="50"/>
      <c r="AK53" s="50"/>
      <c r="AL53" s="50"/>
      <c r="AM53" s="50"/>
      <c r="AN53" s="50"/>
      <c r="AO53" s="50"/>
      <c r="AP53" s="50"/>
      <c r="AQ53" s="50"/>
      <c r="AR53" s="50"/>
      <c r="AS53" s="50"/>
      <c r="AT53" s="50"/>
      <c r="AU53" s="50"/>
      <c r="AV53" s="50"/>
      <c r="AW53" s="50"/>
      <c r="AX53" s="50"/>
      <c r="AY53" s="50"/>
      <c r="AZ53" s="50"/>
      <c r="BA53" s="50"/>
      <c r="BB53" s="50"/>
      <c r="BC53" s="50"/>
    </row>
    <row r="54" spans="1:55" ht="27.6" x14ac:dyDescent="0.3">
      <c r="A54" s="2243" t="s">
        <v>180</v>
      </c>
      <c r="B54" s="2244"/>
      <c r="C54" s="1244" t="s">
        <v>176</v>
      </c>
      <c r="D54" s="2164" t="s">
        <v>177</v>
      </c>
      <c r="E54" s="2165"/>
      <c r="F54" s="2165"/>
      <c r="G54" s="2166"/>
      <c r="H54" s="2167"/>
      <c r="I54" s="2231"/>
      <c r="J54" s="2247" t="s">
        <v>428</v>
      </c>
      <c r="K54" s="2248"/>
      <c r="L54" s="2173" t="s">
        <v>429</v>
      </c>
      <c r="M54" s="2171"/>
      <c r="N54" s="2174"/>
      <c r="O54" s="2173" t="s">
        <v>430</v>
      </c>
      <c r="P54" s="2170"/>
      <c r="Q54" s="2170"/>
      <c r="R54" s="2171"/>
      <c r="S54" s="2174"/>
      <c r="T54" s="2173" t="s">
        <v>418</v>
      </c>
      <c r="U54" s="2171"/>
      <c r="V54" s="2171"/>
      <c r="W54" s="2171"/>
      <c r="X54" s="2171"/>
      <c r="Y54" s="2171"/>
      <c r="Z54" s="2171"/>
      <c r="AA54" s="2174"/>
      <c r="AB54" s="2259" t="s">
        <v>433</v>
      </c>
      <c r="AC54" s="50"/>
      <c r="AD54" s="50"/>
      <c r="AE54" s="50"/>
      <c r="AF54" s="50"/>
      <c r="AG54" s="50"/>
      <c r="AH54" s="50"/>
      <c r="AI54" s="50"/>
      <c r="AJ54" s="50"/>
      <c r="AK54" s="50"/>
      <c r="AL54" s="50"/>
      <c r="AM54" s="50"/>
      <c r="AN54" s="50"/>
      <c r="AO54" s="50"/>
      <c r="AP54" s="50"/>
      <c r="AQ54" s="50"/>
      <c r="AR54" s="50"/>
      <c r="AS54" s="50"/>
      <c r="AT54" s="50"/>
      <c r="AU54" s="50"/>
      <c r="AV54" s="50"/>
      <c r="AW54" s="50"/>
      <c r="AX54" s="50"/>
      <c r="AY54" s="50"/>
      <c r="AZ54" s="50"/>
      <c r="BA54" s="50"/>
      <c r="BB54" s="50"/>
      <c r="BC54" s="50"/>
    </row>
    <row r="55" spans="1:55" ht="44.25" customHeight="1" thickBot="1" x14ac:dyDescent="0.35">
      <c r="A55" s="2245"/>
      <c r="B55" s="2246"/>
      <c r="C55" s="1250" t="str">
        <f>C14</f>
        <v>Q3</v>
      </c>
      <c r="D55" s="821" t="str">
        <f t="shared" ref="D55:I55" si="68">D14</f>
        <v>Q2</v>
      </c>
      <c r="E55" s="925" t="str">
        <f t="shared" si="68"/>
        <v>Q1</v>
      </c>
      <c r="F55" s="925" t="str">
        <f t="shared" si="68"/>
        <v>Q4-19</v>
      </c>
      <c r="G55" s="822" t="str">
        <f t="shared" si="68"/>
        <v>Q3-19</v>
      </c>
      <c r="H55" s="822" t="str">
        <f t="shared" si="68"/>
        <v>2018-2019</v>
      </c>
      <c r="I55" s="823" t="str">
        <f t="shared" si="68"/>
        <v>25% of previous year total</v>
      </c>
      <c r="J55" s="858" t="s">
        <v>434</v>
      </c>
      <c r="K55" s="859" t="s">
        <v>435</v>
      </c>
      <c r="L55" s="831" t="s">
        <v>436</v>
      </c>
      <c r="M55" s="826" t="s">
        <v>437</v>
      </c>
      <c r="N55" s="860" t="s">
        <v>435</v>
      </c>
      <c r="O55" s="828" t="s">
        <v>438</v>
      </c>
      <c r="P55" s="925" t="s">
        <v>470</v>
      </c>
      <c r="Q55" s="925" t="s">
        <v>471</v>
      </c>
      <c r="R55" s="829" t="s">
        <v>439</v>
      </c>
      <c r="S55" s="830" t="s">
        <v>440</v>
      </c>
      <c r="T55" s="2156" t="s">
        <v>441</v>
      </c>
      <c r="U55" s="2155"/>
      <c r="V55" s="829" t="str">
        <f>V14</f>
        <v>Q3</v>
      </c>
      <c r="W55" s="829" t="str">
        <f t="shared" ref="W55:X55" si="69">W14</f>
        <v>Q2</v>
      </c>
      <c r="X55" s="829" t="str">
        <f t="shared" si="69"/>
        <v>2018-2019</v>
      </c>
      <c r="Y55" s="2157" t="s">
        <v>442</v>
      </c>
      <c r="Z55" s="2155"/>
      <c r="AA55" s="830" t="s">
        <v>445</v>
      </c>
      <c r="AB55" s="2260" t="s">
        <v>433</v>
      </c>
      <c r="AC55" s="50"/>
      <c r="AD55" s="50"/>
      <c r="AE55" s="50"/>
      <c r="AF55" s="50"/>
      <c r="AG55" s="50"/>
      <c r="AH55" s="50"/>
      <c r="AI55" s="50"/>
      <c r="AJ55" s="50"/>
      <c r="AK55" s="50"/>
      <c r="AL55" s="50"/>
      <c r="AM55" s="50"/>
      <c r="AN55" s="50"/>
      <c r="AO55" s="50"/>
      <c r="AP55" s="50"/>
      <c r="AQ55" s="50"/>
      <c r="AR55" s="50"/>
      <c r="AS55" s="50"/>
      <c r="AT55" s="50"/>
      <c r="AU55" s="50"/>
      <c r="AV55" s="50"/>
      <c r="AW55" s="50"/>
      <c r="AX55" s="50"/>
      <c r="AY55" s="50"/>
      <c r="AZ55" s="50"/>
      <c r="BA55" s="50"/>
      <c r="BB55" s="50"/>
      <c r="BC55" s="50"/>
    </row>
    <row r="56" spans="1:55" ht="12.75" customHeight="1" thickBot="1" x14ac:dyDescent="0.35">
      <c r="A56" s="2225" t="s">
        <v>77</v>
      </c>
      <c r="B56" s="2226"/>
      <c r="C56" s="1177">
        <f t="shared" ref="C56:H56" ca="1" si="70">INDIRECT(CONCATENATE("'",C$14,"'!$D$64"),TRUE)</f>
        <v>0</v>
      </c>
      <c r="D56" s="733">
        <f t="shared" ca="1" si="70"/>
        <v>4686290.49</v>
      </c>
      <c r="E56" s="734">
        <f t="shared" ca="1" si="70"/>
        <v>5025581</v>
      </c>
      <c r="F56" s="734">
        <f t="shared" ca="1" si="70"/>
        <v>4632492.45567476</v>
      </c>
      <c r="G56" s="734">
        <f t="shared" ca="1" si="70"/>
        <v>4558988</v>
      </c>
      <c r="H56" s="734">
        <f t="shared" ca="1" si="70"/>
        <v>18302892.45567476</v>
      </c>
      <c r="I56" s="735">
        <f t="shared" ref="I56:I113" ca="1" si="71">H56/4</f>
        <v>4575723.11391869</v>
      </c>
      <c r="J56" s="844"/>
      <c r="K56" s="845"/>
      <c r="L56" s="861"/>
      <c r="M56" s="862"/>
      <c r="N56" s="863"/>
      <c r="O56" s="738">
        <f t="shared" ca="1" si="51"/>
        <v>-1</v>
      </c>
      <c r="P56" s="739">
        <f ca="1">IF(OR(+$J56="missing?",+$J56="new category"),"",IF($E56=0,"",IF(SUM($C56:$I56)=0,"",IFERROR((($C56-$E56)/$E56),"N/A"))))</f>
        <v>-1</v>
      </c>
      <c r="Q56" s="739">
        <f ca="1">IF(OR(+$J56="missing?",+$J56="new category"),"",IF($F56=0,"",IF(SUM($C56:$I56)=0,"",IFERROR((($C56-$F56)/$F56),"N/A"))))</f>
        <v>-1</v>
      </c>
      <c r="R56" s="739">
        <f t="shared" ca="1" si="11"/>
        <v>-1</v>
      </c>
      <c r="S56" s="740">
        <f t="shared" ca="1" si="12"/>
        <v>-1</v>
      </c>
      <c r="T56" s="864"/>
      <c r="U56" s="746"/>
      <c r="V56" s="746"/>
      <c r="W56" s="746"/>
      <c r="X56" s="746"/>
      <c r="Y56" s="746"/>
      <c r="Z56" s="865"/>
      <c r="AA56" s="866"/>
      <c r="AB56" s="867" t="str">
        <f>IF(AND(OR(AA56="OK",Z56="L",Z56=""),OR(J56="",K56="OK"),OR(+L56="",N56="OK")),"","Unresolved issue")</f>
        <v/>
      </c>
      <c r="AC56" s="50"/>
      <c r="AD56" s="50"/>
      <c r="AE56" s="50"/>
      <c r="AF56" s="50"/>
      <c r="AG56" s="50"/>
      <c r="AH56" s="50"/>
      <c r="AI56" s="50"/>
      <c r="AJ56" s="50"/>
      <c r="AK56" s="50"/>
      <c r="AL56" s="50"/>
      <c r="AM56" s="50"/>
      <c r="AN56" s="50"/>
      <c r="AO56" s="50"/>
      <c r="AP56" s="50"/>
      <c r="AQ56" s="50"/>
      <c r="AR56" s="50"/>
      <c r="AS56" s="50"/>
      <c r="AT56" s="50"/>
      <c r="AU56" s="50"/>
      <c r="AV56" s="50"/>
      <c r="AW56" s="50"/>
      <c r="AX56" s="50"/>
      <c r="AY56" s="50"/>
      <c r="AZ56" s="50"/>
      <c r="BA56" s="50"/>
      <c r="BB56" s="50"/>
      <c r="BC56" s="50"/>
    </row>
    <row r="57" spans="1:55" ht="12.75" customHeight="1" x14ac:dyDescent="0.3">
      <c r="A57" s="2235" t="s">
        <v>84</v>
      </c>
      <c r="B57" s="747" t="str">
        <f>'Q1'!C65</f>
        <v>Small petrol car, up to 1.4 l</v>
      </c>
      <c r="C57" s="1262">
        <f t="shared" ref="C57:H66" ca="1" si="72">INDEX(INDIRECT(CONCATENATE("'",C$14,"'!$D$65:$D$85"),TRUE),MATCH($B57,INDIRECT(CONCATENATE("'",C$14,"'!$C$65:$C$85"),TRUE),0))</f>
        <v>0</v>
      </c>
      <c r="D57" s="748">
        <f t="shared" ca="1" si="72"/>
        <v>16424</v>
      </c>
      <c r="E57" s="749">
        <f t="shared" ca="1" si="72"/>
        <v>18959</v>
      </c>
      <c r="F57" s="749">
        <f t="shared" ca="1" si="72"/>
        <v>16704</v>
      </c>
      <c r="G57" s="749">
        <f t="shared" ca="1" si="72"/>
        <v>10764</v>
      </c>
      <c r="H57" s="749">
        <f t="shared" ca="1" si="72"/>
        <v>44753</v>
      </c>
      <c r="I57" s="750">
        <f t="shared" ca="1" si="71"/>
        <v>11188.25</v>
      </c>
      <c r="J57" s="868" t="str">
        <f t="shared" ref="J57:J113" ca="1" si="73">IF(AND(C57&gt;0,SUM(D57:I57)&gt;0),"",IF(AND(C57=0,SUM(C57:I57)=0),"",IF(AND(C57=0,D57&gt;0),"Missing value?",IF(AND(C57=0,I57&gt;0),"Missing value?","New category"))))</f>
        <v>Missing value?</v>
      </c>
      <c r="K57" s="809"/>
      <c r="L57" s="869"/>
      <c r="M57" s="870"/>
      <c r="N57" s="754"/>
      <c r="O57" s="755">
        <f t="shared" ca="1" si="51"/>
        <v>-1</v>
      </c>
      <c r="P57" s="756">
        <f t="shared" ref="P57:P113" ca="1" si="74">IF(OR(+$J57="missing?",+$J57="new category"),"",IF($E57=0,"",IF(SUM($C57:$I57)=0,"",IFERROR((($C57-$E57)/$E57),"N/A"))))</f>
        <v>-1</v>
      </c>
      <c r="Q57" s="756">
        <f t="shared" ref="Q57:Q113" ca="1" si="75">IF(OR(+$J57="missing?",+$J57="new category"),"",IF($F57=0,"",IF(SUM($C57:$I57)=0,"",IFERROR((($C57-$F57)/$F57),"N/A"))))</f>
        <v>-1</v>
      </c>
      <c r="R57" s="756">
        <f t="shared" ca="1" si="11"/>
        <v>-1</v>
      </c>
      <c r="S57" s="757">
        <f t="shared" ca="1" si="12"/>
        <v>-1</v>
      </c>
      <c r="T57" s="1066">
        <f t="shared" ref="T57:T113" ca="1" si="76">IF(SUM(C57:I57)=0,"",IF(OR(AND(C57=0,SUM(D57:I57)&gt;0),AND(C57&gt;0,SUM(D57:I57)=0)),1,IF(MAX(IF(O57&lt;0,-O57,O57),IF(P57&lt;0,-P57,P57),IF(Q57&lt;0,-Q57,Q57),IF(R57&lt;0,-R57,R57),IF(S57&lt;0,-S57,S57))=0,"",MAX(IF(O57&lt;0,-O57,O57),IF(P57&lt;0,-P57,P57),IF(Q57&lt;0,-Q57,Q57),IF(R57&lt;0,-R57,R57),IF(S57&lt;0,-S57,S57)))))</f>
        <v>1</v>
      </c>
      <c r="U57" s="1166" t="str">
        <f t="shared" ref="U57:U77" ca="1" si="77">IF(+T57="","",IF(T57&gt;L$3,"H",IF(T57&gt;L$4,"M","")))</f>
        <v>H</v>
      </c>
      <c r="V57" s="1350">
        <f t="shared" ref="V57:X77" ca="1" si="78">INDEX(INDIRECT(CONCATENATE("'",V$14,"'!$F$65:$F$85"),TRUE),MATCH($B57,INDIRECT(CONCATENATE("'",V$14,"'!$C$65:$C$85"),TRUE),0))</f>
        <v>0</v>
      </c>
      <c r="W57" s="1350">
        <f t="shared" ca="1" si="78"/>
        <v>2.5245330400000001</v>
      </c>
      <c r="X57" s="1350">
        <f t="shared" ca="1" si="78"/>
        <v>6.9658044500000003</v>
      </c>
      <c r="Y57" s="1067">
        <f ca="1">IF(V57=0,IF(W57&gt;0, W57/L$8, IF(X57&gt;0,X57/L$10, "")), IF(T57="", "", V57/L$7*T57))</f>
        <v>4.7084754927138338E-5</v>
      </c>
      <c r="Z57" s="1166" t="str">
        <f t="shared" ref="Z57:Z77" ca="1" si="79">IF(+Y57="","",IF(Y57&gt;L$3,"H",IF(Y57&gt;L$4,"M","")))</f>
        <v/>
      </c>
      <c r="AA57" s="751"/>
      <c r="AB57" s="871" t="str">
        <f ca="1">IF((CONCATENATE(IF(K57="OK","",J57), "    ",IF(L57="","",IF(N57="OK","",CONCATENATE(M57," = ",ROUND(L57,3),"kgCO2e/kWh"))),"    ",IF(AND(+AA57="",Z57="M"),"Value change with medium impact",IF(AND(AA57="",Z57="H"),"Value change with high impact",""))," "))="         ","",(CONCATENATE(IF(K57="OK","",J57), "    ",IF(L57="","",IF(N57="OK","",CONCATENATE(M57," = ",ROUND(L57,3),"kgCO2e/kWh"))),"    ",IF(AND(+AA57="",Z57="M"),"Value change with medium impact",IF(AND(AA57="",Z57="H"),"Value change with high impact",""))," ")))</f>
        <v xml:space="preserve">Missing value?         </v>
      </c>
      <c r="AC57" s="50"/>
      <c r="AD57" s="50"/>
      <c r="AE57" s="50"/>
      <c r="AF57" s="50"/>
      <c r="AG57" s="50"/>
      <c r="AH57" s="50"/>
      <c r="AI57" s="50"/>
      <c r="AJ57" s="50"/>
      <c r="AK57" s="50"/>
      <c r="AL57" s="50"/>
      <c r="AM57" s="50"/>
      <c r="AN57" s="50"/>
      <c r="AO57" s="50"/>
      <c r="AP57" s="50"/>
      <c r="AQ57" s="50"/>
      <c r="AR57" s="50"/>
      <c r="AS57" s="50"/>
      <c r="AT57" s="50"/>
      <c r="AU57" s="50"/>
      <c r="AV57" s="50"/>
      <c r="AW57" s="50"/>
      <c r="AX57" s="50"/>
      <c r="AY57" s="50"/>
      <c r="AZ57" s="50"/>
      <c r="BA57" s="50"/>
      <c r="BB57" s="50"/>
      <c r="BC57" s="50"/>
    </row>
    <row r="58" spans="1:55" ht="12.75" customHeight="1" x14ac:dyDescent="0.3">
      <c r="A58" s="2236"/>
      <c r="B58" s="747" t="str">
        <f>'Q1'!C66</f>
        <v>Medium petrol car, 1.4 - 2.0 l</v>
      </c>
      <c r="C58" s="1262">
        <f t="shared" ca="1" si="72"/>
        <v>0</v>
      </c>
      <c r="D58" s="768">
        <f t="shared" ca="1" si="72"/>
        <v>0</v>
      </c>
      <c r="E58" s="769">
        <f t="shared" ca="1" si="72"/>
        <v>0</v>
      </c>
      <c r="F58" s="769">
        <f t="shared" ca="1" si="72"/>
        <v>0</v>
      </c>
      <c r="G58" s="769">
        <f t="shared" ca="1" si="72"/>
        <v>0</v>
      </c>
      <c r="H58" s="769">
        <f t="shared" ca="1" si="72"/>
        <v>0</v>
      </c>
      <c r="I58" s="770">
        <f t="shared" ca="1" si="71"/>
        <v>0</v>
      </c>
      <c r="J58" s="872" t="str">
        <f t="shared" ca="1" si="73"/>
        <v/>
      </c>
      <c r="K58" s="782"/>
      <c r="L58" s="873"/>
      <c r="M58" s="874"/>
      <c r="N58" s="775"/>
      <c r="O58" s="776" t="str">
        <f t="shared" ca="1" si="51"/>
        <v/>
      </c>
      <c r="P58" s="777" t="str">
        <f t="shared" ca="1" si="74"/>
        <v/>
      </c>
      <c r="Q58" s="777" t="str">
        <f t="shared" ca="1" si="75"/>
        <v/>
      </c>
      <c r="R58" s="777" t="str">
        <f t="shared" ca="1" si="11"/>
        <v/>
      </c>
      <c r="S58" s="778" t="str">
        <f t="shared" ca="1" si="12"/>
        <v/>
      </c>
      <c r="T58" s="1066" t="str">
        <f t="shared" ca="1" si="76"/>
        <v/>
      </c>
      <c r="U58" s="1165" t="str">
        <f t="shared" ca="1" si="77"/>
        <v/>
      </c>
      <c r="V58" s="1350">
        <f t="shared" ca="1" si="78"/>
        <v>0</v>
      </c>
      <c r="W58" s="1350">
        <f t="shared" ca="1" si="78"/>
        <v>0</v>
      </c>
      <c r="X58" s="1350">
        <f t="shared" ca="1" si="78"/>
        <v>0</v>
      </c>
      <c r="Y58" s="1067" t="str">
        <f t="shared" ref="Y58:Y77" ca="1" si="80">IF(V58=0,IF(W58&gt;0, W58/L$8, IF(X58&gt;0,X58/L$10, "")), IF(T58="", "", V58/L$7*T58))</f>
        <v/>
      </c>
      <c r="Z58" s="1165" t="str">
        <f t="shared" ca="1" si="79"/>
        <v/>
      </c>
      <c r="AA58" s="772"/>
      <c r="AB58" s="871" t="str">
        <f t="shared" ref="AB58:AB77" ca="1" si="81">IF((CONCATENATE(IF(K58="OK","",J58), "    ",IF(L58="","",IF(N58="OK","",CONCATENATE(M58," = ",ROUND(L58,3),"kgCO2e/kWh"))),"    ",IF(AND(+AA58="",Z58="M"),"Value change with medium impact",IF(AND(AA58="",Z58="H"),"Value change with high impact",""))," "))="         ","",(CONCATENATE(IF(K58="OK","",J58), "    ",IF(L58="","",IF(N58="OK","",CONCATENATE(M58," = ",ROUND(L58,3),"kgCO2e/kWh"))),"    ",IF(AND(+AA58="",Z58="M"),"Value change with medium impact",IF(AND(AA58="",Z58="H"),"Value change with high impact",""))," ")))</f>
        <v/>
      </c>
      <c r="AC58" s="50"/>
      <c r="AD58" s="50"/>
      <c r="AE58" s="50"/>
      <c r="AF58" s="50"/>
      <c r="AG58" s="50"/>
      <c r="AH58" s="50"/>
      <c r="AI58" s="50"/>
      <c r="AJ58" s="50"/>
      <c r="AK58" s="50"/>
      <c r="AL58" s="50"/>
      <c r="AM58" s="50"/>
      <c r="AN58" s="50"/>
      <c r="AO58" s="50"/>
      <c r="AP58" s="50"/>
      <c r="AQ58" s="50"/>
      <c r="AR58" s="50"/>
      <c r="AS58" s="50"/>
      <c r="AT58" s="50"/>
      <c r="AU58" s="50"/>
      <c r="AV58" s="50"/>
      <c r="AW58" s="50"/>
      <c r="AX58" s="50"/>
      <c r="AY58" s="50"/>
      <c r="AZ58" s="50"/>
      <c r="BA58" s="50"/>
      <c r="BB58" s="50"/>
      <c r="BC58" s="50"/>
    </row>
    <row r="59" spans="1:55" ht="12.75" customHeight="1" x14ac:dyDescent="0.3">
      <c r="A59" s="2236"/>
      <c r="B59" s="747" t="str">
        <f>'Q1'!C67</f>
        <v>Large petrol car, &gt;2.0 l</v>
      </c>
      <c r="C59" s="1262">
        <f t="shared" ca="1" si="72"/>
        <v>0</v>
      </c>
      <c r="D59" s="768">
        <f t="shared" ca="1" si="72"/>
        <v>0</v>
      </c>
      <c r="E59" s="769">
        <f t="shared" ca="1" si="72"/>
        <v>0</v>
      </c>
      <c r="F59" s="769">
        <f t="shared" ca="1" si="72"/>
        <v>0</v>
      </c>
      <c r="G59" s="769">
        <f t="shared" ca="1" si="72"/>
        <v>0</v>
      </c>
      <c r="H59" s="769">
        <f t="shared" ca="1" si="72"/>
        <v>0</v>
      </c>
      <c r="I59" s="770">
        <f t="shared" ca="1" si="71"/>
        <v>0</v>
      </c>
      <c r="J59" s="872" t="str">
        <f t="shared" ca="1" si="73"/>
        <v/>
      </c>
      <c r="K59" s="782"/>
      <c r="L59" s="873"/>
      <c r="M59" s="874"/>
      <c r="N59" s="775"/>
      <c r="O59" s="776" t="str">
        <f t="shared" ca="1" si="51"/>
        <v/>
      </c>
      <c r="P59" s="777" t="str">
        <f t="shared" ca="1" si="74"/>
        <v/>
      </c>
      <c r="Q59" s="777" t="str">
        <f t="shared" ca="1" si="75"/>
        <v/>
      </c>
      <c r="R59" s="777" t="str">
        <f t="shared" ca="1" si="11"/>
        <v/>
      </c>
      <c r="S59" s="778" t="str">
        <f t="shared" ca="1" si="12"/>
        <v/>
      </c>
      <c r="T59" s="1066" t="str">
        <f t="shared" ca="1" si="76"/>
        <v/>
      </c>
      <c r="U59" s="1165" t="str">
        <f t="shared" ca="1" si="77"/>
        <v/>
      </c>
      <c r="V59" s="1350">
        <f t="shared" ca="1" si="78"/>
        <v>0</v>
      </c>
      <c r="W59" s="1350">
        <f t="shared" ca="1" si="78"/>
        <v>0</v>
      </c>
      <c r="X59" s="1350">
        <f t="shared" ca="1" si="78"/>
        <v>0</v>
      </c>
      <c r="Y59" s="1067" t="str">
        <f t="shared" ca="1" si="80"/>
        <v/>
      </c>
      <c r="Z59" s="1165" t="str">
        <f t="shared" ca="1" si="79"/>
        <v/>
      </c>
      <c r="AA59" s="772"/>
      <c r="AB59" s="871" t="str">
        <f t="shared" ca="1" si="81"/>
        <v/>
      </c>
      <c r="AC59" s="50"/>
      <c r="AD59" s="50"/>
      <c r="AE59" s="50"/>
      <c r="AF59" s="50"/>
      <c r="AG59" s="50"/>
      <c r="AH59" s="50"/>
      <c r="AI59" s="50"/>
      <c r="AJ59" s="50"/>
      <c r="AK59" s="50"/>
      <c r="AL59" s="50"/>
      <c r="AM59" s="50"/>
      <c r="AN59" s="50"/>
      <c r="AO59" s="50"/>
      <c r="AP59" s="50"/>
      <c r="AQ59" s="50"/>
      <c r="AR59" s="50"/>
      <c r="AS59" s="50"/>
      <c r="AT59" s="50"/>
      <c r="AU59" s="50"/>
      <c r="AV59" s="50"/>
      <c r="AW59" s="50"/>
      <c r="AX59" s="50"/>
      <c r="AY59" s="50"/>
      <c r="AZ59" s="50"/>
      <c r="BA59" s="50"/>
      <c r="BB59" s="50"/>
      <c r="BC59" s="50"/>
    </row>
    <row r="60" spans="1:55" ht="12.75" customHeight="1" x14ac:dyDescent="0.3">
      <c r="A60" s="2236"/>
      <c r="B60" s="747" t="str">
        <f>'Q1'!C68</f>
        <v>Average petrol car</v>
      </c>
      <c r="C60" s="1262">
        <f t="shared" ca="1" si="72"/>
        <v>0</v>
      </c>
      <c r="D60" s="768">
        <f t="shared" ca="1" si="72"/>
        <v>0</v>
      </c>
      <c r="E60" s="769">
        <f t="shared" ca="1" si="72"/>
        <v>0</v>
      </c>
      <c r="F60" s="769">
        <f t="shared" ca="1" si="72"/>
        <v>0</v>
      </c>
      <c r="G60" s="769">
        <f t="shared" ca="1" si="72"/>
        <v>0</v>
      </c>
      <c r="H60" s="769">
        <f t="shared" ca="1" si="72"/>
        <v>0</v>
      </c>
      <c r="I60" s="770">
        <f t="shared" ca="1" si="71"/>
        <v>0</v>
      </c>
      <c r="J60" s="872" t="str">
        <f t="shared" ca="1" si="73"/>
        <v/>
      </c>
      <c r="K60" s="782"/>
      <c r="L60" s="873"/>
      <c r="M60" s="874"/>
      <c r="N60" s="775"/>
      <c r="O60" s="776" t="str">
        <f t="shared" ca="1" si="51"/>
        <v/>
      </c>
      <c r="P60" s="777" t="str">
        <f t="shared" ca="1" si="74"/>
        <v/>
      </c>
      <c r="Q60" s="777" t="str">
        <f t="shared" ca="1" si="75"/>
        <v/>
      </c>
      <c r="R60" s="777" t="str">
        <f t="shared" ca="1" si="11"/>
        <v/>
      </c>
      <c r="S60" s="778" t="str">
        <f t="shared" ca="1" si="12"/>
        <v/>
      </c>
      <c r="T60" s="1066" t="str">
        <f t="shared" ca="1" si="76"/>
        <v/>
      </c>
      <c r="U60" s="1165" t="str">
        <f t="shared" ca="1" si="77"/>
        <v/>
      </c>
      <c r="V60" s="1350">
        <f t="shared" ca="1" si="78"/>
        <v>0</v>
      </c>
      <c r="W60" s="1350">
        <f t="shared" ca="1" si="78"/>
        <v>0</v>
      </c>
      <c r="X60" s="1350">
        <f t="shared" ca="1" si="78"/>
        <v>0</v>
      </c>
      <c r="Y60" s="1067" t="str">
        <f t="shared" ca="1" si="80"/>
        <v/>
      </c>
      <c r="Z60" s="1165" t="str">
        <f t="shared" ca="1" si="79"/>
        <v/>
      </c>
      <c r="AA60" s="772"/>
      <c r="AB60" s="871" t="str">
        <f t="shared" ca="1" si="81"/>
        <v/>
      </c>
      <c r="AC60" s="50"/>
      <c r="AD60" s="50"/>
      <c r="AE60" s="50"/>
      <c r="AF60" s="50"/>
      <c r="AG60" s="50"/>
      <c r="AH60" s="50"/>
      <c r="AI60" s="50"/>
      <c r="AJ60" s="50"/>
      <c r="AK60" s="50"/>
      <c r="AL60" s="50"/>
      <c r="AM60" s="50"/>
      <c r="AN60" s="50"/>
      <c r="AO60" s="50"/>
      <c r="AP60" s="50"/>
      <c r="AQ60" s="50"/>
      <c r="AR60" s="50"/>
      <c r="AS60" s="50"/>
      <c r="AT60" s="50"/>
      <c r="AU60" s="50"/>
      <c r="AV60" s="50"/>
      <c r="AW60" s="50"/>
      <c r="AX60" s="50"/>
      <c r="AY60" s="50"/>
      <c r="AZ60" s="50"/>
      <c r="BA60" s="50"/>
      <c r="BB60" s="50"/>
      <c r="BC60" s="50"/>
    </row>
    <row r="61" spans="1:55" ht="12.75" customHeight="1" x14ac:dyDescent="0.3">
      <c r="A61" s="2236"/>
      <c r="B61" s="747" t="str">
        <f>'Q1'!C69</f>
        <v>Small diesel car, up to 1.7 l</v>
      </c>
      <c r="C61" s="1262">
        <f t="shared" ca="1" si="72"/>
        <v>0</v>
      </c>
      <c r="D61" s="768">
        <f t="shared" ca="1" si="72"/>
        <v>929097</v>
      </c>
      <c r="E61" s="769">
        <f t="shared" ca="1" si="72"/>
        <v>995648</v>
      </c>
      <c r="F61" s="769">
        <f t="shared" ca="1" si="72"/>
        <v>1115679</v>
      </c>
      <c r="G61" s="769">
        <f t="shared" ca="1" si="72"/>
        <v>1172655</v>
      </c>
      <c r="H61" s="769">
        <f t="shared" ca="1" si="72"/>
        <v>4785429</v>
      </c>
      <c r="I61" s="770">
        <f t="shared" ca="1" si="71"/>
        <v>1196357.25</v>
      </c>
      <c r="J61" s="872" t="str">
        <f t="shared" ca="1" si="73"/>
        <v>Missing value?</v>
      </c>
      <c r="K61" s="782"/>
      <c r="L61" s="873"/>
      <c r="M61" s="874"/>
      <c r="N61" s="775"/>
      <c r="O61" s="776">
        <f t="shared" ca="1" si="51"/>
        <v>-1</v>
      </c>
      <c r="P61" s="777">
        <f t="shared" ca="1" si="74"/>
        <v>-1</v>
      </c>
      <c r="Q61" s="777">
        <f t="shared" ca="1" si="75"/>
        <v>-1</v>
      </c>
      <c r="R61" s="777">
        <f t="shared" ca="1" si="11"/>
        <v>-1</v>
      </c>
      <c r="S61" s="778">
        <f t="shared" ca="1" si="12"/>
        <v>-1</v>
      </c>
      <c r="T61" s="1066">
        <f t="shared" ca="1" si="76"/>
        <v>1</v>
      </c>
      <c r="U61" s="1165" t="str">
        <f t="shared" ca="1" si="77"/>
        <v>H</v>
      </c>
      <c r="V61" s="1350">
        <f t="shared" ca="1" si="78"/>
        <v>0</v>
      </c>
      <c r="W61" s="1350">
        <f t="shared" ca="1" si="78"/>
        <v>132.00610176000001</v>
      </c>
      <c r="X61" s="1350">
        <f t="shared" ca="1" si="78"/>
        <v>695.46639657000003</v>
      </c>
      <c r="Y61" s="1067">
        <f t="shared" ca="1" si="80"/>
        <v>2.4620295523074178E-3</v>
      </c>
      <c r="Z61" s="1165" t="str">
        <f t="shared" ca="1" si="79"/>
        <v>M</v>
      </c>
      <c r="AA61" s="772"/>
      <c r="AB61" s="871" t="str">
        <f t="shared" ca="1" si="81"/>
        <v xml:space="preserve">Missing value?        Value change with medium impact </v>
      </c>
      <c r="AC61" s="50"/>
      <c r="AD61" s="50"/>
      <c r="AE61" s="50"/>
      <c r="AF61" s="50"/>
      <c r="AG61" s="50"/>
      <c r="AH61" s="50"/>
      <c r="AI61" s="50"/>
      <c r="AJ61" s="50"/>
      <c r="AK61" s="50"/>
      <c r="AL61" s="50"/>
      <c r="AM61" s="50"/>
      <c r="AN61" s="50"/>
      <c r="AO61" s="50"/>
      <c r="AP61" s="50"/>
      <c r="AQ61" s="50"/>
      <c r="AR61" s="50"/>
      <c r="AS61" s="50"/>
      <c r="AT61" s="50"/>
      <c r="AU61" s="50"/>
      <c r="AV61" s="50"/>
      <c r="AW61" s="50"/>
      <c r="AX61" s="50"/>
      <c r="AY61" s="50"/>
      <c r="AZ61" s="50"/>
      <c r="BA61" s="50"/>
      <c r="BB61" s="50"/>
      <c r="BC61" s="50"/>
    </row>
    <row r="62" spans="1:55" ht="12.75" customHeight="1" x14ac:dyDescent="0.3">
      <c r="A62" s="2236"/>
      <c r="B62" s="747" t="str">
        <f>'Q1'!C70</f>
        <v>Medium diesel car, 1.7 - 2.0 l</v>
      </c>
      <c r="C62" s="1262">
        <f t="shared" ca="1" si="72"/>
        <v>0</v>
      </c>
      <c r="D62" s="768">
        <f t="shared" ca="1" si="72"/>
        <v>280987</v>
      </c>
      <c r="E62" s="769">
        <f t="shared" ca="1" si="72"/>
        <v>338654</v>
      </c>
      <c r="F62" s="769">
        <f t="shared" ca="1" si="72"/>
        <v>364905</v>
      </c>
      <c r="G62" s="769">
        <f t="shared" ca="1" si="72"/>
        <v>341109</v>
      </c>
      <c r="H62" s="769">
        <f t="shared" ca="1" si="72"/>
        <v>1234277</v>
      </c>
      <c r="I62" s="770">
        <f t="shared" ca="1" si="71"/>
        <v>308569.25</v>
      </c>
      <c r="J62" s="872" t="str">
        <f t="shared" ca="1" si="73"/>
        <v>Missing value?</v>
      </c>
      <c r="K62" s="782"/>
      <c r="L62" s="873"/>
      <c r="M62" s="874"/>
      <c r="N62" s="775"/>
      <c r="O62" s="776">
        <f t="shared" ca="1" si="51"/>
        <v>-1</v>
      </c>
      <c r="P62" s="777">
        <f t="shared" ca="1" si="74"/>
        <v>-1</v>
      </c>
      <c r="Q62" s="777">
        <f t="shared" ca="1" si="75"/>
        <v>-1</v>
      </c>
      <c r="R62" s="777">
        <f t="shared" ca="1" si="11"/>
        <v>-1</v>
      </c>
      <c r="S62" s="778">
        <f t="shared" ca="1" si="12"/>
        <v>-1</v>
      </c>
      <c r="T62" s="1066">
        <f t="shared" ca="1" si="76"/>
        <v>1</v>
      </c>
      <c r="U62" s="1165" t="str">
        <f t="shared" ca="1" si="77"/>
        <v>H</v>
      </c>
      <c r="V62" s="1350">
        <f t="shared" ca="1" si="78"/>
        <v>0</v>
      </c>
      <c r="W62" s="1350">
        <f t="shared" ca="1" si="78"/>
        <v>47.939192070000004</v>
      </c>
      <c r="X62" s="1350">
        <f t="shared" ca="1" si="78"/>
        <v>214.18408780999999</v>
      </c>
      <c r="Y62" s="1067">
        <f t="shared" ca="1" si="80"/>
        <v>8.9410796937756205E-4</v>
      </c>
      <c r="Z62" s="1165" t="str">
        <f t="shared" ca="1" si="79"/>
        <v/>
      </c>
      <c r="AA62" s="772"/>
      <c r="AB62" s="871" t="str">
        <f t="shared" ca="1" si="81"/>
        <v xml:space="preserve">Missing value?         </v>
      </c>
      <c r="AC62" s="50"/>
      <c r="AD62" s="50"/>
      <c r="AE62" s="50"/>
      <c r="AF62" s="50"/>
      <c r="AG62" s="50"/>
      <c r="AH62" s="50"/>
      <c r="AI62" s="50"/>
      <c r="AJ62" s="50"/>
      <c r="AK62" s="50"/>
      <c r="AL62" s="50"/>
      <c r="AM62" s="50"/>
      <c r="AN62" s="50"/>
      <c r="AO62" s="50"/>
      <c r="AP62" s="50"/>
      <c r="AQ62" s="50"/>
      <c r="AR62" s="50"/>
      <c r="AS62" s="50"/>
      <c r="AT62" s="50"/>
      <c r="AU62" s="50"/>
      <c r="AV62" s="50"/>
      <c r="AW62" s="50"/>
      <c r="AX62" s="50"/>
      <c r="AY62" s="50"/>
      <c r="AZ62" s="50"/>
      <c r="BA62" s="50"/>
      <c r="BB62" s="50"/>
      <c r="BC62" s="50"/>
    </row>
    <row r="63" spans="1:55" ht="12.75" customHeight="1" x14ac:dyDescent="0.3">
      <c r="A63" s="2236"/>
      <c r="B63" s="747" t="str">
        <f>'Q1'!C71</f>
        <v>Large diesel car, &gt;2.0 l</v>
      </c>
      <c r="C63" s="1262">
        <f t="shared" ca="1" si="72"/>
        <v>0</v>
      </c>
      <c r="D63" s="768">
        <f t="shared" ca="1" si="72"/>
        <v>4704.49</v>
      </c>
      <c r="E63" s="769">
        <f t="shared" ca="1" si="72"/>
        <v>4775</v>
      </c>
      <c r="F63" s="769">
        <f t="shared" ca="1" si="72"/>
        <v>9625</v>
      </c>
      <c r="G63" s="769">
        <f t="shared" ca="1" si="72"/>
        <v>8992</v>
      </c>
      <c r="H63" s="769">
        <f t="shared" ca="1" si="72"/>
        <v>40471</v>
      </c>
      <c r="I63" s="770">
        <f t="shared" ca="1" si="71"/>
        <v>10117.75</v>
      </c>
      <c r="J63" s="872" t="str">
        <f t="shared" ca="1" si="73"/>
        <v>Missing value?</v>
      </c>
      <c r="K63" s="782"/>
      <c r="L63" s="873"/>
      <c r="M63" s="874"/>
      <c r="N63" s="775"/>
      <c r="O63" s="776">
        <f t="shared" ca="1" si="51"/>
        <v>-1</v>
      </c>
      <c r="P63" s="777">
        <f t="shared" ca="1" si="74"/>
        <v>-1</v>
      </c>
      <c r="Q63" s="777">
        <f t="shared" ca="1" si="75"/>
        <v>-1</v>
      </c>
      <c r="R63" s="777">
        <f t="shared" ca="1" si="11"/>
        <v>-1</v>
      </c>
      <c r="S63" s="778">
        <f t="shared" ca="1" si="12"/>
        <v>-1</v>
      </c>
      <c r="T63" s="1066">
        <f t="shared" ca="1" si="76"/>
        <v>1</v>
      </c>
      <c r="U63" s="1165" t="str">
        <f t="shared" ca="1" si="77"/>
        <v>H</v>
      </c>
      <c r="V63" s="1350">
        <f t="shared" ca="1" si="78"/>
        <v>0</v>
      </c>
      <c r="W63" s="1350">
        <f t="shared" ca="1" si="78"/>
        <v>0.98544952029999988</v>
      </c>
      <c r="X63" s="1350">
        <f t="shared" ca="1" si="78"/>
        <v>8.7093592000000015</v>
      </c>
      <c r="Y63" s="1067">
        <f t="shared" ca="1" si="80"/>
        <v>1.8379497681833283E-5</v>
      </c>
      <c r="Z63" s="1165" t="str">
        <f t="shared" ca="1" si="79"/>
        <v/>
      </c>
      <c r="AA63" s="772"/>
      <c r="AB63" s="871" t="str">
        <f t="shared" ca="1" si="81"/>
        <v xml:space="preserve">Missing value?         </v>
      </c>
      <c r="AC63" s="50"/>
      <c r="AD63" s="50"/>
      <c r="AE63" s="50"/>
      <c r="AF63" s="50"/>
      <c r="AG63" s="50"/>
      <c r="AH63" s="50"/>
      <c r="AI63" s="50"/>
      <c r="AJ63" s="50"/>
      <c r="AK63" s="50"/>
      <c r="AL63" s="50"/>
      <c r="AM63" s="50"/>
      <c r="AN63" s="50"/>
      <c r="AO63" s="50"/>
      <c r="AP63" s="50"/>
      <c r="AQ63" s="50"/>
      <c r="AR63" s="50"/>
      <c r="AS63" s="50"/>
      <c r="AT63" s="50"/>
      <c r="AU63" s="50"/>
      <c r="AV63" s="50"/>
      <c r="AW63" s="50"/>
      <c r="AX63" s="50"/>
      <c r="AY63" s="50"/>
      <c r="AZ63" s="50"/>
      <c r="BA63" s="50"/>
      <c r="BB63" s="50"/>
      <c r="BC63" s="50"/>
    </row>
    <row r="64" spans="1:55" ht="12.75" customHeight="1" x14ac:dyDescent="0.3">
      <c r="A64" s="2236"/>
      <c r="B64" s="747" t="str">
        <f>'Q1'!C72</f>
        <v>Average diesel car</v>
      </c>
      <c r="C64" s="1262">
        <f t="shared" ca="1" si="72"/>
        <v>0</v>
      </c>
      <c r="D64" s="768">
        <f t="shared" ca="1" si="72"/>
        <v>0</v>
      </c>
      <c r="E64" s="769">
        <f t="shared" ca="1" si="72"/>
        <v>0</v>
      </c>
      <c r="F64" s="769">
        <f t="shared" ca="1" si="72"/>
        <v>0</v>
      </c>
      <c r="G64" s="769">
        <f t="shared" ca="1" si="72"/>
        <v>0</v>
      </c>
      <c r="H64" s="769">
        <f t="shared" ca="1" si="72"/>
        <v>0</v>
      </c>
      <c r="I64" s="770">
        <f t="shared" ca="1" si="71"/>
        <v>0</v>
      </c>
      <c r="J64" s="872" t="str">
        <f t="shared" ca="1" si="73"/>
        <v/>
      </c>
      <c r="K64" s="782"/>
      <c r="L64" s="873"/>
      <c r="M64" s="874"/>
      <c r="N64" s="775"/>
      <c r="O64" s="776" t="str">
        <f t="shared" ca="1" si="51"/>
        <v/>
      </c>
      <c r="P64" s="777" t="str">
        <f t="shared" ca="1" si="74"/>
        <v/>
      </c>
      <c r="Q64" s="777" t="str">
        <f t="shared" ca="1" si="75"/>
        <v/>
      </c>
      <c r="R64" s="777" t="str">
        <f t="shared" ca="1" si="11"/>
        <v/>
      </c>
      <c r="S64" s="778" t="str">
        <f t="shared" ca="1" si="12"/>
        <v/>
      </c>
      <c r="T64" s="1066" t="str">
        <f t="shared" ca="1" si="76"/>
        <v/>
      </c>
      <c r="U64" s="1165" t="str">
        <f t="shared" ca="1" si="77"/>
        <v/>
      </c>
      <c r="V64" s="1350">
        <f t="shared" ca="1" si="78"/>
        <v>0</v>
      </c>
      <c r="W64" s="1350">
        <f t="shared" ca="1" si="78"/>
        <v>0</v>
      </c>
      <c r="X64" s="1350">
        <f t="shared" ca="1" si="78"/>
        <v>0</v>
      </c>
      <c r="Y64" s="1067" t="str">
        <f t="shared" ca="1" si="80"/>
        <v/>
      </c>
      <c r="Z64" s="1165" t="str">
        <f t="shared" ca="1" si="79"/>
        <v/>
      </c>
      <c r="AA64" s="772"/>
      <c r="AB64" s="871" t="str">
        <f t="shared" ca="1" si="81"/>
        <v/>
      </c>
      <c r="AC64" s="50"/>
      <c r="AD64" s="50"/>
      <c r="AE64" s="50"/>
      <c r="AF64" s="50"/>
      <c r="AG64" s="50"/>
      <c r="AH64" s="50"/>
      <c r="AI64" s="50"/>
      <c r="AJ64" s="50"/>
      <c r="AK64" s="50"/>
      <c r="AL64" s="50"/>
      <c r="AM64" s="50"/>
      <c r="AN64" s="50"/>
      <c r="AO64" s="50"/>
      <c r="AP64" s="50"/>
      <c r="AQ64" s="50"/>
      <c r="AR64" s="50"/>
      <c r="AS64" s="50"/>
      <c r="AT64" s="50"/>
      <c r="AU64" s="50"/>
      <c r="AV64" s="50"/>
      <c r="AW64" s="50"/>
      <c r="AX64" s="50"/>
      <c r="AY64" s="50"/>
      <c r="AZ64" s="50"/>
      <c r="BA64" s="50"/>
      <c r="BB64" s="50"/>
      <c r="BC64" s="50"/>
    </row>
    <row r="65" spans="1:55" ht="12.75" customHeight="1" x14ac:dyDescent="0.3">
      <c r="A65" s="2236"/>
      <c r="B65" s="747" t="str">
        <f>'Q1'!C73</f>
        <v>Hybrid - Medium</v>
      </c>
      <c r="C65" s="1262">
        <f t="shared" ca="1" si="72"/>
        <v>0</v>
      </c>
      <c r="D65" s="768">
        <f t="shared" ca="1" si="72"/>
        <v>362219</v>
      </c>
      <c r="E65" s="769">
        <f t="shared" ca="1" si="72"/>
        <v>310267</v>
      </c>
      <c r="F65" s="769">
        <f t="shared" ca="1" si="72"/>
        <v>211836</v>
      </c>
      <c r="G65" s="769">
        <f t="shared" ca="1" si="72"/>
        <v>152153</v>
      </c>
      <c r="H65" s="769">
        <f t="shared" ca="1" si="72"/>
        <v>468413</v>
      </c>
      <c r="I65" s="770">
        <f t="shared" ca="1" si="71"/>
        <v>117103.25</v>
      </c>
      <c r="J65" s="872" t="str">
        <f t="shared" ca="1" si="73"/>
        <v>Missing value?</v>
      </c>
      <c r="K65" s="782"/>
      <c r="L65" s="873"/>
      <c r="M65" s="874"/>
      <c r="N65" s="775"/>
      <c r="O65" s="776">
        <f t="shared" ca="1" si="51"/>
        <v>-1</v>
      </c>
      <c r="P65" s="777">
        <f t="shared" ca="1" si="74"/>
        <v>-1</v>
      </c>
      <c r="Q65" s="777">
        <f t="shared" ca="1" si="75"/>
        <v>-1</v>
      </c>
      <c r="R65" s="777">
        <f t="shared" ca="1" si="11"/>
        <v>-1</v>
      </c>
      <c r="S65" s="778">
        <f t="shared" ca="1" si="12"/>
        <v>-1</v>
      </c>
      <c r="T65" s="1066">
        <f t="shared" ca="1" si="76"/>
        <v>1</v>
      </c>
      <c r="U65" s="1165" t="str">
        <f t="shared" ca="1" si="77"/>
        <v>H</v>
      </c>
      <c r="V65" s="1350">
        <f t="shared" ca="1" si="78"/>
        <v>0</v>
      </c>
      <c r="W65" s="1350">
        <f t="shared" ca="1" si="78"/>
        <v>39.463760050000005</v>
      </c>
      <c r="X65" s="1350">
        <f t="shared" ca="1" si="78"/>
        <v>54.045491940000005</v>
      </c>
      <c r="Y65" s="1067">
        <f t="shared" ca="1" si="80"/>
        <v>7.3603373020526711E-4</v>
      </c>
      <c r="Z65" s="1165" t="str">
        <f t="shared" ca="1" si="79"/>
        <v/>
      </c>
      <c r="AA65" s="772"/>
      <c r="AB65" s="871" t="str">
        <f t="shared" ca="1" si="81"/>
        <v xml:space="preserve">Missing value?         </v>
      </c>
      <c r="AC65" s="50"/>
      <c r="AD65" s="50"/>
      <c r="AE65" s="50"/>
      <c r="AF65" s="50"/>
      <c r="AG65" s="50"/>
      <c r="AH65" s="50"/>
      <c r="AI65" s="50"/>
      <c r="AJ65" s="50"/>
      <c r="AK65" s="50"/>
      <c r="AL65" s="50"/>
      <c r="AM65" s="50"/>
      <c r="AN65" s="50"/>
      <c r="AO65" s="50"/>
      <c r="AP65" s="50"/>
      <c r="AQ65" s="50"/>
      <c r="AR65" s="50"/>
      <c r="AS65" s="50"/>
      <c r="AT65" s="50"/>
      <c r="AU65" s="50"/>
      <c r="AV65" s="50"/>
      <c r="AW65" s="50"/>
      <c r="AX65" s="50"/>
      <c r="AY65" s="50"/>
      <c r="AZ65" s="50"/>
      <c r="BA65" s="50"/>
      <c r="BB65" s="50"/>
      <c r="BC65" s="50"/>
    </row>
    <row r="66" spans="1:55" ht="12.75" customHeight="1" x14ac:dyDescent="0.3">
      <c r="A66" s="2236"/>
      <c r="B66" s="747" t="str">
        <f>'Q1'!C74</f>
        <v>Hybrid - Large</v>
      </c>
      <c r="C66" s="1262">
        <f t="shared" ca="1" si="72"/>
        <v>0</v>
      </c>
      <c r="D66" s="768">
        <f t="shared" ca="1" si="72"/>
        <v>0</v>
      </c>
      <c r="E66" s="769">
        <f t="shared" ca="1" si="72"/>
        <v>0</v>
      </c>
      <c r="F66" s="769">
        <f t="shared" ca="1" si="72"/>
        <v>0</v>
      </c>
      <c r="G66" s="769">
        <f t="shared" ca="1" si="72"/>
        <v>0</v>
      </c>
      <c r="H66" s="769">
        <f t="shared" ca="1" si="72"/>
        <v>0</v>
      </c>
      <c r="I66" s="770">
        <f t="shared" ca="1" si="71"/>
        <v>0</v>
      </c>
      <c r="J66" s="872" t="str">
        <f t="shared" ca="1" si="73"/>
        <v/>
      </c>
      <c r="K66" s="782"/>
      <c r="L66" s="873"/>
      <c r="M66" s="874"/>
      <c r="N66" s="775"/>
      <c r="O66" s="776" t="str">
        <f t="shared" ca="1" si="51"/>
        <v/>
      </c>
      <c r="P66" s="777" t="str">
        <f t="shared" ca="1" si="74"/>
        <v/>
      </c>
      <c r="Q66" s="777" t="str">
        <f t="shared" ca="1" si="75"/>
        <v/>
      </c>
      <c r="R66" s="777" t="str">
        <f t="shared" ca="1" si="11"/>
        <v/>
      </c>
      <c r="S66" s="778" t="str">
        <f t="shared" ca="1" si="12"/>
        <v/>
      </c>
      <c r="T66" s="1066" t="str">
        <f t="shared" ca="1" si="76"/>
        <v/>
      </c>
      <c r="U66" s="1165" t="str">
        <f t="shared" ca="1" si="77"/>
        <v/>
      </c>
      <c r="V66" s="1350">
        <f t="shared" ca="1" si="78"/>
        <v>0</v>
      </c>
      <c r="W66" s="1350">
        <f t="shared" ca="1" si="78"/>
        <v>0</v>
      </c>
      <c r="X66" s="1350">
        <f t="shared" ca="1" si="78"/>
        <v>0</v>
      </c>
      <c r="Y66" s="1067" t="str">
        <f t="shared" ca="1" si="80"/>
        <v/>
      </c>
      <c r="Z66" s="1165" t="str">
        <f t="shared" ca="1" si="79"/>
        <v/>
      </c>
      <c r="AA66" s="772"/>
      <c r="AB66" s="871" t="str">
        <f t="shared" ca="1" si="81"/>
        <v/>
      </c>
      <c r="AC66" s="50"/>
      <c r="AD66" s="50"/>
      <c r="AE66" s="50"/>
      <c r="AF66" s="50"/>
      <c r="AG66" s="50"/>
      <c r="AH66" s="50"/>
      <c r="AI66" s="50"/>
      <c r="AJ66" s="50"/>
      <c r="AK66" s="50"/>
      <c r="AL66" s="50"/>
      <c r="AM66" s="50"/>
      <c r="AN66" s="50"/>
      <c r="AO66" s="50"/>
      <c r="AP66" s="50"/>
      <c r="AQ66" s="50"/>
      <c r="AR66" s="50"/>
      <c r="AS66" s="50"/>
      <c r="AT66" s="50"/>
      <c r="AU66" s="50"/>
      <c r="AV66" s="50"/>
      <c r="AW66" s="50"/>
      <c r="AX66" s="50"/>
      <c r="AY66" s="50"/>
      <c r="AZ66" s="50"/>
      <c r="BA66" s="50"/>
      <c r="BB66" s="50"/>
      <c r="BC66" s="50"/>
    </row>
    <row r="67" spans="1:55" ht="12.75" customHeight="1" x14ac:dyDescent="0.3">
      <c r="A67" s="2236"/>
      <c r="B67" s="747" t="str">
        <f>'Q1'!C75</f>
        <v>LPG - Average</v>
      </c>
      <c r="C67" s="1262">
        <f t="shared" ref="C67:H77" ca="1" si="82">INDEX(INDIRECT(CONCATENATE("'",C$14,"'!$D$65:$D$85"),TRUE),MATCH($B67,INDIRECT(CONCATENATE("'",C$14,"'!$C$65:$C$85"),TRUE),0))</f>
        <v>0</v>
      </c>
      <c r="D67" s="768">
        <f t="shared" ca="1" si="82"/>
        <v>0</v>
      </c>
      <c r="E67" s="769">
        <f t="shared" ca="1" si="82"/>
        <v>0</v>
      </c>
      <c r="F67" s="769">
        <f t="shared" ca="1" si="82"/>
        <v>0</v>
      </c>
      <c r="G67" s="769">
        <f t="shared" ca="1" si="82"/>
        <v>0</v>
      </c>
      <c r="H67" s="769">
        <f t="shared" ca="1" si="82"/>
        <v>0</v>
      </c>
      <c r="I67" s="770">
        <f t="shared" ca="1" si="71"/>
        <v>0</v>
      </c>
      <c r="J67" s="872" t="str">
        <f t="shared" ca="1" si="73"/>
        <v/>
      </c>
      <c r="K67" s="782"/>
      <c r="L67" s="873"/>
      <c r="M67" s="874"/>
      <c r="N67" s="775"/>
      <c r="O67" s="776" t="str">
        <f t="shared" ca="1" si="51"/>
        <v/>
      </c>
      <c r="P67" s="777" t="str">
        <f t="shared" ca="1" si="74"/>
        <v/>
      </c>
      <c r="Q67" s="777" t="str">
        <f t="shared" ca="1" si="75"/>
        <v/>
      </c>
      <c r="R67" s="777" t="str">
        <f t="shared" ca="1" si="11"/>
        <v/>
      </c>
      <c r="S67" s="778" t="str">
        <f t="shared" ca="1" si="12"/>
        <v/>
      </c>
      <c r="T67" s="1066" t="str">
        <f t="shared" ca="1" si="76"/>
        <v/>
      </c>
      <c r="U67" s="1165" t="str">
        <f t="shared" ca="1" si="77"/>
        <v/>
      </c>
      <c r="V67" s="1350">
        <f t="shared" ca="1" si="78"/>
        <v>0</v>
      </c>
      <c r="W67" s="1350">
        <f t="shared" ca="1" si="78"/>
        <v>0</v>
      </c>
      <c r="X67" s="1350">
        <f t="shared" ca="1" si="78"/>
        <v>0</v>
      </c>
      <c r="Y67" s="1067" t="str">
        <f t="shared" ca="1" si="80"/>
        <v/>
      </c>
      <c r="Z67" s="1165" t="str">
        <f t="shared" ca="1" si="79"/>
        <v/>
      </c>
      <c r="AA67" s="772"/>
      <c r="AB67" s="871" t="str">
        <f t="shared" ca="1" si="81"/>
        <v/>
      </c>
      <c r="AC67" s="50"/>
      <c r="AD67" s="50"/>
      <c r="AE67" s="50"/>
      <c r="AF67" s="50"/>
      <c r="AG67" s="50"/>
      <c r="AH67" s="50"/>
      <c r="AI67" s="50"/>
      <c r="AJ67" s="50"/>
      <c r="AK67" s="50"/>
      <c r="AL67" s="50"/>
      <c r="AM67" s="50"/>
      <c r="AN67" s="50"/>
      <c r="AO67" s="50"/>
      <c r="AP67" s="50"/>
      <c r="AQ67" s="50"/>
      <c r="AR67" s="50"/>
      <c r="AS67" s="50"/>
      <c r="AT67" s="50"/>
      <c r="AU67" s="50"/>
      <c r="AV67" s="50"/>
      <c r="AW67" s="50"/>
      <c r="AX67" s="50"/>
      <c r="AY67" s="50"/>
      <c r="AZ67" s="50"/>
      <c r="BA67" s="50"/>
      <c r="BB67" s="50"/>
      <c r="BC67" s="50"/>
    </row>
    <row r="68" spans="1:55" ht="12.75" customHeight="1" x14ac:dyDescent="0.3">
      <c r="A68" s="2236"/>
      <c r="B68" s="747" t="str">
        <f>'Q1'!C76</f>
        <v>Unknown - Average</v>
      </c>
      <c r="C68" s="1262">
        <f t="shared" ca="1" si="82"/>
        <v>0</v>
      </c>
      <c r="D68" s="768">
        <f t="shared" ca="1" si="82"/>
        <v>47830</v>
      </c>
      <c r="E68" s="769">
        <f t="shared" ca="1" si="82"/>
        <v>60542</v>
      </c>
      <c r="F68" s="769">
        <f t="shared" ca="1" si="82"/>
        <v>50707</v>
      </c>
      <c r="G68" s="769">
        <f t="shared" ca="1" si="82"/>
        <v>76334</v>
      </c>
      <c r="H68" s="769">
        <f t="shared" ca="1" si="82"/>
        <v>264337</v>
      </c>
      <c r="I68" s="770">
        <f t="shared" ca="1" si="71"/>
        <v>66084.25</v>
      </c>
      <c r="J68" s="872" t="str">
        <f t="shared" ca="1" si="73"/>
        <v>Missing value?</v>
      </c>
      <c r="K68" s="782"/>
      <c r="L68" s="873"/>
      <c r="M68" s="874"/>
      <c r="N68" s="775"/>
      <c r="O68" s="776">
        <f t="shared" ca="1" si="51"/>
        <v>-1</v>
      </c>
      <c r="P68" s="777">
        <f t="shared" ca="1" si="74"/>
        <v>-1</v>
      </c>
      <c r="Q68" s="777">
        <f t="shared" ca="1" si="75"/>
        <v>-1</v>
      </c>
      <c r="R68" s="777">
        <f t="shared" ca="1" si="11"/>
        <v>-1</v>
      </c>
      <c r="S68" s="778">
        <f t="shared" ca="1" si="12"/>
        <v>-1</v>
      </c>
      <c r="T68" s="1066">
        <f t="shared" ca="1" si="76"/>
        <v>1</v>
      </c>
      <c r="U68" s="1165" t="str">
        <f t="shared" ca="1" si="77"/>
        <v>H</v>
      </c>
      <c r="V68" s="1350">
        <f t="shared" ca="1" si="78"/>
        <v>0</v>
      </c>
      <c r="W68" s="1350">
        <f t="shared" ca="1" si="78"/>
        <v>8.4706930000000007</v>
      </c>
      <c r="X68" s="1350">
        <f t="shared" ca="1" si="78"/>
        <v>47.749835679999997</v>
      </c>
      <c r="Y68" s="1067">
        <f t="shared" ca="1" si="80"/>
        <v>1.5798585229370824E-4</v>
      </c>
      <c r="Z68" s="1165" t="str">
        <f t="shared" ca="1" si="79"/>
        <v/>
      </c>
      <c r="AA68" s="772"/>
      <c r="AB68" s="871" t="str">
        <f t="shared" ca="1" si="81"/>
        <v xml:space="preserve">Missing value?         </v>
      </c>
      <c r="AC68" s="50"/>
      <c r="AD68" s="50"/>
      <c r="AE68" s="50"/>
      <c r="AF68" s="50"/>
      <c r="AG68" s="50"/>
      <c r="AH68" s="50"/>
      <c r="AI68" s="50"/>
      <c r="AJ68" s="50"/>
      <c r="AK68" s="50"/>
      <c r="AL68" s="50"/>
      <c r="AM68" s="50"/>
      <c r="AN68" s="50"/>
      <c r="AO68" s="50"/>
      <c r="AP68" s="50"/>
      <c r="AQ68" s="50"/>
      <c r="AR68" s="50"/>
      <c r="AS68" s="50"/>
      <c r="AT68" s="50"/>
      <c r="AU68" s="50"/>
      <c r="AV68" s="50"/>
      <c r="AW68" s="50"/>
      <c r="AX68" s="50"/>
      <c r="AY68" s="50"/>
      <c r="AZ68" s="50"/>
      <c r="BA68" s="50"/>
      <c r="BB68" s="50"/>
      <c r="BC68" s="50"/>
    </row>
    <row r="69" spans="1:55" ht="12.75" customHeight="1" x14ac:dyDescent="0.3">
      <c r="A69" s="2236"/>
      <c r="B69" s="747" t="str">
        <f>'Q1'!C77</f>
        <v>Small petrol motorbike (mopeds/scooters up to 125cc)</v>
      </c>
      <c r="C69" s="1262">
        <f t="shared" ca="1" si="82"/>
        <v>0</v>
      </c>
      <c r="D69" s="768">
        <f t="shared" ca="1" si="82"/>
        <v>0</v>
      </c>
      <c r="E69" s="769">
        <f t="shared" ca="1" si="82"/>
        <v>0</v>
      </c>
      <c r="F69" s="769">
        <f t="shared" ca="1" si="82"/>
        <v>0</v>
      </c>
      <c r="G69" s="769">
        <f t="shared" ca="1" si="82"/>
        <v>0</v>
      </c>
      <c r="H69" s="769">
        <f t="shared" ca="1" si="82"/>
        <v>0</v>
      </c>
      <c r="I69" s="770">
        <f t="shared" ca="1" si="71"/>
        <v>0</v>
      </c>
      <c r="J69" s="872" t="str">
        <f t="shared" ca="1" si="73"/>
        <v/>
      </c>
      <c r="K69" s="782"/>
      <c r="L69" s="873"/>
      <c r="M69" s="874"/>
      <c r="N69" s="775"/>
      <c r="O69" s="776" t="str">
        <f t="shared" ca="1" si="51"/>
        <v/>
      </c>
      <c r="P69" s="777" t="str">
        <f t="shared" ca="1" si="74"/>
        <v/>
      </c>
      <c r="Q69" s="777" t="str">
        <f t="shared" ca="1" si="75"/>
        <v/>
      </c>
      <c r="R69" s="777" t="str">
        <f t="shared" ca="1" si="11"/>
        <v/>
      </c>
      <c r="S69" s="778" t="str">
        <f t="shared" ca="1" si="12"/>
        <v/>
      </c>
      <c r="T69" s="1066" t="str">
        <f t="shared" ca="1" si="76"/>
        <v/>
      </c>
      <c r="U69" s="1165" t="str">
        <f t="shared" ca="1" si="77"/>
        <v/>
      </c>
      <c r="V69" s="1350">
        <f t="shared" ca="1" si="78"/>
        <v>0</v>
      </c>
      <c r="W69" s="1350">
        <f t="shared" ca="1" si="78"/>
        <v>0</v>
      </c>
      <c r="X69" s="1350">
        <f t="shared" ca="1" si="78"/>
        <v>0</v>
      </c>
      <c r="Y69" s="1067" t="str">
        <f t="shared" ca="1" si="80"/>
        <v/>
      </c>
      <c r="Z69" s="1165" t="str">
        <f t="shared" ca="1" si="79"/>
        <v/>
      </c>
      <c r="AA69" s="772"/>
      <c r="AB69" s="871" t="str">
        <f t="shared" ca="1" si="81"/>
        <v/>
      </c>
      <c r="AC69" s="50"/>
      <c r="AD69" s="50"/>
      <c r="AE69" s="50"/>
      <c r="AF69" s="50"/>
      <c r="AG69" s="50"/>
      <c r="AH69" s="50"/>
      <c r="AI69" s="50"/>
      <c r="AJ69" s="50"/>
      <c r="AK69" s="50"/>
      <c r="AL69" s="50"/>
      <c r="AM69" s="50"/>
      <c r="AN69" s="50"/>
      <c r="AO69" s="50"/>
      <c r="AP69" s="50"/>
      <c r="AQ69" s="50"/>
      <c r="AR69" s="50"/>
      <c r="AS69" s="50"/>
      <c r="AT69" s="50"/>
      <c r="AU69" s="50"/>
      <c r="AV69" s="50"/>
      <c r="AW69" s="50"/>
      <c r="AX69" s="50"/>
      <c r="AY69" s="50"/>
      <c r="AZ69" s="50"/>
      <c r="BA69" s="50"/>
      <c r="BB69" s="50"/>
      <c r="BC69" s="50"/>
    </row>
    <row r="70" spans="1:55" ht="12.75" customHeight="1" x14ac:dyDescent="0.3">
      <c r="A70" s="2236"/>
      <c r="B70" s="747" t="str">
        <f>'Q1'!C78</f>
        <v>Medium petrol motorbike (125-500cc)</v>
      </c>
      <c r="C70" s="1262">
        <f t="shared" ca="1" si="82"/>
        <v>0</v>
      </c>
      <c r="D70" s="768">
        <f t="shared" ca="1" si="82"/>
        <v>0</v>
      </c>
      <c r="E70" s="769">
        <f t="shared" ca="1" si="82"/>
        <v>0</v>
      </c>
      <c r="F70" s="769">
        <f t="shared" ca="1" si="82"/>
        <v>0</v>
      </c>
      <c r="G70" s="769">
        <f t="shared" ca="1" si="82"/>
        <v>0</v>
      </c>
      <c r="H70" s="769">
        <f t="shared" ca="1" si="82"/>
        <v>0</v>
      </c>
      <c r="I70" s="770">
        <f t="shared" ca="1" si="71"/>
        <v>0</v>
      </c>
      <c r="J70" s="872" t="str">
        <f t="shared" ca="1" si="73"/>
        <v/>
      </c>
      <c r="K70" s="782"/>
      <c r="L70" s="873"/>
      <c r="M70" s="874"/>
      <c r="N70" s="775"/>
      <c r="O70" s="776" t="str">
        <f t="shared" ca="1" si="51"/>
        <v/>
      </c>
      <c r="P70" s="777" t="str">
        <f t="shared" ca="1" si="74"/>
        <v/>
      </c>
      <c r="Q70" s="777" t="str">
        <f t="shared" ca="1" si="75"/>
        <v/>
      </c>
      <c r="R70" s="777" t="str">
        <f t="shared" ca="1" si="11"/>
        <v/>
      </c>
      <c r="S70" s="778" t="str">
        <f t="shared" ca="1" si="12"/>
        <v/>
      </c>
      <c r="T70" s="1066" t="str">
        <f t="shared" ca="1" si="76"/>
        <v/>
      </c>
      <c r="U70" s="1165" t="str">
        <f t="shared" ca="1" si="77"/>
        <v/>
      </c>
      <c r="V70" s="1350">
        <f t="shared" ca="1" si="78"/>
        <v>0</v>
      </c>
      <c r="W70" s="1350">
        <f t="shared" ca="1" si="78"/>
        <v>0</v>
      </c>
      <c r="X70" s="1350">
        <f t="shared" ca="1" si="78"/>
        <v>0</v>
      </c>
      <c r="Y70" s="1067" t="str">
        <f t="shared" ca="1" si="80"/>
        <v/>
      </c>
      <c r="Z70" s="1165" t="str">
        <f t="shared" ca="1" si="79"/>
        <v/>
      </c>
      <c r="AA70" s="772"/>
      <c r="AB70" s="871" t="str">
        <f t="shared" ca="1" si="81"/>
        <v/>
      </c>
      <c r="AC70" s="50"/>
      <c r="AD70" s="50"/>
      <c r="AE70" s="50"/>
      <c r="AF70" s="50"/>
      <c r="AG70" s="50"/>
      <c r="AH70" s="50"/>
      <c r="AI70" s="50"/>
      <c r="AJ70" s="50"/>
      <c r="AK70" s="50"/>
      <c r="AL70" s="50"/>
      <c r="AM70" s="50"/>
      <c r="AN70" s="50"/>
      <c r="AO70" s="50"/>
      <c r="AP70" s="50"/>
      <c r="AQ70" s="50"/>
      <c r="AR70" s="50"/>
      <c r="AS70" s="50"/>
      <c r="AT70" s="50"/>
      <c r="AU70" s="50"/>
      <c r="AV70" s="50"/>
      <c r="AW70" s="50"/>
      <c r="AX70" s="50"/>
      <c r="AY70" s="50"/>
      <c r="AZ70" s="50"/>
      <c r="BA70" s="50"/>
      <c r="BB70" s="50"/>
      <c r="BC70" s="50"/>
    </row>
    <row r="71" spans="1:55" ht="12.75" customHeight="1" x14ac:dyDescent="0.3">
      <c r="A71" s="2236"/>
      <c r="B71" s="747" t="str">
        <f>'Q1'!C79</f>
        <v>Large petrol motorbike (over 500cc)</v>
      </c>
      <c r="C71" s="1262">
        <f t="shared" ca="1" si="82"/>
        <v>0</v>
      </c>
      <c r="D71" s="768">
        <f t="shared" ca="1" si="82"/>
        <v>0</v>
      </c>
      <c r="E71" s="769">
        <f t="shared" ca="1" si="82"/>
        <v>0</v>
      </c>
      <c r="F71" s="769">
        <f t="shared" ca="1" si="82"/>
        <v>0</v>
      </c>
      <c r="G71" s="769">
        <f t="shared" ca="1" si="82"/>
        <v>0</v>
      </c>
      <c r="H71" s="769">
        <f t="shared" ca="1" si="82"/>
        <v>0</v>
      </c>
      <c r="I71" s="770">
        <f t="shared" ca="1" si="71"/>
        <v>0</v>
      </c>
      <c r="J71" s="872" t="str">
        <f t="shared" ca="1" si="73"/>
        <v/>
      </c>
      <c r="K71" s="782"/>
      <c r="L71" s="873"/>
      <c r="M71" s="874"/>
      <c r="N71" s="775"/>
      <c r="O71" s="776" t="str">
        <f t="shared" ca="1" si="51"/>
        <v/>
      </c>
      <c r="P71" s="777" t="str">
        <f t="shared" ca="1" si="74"/>
        <v/>
      </c>
      <c r="Q71" s="777" t="str">
        <f t="shared" ca="1" si="75"/>
        <v/>
      </c>
      <c r="R71" s="777" t="str">
        <f t="shared" ca="1" si="11"/>
        <v/>
      </c>
      <c r="S71" s="778" t="str">
        <f t="shared" ca="1" si="12"/>
        <v/>
      </c>
      <c r="T71" s="1066" t="str">
        <f t="shared" ca="1" si="76"/>
        <v/>
      </c>
      <c r="U71" s="1165" t="str">
        <f t="shared" ca="1" si="77"/>
        <v/>
      </c>
      <c r="V71" s="1350">
        <f t="shared" ca="1" si="78"/>
        <v>0</v>
      </c>
      <c r="W71" s="1350">
        <f t="shared" ca="1" si="78"/>
        <v>0</v>
      </c>
      <c r="X71" s="1350">
        <f t="shared" ca="1" si="78"/>
        <v>0</v>
      </c>
      <c r="Y71" s="1067" t="str">
        <f t="shared" ca="1" si="80"/>
        <v/>
      </c>
      <c r="Z71" s="1165" t="str">
        <f t="shared" ca="1" si="79"/>
        <v/>
      </c>
      <c r="AA71" s="772"/>
      <c r="AB71" s="871" t="str">
        <f ca="1">IF((CONCATENATE(IF(K71="OK","",J71), "    ",IF(L71="","",IF(N71="OK","",CONCATENATE(M71," = ",ROUND(L71,3),"kgCO2e/kWh"))),"    ",IF(AND(+AA71="",Z71="M"),"Value change with medium impact",IF(AND(AA71="",Z71="H"),"Value change with high impact",""))," "))="         ","",(CONCATENATE(IF(K71="OK","",J71), "    ",IF(L71="","",IF(N71="OK","",CONCATENATE(M71," = ",ROUND(L71,3),"kgCO2e/kWh"))),"    ",IF(AND(+AA71="",Z71="M"),"Value change with medium impact",IF(AND(AA71="",Z71="H"),"Value change with high impact",""))," ")))</f>
        <v/>
      </c>
      <c r="AC71" s="50"/>
      <c r="AD71" s="50"/>
      <c r="AE71" s="50"/>
      <c r="AF71" s="50"/>
      <c r="AG71" s="50"/>
      <c r="AH71" s="50"/>
      <c r="AI71" s="50"/>
      <c r="AJ71" s="50"/>
      <c r="AK71" s="50"/>
      <c r="AL71" s="50"/>
      <c r="AM71" s="50"/>
      <c r="AN71" s="50"/>
      <c r="AO71" s="50"/>
      <c r="AP71" s="50"/>
      <c r="AQ71" s="50"/>
      <c r="AR71" s="50"/>
      <c r="AS71" s="50"/>
      <c r="AT71" s="50"/>
      <c r="AU71" s="50"/>
      <c r="AV71" s="50"/>
      <c r="AW71" s="50"/>
      <c r="AX71" s="50"/>
      <c r="AY71" s="50"/>
      <c r="AZ71" s="50"/>
      <c r="BA71" s="50"/>
      <c r="BB71" s="50"/>
      <c r="BC71" s="50"/>
    </row>
    <row r="72" spans="1:55" ht="12.75" customHeight="1" x14ac:dyDescent="0.3">
      <c r="A72" s="2236"/>
      <c r="B72" s="747" t="str">
        <f>'Q1'!C80</f>
        <v>Average petrol motorbike (unknown engine size)</v>
      </c>
      <c r="C72" s="1262">
        <f t="shared" ca="1" si="82"/>
        <v>0</v>
      </c>
      <c r="D72" s="768">
        <f t="shared" ca="1" si="82"/>
        <v>0</v>
      </c>
      <c r="E72" s="769">
        <f t="shared" ca="1" si="82"/>
        <v>0</v>
      </c>
      <c r="F72" s="769">
        <f t="shared" ca="1" si="82"/>
        <v>0</v>
      </c>
      <c r="G72" s="769">
        <f t="shared" ca="1" si="82"/>
        <v>0</v>
      </c>
      <c r="H72" s="769">
        <f t="shared" ca="1" si="82"/>
        <v>0</v>
      </c>
      <c r="I72" s="770">
        <f t="shared" ca="1" si="71"/>
        <v>0</v>
      </c>
      <c r="J72" s="872" t="str">
        <f t="shared" ca="1" si="73"/>
        <v/>
      </c>
      <c r="K72" s="782"/>
      <c r="L72" s="873"/>
      <c r="M72" s="874"/>
      <c r="N72" s="775"/>
      <c r="O72" s="776" t="str">
        <f t="shared" ca="1" si="51"/>
        <v/>
      </c>
      <c r="P72" s="777" t="str">
        <f t="shared" ca="1" si="74"/>
        <v/>
      </c>
      <c r="Q72" s="777" t="str">
        <f t="shared" ca="1" si="75"/>
        <v/>
      </c>
      <c r="R72" s="777" t="str">
        <f t="shared" ca="1" si="11"/>
        <v/>
      </c>
      <c r="S72" s="778" t="str">
        <f t="shared" ca="1" si="12"/>
        <v/>
      </c>
      <c r="T72" s="1066" t="str">
        <f t="shared" ca="1" si="76"/>
        <v/>
      </c>
      <c r="U72" s="1165" t="str">
        <f t="shared" ca="1" si="77"/>
        <v/>
      </c>
      <c r="V72" s="1350">
        <f t="shared" ca="1" si="78"/>
        <v>0</v>
      </c>
      <c r="W72" s="1350">
        <f t="shared" ca="1" si="78"/>
        <v>0</v>
      </c>
      <c r="X72" s="1350">
        <f t="shared" ca="1" si="78"/>
        <v>0</v>
      </c>
      <c r="Y72" s="1067" t="str">
        <f t="shared" ca="1" si="80"/>
        <v/>
      </c>
      <c r="Z72" s="1165" t="str">
        <f t="shared" ca="1" si="79"/>
        <v/>
      </c>
      <c r="AA72" s="772"/>
      <c r="AB72" s="871" t="str">
        <f t="shared" ca="1" si="81"/>
        <v/>
      </c>
      <c r="AC72" s="55"/>
      <c r="AD72" s="96"/>
      <c r="AE72" s="96"/>
      <c r="AF72" s="96"/>
      <c r="AG72" s="96"/>
      <c r="AH72" s="96"/>
      <c r="AI72" s="96"/>
      <c r="AJ72" s="96"/>
      <c r="AK72" s="192"/>
      <c r="AL72" s="875"/>
      <c r="AM72" s="875"/>
      <c r="AN72" s="875"/>
      <c r="AO72" s="50"/>
      <c r="AP72" s="97"/>
      <c r="AQ72" s="97"/>
      <c r="AR72" s="97"/>
      <c r="AS72" s="97"/>
      <c r="AT72" s="97"/>
      <c r="AU72" s="97"/>
      <c r="AV72" s="97"/>
      <c r="AW72" s="97"/>
      <c r="AX72" s="97"/>
      <c r="AY72" s="97"/>
      <c r="AZ72" s="97"/>
      <c r="BA72" s="97"/>
      <c r="BB72" s="97"/>
      <c r="BC72" s="97"/>
    </row>
    <row r="73" spans="1:55" ht="12.75" customHeight="1" x14ac:dyDescent="0.3">
      <c r="A73" s="2236"/>
      <c r="B73" s="747" t="str">
        <f>'Q1'!C81</f>
        <v>Other 1 (enter CO2 factor and specify fuel in "Notes")</v>
      </c>
      <c r="C73" s="1262">
        <f t="shared" ca="1" si="82"/>
        <v>0</v>
      </c>
      <c r="D73" s="768">
        <f t="shared" ca="1" si="82"/>
        <v>2646552</v>
      </c>
      <c r="E73" s="769">
        <f t="shared" ca="1" si="82"/>
        <v>2898749</v>
      </c>
      <c r="F73" s="769">
        <f t="shared" ca="1" si="82"/>
        <v>2443325.45567476</v>
      </c>
      <c r="G73" s="769">
        <f t="shared" ca="1" si="82"/>
        <v>2418935</v>
      </c>
      <c r="H73" s="769">
        <f t="shared" ca="1" si="82"/>
        <v>9902330.45567476</v>
      </c>
      <c r="I73" s="770">
        <f t="shared" ca="1" si="71"/>
        <v>2475582.61391869</v>
      </c>
      <c r="J73" s="872" t="str">
        <f t="shared" ca="1" si="73"/>
        <v>Missing value?</v>
      </c>
      <c r="K73" s="782"/>
      <c r="L73" s="784" t="str">
        <f ca="1">IF(C73&gt;0,'Q3'!E81,"")</f>
        <v/>
      </c>
      <c r="M73" s="785" t="str">
        <f ca="1">IF(L73="","",IF('Q3'!I81=0,"Fuel type not stated",'Q3'!I81))</f>
        <v/>
      </c>
      <c r="N73" s="772"/>
      <c r="O73" s="776">
        <f t="shared" ca="1" si="51"/>
        <v>-1</v>
      </c>
      <c r="P73" s="777">
        <f t="shared" ca="1" si="74"/>
        <v>-1</v>
      </c>
      <c r="Q73" s="777">
        <f t="shared" ca="1" si="75"/>
        <v>-1</v>
      </c>
      <c r="R73" s="777">
        <f t="shared" ca="1" si="11"/>
        <v>-1</v>
      </c>
      <c r="S73" s="778">
        <f t="shared" ca="1" si="12"/>
        <v>-1</v>
      </c>
      <c r="T73" s="1066">
        <f t="shared" ca="1" si="76"/>
        <v>1</v>
      </c>
      <c r="U73" s="1165" t="str">
        <f t="shared" ca="1" si="77"/>
        <v>H</v>
      </c>
      <c r="V73" s="1350">
        <f t="shared" ca="1" si="78"/>
        <v>0</v>
      </c>
      <c r="W73" s="1350">
        <f t="shared" ca="1" si="78"/>
        <v>2136.9848779199997</v>
      </c>
      <c r="X73" s="1350">
        <f t="shared" ca="1" si="78"/>
        <v>7995.7357497391422</v>
      </c>
      <c r="Y73" s="1067">
        <f t="shared" ca="1" si="80"/>
        <v>3.9856641868257672E-2</v>
      </c>
      <c r="Z73" s="1165" t="str">
        <f t="shared" ca="1" si="79"/>
        <v>M</v>
      </c>
      <c r="AA73" s="772"/>
      <c r="AB73" s="871" t="str">
        <f t="shared" ca="1" si="81"/>
        <v xml:space="preserve">Missing value?        Value change with medium impact </v>
      </c>
      <c r="AC73" s="55"/>
      <c r="AD73" s="96"/>
      <c r="AE73" s="96"/>
      <c r="AF73" s="96"/>
      <c r="AG73" s="96"/>
      <c r="AH73" s="96"/>
      <c r="AI73" s="96"/>
      <c r="AJ73" s="96"/>
      <c r="AK73" s="192"/>
      <c r="AL73" s="875"/>
      <c r="AM73" s="875"/>
      <c r="AN73" s="875"/>
      <c r="AO73" s="50"/>
      <c r="AP73" s="97"/>
      <c r="AQ73" s="97"/>
      <c r="AR73" s="97"/>
      <c r="AS73" s="97"/>
      <c r="AT73" s="97"/>
      <c r="AU73" s="97"/>
      <c r="AV73" s="97"/>
      <c r="AW73" s="97"/>
      <c r="AX73" s="97"/>
      <c r="AY73" s="97"/>
      <c r="AZ73" s="97"/>
      <c r="BA73" s="97"/>
      <c r="BB73" s="97"/>
      <c r="BC73" s="97"/>
    </row>
    <row r="74" spans="1:55" ht="12.75" customHeight="1" x14ac:dyDescent="0.3">
      <c r="A74" s="2236"/>
      <c r="B74" s="747" t="str">
        <f>'Q1'!C82</f>
        <v>Other 2 (enter CO2 factor and specify fuel in "Notes")</v>
      </c>
      <c r="C74" s="1262">
        <f t="shared" ca="1" si="82"/>
        <v>0</v>
      </c>
      <c r="D74" s="768">
        <f t="shared" ca="1" si="82"/>
        <v>398477</v>
      </c>
      <c r="E74" s="769">
        <f t="shared" ca="1" si="82"/>
        <v>397987</v>
      </c>
      <c r="F74" s="769">
        <f t="shared" ca="1" si="82"/>
        <v>419711</v>
      </c>
      <c r="G74" s="769">
        <f t="shared" ca="1" si="82"/>
        <v>378046</v>
      </c>
      <c r="H74" s="769">
        <f t="shared" ca="1" si="82"/>
        <v>1562882</v>
      </c>
      <c r="I74" s="770">
        <f t="shared" ca="1" si="71"/>
        <v>390720.5</v>
      </c>
      <c r="J74" s="872" t="str">
        <f t="shared" ca="1" si="73"/>
        <v>Missing value?</v>
      </c>
      <c r="K74" s="782"/>
      <c r="L74" s="784" t="str">
        <f ca="1">IF(C74&gt;0,'Q3'!E82,"")</f>
        <v/>
      </c>
      <c r="M74" s="785" t="str">
        <f ca="1">IF(L74="","",IF('Q3'!I82=0,"Fuel type not stated",'Q3'!I82))</f>
        <v/>
      </c>
      <c r="N74" s="772"/>
      <c r="O74" s="776">
        <f t="shared" ca="1" si="51"/>
        <v>-1</v>
      </c>
      <c r="P74" s="777">
        <f t="shared" ca="1" si="74"/>
        <v>-1</v>
      </c>
      <c r="Q74" s="777">
        <f t="shared" ca="1" si="75"/>
        <v>-1</v>
      </c>
      <c r="R74" s="777">
        <f t="shared" ca="1" si="11"/>
        <v>-1</v>
      </c>
      <c r="S74" s="778">
        <f t="shared" ca="1" si="12"/>
        <v>-1</v>
      </c>
      <c r="T74" s="1066">
        <f t="shared" ca="1" si="76"/>
        <v>1</v>
      </c>
      <c r="U74" s="1165" t="str">
        <f t="shared" ca="1" si="77"/>
        <v>H</v>
      </c>
      <c r="V74" s="1350">
        <f t="shared" ca="1" si="78"/>
        <v>0</v>
      </c>
      <c r="W74" s="1350">
        <f t="shared" ca="1" si="78"/>
        <v>321.75423842000004</v>
      </c>
      <c r="X74" s="1350">
        <f t="shared" ca="1" si="78"/>
        <v>1261.9646997199998</v>
      </c>
      <c r="Y74" s="1067">
        <f t="shared" ca="1" si="80"/>
        <v>6.0009986887609671E-3</v>
      </c>
      <c r="Z74" s="1165" t="str">
        <f t="shared" ca="1" si="79"/>
        <v>M</v>
      </c>
      <c r="AA74" s="772"/>
      <c r="AB74" s="871" t="str">
        <f t="shared" ca="1" si="81"/>
        <v xml:space="preserve">Missing value?        Value change with medium impact </v>
      </c>
      <c r="AC74" s="55"/>
      <c r="AD74" s="96"/>
      <c r="AE74" s="96"/>
      <c r="AF74" s="96"/>
      <c r="AG74" s="96"/>
      <c r="AH74" s="96"/>
      <c r="AI74" s="96"/>
      <c r="AJ74" s="96"/>
      <c r="AK74" s="192"/>
      <c r="AL74" s="875"/>
      <c r="AM74" s="875"/>
      <c r="AN74" s="875"/>
      <c r="AO74" s="50"/>
      <c r="AP74" s="97"/>
      <c r="AQ74" s="97"/>
      <c r="AR74" s="97"/>
      <c r="AS74" s="97"/>
      <c r="AT74" s="97"/>
      <c r="AU74" s="97"/>
      <c r="AV74" s="97"/>
      <c r="AW74" s="97"/>
      <c r="AX74" s="97"/>
      <c r="AY74" s="97"/>
      <c r="AZ74" s="97"/>
      <c r="BA74" s="97"/>
      <c r="BB74" s="97"/>
      <c r="BC74" s="97"/>
    </row>
    <row r="75" spans="1:55" ht="12.75" customHeight="1" x14ac:dyDescent="0.3">
      <c r="A75" s="2236"/>
      <c r="B75" s="747" t="str">
        <f>'Q1'!C83</f>
        <v>Other 3 (enter CO2 factor and specify fuel in "Notes")</v>
      </c>
      <c r="C75" s="1262">
        <f t="shared" ca="1" si="82"/>
        <v>0</v>
      </c>
      <c r="D75" s="768">
        <f t="shared" ca="1" si="82"/>
        <v>0</v>
      </c>
      <c r="E75" s="769">
        <f t="shared" ca="1" si="82"/>
        <v>0</v>
      </c>
      <c r="F75" s="769">
        <f t="shared" ca="1" si="82"/>
        <v>0</v>
      </c>
      <c r="G75" s="769">
        <f t="shared" ca="1" si="82"/>
        <v>0</v>
      </c>
      <c r="H75" s="769">
        <f t="shared" ca="1" si="82"/>
        <v>0</v>
      </c>
      <c r="I75" s="770">
        <f t="shared" ca="1" si="71"/>
        <v>0</v>
      </c>
      <c r="J75" s="876" t="str">
        <f t="shared" ca="1" si="73"/>
        <v/>
      </c>
      <c r="K75" s="877"/>
      <c r="L75" s="878" t="str">
        <f ca="1">IF(C75&gt;0,'Q3'!E83,"")</f>
        <v/>
      </c>
      <c r="M75" s="879" t="str">
        <f ca="1">IF(L75="","",IF('Q3'!I83=0,"Fuel type not stated",'Q3'!I83))</f>
        <v/>
      </c>
      <c r="N75" s="880"/>
      <c r="O75" s="881" t="str">
        <f t="shared" ca="1" si="51"/>
        <v/>
      </c>
      <c r="P75" s="882" t="str">
        <f t="shared" ca="1" si="74"/>
        <v/>
      </c>
      <c r="Q75" s="882" t="str">
        <f t="shared" ca="1" si="75"/>
        <v/>
      </c>
      <c r="R75" s="882" t="str">
        <f t="shared" ca="1" si="11"/>
        <v/>
      </c>
      <c r="S75" s="883" t="str">
        <f t="shared" ca="1" si="12"/>
        <v/>
      </c>
      <c r="T75" s="1066" t="str">
        <f t="shared" ca="1" si="76"/>
        <v/>
      </c>
      <c r="U75" s="1165" t="str">
        <f t="shared" ca="1" si="77"/>
        <v/>
      </c>
      <c r="V75" s="1350">
        <f t="shared" ca="1" si="78"/>
        <v>0</v>
      </c>
      <c r="W75" s="1350">
        <f t="shared" ca="1" si="78"/>
        <v>0</v>
      </c>
      <c r="X75" s="1350">
        <f t="shared" ca="1" si="78"/>
        <v>0</v>
      </c>
      <c r="Y75" s="1067" t="str">
        <f t="shared" ca="1" si="80"/>
        <v/>
      </c>
      <c r="Z75" s="884" t="str">
        <f t="shared" ca="1" si="79"/>
        <v/>
      </c>
      <c r="AA75" s="880"/>
      <c r="AB75" s="871" t="str">
        <f t="shared" ca="1" si="81"/>
        <v/>
      </c>
      <c r="AC75" s="55"/>
      <c r="AD75" s="96"/>
      <c r="AE75" s="96"/>
      <c r="AF75" s="96"/>
      <c r="AG75" s="96"/>
      <c r="AH75" s="96"/>
      <c r="AI75" s="96"/>
      <c r="AJ75" s="96"/>
      <c r="AK75" s="192"/>
      <c r="AL75" s="875"/>
      <c r="AM75" s="875"/>
      <c r="AN75" s="875"/>
      <c r="AO75" s="50"/>
      <c r="AP75" s="97"/>
      <c r="AQ75" s="97"/>
      <c r="AR75" s="97"/>
      <c r="AS75" s="97"/>
      <c r="AT75" s="97"/>
      <c r="AU75" s="97"/>
      <c r="AV75" s="97"/>
      <c r="AW75" s="97"/>
      <c r="AX75" s="97"/>
      <c r="AY75" s="97"/>
      <c r="AZ75" s="97"/>
      <c r="BA75" s="97"/>
      <c r="BB75" s="97"/>
      <c r="BC75" s="97"/>
    </row>
    <row r="76" spans="1:55" ht="12.75" customHeight="1" x14ac:dyDescent="0.3">
      <c r="A76" s="2236"/>
      <c r="B76" s="747" t="str">
        <f>'Q1'!C84</f>
        <v>Other 4 (enter CO2 factor and specify fuel in "Notes")</v>
      </c>
      <c r="C76" s="1262">
        <f t="shared" ca="1" si="82"/>
        <v>0</v>
      </c>
      <c r="D76" s="768">
        <f t="shared" ca="1" si="82"/>
        <v>0</v>
      </c>
      <c r="E76" s="769">
        <f t="shared" ca="1" si="82"/>
        <v>0</v>
      </c>
      <c r="F76" s="769">
        <f t="shared" ca="1" si="82"/>
        <v>0</v>
      </c>
      <c r="G76" s="769">
        <f t="shared" ca="1" si="82"/>
        <v>0</v>
      </c>
      <c r="H76" s="769">
        <f t="shared" ca="1" si="82"/>
        <v>0</v>
      </c>
      <c r="I76" s="770">
        <f t="shared" ca="1" si="71"/>
        <v>0</v>
      </c>
      <c r="J76" s="876" t="str">
        <f t="shared" ref="J76:J77" ca="1" si="83">IF(AND(C76&gt;0,SUM(D76:I76)&gt;0),"",IF(AND(C76=0,SUM(C76:I76)=0),"",IF(AND(C76=0,D76&gt;0),"Missing value?",IF(AND(C76=0,I76&gt;0),"Missing value?","New category"))))</f>
        <v/>
      </c>
      <c r="K76" s="877"/>
      <c r="L76" s="878" t="str">
        <f ca="1">IF(C76&gt;0,'Q3'!E84,"")</f>
        <v/>
      </c>
      <c r="M76" s="879" t="str">
        <f ca="1">IF(L76="","",IF('Q3'!I84=0,"Fuel type not stated",'Q3'!I84))</f>
        <v/>
      </c>
      <c r="N76" s="880"/>
      <c r="O76" s="881" t="str">
        <f t="shared" ca="1" si="51"/>
        <v/>
      </c>
      <c r="P76" s="882" t="str">
        <f t="shared" ca="1" si="74"/>
        <v/>
      </c>
      <c r="Q76" s="882" t="str">
        <f t="shared" ca="1" si="75"/>
        <v/>
      </c>
      <c r="R76" s="882" t="str">
        <f t="shared" ca="1" si="11"/>
        <v/>
      </c>
      <c r="S76" s="883" t="str">
        <f t="shared" ca="1" si="12"/>
        <v/>
      </c>
      <c r="T76" s="1066" t="str">
        <f t="shared" ref="T76:T77" ca="1" si="84">IF(SUM(C76:I76)=0,"",IF(OR(AND(C76=0,SUM(D76:I76)&gt;0),AND(C76&gt;0,SUM(D76:I76)=0)),1,IF(MAX(IF(O76&lt;0,-O76,O76),IF(P76&lt;0,-P76,P76),IF(Q76&lt;0,-Q76,Q76),IF(R76&lt;0,-R76,R76),IF(S76&lt;0,-S76,S76))=0,"",MAX(IF(O76&lt;0,-O76,O76),IF(P76&lt;0,-P76,P76),IF(Q76&lt;0,-Q76,Q76),IF(R76&lt;0,-R76,R76),IF(S76&lt;0,-S76,S76)))))</f>
        <v/>
      </c>
      <c r="U76" s="1165" t="str">
        <f t="shared" ca="1" si="77"/>
        <v/>
      </c>
      <c r="V76" s="1350">
        <f t="shared" ca="1" si="78"/>
        <v>0</v>
      </c>
      <c r="W76" s="1350">
        <f t="shared" ca="1" si="78"/>
        <v>0</v>
      </c>
      <c r="X76" s="1350">
        <f t="shared" ca="1" si="78"/>
        <v>0</v>
      </c>
      <c r="Y76" s="1067" t="str">
        <f t="shared" ca="1" si="80"/>
        <v/>
      </c>
      <c r="Z76" s="884" t="str">
        <f t="shared" ca="1" si="79"/>
        <v/>
      </c>
      <c r="AA76" s="880"/>
      <c r="AB76" s="871" t="str">
        <f t="shared" ca="1" si="81"/>
        <v/>
      </c>
      <c r="AC76" s="55"/>
      <c r="AD76" s="96"/>
      <c r="AE76" s="96"/>
      <c r="AF76" s="96"/>
      <c r="AG76" s="96"/>
      <c r="AH76" s="96"/>
      <c r="AI76" s="96"/>
      <c r="AJ76" s="96"/>
      <c r="AK76" s="192"/>
      <c r="AL76" s="875"/>
      <c r="AM76" s="875"/>
      <c r="AN76" s="875"/>
      <c r="AO76" s="50"/>
      <c r="AP76" s="97"/>
      <c r="AQ76" s="97"/>
      <c r="AR76" s="97"/>
      <c r="AS76" s="97"/>
      <c r="AT76" s="97"/>
      <c r="AU76" s="97"/>
      <c r="AV76" s="97"/>
      <c r="AW76" s="97"/>
      <c r="AX76" s="97"/>
      <c r="AY76" s="97"/>
      <c r="AZ76" s="97"/>
      <c r="BA76" s="97"/>
      <c r="BB76" s="97"/>
      <c r="BC76" s="97"/>
    </row>
    <row r="77" spans="1:55" ht="12.75" customHeight="1" thickBot="1" x14ac:dyDescent="0.35">
      <c r="A77" s="2237"/>
      <c r="B77" s="747" t="str">
        <f>'Q1'!C85</f>
        <v>Other 5 (enter CO2 factor and specify fuel in "Notes")</v>
      </c>
      <c r="C77" s="1262">
        <f t="shared" ca="1" si="82"/>
        <v>0</v>
      </c>
      <c r="D77" s="768">
        <f t="shared" ca="1" si="82"/>
        <v>0</v>
      </c>
      <c r="E77" s="769">
        <f t="shared" ca="1" si="82"/>
        <v>0</v>
      </c>
      <c r="F77" s="769">
        <f t="shared" ca="1" si="82"/>
        <v>0</v>
      </c>
      <c r="G77" s="769">
        <f t="shared" ca="1" si="82"/>
        <v>0</v>
      </c>
      <c r="H77" s="769">
        <f t="shared" ca="1" si="82"/>
        <v>0</v>
      </c>
      <c r="I77" s="770">
        <f t="shared" ca="1" si="71"/>
        <v>0</v>
      </c>
      <c r="J77" s="876" t="str">
        <f t="shared" ca="1" si="83"/>
        <v/>
      </c>
      <c r="K77" s="877"/>
      <c r="L77" s="878" t="str">
        <f ca="1">IF(C77&gt;0,'Q3'!E85,"")</f>
        <v/>
      </c>
      <c r="M77" s="879" t="str">
        <f ca="1">IF(L77="","",IF('Q3'!I85=0,"Fuel type not stated",'Q3'!I85))</f>
        <v/>
      </c>
      <c r="N77" s="880"/>
      <c r="O77" s="881" t="str">
        <f t="shared" ca="1" si="51"/>
        <v/>
      </c>
      <c r="P77" s="882" t="str">
        <f t="shared" ca="1" si="74"/>
        <v/>
      </c>
      <c r="Q77" s="882" t="str">
        <f t="shared" ca="1" si="75"/>
        <v/>
      </c>
      <c r="R77" s="882" t="str">
        <f t="shared" ca="1" si="11"/>
        <v/>
      </c>
      <c r="S77" s="883" t="str">
        <f t="shared" ca="1" si="12"/>
        <v/>
      </c>
      <c r="T77" s="1066" t="str">
        <f t="shared" ca="1" si="84"/>
        <v/>
      </c>
      <c r="U77" s="1165" t="str">
        <f t="shared" ca="1" si="77"/>
        <v/>
      </c>
      <c r="V77" s="1350">
        <f t="shared" ca="1" si="78"/>
        <v>0</v>
      </c>
      <c r="W77" s="1350">
        <f t="shared" ca="1" si="78"/>
        <v>0</v>
      </c>
      <c r="X77" s="1350">
        <f t="shared" ca="1" si="78"/>
        <v>0</v>
      </c>
      <c r="Y77" s="1067" t="str">
        <f t="shared" ca="1" si="80"/>
        <v/>
      </c>
      <c r="Z77" s="884" t="str">
        <f t="shared" ca="1" si="79"/>
        <v/>
      </c>
      <c r="AA77" s="880"/>
      <c r="AB77" s="871" t="str">
        <f t="shared" ca="1" si="81"/>
        <v/>
      </c>
      <c r="AC77" s="55"/>
      <c r="AD77" s="96"/>
      <c r="AE77" s="96"/>
      <c r="AF77" s="96"/>
      <c r="AG77" s="96"/>
      <c r="AH77" s="96"/>
      <c r="AI77" s="96"/>
      <c r="AJ77" s="96"/>
      <c r="AK77" s="192"/>
      <c r="AL77" s="875"/>
      <c r="AM77" s="875"/>
      <c r="AN77" s="875"/>
      <c r="AO77" s="50"/>
      <c r="AP77" s="97"/>
      <c r="AQ77" s="97"/>
      <c r="AR77" s="97"/>
      <c r="AS77" s="97"/>
      <c r="AT77" s="97"/>
      <c r="AU77" s="97"/>
      <c r="AV77" s="97"/>
      <c r="AW77" s="97"/>
      <c r="AX77" s="97"/>
      <c r="AY77" s="97"/>
      <c r="AZ77" s="97"/>
      <c r="BA77" s="97"/>
      <c r="BB77" s="97"/>
      <c r="BC77" s="97"/>
    </row>
    <row r="78" spans="1:55" ht="12.75" customHeight="1" thickBot="1" x14ac:dyDescent="0.35">
      <c r="A78" s="2225" t="s">
        <v>110</v>
      </c>
      <c r="B78" s="2226"/>
      <c r="C78" s="1177">
        <f t="shared" ref="C78:H78" ca="1" si="85">INDIRECT(CONCATENATE("'",C$14,"'!$D$86"),TRUE)</f>
        <v>0</v>
      </c>
      <c r="D78" s="733">
        <f t="shared" ca="1" si="85"/>
        <v>14756354</v>
      </c>
      <c r="E78" s="734">
        <f t="shared" ca="1" si="85"/>
        <v>12714336.17</v>
      </c>
      <c r="F78" s="734">
        <f t="shared" ca="1" si="85"/>
        <v>12365451.85</v>
      </c>
      <c r="G78" s="734">
        <f t="shared" ca="1" si="85"/>
        <v>13042866</v>
      </c>
      <c r="H78" s="734">
        <f t="shared" ca="1" si="85"/>
        <v>50490770.850000001</v>
      </c>
      <c r="I78" s="735">
        <f t="shared" ca="1" si="71"/>
        <v>12622692.7125</v>
      </c>
      <c r="J78" s="885"/>
      <c r="K78" s="851"/>
      <c r="L78" s="850"/>
      <c r="M78" s="744"/>
      <c r="N78" s="863"/>
      <c r="O78" s="738">
        <f t="shared" ca="1" si="51"/>
        <v>-1</v>
      </c>
      <c r="P78" s="739">
        <f t="shared" ca="1" si="74"/>
        <v>-1</v>
      </c>
      <c r="Q78" s="739">
        <f t="shared" ca="1" si="75"/>
        <v>-1</v>
      </c>
      <c r="R78" s="739">
        <f t="shared" ca="1" si="11"/>
        <v>-1</v>
      </c>
      <c r="S78" s="740">
        <f t="shared" ca="1" si="12"/>
        <v>-1</v>
      </c>
      <c r="T78" s="886"/>
      <c r="U78" s="887"/>
      <c r="V78" s="887"/>
      <c r="W78" s="887"/>
      <c r="X78" s="887"/>
      <c r="Y78" s="887"/>
      <c r="Z78" s="888"/>
      <c r="AA78" s="741"/>
      <c r="AB78" s="889"/>
      <c r="AC78" s="95"/>
      <c r="AD78" s="666"/>
      <c r="AE78" s="666"/>
      <c r="AF78" s="666"/>
      <c r="AG78" s="666"/>
      <c r="AH78" s="666"/>
      <c r="AI78" s="666"/>
      <c r="AJ78" s="666"/>
      <c r="AK78" s="192"/>
      <c r="AL78" s="875"/>
      <c r="AM78" s="875"/>
      <c r="AN78" s="875"/>
      <c r="AO78" s="50"/>
      <c r="AP78" s="890"/>
      <c r="AQ78" s="890"/>
      <c r="AR78" s="890"/>
      <c r="AS78" s="890"/>
      <c r="AT78" s="890"/>
      <c r="AU78" s="890"/>
      <c r="AV78" s="890"/>
      <c r="AW78" s="890"/>
      <c r="AX78" s="890"/>
      <c r="AY78" s="890"/>
      <c r="AZ78" s="890"/>
      <c r="BA78" s="890"/>
      <c r="BB78" s="890"/>
      <c r="BC78" s="890"/>
    </row>
    <row r="79" spans="1:55" ht="12.75" customHeight="1" x14ac:dyDescent="0.3">
      <c r="A79" s="2238" t="s">
        <v>111</v>
      </c>
      <c r="B79" s="747" t="str">
        <f>'Q1'!C87</f>
        <v>Small petrol car, up to 1.4 l</v>
      </c>
      <c r="C79" s="1262">
        <f t="shared" ref="C79:H88" ca="1" si="86">INDEX(INDIRECT(CONCATENATE("'",C$14,"'!$D$87:$D$107"),TRUE),MATCH($B79,INDIRECT(CONCATENATE("'",C$14,"'!$C$87:$C$107"),TRUE),0))</f>
        <v>0</v>
      </c>
      <c r="D79" s="748">
        <f t="shared" ca="1" si="86"/>
        <v>0</v>
      </c>
      <c r="E79" s="749">
        <f t="shared" ca="1" si="86"/>
        <v>0</v>
      </c>
      <c r="F79" s="749">
        <f t="shared" ca="1" si="86"/>
        <v>0</v>
      </c>
      <c r="G79" s="749">
        <f t="shared" ca="1" si="86"/>
        <v>0</v>
      </c>
      <c r="H79" s="749">
        <f t="shared" ca="1" si="86"/>
        <v>0</v>
      </c>
      <c r="I79" s="750">
        <f t="shared" ca="1" si="71"/>
        <v>0</v>
      </c>
      <c r="J79" s="868" t="str">
        <f t="shared" ca="1" si="73"/>
        <v/>
      </c>
      <c r="K79" s="809"/>
      <c r="L79" s="752"/>
      <c r="M79" s="753"/>
      <c r="N79" s="754"/>
      <c r="O79" s="755" t="str">
        <f t="shared" ca="1" si="51"/>
        <v/>
      </c>
      <c r="P79" s="756" t="str">
        <f t="shared" ca="1" si="74"/>
        <v/>
      </c>
      <c r="Q79" s="756" t="str">
        <f t="shared" ca="1" si="75"/>
        <v/>
      </c>
      <c r="R79" s="756" t="str">
        <f t="shared" ca="1" si="11"/>
        <v/>
      </c>
      <c r="S79" s="757" t="str">
        <f t="shared" ca="1" si="12"/>
        <v/>
      </c>
      <c r="T79" s="1066" t="str">
        <f t="shared" ca="1" si="76"/>
        <v/>
      </c>
      <c r="U79" s="1166" t="str">
        <f t="shared" ref="U79:U99" ca="1" si="87">IF(+T79="","",IF(T79&gt;L$3,"H",IF(T79&gt;L$4,"M","")))</f>
        <v/>
      </c>
      <c r="V79" s="1350">
        <f t="shared" ref="V79:X99" ca="1" si="88">INDEX(INDIRECT(CONCATENATE("'",V$14,"'!$F$87:$F$107"),TRUE),MATCH($B79,INDIRECT(CONCATENATE("'",V$14,"'!$C$87:$C$107"),TRUE),0))</f>
        <v>0</v>
      </c>
      <c r="W79" s="1350">
        <f t="shared" ca="1" si="88"/>
        <v>0</v>
      </c>
      <c r="X79" s="1350">
        <f t="shared" ca="1" si="88"/>
        <v>0</v>
      </c>
      <c r="Y79" s="1067" t="str">
        <f t="shared" ref="Y79:Y99" ca="1" si="89">IF(V79=0,IF(W79&gt;0, W79/L$8, IF(X79&gt;0,X79/L$10, "")), IF(T79="", "", V79/L$7*T79))</f>
        <v/>
      </c>
      <c r="Z79" s="1166" t="str">
        <f t="shared" ref="Z79:Z99" ca="1" si="90">IF(+Y79="","",IF(Y79&gt;L$3,"H",IF(Y79&gt;L$4,"M","")))</f>
        <v/>
      </c>
      <c r="AA79" s="751"/>
      <c r="AB79" s="871" t="str">
        <f t="shared" ref="AB79:AB113" ca="1" si="91">IF((CONCATENATE(IF(K79="OK","",J79), "    ",IF(L79="","",IF(N79="OK","",CONCATENATE(M79," = ",ROUND(L79,3),"kgCO2e/kWh"))),"    ",IF(AND(+AA79="",Z79="M"),"Value change with medium impact",IF(AND(AA79="",Z79="H"),"Value change with high impact",""))," "))="         ","",(CONCATENATE(IF(K79="OK","",J79), "    ",IF(L79="","",IF(N79="OK","",CONCATENATE(M79," = ",ROUND(L79,3),"kgCO2e/kWh"))),"    ",IF(AND(+AA79="",Z79="M"),"Value change with medium impact",IF(AND(AA79="",Z79="H"),"Value change with high impact",""))," ")))</f>
        <v/>
      </c>
      <c r="AC79" s="55"/>
      <c r="AD79" s="96"/>
      <c r="AE79" s="96"/>
      <c r="AF79" s="96"/>
      <c r="AG79" s="96"/>
      <c r="AH79" s="96"/>
      <c r="AI79" s="96"/>
      <c r="AJ79" s="96"/>
      <c r="AK79" s="192"/>
      <c r="AL79" s="875"/>
      <c r="AM79" s="875"/>
      <c r="AN79" s="875"/>
      <c r="AO79" s="50"/>
      <c r="AP79" s="97"/>
      <c r="AQ79" s="97"/>
      <c r="AR79" s="97"/>
      <c r="AS79" s="97"/>
      <c r="AT79" s="97"/>
      <c r="AU79" s="97"/>
      <c r="AV79" s="97"/>
      <c r="AW79" s="97"/>
      <c r="AX79" s="97"/>
      <c r="AY79" s="97"/>
      <c r="AZ79" s="97"/>
      <c r="BA79" s="97"/>
      <c r="BB79" s="97"/>
      <c r="BC79" s="97"/>
    </row>
    <row r="80" spans="1:55" ht="12.75" customHeight="1" x14ac:dyDescent="0.3">
      <c r="A80" s="2239"/>
      <c r="B80" s="747" t="str">
        <f>'Q1'!C88</f>
        <v>Medium petrol car, 1.4 - 2.0 l</v>
      </c>
      <c r="C80" s="1262">
        <f t="shared" ca="1" si="86"/>
        <v>0</v>
      </c>
      <c r="D80" s="768">
        <f t="shared" ca="1" si="86"/>
        <v>0</v>
      </c>
      <c r="E80" s="769">
        <f t="shared" ca="1" si="86"/>
        <v>0</v>
      </c>
      <c r="F80" s="769">
        <f t="shared" ca="1" si="86"/>
        <v>0</v>
      </c>
      <c r="G80" s="769">
        <f t="shared" ca="1" si="86"/>
        <v>0</v>
      </c>
      <c r="H80" s="769">
        <f t="shared" ca="1" si="86"/>
        <v>0</v>
      </c>
      <c r="I80" s="770">
        <f t="shared" ca="1" si="71"/>
        <v>0</v>
      </c>
      <c r="J80" s="872" t="str">
        <f t="shared" ca="1" si="73"/>
        <v/>
      </c>
      <c r="K80" s="782"/>
      <c r="L80" s="773"/>
      <c r="M80" s="774"/>
      <c r="N80" s="775"/>
      <c r="O80" s="776" t="str">
        <f t="shared" ca="1" si="51"/>
        <v/>
      </c>
      <c r="P80" s="777" t="str">
        <f t="shared" ca="1" si="74"/>
        <v/>
      </c>
      <c r="Q80" s="777" t="str">
        <f t="shared" ca="1" si="75"/>
        <v/>
      </c>
      <c r="R80" s="777" t="str">
        <f t="shared" ca="1" si="11"/>
        <v/>
      </c>
      <c r="S80" s="778" t="str">
        <f t="shared" ca="1" si="12"/>
        <v/>
      </c>
      <c r="T80" s="1066" t="str">
        <f t="shared" ca="1" si="76"/>
        <v/>
      </c>
      <c r="U80" s="1165" t="str">
        <f t="shared" ca="1" si="87"/>
        <v/>
      </c>
      <c r="V80" s="1350">
        <f t="shared" ca="1" si="88"/>
        <v>0</v>
      </c>
      <c r="W80" s="1350">
        <f t="shared" ca="1" si="88"/>
        <v>0</v>
      </c>
      <c r="X80" s="1350">
        <f t="shared" ca="1" si="88"/>
        <v>0</v>
      </c>
      <c r="Y80" s="1067" t="str">
        <f t="shared" ca="1" si="89"/>
        <v/>
      </c>
      <c r="Z80" s="1165" t="str">
        <f t="shared" ca="1" si="90"/>
        <v/>
      </c>
      <c r="AA80" s="772"/>
      <c r="AB80" s="871" t="str">
        <f t="shared" ca="1" si="91"/>
        <v/>
      </c>
      <c r="AC80" s="55"/>
      <c r="AD80" s="96"/>
      <c r="AE80" s="96"/>
      <c r="AF80" s="96"/>
      <c r="AG80" s="96"/>
      <c r="AH80" s="96"/>
      <c r="AI80" s="96"/>
      <c r="AJ80" s="96"/>
      <c r="AK80" s="192"/>
      <c r="AL80" s="875"/>
      <c r="AM80" s="875"/>
      <c r="AN80" s="875"/>
      <c r="AO80" s="50"/>
      <c r="AP80" s="97"/>
      <c r="AQ80" s="97"/>
      <c r="AR80" s="97"/>
      <c r="AS80" s="97"/>
      <c r="AT80" s="97"/>
      <c r="AU80" s="97"/>
      <c r="AV80" s="97"/>
      <c r="AW80" s="97"/>
      <c r="AX80" s="97"/>
      <c r="AY80" s="97"/>
      <c r="AZ80" s="97"/>
      <c r="BA80" s="97"/>
      <c r="BB80" s="97"/>
      <c r="BC80" s="97"/>
    </row>
    <row r="81" spans="1:55" ht="12.75" customHeight="1" x14ac:dyDescent="0.3">
      <c r="A81" s="2239"/>
      <c r="B81" s="747" t="str">
        <f>'Q1'!C89</f>
        <v>Large petrol car, &gt;2.0 l</v>
      </c>
      <c r="C81" s="1262">
        <f t="shared" ca="1" si="86"/>
        <v>0</v>
      </c>
      <c r="D81" s="768">
        <f t="shared" ca="1" si="86"/>
        <v>0</v>
      </c>
      <c r="E81" s="769">
        <f t="shared" ca="1" si="86"/>
        <v>0</v>
      </c>
      <c r="F81" s="769">
        <f t="shared" ca="1" si="86"/>
        <v>0</v>
      </c>
      <c r="G81" s="769">
        <f t="shared" ca="1" si="86"/>
        <v>0</v>
      </c>
      <c r="H81" s="769">
        <f t="shared" ca="1" si="86"/>
        <v>0</v>
      </c>
      <c r="I81" s="770">
        <f t="shared" ca="1" si="71"/>
        <v>0</v>
      </c>
      <c r="J81" s="872" t="str">
        <f t="shared" ca="1" si="73"/>
        <v/>
      </c>
      <c r="K81" s="782"/>
      <c r="L81" s="773"/>
      <c r="M81" s="774"/>
      <c r="N81" s="775"/>
      <c r="O81" s="776" t="str">
        <f t="shared" ca="1" si="51"/>
        <v/>
      </c>
      <c r="P81" s="777" t="str">
        <f t="shared" ca="1" si="74"/>
        <v/>
      </c>
      <c r="Q81" s="777" t="str">
        <f t="shared" ca="1" si="75"/>
        <v/>
      </c>
      <c r="R81" s="777" t="str">
        <f t="shared" ca="1" si="11"/>
        <v/>
      </c>
      <c r="S81" s="778" t="str">
        <f t="shared" ca="1" si="12"/>
        <v/>
      </c>
      <c r="T81" s="1066" t="str">
        <f t="shared" ca="1" si="76"/>
        <v/>
      </c>
      <c r="U81" s="1165" t="str">
        <f t="shared" ca="1" si="87"/>
        <v/>
      </c>
      <c r="V81" s="1350">
        <f t="shared" ca="1" si="88"/>
        <v>0</v>
      </c>
      <c r="W81" s="1350">
        <f t="shared" ca="1" si="88"/>
        <v>0</v>
      </c>
      <c r="X81" s="1350">
        <f t="shared" ca="1" si="88"/>
        <v>0</v>
      </c>
      <c r="Y81" s="1067" t="str">
        <f t="shared" ca="1" si="89"/>
        <v/>
      </c>
      <c r="Z81" s="1165" t="str">
        <f t="shared" ca="1" si="90"/>
        <v/>
      </c>
      <c r="AA81" s="772"/>
      <c r="AB81" s="871" t="str">
        <f t="shared" ca="1" si="91"/>
        <v/>
      </c>
      <c r="AC81" s="55"/>
      <c r="AD81" s="96"/>
      <c r="AE81" s="96"/>
      <c r="AF81" s="96"/>
      <c r="AG81" s="96"/>
      <c r="AH81" s="96"/>
      <c r="AI81" s="96"/>
      <c r="AJ81" s="96"/>
      <c r="AK81" s="192"/>
      <c r="AL81" s="875"/>
      <c r="AM81" s="875"/>
      <c r="AN81" s="875"/>
      <c r="AO81" s="50"/>
      <c r="AP81" s="97"/>
      <c r="AQ81" s="97"/>
      <c r="AR81" s="97"/>
      <c r="AS81" s="97"/>
      <c r="AT81" s="97"/>
      <c r="AU81" s="97"/>
      <c r="AV81" s="97"/>
      <c r="AW81" s="97"/>
      <c r="AX81" s="97"/>
      <c r="AY81" s="97"/>
      <c r="AZ81" s="97"/>
      <c r="BA81" s="97"/>
      <c r="BB81" s="97"/>
      <c r="BC81" s="97"/>
    </row>
    <row r="82" spans="1:55" ht="12.75" customHeight="1" x14ac:dyDescent="0.3">
      <c r="A82" s="2239"/>
      <c r="B82" s="747" t="str">
        <f>'Q1'!C90</f>
        <v>Average petrol car</v>
      </c>
      <c r="C82" s="1262">
        <f t="shared" ca="1" si="86"/>
        <v>0</v>
      </c>
      <c r="D82" s="768">
        <f t="shared" ca="1" si="86"/>
        <v>0</v>
      </c>
      <c r="E82" s="769">
        <f t="shared" ca="1" si="86"/>
        <v>0</v>
      </c>
      <c r="F82" s="769">
        <f t="shared" ca="1" si="86"/>
        <v>0</v>
      </c>
      <c r="G82" s="769">
        <f t="shared" ca="1" si="86"/>
        <v>0</v>
      </c>
      <c r="H82" s="769">
        <f t="shared" ca="1" si="86"/>
        <v>0</v>
      </c>
      <c r="I82" s="770">
        <f t="shared" ca="1" si="71"/>
        <v>0</v>
      </c>
      <c r="J82" s="872" t="str">
        <f t="shared" ca="1" si="73"/>
        <v/>
      </c>
      <c r="K82" s="782"/>
      <c r="L82" s="773"/>
      <c r="M82" s="774"/>
      <c r="N82" s="775"/>
      <c r="O82" s="776" t="str">
        <f t="shared" ca="1" si="51"/>
        <v/>
      </c>
      <c r="P82" s="777" t="str">
        <f t="shared" ca="1" si="74"/>
        <v/>
      </c>
      <c r="Q82" s="777" t="str">
        <f t="shared" ca="1" si="75"/>
        <v/>
      </c>
      <c r="R82" s="777" t="str">
        <f t="shared" ref="R82:R113" ca="1" si="92">IF(OR(+$J82="missing?",+$J82="new category"),"",IF($G82=0,"",IF(SUM($C82:$I82)=0,"",IFERROR((($C82-$G82)/$G82),"N/A"))))</f>
        <v/>
      </c>
      <c r="S82" s="778" t="str">
        <f t="shared" ref="S82:S113" ca="1" si="93">IF(OR(+$J82="missing?",+$J82="new category"),"",IF($I82=0,"",IF(SUM($C82:$I82)=0,"",IFERROR((($C82-$I82)/$I82),"N/A"))))</f>
        <v/>
      </c>
      <c r="T82" s="1066" t="str">
        <f t="shared" ca="1" si="76"/>
        <v/>
      </c>
      <c r="U82" s="1165" t="str">
        <f t="shared" ca="1" si="87"/>
        <v/>
      </c>
      <c r="V82" s="1350">
        <f t="shared" ca="1" si="88"/>
        <v>0</v>
      </c>
      <c r="W82" s="1350">
        <f t="shared" ca="1" si="88"/>
        <v>0</v>
      </c>
      <c r="X82" s="1350">
        <f t="shared" ca="1" si="88"/>
        <v>0</v>
      </c>
      <c r="Y82" s="1067" t="str">
        <f t="shared" ca="1" si="89"/>
        <v/>
      </c>
      <c r="Z82" s="1165" t="str">
        <f t="shared" ca="1" si="90"/>
        <v/>
      </c>
      <c r="AA82" s="772"/>
      <c r="AB82" s="871" t="str">
        <f t="shared" ca="1" si="91"/>
        <v/>
      </c>
      <c r="AC82" s="55"/>
      <c r="AD82" s="96"/>
      <c r="AE82" s="96"/>
      <c r="AF82" s="96"/>
      <c r="AG82" s="96"/>
      <c r="AH82" s="96"/>
      <c r="AI82" s="96"/>
      <c r="AJ82" s="96"/>
      <c r="AK82" s="192"/>
      <c r="AL82" s="875"/>
      <c r="AM82" s="875"/>
      <c r="AN82" s="875"/>
      <c r="AO82" s="50"/>
      <c r="AP82" s="97"/>
      <c r="AQ82" s="97"/>
      <c r="AR82" s="97"/>
      <c r="AS82" s="97"/>
      <c r="AT82" s="97"/>
      <c r="AU82" s="97"/>
      <c r="AV82" s="97"/>
      <c r="AW82" s="97"/>
      <c r="AX82" s="97"/>
      <c r="AY82" s="97"/>
      <c r="AZ82" s="97"/>
      <c r="BA82" s="97"/>
      <c r="BB82" s="97"/>
      <c r="BC82" s="97"/>
    </row>
    <row r="83" spans="1:55" ht="12.75" customHeight="1" x14ac:dyDescent="0.3">
      <c r="A83" s="2239"/>
      <c r="B83" s="747" t="str">
        <f>'Q1'!C91</f>
        <v>Small diesel car, up to 1.7 l</v>
      </c>
      <c r="C83" s="1262">
        <f t="shared" ca="1" si="86"/>
        <v>0</v>
      </c>
      <c r="D83" s="768">
        <f t="shared" ca="1" si="86"/>
        <v>0</v>
      </c>
      <c r="E83" s="769">
        <f t="shared" ca="1" si="86"/>
        <v>0</v>
      </c>
      <c r="F83" s="769">
        <f t="shared" ca="1" si="86"/>
        <v>0</v>
      </c>
      <c r="G83" s="769">
        <f t="shared" ca="1" si="86"/>
        <v>0</v>
      </c>
      <c r="H83" s="769">
        <f t="shared" ca="1" si="86"/>
        <v>0</v>
      </c>
      <c r="I83" s="770">
        <f t="shared" ca="1" si="71"/>
        <v>0</v>
      </c>
      <c r="J83" s="872" t="str">
        <f t="shared" ca="1" si="73"/>
        <v/>
      </c>
      <c r="K83" s="782"/>
      <c r="L83" s="773"/>
      <c r="M83" s="774"/>
      <c r="N83" s="775"/>
      <c r="O83" s="776" t="str">
        <f t="shared" ca="1" si="51"/>
        <v/>
      </c>
      <c r="P83" s="777" t="str">
        <f t="shared" ca="1" si="74"/>
        <v/>
      </c>
      <c r="Q83" s="777" t="str">
        <f t="shared" ca="1" si="75"/>
        <v/>
      </c>
      <c r="R83" s="777" t="str">
        <f t="shared" ca="1" si="92"/>
        <v/>
      </c>
      <c r="S83" s="778" t="str">
        <f t="shared" ca="1" si="93"/>
        <v/>
      </c>
      <c r="T83" s="1066" t="str">
        <f t="shared" ca="1" si="76"/>
        <v/>
      </c>
      <c r="U83" s="1165" t="str">
        <f t="shared" ca="1" si="87"/>
        <v/>
      </c>
      <c r="V83" s="1350">
        <f t="shared" ca="1" si="88"/>
        <v>0</v>
      </c>
      <c r="W83" s="1350">
        <f t="shared" ca="1" si="88"/>
        <v>0</v>
      </c>
      <c r="X83" s="1350">
        <f t="shared" ca="1" si="88"/>
        <v>0</v>
      </c>
      <c r="Y83" s="1067" t="str">
        <f t="shared" ca="1" si="89"/>
        <v/>
      </c>
      <c r="Z83" s="1165" t="str">
        <f t="shared" ca="1" si="90"/>
        <v/>
      </c>
      <c r="AA83" s="772"/>
      <c r="AB83" s="871" t="str">
        <f t="shared" ca="1" si="91"/>
        <v/>
      </c>
      <c r="AC83" s="55"/>
      <c r="AD83" s="96"/>
      <c r="AE83" s="96"/>
      <c r="AF83" s="96"/>
      <c r="AG83" s="96"/>
      <c r="AH83" s="96"/>
      <c r="AI83" s="96"/>
      <c r="AJ83" s="96"/>
      <c r="AK83" s="192"/>
      <c r="AL83" s="875"/>
      <c r="AM83" s="875"/>
      <c r="AN83" s="875"/>
      <c r="AO83" s="50"/>
      <c r="AP83" s="97"/>
      <c r="AQ83" s="97"/>
      <c r="AR83" s="97"/>
      <c r="AS83" s="97"/>
      <c r="AT83" s="97"/>
      <c r="AU83" s="97"/>
      <c r="AV83" s="97"/>
      <c r="AW83" s="97"/>
      <c r="AX83" s="97"/>
      <c r="AY83" s="97"/>
      <c r="AZ83" s="97"/>
      <c r="BA83" s="97"/>
      <c r="BB83" s="97"/>
      <c r="BC83" s="97"/>
    </row>
    <row r="84" spans="1:55" ht="12.75" customHeight="1" x14ac:dyDescent="0.3">
      <c r="A84" s="2239"/>
      <c r="B84" s="747" t="str">
        <f>'Q1'!C92</f>
        <v>Medium diesel car, 1.7 - 2.0 l</v>
      </c>
      <c r="C84" s="1262">
        <f t="shared" ca="1" si="86"/>
        <v>0</v>
      </c>
      <c r="D84" s="768">
        <f t="shared" ca="1" si="86"/>
        <v>0</v>
      </c>
      <c r="E84" s="769">
        <f t="shared" ca="1" si="86"/>
        <v>0</v>
      </c>
      <c r="F84" s="769">
        <f t="shared" ca="1" si="86"/>
        <v>0</v>
      </c>
      <c r="G84" s="769">
        <f t="shared" ca="1" si="86"/>
        <v>0</v>
      </c>
      <c r="H84" s="769">
        <f t="shared" ca="1" si="86"/>
        <v>0</v>
      </c>
      <c r="I84" s="770">
        <f t="shared" ca="1" si="71"/>
        <v>0</v>
      </c>
      <c r="J84" s="872" t="str">
        <f t="shared" ca="1" si="73"/>
        <v/>
      </c>
      <c r="K84" s="782"/>
      <c r="L84" s="773"/>
      <c r="M84" s="774"/>
      <c r="N84" s="775"/>
      <c r="O84" s="776" t="str">
        <f t="shared" ca="1" si="51"/>
        <v/>
      </c>
      <c r="P84" s="777" t="str">
        <f t="shared" ca="1" si="74"/>
        <v/>
      </c>
      <c r="Q84" s="777" t="str">
        <f t="shared" ca="1" si="75"/>
        <v/>
      </c>
      <c r="R84" s="777" t="str">
        <f t="shared" ca="1" si="92"/>
        <v/>
      </c>
      <c r="S84" s="778" t="str">
        <f t="shared" ca="1" si="93"/>
        <v/>
      </c>
      <c r="T84" s="1066" t="str">
        <f t="shared" ca="1" si="76"/>
        <v/>
      </c>
      <c r="U84" s="1165" t="str">
        <f t="shared" ca="1" si="87"/>
        <v/>
      </c>
      <c r="V84" s="1350">
        <f t="shared" ca="1" si="88"/>
        <v>0</v>
      </c>
      <c r="W84" s="1350">
        <f t="shared" ca="1" si="88"/>
        <v>0</v>
      </c>
      <c r="X84" s="1350">
        <f t="shared" ca="1" si="88"/>
        <v>0</v>
      </c>
      <c r="Y84" s="1067" t="str">
        <f t="shared" ca="1" si="89"/>
        <v/>
      </c>
      <c r="Z84" s="1165" t="str">
        <f t="shared" ca="1" si="90"/>
        <v/>
      </c>
      <c r="AA84" s="772"/>
      <c r="AB84" s="871" t="str">
        <f t="shared" ca="1" si="91"/>
        <v/>
      </c>
      <c r="AC84" s="55"/>
      <c r="AD84" s="96"/>
      <c r="AE84" s="96"/>
      <c r="AF84" s="96"/>
      <c r="AG84" s="96"/>
      <c r="AH84" s="96"/>
      <c r="AI84" s="96"/>
      <c r="AJ84" s="96"/>
      <c r="AK84" s="192"/>
      <c r="AL84" s="875"/>
      <c r="AM84" s="875"/>
      <c r="AN84" s="875"/>
      <c r="AO84" s="50"/>
      <c r="AP84" s="97"/>
      <c r="AQ84" s="97"/>
      <c r="AR84" s="97"/>
      <c r="AS84" s="97"/>
      <c r="AT84" s="97"/>
      <c r="AU84" s="97"/>
      <c r="AV84" s="97"/>
      <c r="AW84" s="97"/>
      <c r="AX84" s="97"/>
      <c r="AY84" s="97"/>
      <c r="AZ84" s="97"/>
      <c r="BA84" s="97"/>
      <c r="BB84" s="97"/>
      <c r="BC84" s="97"/>
    </row>
    <row r="85" spans="1:55" ht="12.75" customHeight="1" x14ac:dyDescent="0.3">
      <c r="A85" s="2239"/>
      <c r="B85" s="747" t="str">
        <f>'Q1'!C93</f>
        <v>Large diesel car, &gt;2.0 l</v>
      </c>
      <c r="C85" s="1262">
        <f t="shared" ca="1" si="86"/>
        <v>0</v>
      </c>
      <c r="D85" s="768">
        <f t="shared" ca="1" si="86"/>
        <v>0</v>
      </c>
      <c r="E85" s="769">
        <f t="shared" ca="1" si="86"/>
        <v>0</v>
      </c>
      <c r="F85" s="769">
        <f t="shared" ca="1" si="86"/>
        <v>0</v>
      </c>
      <c r="G85" s="769">
        <f t="shared" ca="1" si="86"/>
        <v>0</v>
      </c>
      <c r="H85" s="769">
        <f t="shared" ca="1" si="86"/>
        <v>0</v>
      </c>
      <c r="I85" s="770">
        <f t="shared" ca="1" si="71"/>
        <v>0</v>
      </c>
      <c r="J85" s="872" t="str">
        <f t="shared" ca="1" si="73"/>
        <v/>
      </c>
      <c r="K85" s="782"/>
      <c r="L85" s="773"/>
      <c r="M85" s="774"/>
      <c r="N85" s="775"/>
      <c r="O85" s="776" t="str">
        <f t="shared" ca="1" si="51"/>
        <v/>
      </c>
      <c r="P85" s="777" t="str">
        <f t="shared" ca="1" si="74"/>
        <v/>
      </c>
      <c r="Q85" s="777" t="str">
        <f t="shared" ca="1" si="75"/>
        <v/>
      </c>
      <c r="R85" s="777" t="str">
        <f t="shared" ca="1" si="92"/>
        <v/>
      </c>
      <c r="S85" s="778" t="str">
        <f t="shared" ca="1" si="93"/>
        <v/>
      </c>
      <c r="T85" s="1066" t="str">
        <f t="shared" ca="1" si="76"/>
        <v/>
      </c>
      <c r="U85" s="1165" t="str">
        <f t="shared" ca="1" si="87"/>
        <v/>
      </c>
      <c r="V85" s="1350">
        <f t="shared" ca="1" si="88"/>
        <v>0</v>
      </c>
      <c r="W85" s="1350">
        <f t="shared" ca="1" si="88"/>
        <v>0</v>
      </c>
      <c r="X85" s="1350">
        <f t="shared" ca="1" si="88"/>
        <v>0</v>
      </c>
      <c r="Y85" s="1067" t="str">
        <f t="shared" ca="1" si="89"/>
        <v/>
      </c>
      <c r="Z85" s="1165" t="str">
        <f t="shared" ca="1" si="90"/>
        <v/>
      </c>
      <c r="AA85" s="772"/>
      <c r="AB85" s="871" t="str">
        <f t="shared" ca="1" si="91"/>
        <v/>
      </c>
      <c r="AC85" s="55"/>
      <c r="AD85" s="96"/>
      <c r="AE85" s="96"/>
      <c r="AF85" s="96"/>
      <c r="AG85" s="96"/>
      <c r="AH85" s="96"/>
      <c r="AI85" s="96"/>
      <c r="AJ85" s="96"/>
      <c r="AK85" s="192"/>
      <c r="AL85" s="875"/>
      <c r="AM85" s="875"/>
      <c r="AN85" s="875"/>
      <c r="AO85" s="50"/>
      <c r="AP85" s="97"/>
      <c r="AQ85" s="97"/>
      <c r="AR85" s="97"/>
      <c r="AS85" s="97"/>
      <c r="AT85" s="97"/>
      <c r="AU85" s="97"/>
      <c r="AV85" s="97"/>
      <c r="AW85" s="97"/>
      <c r="AX85" s="97"/>
      <c r="AY85" s="97"/>
      <c r="AZ85" s="97"/>
      <c r="BA85" s="97"/>
      <c r="BB85" s="97"/>
      <c r="BC85" s="97"/>
    </row>
    <row r="86" spans="1:55" ht="12.75" customHeight="1" x14ac:dyDescent="0.3">
      <c r="A86" s="2239"/>
      <c r="B86" s="747" t="str">
        <f>'Q1'!C94</f>
        <v>Average diesel car</v>
      </c>
      <c r="C86" s="1262">
        <f t="shared" ca="1" si="86"/>
        <v>0</v>
      </c>
      <c r="D86" s="768">
        <f t="shared" ca="1" si="86"/>
        <v>0</v>
      </c>
      <c r="E86" s="769">
        <f t="shared" ca="1" si="86"/>
        <v>0</v>
      </c>
      <c r="F86" s="769">
        <f t="shared" ca="1" si="86"/>
        <v>0</v>
      </c>
      <c r="G86" s="769">
        <f t="shared" ca="1" si="86"/>
        <v>0</v>
      </c>
      <c r="H86" s="769">
        <f t="shared" ca="1" si="86"/>
        <v>0</v>
      </c>
      <c r="I86" s="770">
        <f t="shared" ca="1" si="71"/>
        <v>0</v>
      </c>
      <c r="J86" s="872" t="str">
        <f t="shared" ca="1" si="73"/>
        <v/>
      </c>
      <c r="K86" s="782"/>
      <c r="L86" s="773"/>
      <c r="M86" s="774"/>
      <c r="N86" s="775"/>
      <c r="O86" s="776" t="str">
        <f t="shared" ca="1" si="51"/>
        <v/>
      </c>
      <c r="P86" s="777" t="str">
        <f t="shared" ca="1" si="74"/>
        <v/>
      </c>
      <c r="Q86" s="777" t="str">
        <f t="shared" ca="1" si="75"/>
        <v/>
      </c>
      <c r="R86" s="777" t="str">
        <f t="shared" ca="1" si="92"/>
        <v/>
      </c>
      <c r="S86" s="778" t="str">
        <f t="shared" ca="1" si="93"/>
        <v/>
      </c>
      <c r="T86" s="1066" t="str">
        <f t="shared" ca="1" si="76"/>
        <v/>
      </c>
      <c r="U86" s="1165" t="str">
        <f t="shared" ca="1" si="87"/>
        <v/>
      </c>
      <c r="V86" s="1350">
        <f t="shared" ca="1" si="88"/>
        <v>0</v>
      </c>
      <c r="W86" s="1350">
        <f t="shared" ca="1" si="88"/>
        <v>0</v>
      </c>
      <c r="X86" s="1350">
        <f t="shared" ca="1" si="88"/>
        <v>0</v>
      </c>
      <c r="Y86" s="1067" t="str">
        <f t="shared" ca="1" si="89"/>
        <v/>
      </c>
      <c r="Z86" s="1165" t="str">
        <f t="shared" ca="1" si="90"/>
        <v/>
      </c>
      <c r="AA86" s="772"/>
      <c r="AB86" s="871" t="str">
        <f t="shared" ca="1" si="91"/>
        <v/>
      </c>
      <c r="AC86" s="55"/>
      <c r="AD86" s="96"/>
      <c r="AE86" s="96"/>
      <c r="AF86" s="96"/>
      <c r="AG86" s="96"/>
      <c r="AH86" s="96"/>
      <c r="AI86" s="96"/>
      <c r="AJ86" s="96"/>
      <c r="AK86" s="192"/>
      <c r="AL86" s="875"/>
      <c r="AM86" s="875"/>
      <c r="AN86" s="875"/>
      <c r="AO86" s="50"/>
      <c r="AP86" s="97"/>
      <c r="AQ86" s="97"/>
      <c r="AR86" s="97"/>
      <c r="AS86" s="97"/>
      <c r="AT86" s="97"/>
      <c r="AU86" s="97"/>
      <c r="AV86" s="97"/>
      <c r="AW86" s="97"/>
      <c r="AX86" s="97"/>
      <c r="AY86" s="97"/>
      <c r="AZ86" s="97"/>
      <c r="BA86" s="97"/>
      <c r="BB86" s="97"/>
      <c r="BC86" s="97"/>
    </row>
    <row r="87" spans="1:55" ht="12.75" customHeight="1" x14ac:dyDescent="0.3">
      <c r="A87" s="2239"/>
      <c r="B87" s="747" t="str">
        <f>'Q1'!C95</f>
        <v>Hybrid - Medium</v>
      </c>
      <c r="C87" s="1262">
        <f t="shared" ca="1" si="86"/>
        <v>0</v>
      </c>
      <c r="D87" s="768">
        <f t="shared" ca="1" si="86"/>
        <v>0</v>
      </c>
      <c r="E87" s="769">
        <f t="shared" ca="1" si="86"/>
        <v>0</v>
      </c>
      <c r="F87" s="769">
        <f t="shared" ca="1" si="86"/>
        <v>0</v>
      </c>
      <c r="G87" s="769">
        <f t="shared" ca="1" si="86"/>
        <v>0</v>
      </c>
      <c r="H87" s="769">
        <f t="shared" ca="1" si="86"/>
        <v>0</v>
      </c>
      <c r="I87" s="770">
        <f t="shared" ca="1" si="71"/>
        <v>0</v>
      </c>
      <c r="J87" s="872" t="str">
        <f t="shared" ca="1" si="73"/>
        <v/>
      </c>
      <c r="K87" s="782"/>
      <c r="L87" s="773"/>
      <c r="M87" s="774"/>
      <c r="N87" s="775"/>
      <c r="O87" s="776" t="str">
        <f t="shared" ca="1" si="51"/>
        <v/>
      </c>
      <c r="P87" s="777" t="str">
        <f t="shared" ca="1" si="74"/>
        <v/>
      </c>
      <c r="Q87" s="777" t="str">
        <f t="shared" ca="1" si="75"/>
        <v/>
      </c>
      <c r="R87" s="777" t="str">
        <f t="shared" ca="1" si="92"/>
        <v/>
      </c>
      <c r="S87" s="778" t="str">
        <f t="shared" ca="1" si="93"/>
        <v/>
      </c>
      <c r="T87" s="1066" t="str">
        <f t="shared" ca="1" si="76"/>
        <v/>
      </c>
      <c r="U87" s="1165" t="str">
        <f t="shared" ca="1" si="87"/>
        <v/>
      </c>
      <c r="V87" s="1350">
        <f t="shared" ca="1" si="88"/>
        <v>0</v>
      </c>
      <c r="W87" s="1350">
        <f t="shared" ca="1" si="88"/>
        <v>0</v>
      </c>
      <c r="X87" s="1350">
        <f t="shared" ca="1" si="88"/>
        <v>0</v>
      </c>
      <c r="Y87" s="1067" t="str">
        <f t="shared" ca="1" si="89"/>
        <v/>
      </c>
      <c r="Z87" s="1165" t="str">
        <f t="shared" ca="1" si="90"/>
        <v/>
      </c>
      <c r="AA87" s="772"/>
      <c r="AB87" s="871" t="str">
        <f t="shared" ca="1" si="91"/>
        <v/>
      </c>
      <c r="AC87" s="55"/>
      <c r="AD87" s="96"/>
      <c r="AE87" s="96"/>
      <c r="AF87" s="96"/>
      <c r="AG87" s="96"/>
      <c r="AH87" s="96"/>
      <c r="AI87" s="96"/>
      <c r="AJ87" s="96"/>
      <c r="AK87" s="192"/>
      <c r="AL87" s="875"/>
      <c r="AM87" s="875"/>
      <c r="AN87" s="875"/>
      <c r="AO87" s="50"/>
      <c r="AP87" s="97"/>
      <c r="AQ87" s="97"/>
      <c r="AR87" s="97"/>
      <c r="AS87" s="97"/>
      <c r="AT87" s="97"/>
      <c r="AU87" s="97"/>
      <c r="AV87" s="97"/>
      <c r="AW87" s="97"/>
      <c r="AX87" s="97"/>
      <c r="AY87" s="97"/>
      <c r="AZ87" s="97"/>
      <c r="BA87" s="97"/>
      <c r="BB87" s="97"/>
      <c r="BC87" s="97"/>
    </row>
    <row r="88" spans="1:55" ht="12.75" customHeight="1" x14ac:dyDescent="0.3">
      <c r="A88" s="2239"/>
      <c r="B88" s="747" t="str">
        <f>'Q1'!C96</f>
        <v>Hybrid - Large</v>
      </c>
      <c r="C88" s="1262">
        <f t="shared" ca="1" si="86"/>
        <v>0</v>
      </c>
      <c r="D88" s="768">
        <f t="shared" ca="1" si="86"/>
        <v>0</v>
      </c>
      <c r="E88" s="769">
        <f t="shared" ca="1" si="86"/>
        <v>0</v>
      </c>
      <c r="F88" s="769">
        <f t="shared" ca="1" si="86"/>
        <v>0</v>
      </c>
      <c r="G88" s="769">
        <f t="shared" ca="1" si="86"/>
        <v>0</v>
      </c>
      <c r="H88" s="769">
        <f t="shared" ca="1" si="86"/>
        <v>0</v>
      </c>
      <c r="I88" s="770">
        <f t="shared" ca="1" si="71"/>
        <v>0</v>
      </c>
      <c r="J88" s="872" t="str">
        <f t="shared" ca="1" si="73"/>
        <v/>
      </c>
      <c r="K88" s="782"/>
      <c r="L88" s="773"/>
      <c r="M88" s="774"/>
      <c r="N88" s="775"/>
      <c r="O88" s="776" t="str">
        <f t="shared" ca="1" si="51"/>
        <v/>
      </c>
      <c r="P88" s="777" t="str">
        <f t="shared" ca="1" si="74"/>
        <v/>
      </c>
      <c r="Q88" s="777" t="str">
        <f t="shared" ca="1" si="75"/>
        <v/>
      </c>
      <c r="R88" s="777" t="str">
        <f t="shared" ca="1" si="92"/>
        <v/>
      </c>
      <c r="S88" s="778" t="str">
        <f t="shared" ca="1" si="93"/>
        <v/>
      </c>
      <c r="T88" s="1066" t="str">
        <f t="shared" ca="1" si="76"/>
        <v/>
      </c>
      <c r="U88" s="1165" t="str">
        <f t="shared" ca="1" si="87"/>
        <v/>
      </c>
      <c r="V88" s="1350">
        <f t="shared" ca="1" si="88"/>
        <v>0</v>
      </c>
      <c r="W88" s="1350">
        <f t="shared" ca="1" si="88"/>
        <v>0</v>
      </c>
      <c r="X88" s="1350">
        <f t="shared" ca="1" si="88"/>
        <v>0</v>
      </c>
      <c r="Y88" s="1067" t="str">
        <f t="shared" ca="1" si="89"/>
        <v/>
      </c>
      <c r="Z88" s="1165" t="str">
        <f t="shared" ca="1" si="90"/>
        <v/>
      </c>
      <c r="AA88" s="772"/>
      <c r="AB88" s="871" t="str">
        <f t="shared" ca="1" si="91"/>
        <v/>
      </c>
      <c r="AC88" s="55"/>
      <c r="AD88" s="96"/>
      <c r="AE88" s="96"/>
      <c r="AF88" s="96"/>
      <c r="AG88" s="96"/>
      <c r="AH88" s="96"/>
      <c r="AI88" s="96"/>
      <c r="AJ88" s="96"/>
      <c r="AK88" s="192"/>
      <c r="AL88" s="875"/>
      <c r="AM88" s="875"/>
      <c r="AN88" s="875"/>
      <c r="AO88" s="50"/>
      <c r="AP88" s="97"/>
      <c r="AQ88" s="97"/>
      <c r="AR88" s="97"/>
      <c r="AS88" s="97"/>
      <c r="AT88" s="97"/>
      <c r="AU88" s="97"/>
      <c r="AV88" s="97"/>
      <c r="AW88" s="97"/>
      <c r="AX88" s="97"/>
      <c r="AY88" s="97"/>
      <c r="AZ88" s="97"/>
      <c r="BA88" s="97"/>
      <c r="BB88" s="97"/>
      <c r="BC88" s="97"/>
    </row>
    <row r="89" spans="1:55" ht="12.75" customHeight="1" x14ac:dyDescent="0.3">
      <c r="A89" s="2239"/>
      <c r="B89" s="747" t="str">
        <f>'Q1'!C97</f>
        <v>LPG - Average</v>
      </c>
      <c r="C89" s="1262">
        <f t="shared" ref="C89:H99" ca="1" si="94">INDEX(INDIRECT(CONCATENATE("'",C$14,"'!$D$87:$D$107"),TRUE),MATCH($B89,INDIRECT(CONCATENATE("'",C$14,"'!$C$87:$C$107"),TRUE),0))</f>
        <v>0</v>
      </c>
      <c r="D89" s="768">
        <f t="shared" ca="1" si="94"/>
        <v>0</v>
      </c>
      <c r="E89" s="769">
        <f t="shared" ca="1" si="94"/>
        <v>0</v>
      </c>
      <c r="F89" s="769">
        <f t="shared" ca="1" si="94"/>
        <v>0</v>
      </c>
      <c r="G89" s="769">
        <f t="shared" ca="1" si="94"/>
        <v>0</v>
      </c>
      <c r="H89" s="769">
        <f t="shared" ca="1" si="94"/>
        <v>0</v>
      </c>
      <c r="I89" s="770">
        <f t="shared" ca="1" si="71"/>
        <v>0</v>
      </c>
      <c r="J89" s="872" t="str">
        <f t="shared" ca="1" si="73"/>
        <v/>
      </c>
      <c r="K89" s="782"/>
      <c r="L89" s="773"/>
      <c r="M89" s="774"/>
      <c r="N89" s="775"/>
      <c r="O89" s="776" t="str">
        <f t="shared" ca="1" si="51"/>
        <v/>
      </c>
      <c r="P89" s="777" t="str">
        <f t="shared" ca="1" si="74"/>
        <v/>
      </c>
      <c r="Q89" s="777" t="str">
        <f t="shared" ca="1" si="75"/>
        <v/>
      </c>
      <c r="R89" s="777" t="str">
        <f t="shared" ca="1" si="92"/>
        <v/>
      </c>
      <c r="S89" s="778" t="str">
        <f t="shared" ca="1" si="93"/>
        <v/>
      </c>
      <c r="T89" s="1066" t="str">
        <f t="shared" ca="1" si="76"/>
        <v/>
      </c>
      <c r="U89" s="1165" t="str">
        <f t="shared" ca="1" si="87"/>
        <v/>
      </c>
      <c r="V89" s="1350">
        <f t="shared" ca="1" si="88"/>
        <v>0</v>
      </c>
      <c r="W89" s="1350">
        <f t="shared" ca="1" si="88"/>
        <v>0</v>
      </c>
      <c r="X89" s="1350">
        <f t="shared" ca="1" si="88"/>
        <v>0</v>
      </c>
      <c r="Y89" s="1067" t="str">
        <f t="shared" ca="1" si="89"/>
        <v/>
      </c>
      <c r="Z89" s="1165" t="str">
        <f t="shared" ca="1" si="90"/>
        <v/>
      </c>
      <c r="AA89" s="772"/>
      <c r="AB89" s="871" t="str">
        <f t="shared" ca="1" si="91"/>
        <v/>
      </c>
      <c r="AC89" s="55"/>
      <c r="AD89" s="96"/>
      <c r="AE89" s="96"/>
      <c r="AF89" s="96"/>
      <c r="AG89" s="96"/>
      <c r="AH89" s="96"/>
      <c r="AI89" s="96"/>
      <c r="AJ89" s="96"/>
      <c r="AK89" s="192"/>
      <c r="AL89" s="875"/>
      <c r="AM89" s="875"/>
      <c r="AN89" s="875"/>
      <c r="AO89" s="50"/>
      <c r="AP89" s="97"/>
      <c r="AQ89" s="97"/>
      <c r="AR89" s="97"/>
      <c r="AS89" s="97"/>
      <c r="AT89" s="97"/>
      <c r="AU89" s="97"/>
      <c r="AV89" s="97"/>
      <c r="AW89" s="97"/>
      <c r="AX89" s="97"/>
      <c r="AY89" s="97"/>
      <c r="AZ89" s="97"/>
      <c r="BA89" s="97"/>
      <c r="BB89" s="97"/>
      <c r="BC89" s="97"/>
    </row>
    <row r="90" spans="1:55" ht="12.75" customHeight="1" x14ac:dyDescent="0.3">
      <c r="A90" s="2239"/>
      <c r="B90" s="747" t="str">
        <f>'Q1'!C98</f>
        <v>Unknown - Average</v>
      </c>
      <c r="C90" s="1262">
        <f t="shared" ca="1" si="94"/>
        <v>0</v>
      </c>
      <c r="D90" s="768">
        <f t="shared" ca="1" si="94"/>
        <v>14756354</v>
      </c>
      <c r="E90" s="769">
        <f t="shared" ca="1" si="94"/>
        <v>12714336.17</v>
      </c>
      <c r="F90" s="769">
        <f t="shared" ca="1" si="94"/>
        <v>12365451.85</v>
      </c>
      <c r="G90" s="769">
        <f t="shared" ca="1" si="94"/>
        <v>13042866</v>
      </c>
      <c r="H90" s="769">
        <f t="shared" ca="1" si="94"/>
        <v>50490770.850000001</v>
      </c>
      <c r="I90" s="770">
        <f t="shared" ca="1" si="71"/>
        <v>12622692.7125</v>
      </c>
      <c r="J90" s="872" t="str">
        <f t="shared" ca="1" si="73"/>
        <v>Missing value?</v>
      </c>
      <c r="K90" s="782"/>
      <c r="L90" s="773"/>
      <c r="M90" s="774"/>
      <c r="N90" s="775"/>
      <c r="O90" s="776">
        <f t="shared" ca="1" si="51"/>
        <v>-1</v>
      </c>
      <c r="P90" s="777">
        <f t="shared" ca="1" si="74"/>
        <v>-1</v>
      </c>
      <c r="Q90" s="777">
        <f t="shared" ca="1" si="75"/>
        <v>-1</v>
      </c>
      <c r="R90" s="777">
        <f t="shared" ca="1" si="92"/>
        <v>-1</v>
      </c>
      <c r="S90" s="778">
        <f t="shared" ca="1" si="93"/>
        <v>-1</v>
      </c>
      <c r="T90" s="1066">
        <f t="shared" ca="1" si="76"/>
        <v>1</v>
      </c>
      <c r="U90" s="1165" t="str">
        <f t="shared" ca="1" si="87"/>
        <v>H</v>
      </c>
      <c r="V90" s="1350">
        <f t="shared" ca="1" si="88"/>
        <v>0</v>
      </c>
      <c r="W90" s="1350">
        <f t="shared" ca="1" si="88"/>
        <v>2613.3502934000003</v>
      </c>
      <c r="X90" s="1350">
        <f t="shared" ca="1" si="88"/>
        <v>9120.652846343999</v>
      </c>
      <c r="Y90" s="1067">
        <f t="shared" ca="1" si="89"/>
        <v>4.8741274585776102E-2</v>
      </c>
      <c r="Z90" s="1165" t="str">
        <f t="shared" ca="1" si="90"/>
        <v>M</v>
      </c>
      <c r="AA90" s="772"/>
      <c r="AB90" s="871" t="str">
        <f t="shared" ca="1" si="91"/>
        <v xml:space="preserve">Missing value?        Value change with medium impact </v>
      </c>
      <c r="AC90" s="55"/>
      <c r="AD90" s="96"/>
      <c r="AE90" s="96"/>
      <c r="AF90" s="96"/>
      <c r="AG90" s="96"/>
      <c r="AH90" s="96"/>
      <c r="AI90" s="96"/>
      <c r="AJ90" s="96"/>
      <c r="AK90" s="192"/>
      <c r="AL90" s="875"/>
      <c r="AM90" s="875"/>
      <c r="AN90" s="875"/>
      <c r="AO90" s="50"/>
      <c r="AP90" s="97"/>
      <c r="AQ90" s="97"/>
      <c r="AR90" s="97"/>
      <c r="AS90" s="97"/>
      <c r="AT90" s="97"/>
      <c r="AU90" s="97"/>
      <c r="AV90" s="97"/>
      <c r="AW90" s="97"/>
      <c r="AX90" s="97"/>
      <c r="AY90" s="97"/>
      <c r="AZ90" s="97"/>
      <c r="BA90" s="97"/>
      <c r="BB90" s="97"/>
      <c r="BC90" s="97"/>
    </row>
    <row r="91" spans="1:55" ht="12.75" customHeight="1" x14ac:dyDescent="0.3">
      <c r="A91" s="2239"/>
      <c r="B91" s="747" t="str">
        <f>'Q1'!C99</f>
        <v>Small petrol motorbike (mopeds/scooters up to 125cc)</v>
      </c>
      <c r="C91" s="1262">
        <f t="shared" ca="1" si="94"/>
        <v>0</v>
      </c>
      <c r="D91" s="768">
        <f t="shared" ca="1" si="94"/>
        <v>0</v>
      </c>
      <c r="E91" s="769">
        <f t="shared" ca="1" si="94"/>
        <v>0</v>
      </c>
      <c r="F91" s="769">
        <f t="shared" ca="1" si="94"/>
        <v>0</v>
      </c>
      <c r="G91" s="769">
        <f t="shared" ca="1" si="94"/>
        <v>0</v>
      </c>
      <c r="H91" s="769">
        <f t="shared" ca="1" si="94"/>
        <v>0</v>
      </c>
      <c r="I91" s="770">
        <f t="shared" ca="1" si="71"/>
        <v>0</v>
      </c>
      <c r="J91" s="872" t="str">
        <f t="shared" ca="1" si="73"/>
        <v/>
      </c>
      <c r="K91" s="782"/>
      <c r="L91" s="773"/>
      <c r="M91" s="774"/>
      <c r="N91" s="775"/>
      <c r="O91" s="776" t="str">
        <f t="shared" ca="1" si="51"/>
        <v/>
      </c>
      <c r="P91" s="777" t="str">
        <f t="shared" ca="1" si="74"/>
        <v/>
      </c>
      <c r="Q91" s="777" t="str">
        <f t="shared" ca="1" si="75"/>
        <v/>
      </c>
      <c r="R91" s="777" t="str">
        <f t="shared" ca="1" si="92"/>
        <v/>
      </c>
      <c r="S91" s="778" t="str">
        <f t="shared" ca="1" si="93"/>
        <v/>
      </c>
      <c r="T91" s="1066" t="str">
        <f t="shared" ca="1" si="76"/>
        <v/>
      </c>
      <c r="U91" s="1165" t="str">
        <f t="shared" ca="1" si="87"/>
        <v/>
      </c>
      <c r="V91" s="1350">
        <f t="shared" ca="1" si="88"/>
        <v>0</v>
      </c>
      <c r="W91" s="1350">
        <f t="shared" ca="1" si="88"/>
        <v>0</v>
      </c>
      <c r="X91" s="1350">
        <f t="shared" ca="1" si="88"/>
        <v>0</v>
      </c>
      <c r="Y91" s="1067" t="str">
        <f t="shared" ca="1" si="89"/>
        <v/>
      </c>
      <c r="Z91" s="1165" t="str">
        <f t="shared" ca="1" si="90"/>
        <v/>
      </c>
      <c r="AA91" s="772"/>
      <c r="AB91" s="871" t="str">
        <f t="shared" ca="1" si="91"/>
        <v/>
      </c>
      <c r="AC91" s="55"/>
      <c r="AD91" s="96"/>
      <c r="AE91" s="96"/>
      <c r="AF91" s="96"/>
      <c r="AG91" s="96"/>
      <c r="AH91" s="96"/>
      <c r="AI91" s="96"/>
      <c r="AJ91" s="96"/>
      <c r="AK91" s="192"/>
      <c r="AL91" s="875"/>
      <c r="AM91" s="875"/>
      <c r="AN91" s="875"/>
      <c r="AO91" s="50"/>
      <c r="AP91" s="97"/>
      <c r="AQ91" s="97"/>
      <c r="AR91" s="97"/>
      <c r="AS91" s="97"/>
      <c r="AT91" s="97"/>
      <c r="AU91" s="97"/>
      <c r="AV91" s="97"/>
      <c r="AW91" s="97"/>
      <c r="AX91" s="97"/>
      <c r="AY91" s="97"/>
      <c r="AZ91" s="97"/>
      <c r="BA91" s="97"/>
      <c r="BB91" s="97"/>
      <c r="BC91" s="97"/>
    </row>
    <row r="92" spans="1:55" ht="12.75" customHeight="1" x14ac:dyDescent="0.3">
      <c r="A92" s="2239"/>
      <c r="B92" s="747" t="str">
        <f>'Q1'!C100</f>
        <v>Medium petrol motorbike (125-500cc)</v>
      </c>
      <c r="C92" s="1262">
        <f t="shared" ca="1" si="94"/>
        <v>0</v>
      </c>
      <c r="D92" s="768">
        <f t="shared" ca="1" si="94"/>
        <v>0</v>
      </c>
      <c r="E92" s="769">
        <f t="shared" ca="1" si="94"/>
        <v>0</v>
      </c>
      <c r="F92" s="769">
        <f t="shared" ca="1" si="94"/>
        <v>0</v>
      </c>
      <c r="G92" s="769">
        <f t="shared" ca="1" si="94"/>
        <v>0</v>
      </c>
      <c r="H92" s="769">
        <f t="shared" ca="1" si="94"/>
        <v>0</v>
      </c>
      <c r="I92" s="770">
        <f t="shared" ca="1" si="71"/>
        <v>0</v>
      </c>
      <c r="J92" s="872" t="str">
        <f t="shared" ca="1" si="73"/>
        <v/>
      </c>
      <c r="K92" s="782"/>
      <c r="L92" s="773"/>
      <c r="M92" s="774"/>
      <c r="N92" s="775"/>
      <c r="O92" s="776" t="str">
        <f t="shared" ca="1" si="51"/>
        <v/>
      </c>
      <c r="P92" s="777" t="str">
        <f t="shared" ca="1" si="74"/>
        <v/>
      </c>
      <c r="Q92" s="777" t="str">
        <f t="shared" ca="1" si="75"/>
        <v/>
      </c>
      <c r="R92" s="777" t="str">
        <f t="shared" ca="1" si="92"/>
        <v/>
      </c>
      <c r="S92" s="778" t="str">
        <f t="shared" ca="1" si="93"/>
        <v/>
      </c>
      <c r="T92" s="1066" t="str">
        <f t="shared" ca="1" si="76"/>
        <v/>
      </c>
      <c r="U92" s="1165" t="str">
        <f t="shared" ca="1" si="87"/>
        <v/>
      </c>
      <c r="V92" s="1350">
        <f t="shared" ca="1" si="88"/>
        <v>0</v>
      </c>
      <c r="W92" s="1350">
        <f t="shared" ca="1" si="88"/>
        <v>0</v>
      </c>
      <c r="X92" s="1350">
        <f t="shared" ca="1" si="88"/>
        <v>0</v>
      </c>
      <c r="Y92" s="1067" t="str">
        <f t="shared" ca="1" si="89"/>
        <v/>
      </c>
      <c r="Z92" s="1165" t="str">
        <f t="shared" ca="1" si="90"/>
        <v/>
      </c>
      <c r="AA92" s="772"/>
      <c r="AB92" s="871" t="str">
        <f t="shared" ca="1" si="91"/>
        <v/>
      </c>
      <c r="AC92" s="55"/>
      <c r="AD92" s="96"/>
      <c r="AE92" s="96"/>
      <c r="AF92" s="96"/>
      <c r="AG92" s="96"/>
      <c r="AH92" s="96"/>
      <c r="AI92" s="96"/>
      <c r="AJ92" s="96"/>
      <c r="AK92" s="192"/>
      <c r="AL92" s="875"/>
      <c r="AM92" s="875"/>
      <c r="AN92" s="875"/>
      <c r="AO92" s="50"/>
      <c r="AP92" s="97"/>
      <c r="AQ92" s="97"/>
      <c r="AR92" s="97"/>
      <c r="AS92" s="97"/>
      <c r="AT92" s="97"/>
      <c r="AU92" s="97"/>
      <c r="AV92" s="97"/>
      <c r="AW92" s="97"/>
      <c r="AX92" s="97"/>
      <c r="AY92" s="97"/>
      <c r="AZ92" s="97"/>
      <c r="BA92" s="97"/>
      <c r="BB92" s="97"/>
      <c r="BC92" s="97"/>
    </row>
    <row r="93" spans="1:55" ht="12.75" customHeight="1" x14ac:dyDescent="0.3">
      <c r="A93" s="2239"/>
      <c r="B93" s="747" t="str">
        <f>'Q1'!C101</f>
        <v>Large petrol motorbike (over 500cc)</v>
      </c>
      <c r="C93" s="1262">
        <f t="shared" ca="1" si="94"/>
        <v>0</v>
      </c>
      <c r="D93" s="768">
        <f t="shared" ca="1" si="94"/>
        <v>0</v>
      </c>
      <c r="E93" s="769">
        <f t="shared" ca="1" si="94"/>
        <v>0</v>
      </c>
      <c r="F93" s="769">
        <f t="shared" ca="1" si="94"/>
        <v>0</v>
      </c>
      <c r="G93" s="769">
        <f t="shared" ca="1" si="94"/>
        <v>0</v>
      </c>
      <c r="H93" s="769">
        <f t="shared" ca="1" si="94"/>
        <v>0</v>
      </c>
      <c r="I93" s="770">
        <f t="shared" ca="1" si="71"/>
        <v>0</v>
      </c>
      <c r="J93" s="872" t="str">
        <f t="shared" ca="1" si="73"/>
        <v/>
      </c>
      <c r="K93" s="782"/>
      <c r="L93" s="773"/>
      <c r="M93" s="774"/>
      <c r="N93" s="775"/>
      <c r="O93" s="776" t="str">
        <f t="shared" ca="1" si="51"/>
        <v/>
      </c>
      <c r="P93" s="777" t="str">
        <f t="shared" ca="1" si="74"/>
        <v/>
      </c>
      <c r="Q93" s="777" t="str">
        <f t="shared" ca="1" si="75"/>
        <v/>
      </c>
      <c r="R93" s="777" t="str">
        <f t="shared" ca="1" si="92"/>
        <v/>
      </c>
      <c r="S93" s="778" t="str">
        <f t="shared" ca="1" si="93"/>
        <v/>
      </c>
      <c r="T93" s="1066" t="str">
        <f t="shared" ca="1" si="76"/>
        <v/>
      </c>
      <c r="U93" s="1165" t="str">
        <f t="shared" ca="1" si="87"/>
        <v/>
      </c>
      <c r="V93" s="1350">
        <f t="shared" ca="1" si="88"/>
        <v>0</v>
      </c>
      <c r="W93" s="1350">
        <f t="shared" ca="1" si="88"/>
        <v>0</v>
      </c>
      <c r="X93" s="1350">
        <f t="shared" ca="1" si="88"/>
        <v>0</v>
      </c>
      <c r="Y93" s="1067" t="str">
        <f t="shared" ca="1" si="89"/>
        <v/>
      </c>
      <c r="Z93" s="1165" t="str">
        <f t="shared" ca="1" si="90"/>
        <v/>
      </c>
      <c r="AA93" s="772"/>
      <c r="AB93" s="871" t="str">
        <f t="shared" ca="1" si="91"/>
        <v/>
      </c>
      <c r="AC93" s="55"/>
      <c r="AD93" s="96"/>
      <c r="AE93" s="96"/>
      <c r="AF93" s="96"/>
      <c r="AG93" s="96"/>
      <c r="AH93" s="96"/>
      <c r="AI93" s="96"/>
      <c r="AJ93" s="96"/>
      <c r="AK93" s="192"/>
      <c r="AL93" s="875"/>
      <c r="AM93" s="875"/>
      <c r="AN93" s="875"/>
      <c r="AO93" s="50"/>
      <c r="AP93" s="97"/>
      <c r="AQ93" s="97"/>
      <c r="AR93" s="97"/>
      <c r="AS93" s="97"/>
      <c r="AT93" s="97"/>
      <c r="AU93" s="97"/>
      <c r="AV93" s="97"/>
      <c r="AW93" s="97"/>
      <c r="AX93" s="97"/>
      <c r="AY93" s="97"/>
      <c r="AZ93" s="97"/>
      <c r="BA93" s="97"/>
      <c r="BB93" s="97"/>
      <c r="BC93" s="97"/>
    </row>
    <row r="94" spans="1:55" ht="12.75" customHeight="1" x14ac:dyDescent="0.3">
      <c r="A94" s="2239"/>
      <c r="B94" s="747" t="str">
        <f>'Q1'!C102</f>
        <v>Average petrol motorbike (unknown engine size)</v>
      </c>
      <c r="C94" s="1262">
        <f t="shared" ca="1" si="94"/>
        <v>0</v>
      </c>
      <c r="D94" s="768">
        <f t="shared" ca="1" si="94"/>
        <v>0</v>
      </c>
      <c r="E94" s="769">
        <f t="shared" ca="1" si="94"/>
        <v>0</v>
      </c>
      <c r="F94" s="769">
        <f t="shared" ca="1" si="94"/>
        <v>0</v>
      </c>
      <c r="G94" s="769">
        <f t="shared" ca="1" si="94"/>
        <v>0</v>
      </c>
      <c r="H94" s="769">
        <f t="shared" ca="1" si="94"/>
        <v>0</v>
      </c>
      <c r="I94" s="770">
        <f t="shared" ca="1" si="71"/>
        <v>0</v>
      </c>
      <c r="J94" s="872" t="str">
        <f t="shared" ca="1" si="73"/>
        <v/>
      </c>
      <c r="K94" s="782"/>
      <c r="L94" s="773"/>
      <c r="M94" s="774"/>
      <c r="N94" s="775"/>
      <c r="O94" s="776" t="str">
        <f t="shared" ca="1" si="51"/>
        <v/>
      </c>
      <c r="P94" s="777" t="str">
        <f t="shared" ca="1" si="74"/>
        <v/>
      </c>
      <c r="Q94" s="777" t="str">
        <f t="shared" ca="1" si="75"/>
        <v/>
      </c>
      <c r="R94" s="777" t="str">
        <f t="shared" ca="1" si="92"/>
        <v/>
      </c>
      <c r="S94" s="778" t="str">
        <f t="shared" ca="1" si="93"/>
        <v/>
      </c>
      <c r="T94" s="1066" t="str">
        <f t="shared" ca="1" si="76"/>
        <v/>
      </c>
      <c r="U94" s="1165" t="str">
        <f t="shared" ca="1" si="87"/>
        <v/>
      </c>
      <c r="V94" s="1350">
        <f t="shared" ca="1" si="88"/>
        <v>0</v>
      </c>
      <c r="W94" s="1350">
        <f t="shared" ca="1" si="88"/>
        <v>0</v>
      </c>
      <c r="X94" s="1350">
        <f t="shared" ca="1" si="88"/>
        <v>0</v>
      </c>
      <c r="Y94" s="1067" t="str">
        <f t="shared" ca="1" si="89"/>
        <v/>
      </c>
      <c r="Z94" s="1165" t="str">
        <f t="shared" ca="1" si="90"/>
        <v/>
      </c>
      <c r="AA94" s="772"/>
      <c r="AB94" s="871" t="str">
        <f t="shared" ca="1" si="91"/>
        <v/>
      </c>
      <c r="AC94" s="55"/>
      <c r="AD94" s="96"/>
      <c r="AE94" s="96"/>
      <c r="AF94" s="96"/>
      <c r="AG94" s="96"/>
      <c r="AH94" s="96"/>
      <c r="AI94" s="96"/>
      <c r="AJ94" s="96"/>
      <c r="AK94" s="192"/>
      <c r="AL94" s="875"/>
      <c r="AM94" s="875"/>
      <c r="AN94" s="875"/>
      <c r="AO94" s="50"/>
      <c r="AP94" s="97"/>
      <c r="AQ94" s="97"/>
      <c r="AR94" s="97"/>
      <c r="AS94" s="97"/>
      <c r="AT94" s="97"/>
      <c r="AU94" s="97"/>
      <c r="AV94" s="97"/>
      <c r="AW94" s="97"/>
      <c r="AX94" s="97"/>
      <c r="AY94" s="97"/>
      <c r="AZ94" s="97"/>
      <c r="BA94" s="97"/>
      <c r="BB94" s="97"/>
      <c r="BC94" s="97"/>
    </row>
    <row r="95" spans="1:55" ht="12.75" customHeight="1" x14ac:dyDescent="0.3">
      <c r="A95" s="2239"/>
      <c r="B95" s="747" t="str">
        <f>'Q1'!C103</f>
        <v>Other 1 (enter CO2 factor and specify fuel in "Notes")</v>
      </c>
      <c r="C95" s="1262">
        <f t="shared" ca="1" si="94"/>
        <v>0</v>
      </c>
      <c r="D95" s="768">
        <f t="shared" ca="1" si="94"/>
        <v>0</v>
      </c>
      <c r="E95" s="769">
        <f t="shared" ca="1" si="94"/>
        <v>0</v>
      </c>
      <c r="F95" s="769">
        <f t="shared" ca="1" si="94"/>
        <v>0</v>
      </c>
      <c r="G95" s="769">
        <f t="shared" ca="1" si="94"/>
        <v>0</v>
      </c>
      <c r="H95" s="769">
        <f t="shared" ca="1" si="94"/>
        <v>0</v>
      </c>
      <c r="I95" s="770">
        <f t="shared" ca="1" si="71"/>
        <v>0</v>
      </c>
      <c r="J95" s="872" t="str">
        <f t="shared" ca="1" si="73"/>
        <v/>
      </c>
      <c r="K95" s="782"/>
      <c r="L95" s="891" t="str">
        <f ca="1">IF(C95&gt;0,'Q3'!E103,"")</f>
        <v/>
      </c>
      <c r="M95" s="785" t="str">
        <f ca="1">IF(L95="","",IF('Q3'!I103=0,"Fuel type not stated",'Q3'!I103))</f>
        <v/>
      </c>
      <c r="N95" s="772"/>
      <c r="O95" s="776" t="str">
        <f t="shared" ca="1" si="51"/>
        <v/>
      </c>
      <c r="P95" s="777" t="str">
        <f t="shared" ca="1" si="74"/>
        <v/>
      </c>
      <c r="Q95" s="777" t="str">
        <f t="shared" ca="1" si="75"/>
        <v/>
      </c>
      <c r="R95" s="777" t="str">
        <f t="shared" ca="1" si="92"/>
        <v/>
      </c>
      <c r="S95" s="778" t="str">
        <f t="shared" ca="1" si="93"/>
        <v/>
      </c>
      <c r="T95" s="1066" t="str">
        <f t="shared" ca="1" si="76"/>
        <v/>
      </c>
      <c r="U95" s="1165" t="str">
        <f t="shared" ca="1" si="87"/>
        <v/>
      </c>
      <c r="V95" s="1350">
        <f t="shared" ca="1" si="88"/>
        <v>0</v>
      </c>
      <c r="W95" s="1350">
        <f t="shared" ca="1" si="88"/>
        <v>0</v>
      </c>
      <c r="X95" s="1350">
        <f t="shared" ca="1" si="88"/>
        <v>0</v>
      </c>
      <c r="Y95" s="1067" t="str">
        <f t="shared" ca="1" si="89"/>
        <v/>
      </c>
      <c r="Z95" s="1165" t="str">
        <f t="shared" ca="1" si="90"/>
        <v/>
      </c>
      <c r="AA95" s="772"/>
      <c r="AB95" s="871" t="str">
        <f t="shared" ca="1" si="91"/>
        <v/>
      </c>
      <c r="AC95" s="55"/>
      <c r="AD95" s="96"/>
      <c r="AE95" s="96"/>
      <c r="AF95" s="96"/>
      <c r="AG95" s="96"/>
      <c r="AH95" s="96"/>
      <c r="AI95" s="96"/>
      <c r="AJ95" s="96"/>
      <c r="AK95" s="192"/>
      <c r="AL95" s="875"/>
      <c r="AM95" s="875"/>
      <c r="AN95" s="875"/>
      <c r="AO95" s="50"/>
      <c r="AP95" s="97"/>
      <c r="AQ95" s="97"/>
      <c r="AR95" s="97"/>
      <c r="AS95" s="97"/>
      <c r="AT95" s="97"/>
      <c r="AU95" s="97"/>
      <c r="AV95" s="97"/>
      <c r="AW95" s="97"/>
      <c r="AX95" s="97"/>
      <c r="AY95" s="97"/>
      <c r="AZ95" s="97"/>
      <c r="BA95" s="97"/>
      <c r="BB95" s="97"/>
      <c r="BC95" s="97"/>
    </row>
    <row r="96" spans="1:55" ht="12.75" customHeight="1" x14ac:dyDescent="0.3">
      <c r="A96" s="2239"/>
      <c r="B96" s="747" t="str">
        <f>'Q1'!C104</f>
        <v>Other 2 (enter CO2 factor and specify fuel in "Notes")</v>
      </c>
      <c r="C96" s="1262">
        <f t="shared" ca="1" si="94"/>
        <v>0</v>
      </c>
      <c r="D96" s="768">
        <f t="shared" ca="1" si="94"/>
        <v>0</v>
      </c>
      <c r="E96" s="769">
        <f t="shared" ca="1" si="94"/>
        <v>0</v>
      </c>
      <c r="F96" s="769">
        <f t="shared" ca="1" si="94"/>
        <v>0</v>
      </c>
      <c r="G96" s="769">
        <f t="shared" ca="1" si="94"/>
        <v>0</v>
      </c>
      <c r="H96" s="769">
        <f t="shared" ca="1" si="94"/>
        <v>0</v>
      </c>
      <c r="I96" s="770">
        <f t="shared" ca="1" si="71"/>
        <v>0</v>
      </c>
      <c r="J96" s="872" t="str">
        <f t="shared" ca="1" si="73"/>
        <v/>
      </c>
      <c r="K96" s="782"/>
      <c r="L96" s="784" t="str">
        <f ca="1">IF(C96&gt;0,'Q3'!E104,"")</f>
        <v/>
      </c>
      <c r="M96" s="785" t="str">
        <f ca="1">IF(L96="","",IF('Q3'!I104=0,"Fuel type not stated",'Q3'!I104))</f>
        <v/>
      </c>
      <c r="N96" s="772"/>
      <c r="O96" s="776" t="str">
        <f t="shared" ca="1" si="51"/>
        <v/>
      </c>
      <c r="P96" s="777" t="str">
        <f t="shared" ca="1" si="74"/>
        <v/>
      </c>
      <c r="Q96" s="777" t="str">
        <f t="shared" ca="1" si="75"/>
        <v/>
      </c>
      <c r="R96" s="777" t="str">
        <f t="shared" ca="1" si="92"/>
        <v/>
      </c>
      <c r="S96" s="778" t="str">
        <f t="shared" ca="1" si="93"/>
        <v/>
      </c>
      <c r="T96" s="1066" t="str">
        <f t="shared" ca="1" si="76"/>
        <v/>
      </c>
      <c r="U96" s="1165" t="str">
        <f t="shared" ca="1" si="87"/>
        <v/>
      </c>
      <c r="V96" s="1350">
        <f t="shared" ca="1" si="88"/>
        <v>0</v>
      </c>
      <c r="W96" s="1350">
        <f t="shared" ca="1" si="88"/>
        <v>0</v>
      </c>
      <c r="X96" s="1350">
        <f t="shared" ca="1" si="88"/>
        <v>0</v>
      </c>
      <c r="Y96" s="1067" t="str">
        <f t="shared" ca="1" si="89"/>
        <v/>
      </c>
      <c r="Z96" s="1165" t="str">
        <f t="shared" ca="1" si="90"/>
        <v/>
      </c>
      <c r="AA96" s="772"/>
      <c r="AB96" s="871" t="str">
        <f t="shared" ca="1" si="91"/>
        <v/>
      </c>
      <c r="AC96" s="55"/>
      <c r="AD96" s="96"/>
      <c r="AE96" s="96"/>
      <c r="AF96" s="96"/>
      <c r="AG96" s="96"/>
      <c r="AH96" s="96"/>
      <c r="AI96" s="96"/>
      <c r="AJ96" s="96"/>
      <c r="AK96" s="192"/>
      <c r="AL96" s="875"/>
      <c r="AM96" s="875"/>
      <c r="AN96" s="875"/>
      <c r="AO96" s="50"/>
      <c r="AP96" s="97"/>
      <c r="AQ96" s="97"/>
      <c r="AR96" s="97"/>
      <c r="AS96" s="97"/>
      <c r="AT96" s="97"/>
      <c r="AU96" s="97"/>
      <c r="AV96" s="97"/>
      <c r="AW96" s="97"/>
      <c r="AX96" s="97"/>
      <c r="AY96" s="97"/>
      <c r="AZ96" s="97"/>
      <c r="BA96" s="97"/>
      <c r="BB96" s="97"/>
      <c r="BC96" s="97"/>
    </row>
    <row r="97" spans="1:55" ht="12.75" customHeight="1" x14ac:dyDescent="0.3">
      <c r="A97" s="2239"/>
      <c r="B97" s="747" t="str">
        <f>'Q1'!C105</f>
        <v>Other 3 (enter CO2 factor and specify fuel in "Notes")</v>
      </c>
      <c r="C97" s="1262">
        <f t="shared" ca="1" si="94"/>
        <v>0</v>
      </c>
      <c r="D97" s="768">
        <f t="shared" ca="1" si="94"/>
        <v>0</v>
      </c>
      <c r="E97" s="769">
        <f t="shared" ca="1" si="94"/>
        <v>0</v>
      </c>
      <c r="F97" s="769">
        <f t="shared" ca="1" si="94"/>
        <v>0</v>
      </c>
      <c r="G97" s="769">
        <f t="shared" ca="1" si="94"/>
        <v>0</v>
      </c>
      <c r="H97" s="769">
        <f t="shared" ca="1" si="94"/>
        <v>0</v>
      </c>
      <c r="I97" s="770">
        <f t="shared" ca="1" si="71"/>
        <v>0</v>
      </c>
      <c r="J97" s="872" t="str">
        <f t="shared" ref="J97:J99" ca="1" si="95">IF(AND(C97&gt;0,SUM(D97:I97)&gt;0),"",IF(AND(C97=0,SUM(C97:I97)=0),"",IF(AND(C97=0,D97&gt;0),"Missing value?",IF(AND(C97=0,I97&gt;0),"Missing value?","New category"))))</f>
        <v/>
      </c>
      <c r="K97" s="782"/>
      <c r="L97" s="784" t="str">
        <f ca="1">IF(C97&gt;0,'Q3'!E105,"")</f>
        <v/>
      </c>
      <c r="M97" s="785" t="str">
        <f ca="1">IF(L97="","",IF('Q3'!I105=0,"Fuel type not stated",'Q3'!I105))</f>
        <v/>
      </c>
      <c r="N97" s="772"/>
      <c r="O97" s="776" t="str">
        <f t="shared" ca="1" si="51"/>
        <v/>
      </c>
      <c r="P97" s="777" t="str">
        <f t="shared" ca="1" si="74"/>
        <v/>
      </c>
      <c r="Q97" s="777" t="str">
        <f t="shared" ca="1" si="75"/>
        <v/>
      </c>
      <c r="R97" s="777" t="str">
        <f t="shared" ca="1" si="92"/>
        <v/>
      </c>
      <c r="S97" s="778" t="str">
        <f t="shared" ca="1" si="93"/>
        <v/>
      </c>
      <c r="T97" s="1066" t="str">
        <f t="shared" ref="T97:T99" ca="1" si="96">IF(SUM(C97:I97)=0,"",IF(OR(AND(C97=0,SUM(D97:I97)&gt;0),AND(C97&gt;0,SUM(D97:I97)=0)),1,IF(MAX(IF(O97&lt;0,-O97,O97),IF(P97&lt;0,-P97,P97),IF(Q97&lt;0,-Q97,Q97),IF(R97&lt;0,-R97,R97),IF(S97&lt;0,-S97,S97))=0,"",MAX(IF(O97&lt;0,-O97,O97),IF(P97&lt;0,-P97,P97),IF(Q97&lt;0,-Q97,Q97),IF(R97&lt;0,-R97,R97),IF(S97&lt;0,-S97,S97)))))</f>
        <v/>
      </c>
      <c r="U97" s="1165" t="str">
        <f t="shared" ca="1" si="87"/>
        <v/>
      </c>
      <c r="V97" s="1350">
        <f t="shared" ca="1" si="88"/>
        <v>0</v>
      </c>
      <c r="W97" s="1350">
        <f t="shared" ca="1" si="88"/>
        <v>0</v>
      </c>
      <c r="X97" s="1350">
        <f t="shared" ca="1" si="88"/>
        <v>0</v>
      </c>
      <c r="Y97" s="1067" t="str">
        <f t="shared" ca="1" si="89"/>
        <v/>
      </c>
      <c r="Z97" s="1165" t="str">
        <f t="shared" ca="1" si="90"/>
        <v/>
      </c>
      <c r="AA97" s="772"/>
      <c r="AB97" s="871" t="str">
        <f t="shared" ca="1" si="91"/>
        <v/>
      </c>
      <c r="AC97" s="55"/>
      <c r="AD97" s="96"/>
      <c r="AE97" s="96"/>
      <c r="AF97" s="96"/>
      <c r="AG97" s="96"/>
      <c r="AH97" s="96"/>
      <c r="AI97" s="96"/>
      <c r="AJ97" s="96"/>
      <c r="AK97" s="192"/>
      <c r="AL97" s="875"/>
      <c r="AM97" s="875"/>
      <c r="AN97" s="875"/>
      <c r="AO97" s="50"/>
      <c r="AP97" s="97"/>
      <c r="AQ97" s="97"/>
      <c r="AR97" s="97"/>
      <c r="AS97" s="97"/>
      <c r="AT97" s="97"/>
      <c r="AU97" s="97"/>
      <c r="AV97" s="97"/>
      <c r="AW97" s="97"/>
      <c r="AX97" s="97"/>
      <c r="AY97" s="97"/>
      <c r="AZ97" s="97"/>
      <c r="BA97" s="97"/>
      <c r="BB97" s="97"/>
      <c r="BC97" s="97"/>
    </row>
    <row r="98" spans="1:55" ht="12.75" customHeight="1" x14ac:dyDescent="0.3">
      <c r="A98" s="2239"/>
      <c r="B98" s="747" t="str">
        <f>'Q1'!C106</f>
        <v>Other 4 (enter CO2 factor and specify fuel in "Notes")</v>
      </c>
      <c r="C98" s="1262">
        <f t="shared" ca="1" si="94"/>
        <v>0</v>
      </c>
      <c r="D98" s="768">
        <f t="shared" ca="1" si="94"/>
        <v>0</v>
      </c>
      <c r="E98" s="769">
        <f t="shared" ca="1" si="94"/>
        <v>0</v>
      </c>
      <c r="F98" s="769">
        <f t="shared" ca="1" si="94"/>
        <v>0</v>
      </c>
      <c r="G98" s="769">
        <f t="shared" ca="1" si="94"/>
        <v>0</v>
      </c>
      <c r="H98" s="769">
        <f t="shared" ca="1" si="94"/>
        <v>0</v>
      </c>
      <c r="I98" s="770">
        <f t="shared" ca="1" si="71"/>
        <v>0</v>
      </c>
      <c r="J98" s="872" t="str">
        <f t="shared" ca="1" si="95"/>
        <v/>
      </c>
      <c r="K98" s="782"/>
      <c r="L98" s="784" t="str">
        <f ca="1">IF(C98&gt;0,'Q3'!E106,"")</f>
        <v/>
      </c>
      <c r="M98" s="785" t="str">
        <f ca="1">IF(L98="","",IF('Q3'!I106=0,"Fuel type not stated",'Q3'!I106))</f>
        <v/>
      </c>
      <c r="N98" s="772"/>
      <c r="O98" s="776" t="str">
        <f t="shared" ca="1" si="51"/>
        <v/>
      </c>
      <c r="P98" s="777" t="str">
        <f t="shared" ca="1" si="74"/>
        <v/>
      </c>
      <c r="Q98" s="777" t="str">
        <f t="shared" ca="1" si="75"/>
        <v/>
      </c>
      <c r="R98" s="777" t="str">
        <f t="shared" ca="1" si="92"/>
        <v/>
      </c>
      <c r="S98" s="778" t="str">
        <f t="shared" ca="1" si="93"/>
        <v/>
      </c>
      <c r="T98" s="1066" t="str">
        <f t="shared" ca="1" si="96"/>
        <v/>
      </c>
      <c r="U98" s="1165" t="str">
        <f t="shared" ca="1" si="87"/>
        <v/>
      </c>
      <c r="V98" s="1350">
        <f t="shared" ca="1" si="88"/>
        <v>0</v>
      </c>
      <c r="W98" s="1350">
        <f t="shared" ca="1" si="88"/>
        <v>0</v>
      </c>
      <c r="X98" s="1350">
        <f t="shared" ca="1" si="88"/>
        <v>0</v>
      </c>
      <c r="Y98" s="1067" t="str">
        <f t="shared" ca="1" si="89"/>
        <v/>
      </c>
      <c r="Z98" s="1165" t="str">
        <f t="shared" ca="1" si="90"/>
        <v/>
      </c>
      <c r="AA98" s="772"/>
      <c r="AB98" s="871" t="str">
        <f t="shared" ca="1" si="91"/>
        <v/>
      </c>
      <c r="AC98" s="55"/>
      <c r="AD98" s="96"/>
      <c r="AE98" s="96"/>
      <c r="AF98" s="96"/>
      <c r="AG98" s="96"/>
      <c r="AH98" s="96"/>
      <c r="AI98" s="96"/>
      <c r="AJ98" s="96"/>
      <c r="AK98" s="192"/>
      <c r="AL98" s="875"/>
      <c r="AM98" s="875"/>
      <c r="AN98" s="875"/>
      <c r="AO98" s="50"/>
      <c r="AP98" s="97"/>
      <c r="AQ98" s="97"/>
      <c r="AR98" s="97"/>
      <c r="AS98" s="97"/>
      <c r="AT98" s="97"/>
      <c r="AU98" s="97"/>
      <c r="AV98" s="97"/>
      <c r="AW98" s="97"/>
      <c r="AX98" s="97"/>
      <c r="AY98" s="97"/>
      <c r="AZ98" s="97"/>
      <c r="BA98" s="97"/>
      <c r="BB98" s="97"/>
      <c r="BC98" s="97"/>
    </row>
    <row r="99" spans="1:55" ht="12.75" customHeight="1" thickBot="1" x14ac:dyDescent="0.35">
      <c r="A99" s="2240"/>
      <c r="B99" s="747" t="str">
        <f>'Q1'!C107</f>
        <v>Other 5 (enter CO2 factor and specify fuel in "Notes")</v>
      </c>
      <c r="C99" s="1262">
        <f t="shared" ca="1" si="94"/>
        <v>0</v>
      </c>
      <c r="D99" s="768">
        <f t="shared" ca="1" si="94"/>
        <v>0</v>
      </c>
      <c r="E99" s="769">
        <f t="shared" ca="1" si="94"/>
        <v>0</v>
      </c>
      <c r="F99" s="769">
        <f t="shared" ca="1" si="94"/>
        <v>0</v>
      </c>
      <c r="G99" s="769">
        <f t="shared" ca="1" si="94"/>
        <v>0</v>
      </c>
      <c r="H99" s="769">
        <f t="shared" ca="1" si="94"/>
        <v>0</v>
      </c>
      <c r="I99" s="770">
        <f t="shared" ca="1" si="71"/>
        <v>0</v>
      </c>
      <c r="J99" s="872" t="str">
        <f t="shared" ca="1" si="95"/>
        <v/>
      </c>
      <c r="K99" s="782"/>
      <c r="L99" s="784" t="str">
        <f ca="1">IF(C99&gt;0,'Q3'!E107,"")</f>
        <v/>
      </c>
      <c r="M99" s="785" t="str">
        <f ca="1">IF(L99="","",IF('Q3'!I107=0,"Fuel type not stated",'Q3'!I107))</f>
        <v/>
      </c>
      <c r="N99" s="772"/>
      <c r="O99" s="776" t="str">
        <f t="shared" ca="1" si="51"/>
        <v/>
      </c>
      <c r="P99" s="777" t="str">
        <f t="shared" ca="1" si="74"/>
        <v/>
      </c>
      <c r="Q99" s="777" t="str">
        <f t="shared" ca="1" si="75"/>
        <v/>
      </c>
      <c r="R99" s="777" t="str">
        <f t="shared" ca="1" si="92"/>
        <v/>
      </c>
      <c r="S99" s="778" t="str">
        <f t="shared" ca="1" si="93"/>
        <v/>
      </c>
      <c r="T99" s="1066" t="str">
        <f t="shared" ca="1" si="96"/>
        <v/>
      </c>
      <c r="U99" s="1165" t="str">
        <f t="shared" ca="1" si="87"/>
        <v/>
      </c>
      <c r="V99" s="1350">
        <f t="shared" ca="1" si="88"/>
        <v>0</v>
      </c>
      <c r="W99" s="1350">
        <f t="shared" ca="1" si="88"/>
        <v>0</v>
      </c>
      <c r="X99" s="1350">
        <f t="shared" ca="1" si="88"/>
        <v>0</v>
      </c>
      <c r="Y99" s="1067" t="str">
        <f t="shared" ca="1" si="89"/>
        <v/>
      </c>
      <c r="Z99" s="1165" t="str">
        <f t="shared" ca="1" si="90"/>
        <v/>
      </c>
      <c r="AA99" s="772"/>
      <c r="AB99" s="871" t="str">
        <f t="shared" ca="1" si="91"/>
        <v/>
      </c>
      <c r="AC99" s="55"/>
      <c r="AD99" s="96"/>
      <c r="AE99" s="96"/>
      <c r="AF99" s="96"/>
      <c r="AG99" s="96"/>
      <c r="AH99" s="96"/>
      <c r="AI99" s="96"/>
      <c r="AJ99" s="96"/>
      <c r="AK99" s="192"/>
      <c r="AL99" s="875"/>
      <c r="AM99" s="875"/>
      <c r="AN99" s="875"/>
      <c r="AO99" s="50"/>
      <c r="AP99" s="97"/>
      <c r="AQ99" s="97"/>
      <c r="AR99" s="97"/>
      <c r="AS99" s="97"/>
      <c r="AT99" s="97"/>
      <c r="AU99" s="97"/>
      <c r="AV99" s="97"/>
      <c r="AW99" s="97"/>
      <c r="AX99" s="97"/>
      <c r="AY99" s="97"/>
      <c r="AZ99" s="97"/>
      <c r="BA99" s="97"/>
      <c r="BB99" s="97"/>
      <c r="BC99" s="97"/>
    </row>
    <row r="100" spans="1:55" ht="12.75" customHeight="1" thickBot="1" x14ac:dyDescent="0.35">
      <c r="A100" s="2225" t="s">
        <v>181</v>
      </c>
      <c r="B100" s="2226"/>
      <c r="C100" s="1177">
        <f t="shared" ref="C100:H100" ca="1" si="97">INDIRECT(CONCATENATE("'",C$14,"'!$D$108"),TRUE)</f>
        <v>0</v>
      </c>
      <c r="D100" s="840">
        <f t="shared" ca="1" si="97"/>
        <v>16594546.340000002</v>
      </c>
      <c r="E100" s="743">
        <f t="shared" ca="1" si="97"/>
        <v>16674515.7476753</v>
      </c>
      <c r="F100" s="743">
        <f t="shared" ca="1" si="97"/>
        <v>15021573.755060541</v>
      </c>
      <c r="G100" s="743">
        <f t="shared" ca="1" si="97"/>
        <v>20791048.699523926</v>
      </c>
      <c r="H100" s="743">
        <f t="shared" ca="1" si="97"/>
        <v>63452158.791455805</v>
      </c>
      <c r="I100" s="841">
        <f t="shared" ca="1" si="71"/>
        <v>15863039.697863951</v>
      </c>
      <c r="J100" s="736"/>
      <c r="K100" s="737"/>
      <c r="L100" s="850"/>
      <c r="M100" s="744"/>
      <c r="N100" s="863"/>
      <c r="O100" s="738">
        <f t="shared" ca="1" si="51"/>
        <v>-1</v>
      </c>
      <c r="P100" s="739">
        <f t="shared" ca="1" si="74"/>
        <v>-1</v>
      </c>
      <c r="Q100" s="739">
        <f t="shared" ca="1" si="75"/>
        <v>-1</v>
      </c>
      <c r="R100" s="739">
        <f t="shared" ca="1" si="92"/>
        <v>-1</v>
      </c>
      <c r="S100" s="740">
        <f t="shared" ca="1" si="93"/>
        <v>-1</v>
      </c>
      <c r="T100" s="886"/>
      <c r="U100" s="887"/>
      <c r="V100" s="887"/>
      <c r="W100" s="887"/>
      <c r="X100" s="887"/>
      <c r="Y100" s="887"/>
      <c r="Z100" s="888"/>
      <c r="AA100" s="741"/>
      <c r="AB100" s="892"/>
      <c r="AC100" s="95"/>
      <c r="AD100" s="96"/>
      <c r="AE100" s="96"/>
      <c r="AF100" s="96"/>
      <c r="AG100" s="96"/>
      <c r="AH100" s="96"/>
      <c r="AI100" s="96"/>
      <c r="AJ100" s="96"/>
      <c r="AK100" s="192"/>
      <c r="AL100" s="875"/>
      <c r="AM100" s="875"/>
      <c r="AN100" s="875"/>
      <c r="AO100" s="50"/>
      <c r="AP100" s="97"/>
      <c r="AQ100" s="97"/>
      <c r="AR100" s="97"/>
      <c r="AS100" s="97"/>
      <c r="AT100" s="97"/>
      <c r="AU100" s="97"/>
      <c r="AV100" s="97"/>
      <c r="AW100" s="97"/>
      <c r="AX100" s="97"/>
      <c r="AY100" s="97"/>
      <c r="AZ100" s="97"/>
      <c r="BA100" s="97"/>
      <c r="BB100" s="97"/>
      <c r="BC100" s="97"/>
    </row>
    <row r="101" spans="1:55" ht="12.75" customHeight="1" x14ac:dyDescent="0.3">
      <c r="A101" s="2228" t="s">
        <v>113</v>
      </c>
      <c r="B101" s="893" t="str">
        <f>'Q1'!C109</f>
        <v>Domestic Flight</v>
      </c>
      <c r="C101" s="1262">
        <f t="shared" ref="C101:H113" ca="1" si="98">INDEX(INDIRECT(CONCATENATE("'",C$14,"'!$D$109:$D$121"),TRUE),MATCH($B101,INDIRECT(CONCATENATE("'",C$14,"'!$C$109:$C$121"),TRUE),0))</f>
        <v>0</v>
      </c>
      <c r="D101" s="798">
        <f t="shared" ca="1" si="98"/>
        <v>355715.16</v>
      </c>
      <c r="E101" s="761">
        <f t="shared" ca="1" si="98"/>
        <v>435237.56767529901</v>
      </c>
      <c r="F101" s="761">
        <f t="shared" ca="1" si="98"/>
        <v>465520.31636884098</v>
      </c>
      <c r="G101" s="761">
        <f t="shared" ca="1" si="98"/>
        <v>466893.88702392502</v>
      </c>
      <c r="H101" s="761">
        <f t="shared" ca="1" si="98"/>
        <v>1838086.5939750415</v>
      </c>
      <c r="I101" s="799">
        <f t="shared" ca="1" si="71"/>
        <v>459521.64849376038</v>
      </c>
      <c r="J101" s="894" t="str">
        <f t="shared" ca="1" si="73"/>
        <v>Missing value?</v>
      </c>
      <c r="K101" s="762"/>
      <c r="L101" s="895"/>
      <c r="M101" s="763"/>
      <c r="N101" s="896"/>
      <c r="O101" s="802">
        <f t="shared" ref="O101:O113" ca="1" si="99">IF(OR(+$J101="missing?",+$J101="new category"),"",IF($D101=0,"",IF(SUM($C101:$I101)=0,"",IFERROR((($C101-$D101)/$D101),"N/A"))))</f>
        <v>-1</v>
      </c>
      <c r="P101" s="764">
        <f t="shared" ca="1" si="74"/>
        <v>-1</v>
      </c>
      <c r="Q101" s="764">
        <f t="shared" ca="1" si="75"/>
        <v>-1</v>
      </c>
      <c r="R101" s="764">
        <f t="shared" ca="1" si="92"/>
        <v>-1</v>
      </c>
      <c r="S101" s="803">
        <f t="shared" ca="1" si="93"/>
        <v>-1</v>
      </c>
      <c r="T101" s="1236">
        <f t="shared" ca="1" si="76"/>
        <v>1</v>
      </c>
      <c r="U101" s="766" t="str">
        <f t="shared" ref="U101:U113" ca="1" si="100">IF(+T101="","",IF(T101&gt;L$3,"H",IF(T101&gt;L$4,"M","")))</f>
        <v>H</v>
      </c>
      <c r="V101" s="1349">
        <f t="shared" ref="V101:X113" ca="1" si="101">INDEX(INDIRECT(CONCATENATE("'",V$14,"'!$F$109:$F$121"),TRUE),MATCH($B101,INDIRECT(CONCATENATE("'",V$14,"'!$C$109:$C$121"),TRUE),0))</f>
        <v>0</v>
      </c>
      <c r="W101" s="1349">
        <f t="shared" ca="1" si="101"/>
        <v>47.961075022799996</v>
      </c>
      <c r="X101" s="1349">
        <f t="shared" ca="1" si="101"/>
        <v>289.99492193144232</v>
      </c>
      <c r="Y101" s="1067">
        <f t="shared" ref="Y101:Y113" ca="1" si="102">IF(V101=0,IF(W101&gt;0, W101/L$8, IF(X101&gt;0,X101/L$10, "")), IF(T101="", "", V101/L$7*T101))</f>
        <v>8.9451610563616685E-4</v>
      </c>
      <c r="Z101" s="766" t="str">
        <f t="shared" ref="Z101:Z113" ca="1" si="103">IF(+Y101="","",IF(Y101&gt;L$3,"H",IF(Y101&gt;L$4,"M","")))</f>
        <v/>
      </c>
      <c r="AA101" s="801"/>
      <c r="AB101" s="871" t="str">
        <f t="shared" ca="1" si="91"/>
        <v xml:space="preserve">Missing value?         </v>
      </c>
      <c r="AC101" s="55"/>
      <c r="AD101" s="96"/>
      <c r="AE101" s="96"/>
      <c r="AF101" s="96"/>
      <c r="AG101" s="96"/>
      <c r="AH101" s="96"/>
      <c r="AI101" s="96"/>
      <c r="AJ101" s="96"/>
      <c r="AK101" s="192"/>
      <c r="AL101" s="875"/>
      <c r="AM101" s="875"/>
      <c r="AN101" s="875"/>
      <c r="AO101" s="50"/>
      <c r="AP101" s="97"/>
      <c r="AQ101" s="97"/>
      <c r="AR101" s="97"/>
      <c r="AS101" s="97"/>
      <c r="AT101" s="97"/>
      <c r="AU101" s="97"/>
      <c r="AV101" s="97"/>
      <c r="AW101" s="97"/>
      <c r="AX101" s="97"/>
      <c r="AY101" s="97"/>
      <c r="AZ101" s="97"/>
      <c r="BA101" s="97"/>
      <c r="BB101" s="97"/>
      <c r="BC101" s="97"/>
    </row>
    <row r="102" spans="1:55" ht="12.75" customHeight="1" x14ac:dyDescent="0.3">
      <c r="A102" s="2229"/>
      <c r="B102" s="767" t="str">
        <f>'Q1'!C110</f>
        <v>Rail - National /Average</v>
      </c>
      <c r="C102" s="1179">
        <f t="shared" ca="1" si="98"/>
        <v>0</v>
      </c>
      <c r="D102" s="768">
        <f t="shared" ca="1" si="98"/>
        <v>16196591.720000001</v>
      </c>
      <c r="E102" s="769">
        <f t="shared" ca="1" si="98"/>
        <v>16196591.720000001</v>
      </c>
      <c r="F102" s="769">
        <f t="shared" ca="1" si="98"/>
        <v>14549585.4386917</v>
      </c>
      <c r="G102" s="769">
        <f t="shared" ca="1" si="98"/>
        <v>20318532.8125</v>
      </c>
      <c r="H102" s="769">
        <f t="shared" ca="1" si="98"/>
        <v>61591100.197480761</v>
      </c>
      <c r="I102" s="770">
        <f t="shared" ca="1" si="71"/>
        <v>15397775.04937019</v>
      </c>
      <c r="J102" s="872" t="str">
        <f t="shared" ca="1" si="73"/>
        <v>Missing value?</v>
      </c>
      <c r="K102" s="782"/>
      <c r="L102" s="773"/>
      <c r="M102" s="774"/>
      <c r="N102" s="775"/>
      <c r="O102" s="776">
        <f t="shared" ca="1" si="99"/>
        <v>-1</v>
      </c>
      <c r="P102" s="777">
        <f t="shared" ca="1" si="74"/>
        <v>-1</v>
      </c>
      <c r="Q102" s="777">
        <f t="shared" ca="1" si="75"/>
        <v>-1</v>
      </c>
      <c r="R102" s="777">
        <f t="shared" ca="1" si="92"/>
        <v>-1</v>
      </c>
      <c r="S102" s="778">
        <f t="shared" ca="1" si="93"/>
        <v>-1</v>
      </c>
      <c r="T102" s="1066">
        <f t="shared" ca="1" si="76"/>
        <v>1</v>
      </c>
      <c r="U102" s="1165" t="str">
        <f t="shared" ca="1" si="100"/>
        <v>H</v>
      </c>
      <c r="V102" s="1350">
        <f t="shared" ca="1" si="101"/>
        <v>0</v>
      </c>
      <c r="W102" s="1350">
        <f t="shared" ca="1" si="101"/>
        <v>666.48974927799998</v>
      </c>
      <c r="X102" s="1350">
        <f t="shared" ca="1" si="101"/>
        <v>2724.7902727365486</v>
      </c>
      <c r="Y102" s="1067">
        <f t="shared" ca="1" si="102"/>
        <v>1.2430618260478185E-2</v>
      </c>
      <c r="Z102" s="1165" t="str">
        <f t="shared" ca="1" si="103"/>
        <v>M</v>
      </c>
      <c r="AA102" s="772"/>
      <c r="AB102" s="871" t="str">
        <f t="shared" ca="1" si="91"/>
        <v xml:space="preserve">Missing value?        Value change with medium impact </v>
      </c>
      <c r="AC102" s="55"/>
      <c r="AD102" s="96"/>
      <c r="AE102" s="96"/>
      <c r="AF102" s="96"/>
      <c r="AG102" s="96"/>
      <c r="AH102" s="96"/>
      <c r="AI102" s="96"/>
      <c r="AJ102" s="96"/>
      <c r="AK102" s="192"/>
      <c r="AL102" s="875"/>
      <c r="AM102" s="875"/>
      <c r="AN102" s="875"/>
      <c r="AO102" s="50"/>
      <c r="AP102" s="97"/>
      <c r="AQ102" s="97"/>
      <c r="AR102" s="97"/>
      <c r="AS102" s="97"/>
      <c r="AT102" s="97"/>
      <c r="AU102" s="97"/>
      <c r="AV102" s="97"/>
      <c r="AW102" s="97"/>
      <c r="AX102" s="97"/>
      <c r="AY102" s="97"/>
      <c r="AZ102" s="97"/>
      <c r="BA102" s="97"/>
      <c r="BB102" s="97"/>
      <c r="BC102" s="97"/>
    </row>
    <row r="103" spans="1:55" ht="12.75" customHeight="1" x14ac:dyDescent="0.3">
      <c r="A103" s="2229"/>
      <c r="B103" s="767" t="str">
        <f>'Q1'!C111</f>
        <v>Light Railway / Tram</v>
      </c>
      <c r="C103" s="1179">
        <f t="shared" ca="1" si="98"/>
        <v>0</v>
      </c>
      <c r="D103" s="768">
        <f t="shared" ca="1" si="98"/>
        <v>0</v>
      </c>
      <c r="E103" s="769">
        <f t="shared" ca="1" si="98"/>
        <v>0</v>
      </c>
      <c r="F103" s="769">
        <f t="shared" ca="1" si="98"/>
        <v>0</v>
      </c>
      <c r="G103" s="769">
        <f t="shared" ca="1" si="98"/>
        <v>0</v>
      </c>
      <c r="H103" s="769">
        <f t="shared" ca="1" si="98"/>
        <v>0</v>
      </c>
      <c r="I103" s="770">
        <f t="shared" ca="1" si="71"/>
        <v>0</v>
      </c>
      <c r="J103" s="872" t="str">
        <f t="shared" ca="1" si="73"/>
        <v/>
      </c>
      <c r="K103" s="782"/>
      <c r="L103" s="773"/>
      <c r="M103" s="774"/>
      <c r="N103" s="775"/>
      <c r="O103" s="776" t="str">
        <f t="shared" ca="1" si="99"/>
        <v/>
      </c>
      <c r="P103" s="777" t="str">
        <f t="shared" ca="1" si="74"/>
        <v/>
      </c>
      <c r="Q103" s="777" t="str">
        <f t="shared" ca="1" si="75"/>
        <v/>
      </c>
      <c r="R103" s="777" t="str">
        <f t="shared" ca="1" si="92"/>
        <v/>
      </c>
      <c r="S103" s="778" t="str">
        <f t="shared" ca="1" si="93"/>
        <v/>
      </c>
      <c r="T103" s="1066" t="str">
        <f t="shared" ca="1" si="76"/>
        <v/>
      </c>
      <c r="U103" s="1165" t="str">
        <f t="shared" ca="1" si="100"/>
        <v/>
      </c>
      <c r="V103" s="1350">
        <f t="shared" ca="1" si="101"/>
        <v>0</v>
      </c>
      <c r="W103" s="1350">
        <f t="shared" ca="1" si="101"/>
        <v>0</v>
      </c>
      <c r="X103" s="1350">
        <f t="shared" ca="1" si="101"/>
        <v>0</v>
      </c>
      <c r="Y103" s="1067" t="str">
        <f t="shared" ca="1" si="102"/>
        <v/>
      </c>
      <c r="Z103" s="1165" t="str">
        <f t="shared" ca="1" si="103"/>
        <v/>
      </c>
      <c r="AA103" s="772"/>
      <c r="AB103" s="871" t="str">
        <f t="shared" ca="1" si="91"/>
        <v/>
      </c>
      <c r="AC103" s="55"/>
      <c r="AD103" s="96"/>
      <c r="AE103" s="96"/>
      <c r="AF103" s="96"/>
      <c r="AG103" s="96"/>
      <c r="AH103" s="96"/>
      <c r="AI103" s="96"/>
      <c r="AJ103" s="96"/>
      <c r="AK103" s="192"/>
      <c r="AL103" s="875"/>
      <c r="AM103" s="875"/>
      <c r="AN103" s="875"/>
      <c r="AO103" s="50"/>
      <c r="AP103" s="97"/>
      <c r="AQ103" s="97"/>
      <c r="AR103" s="97"/>
      <c r="AS103" s="97"/>
      <c r="AT103" s="97"/>
      <c r="AU103" s="97"/>
      <c r="AV103" s="97"/>
      <c r="AW103" s="97"/>
      <c r="AX103" s="97"/>
      <c r="AY103" s="97"/>
      <c r="AZ103" s="97"/>
      <c r="BA103" s="97"/>
      <c r="BB103" s="97"/>
      <c r="BC103" s="97"/>
    </row>
    <row r="104" spans="1:55" ht="12.75" customHeight="1" x14ac:dyDescent="0.3">
      <c r="A104" s="2229"/>
      <c r="B104" s="767" t="str">
        <f>'Q1'!C112</f>
        <v>London Underground</v>
      </c>
      <c r="C104" s="1179">
        <f t="shared" ca="1" si="98"/>
        <v>0</v>
      </c>
      <c r="D104" s="768">
        <f t="shared" ca="1" si="98"/>
        <v>41369.46</v>
      </c>
      <c r="E104" s="769">
        <f t="shared" ca="1" si="98"/>
        <v>41369.46</v>
      </c>
      <c r="F104" s="769">
        <f t="shared" ca="1" si="98"/>
        <v>5420</v>
      </c>
      <c r="G104" s="769">
        <f t="shared" ca="1" si="98"/>
        <v>4710</v>
      </c>
      <c r="H104" s="769">
        <f t="shared" ca="1" si="98"/>
        <v>18120</v>
      </c>
      <c r="I104" s="770">
        <f t="shared" ca="1" si="71"/>
        <v>4530</v>
      </c>
      <c r="J104" s="872" t="str">
        <f t="shared" ca="1" si="73"/>
        <v>Missing value?</v>
      </c>
      <c r="K104" s="782"/>
      <c r="L104" s="773"/>
      <c r="M104" s="774"/>
      <c r="N104" s="775"/>
      <c r="O104" s="776">
        <f t="shared" ca="1" si="99"/>
        <v>-1</v>
      </c>
      <c r="P104" s="777">
        <f t="shared" ca="1" si="74"/>
        <v>-1</v>
      </c>
      <c r="Q104" s="777">
        <f t="shared" ca="1" si="75"/>
        <v>-1</v>
      </c>
      <c r="R104" s="777">
        <f t="shared" ca="1" si="92"/>
        <v>-1</v>
      </c>
      <c r="S104" s="778">
        <f t="shared" ca="1" si="93"/>
        <v>-1</v>
      </c>
      <c r="T104" s="1066">
        <f t="shared" ca="1" si="76"/>
        <v>1</v>
      </c>
      <c r="U104" s="1165" t="str">
        <f t="shared" ca="1" si="100"/>
        <v>H</v>
      </c>
      <c r="V104" s="1350">
        <f t="shared" ca="1" si="101"/>
        <v>0</v>
      </c>
      <c r="W104" s="1350">
        <f t="shared" ca="1" si="101"/>
        <v>1.2758341464</v>
      </c>
      <c r="X104" s="1350">
        <f t="shared" ca="1" si="101"/>
        <v>0.68131200000000003</v>
      </c>
      <c r="Y104" s="1067">
        <f t="shared" ca="1" si="102"/>
        <v>2.3795425593209402E-5</v>
      </c>
      <c r="Z104" s="1165" t="str">
        <f t="shared" ca="1" si="103"/>
        <v/>
      </c>
      <c r="AA104" s="772"/>
      <c r="AB104" s="871" t="str">
        <f t="shared" ca="1" si="91"/>
        <v xml:space="preserve">Missing value?         </v>
      </c>
      <c r="AC104" s="55"/>
      <c r="AD104" s="96"/>
      <c r="AE104" s="96"/>
      <c r="AF104" s="96"/>
      <c r="AG104" s="96"/>
      <c r="AH104" s="96"/>
      <c r="AI104" s="96"/>
      <c r="AJ104" s="96"/>
      <c r="AK104" s="192"/>
      <c r="AL104" s="875"/>
      <c r="AM104" s="875"/>
      <c r="AN104" s="875"/>
      <c r="AO104" s="50"/>
      <c r="AP104" s="97"/>
      <c r="AQ104" s="97"/>
      <c r="AR104" s="97"/>
      <c r="AS104" s="97"/>
      <c r="AT104" s="97"/>
      <c r="AU104" s="97"/>
      <c r="AV104" s="97"/>
      <c r="AW104" s="97"/>
      <c r="AX104" s="97"/>
      <c r="AY104" s="97"/>
      <c r="AZ104" s="97"/>
      <c r="BA104" s="97"/>
      <c r="BB104" s="97"/>
      <c r="BC104" s="97"/>
    </row>
    <row r="105" spans="1:55" ht="12.75" customHeight="1" x14ac:dyDescent="0.3">
      <c r="A105" s="2229"/>
      <c r="B105" s="767" t="str">
        <f>'Q1'!C113</f>
        <v>Taxi - Regular</v>
      </c>
      <c r="C105" s="1179">
        <f t="shared" ca="1" si="98"/>
        <v>0</v>
      </c>
      <c r="D105" s="768">
        <f t="shared" ca="1" si="98"/>
        <v>870</v>
      </c>
      <c r="E105" s="769">
        <f t="shared" ca="1" si="98"/>
        <v>1317</v>
      </c>
      <c r="F105" s="769">
        <f t="shared" ca="1" si="98"/>
        <v>1048</v>
      </c>
      <c r="G105" s="769">
        <f t="shared" ca="1" si="98"/>
        <v>912</v>
      </c>
      <c r="H105" s="769">
        <f t="shared" ca="1" si="98"/>
        <v>4852</v>
      </c>
      <c r="I105" s="770">
        <f t="shared" ca="1" si="71"/>
        <v>1213</v>
      </c>
      <c r="J105" s="872" t="str">
        <f t="shared" ca="1" si="73"/>
        <v>Missing value?</v>
      </c>
      <c r="K105" s="782"/>
      <c r="L105" s="773"/>
      <c r="M105" s="774"/>
      <c r="N105" s="775"/>
      <c r="O105" s="776">
        <f t="shared" ca="1" si="99"/>
        <v>-1</v>
      </c>
      <c r="P105" s="777">
        <f t="shared" ca="1" si="74"/>
        <v>-1</v>
      </c>
      <c r="Q105" s="777">
        <f t="shared" ca="1" si="75"/>
        <v>-1</v>
      </c>
      <c r="R105" s="777">
        <f t="shared" ca="1" si="92"/>
        <v>-1</v>
      </c>
      <c r="S105" s="778">
        <f t="shared" ca="1" si="93"/>
        <v>-1</v>
      </c>
      <c r="T105" s="1066">
        <f t="shared" ca="1" si="76"/>
        <v>1</v>
      </c>
      <c r="U105" s="1165" t="str">
        <f t="shared" ca="1" si="100"/>
        <v>H</v>
      </c>
      <c r="V105" s="1350">
        <f t="shared" ca="1" si="101"/>
        <v>0</v>
      </c>
      <c r="W105" s="1350">
        <f t="shared" ca="1" si="101"/>
        <v>0.13065659999999998</v>
      </c>
      <c r="X105" s="1350">
        <f t="shared" ca="1" si="101"/>
        <v>0.74449087999999997</v>
      </c>
      <c r="Y105" s="1067">
        <f t="shared" ca="1" si="102"/>
        <v>2.436860161122368E-6</v>
      </c>
      <c r="Z105" s="1165" t="str">
        <f t="shared" ca="1" si="103"/>
        <v/>
      </c>
      <c r="AA105" s="772"/>
      <c r="AB105" s="871" t="str">
        <f t="shared" ca="1" si="91"/>
        <v xml:space="preserve">Missing value?         </v>
      </c>
      <c r="AC105" s="55"/>
      <c r="AD105" s="96"/>
      <c r="AE105" s="96"/>
      <c r="AF105" s="96"/>
      <c r="AG105" s="96"/>
      <c r="AH105" s="96"/>
      <c r="AI105" s="96"/>
      <c r="AJ105" s="96"/>
      <c r="AK105" s="192"/>
      <c r="AL105" s="875"/>
      <c r="AM105" s="875"/>
      <c r="AN105" s="875"/>
      <c r="AO105" s="50"/>
      <c r="AP105" s="97"/>
      <c r="AQ105" s="97"/>
      <c r="AR105" s="97"/>
      <c r="AS105" s="97"/>
      <c r="AT105" s="97"/>
      <c r="AU105" s="97"/>
      <c r="AV105" s="97"/>
      <c r="AW105" s="97"/>
      <c r="AX105" s="97"/>
      <c r="AY105" s="97"/>
      <c r="AZ105" s="97"/>
      <c r="BA105" s="97"/>
      <c r="BB105" s="97"/>
      <c r="BC105" s="97"/>
    </row>
    <row r="106" spans="1:55" ht="12.75" customHeight="1" x14ac:dyDescent="0.3">
      <c r="A106" s="2229"/>
      <c r="B106" s="767" t="str">
        <f>'Q1'!C114</f>
        <v>Taxi - Black cab</v>
      </c>
      <c r="C106" s="1179">
        <f t="shared" ca="1" si="98"/>
        <v>0</v>
      </c>
      <c r="D106" s="768">
        <f t="shared" ca="1" si="98"/>
        <v>0</v>
      </c>
      <c r="E106" s="769">
        <f t="shared" ca="1" si="98"/>
        <v>0</v>
      </c>
      <c r="F106" s="769">
        <f t="shared" ca="1" si="98"/>
        <v>0</v>
      </c>
      <c r="G106" s="769">
        <f t="shared" ca="1" si="98"/>
        <v>0</v>
      </c>
      <c r="H106" s="769">
        <f t="shared" ca="1" si="98"/>
        <v>0</v>
      </c>
      <c r="I106" s="770">
        <f t="shared" ca="1" si="71"/>
        <v>0</v>
      </c>
      <c r="J106" s="872" t="str">
        <f t="shared" ca="1" si="73"/>
        <v/>
      </c>
      <c r="K106" s="782"/>
      <c r="L106" s="773"/>
      <c r="M106" s="774"/>
      <c r="N106" s="775"/>
      <c r="O106" s="776" t="str">
        <f t="shared" ca="1" si="99"/>
        <v/>
      </c>
      <c r="P106" s="777" t="str">
        <f t="shared" ca="1" si="74"/>
        <v/>
      </c>
      <c r="Q106" s="777" t="str">
        <f t="shared" ca="1" si="75"/>
        <v/>
      </c>
      <c r="R106" s="777" t="str">
        <f t="shared" ca="1" si="92"/>
        <v/>
      </c>
      <c r="S106" s="778" t="str">
        <f t="shared" ca="1" si="93"/>
        <v/>
      </c>
      <c r="T106" s="1066" t="str">
        <f t="shared" ca="1" si="76"/>
        <v/>
      </c>
      <c r="U106" s="1165" t="str">
        <f t="shared" ca="1" si="100"/>
        <v/>
      </c>
      <c r="V106" s="1350">
        <f t="shared" ca="1" si="101"/>
        <v>0</v>
      </c>
      <c r="W106" s="1350">
        <f t="shared" ca="1" si="101"/>
        <v>0</v>
      </c>
      <c r="X106" s="1350">
        <f t="shared" ca="1" si="101"/>
        <v>0</v>
      </c>
      <c r="Y106" s="1067" t="str">
        <f t="shared" ca="1" si="102"/>
        <v/>
      </c>
      <c r="Z106" s="1165" t="str">
        <f t="shared" ca="1" si="103"/>
        <v/>
      </c>
      <c r="AA106" s="772"/>
      <c r="AB106" s="871" t="str">
        <f t="shared" ca="1" si="91"/>
        <v/>
      </c>
      <c r="AC106" s="55"/>
      <c r="AD106" s="96"/>
      <c r="AE106" s="96"/>
      <c r="AF106" s="96"/>
      <c r="AG106" s="96"/>
      <c r="AH106" s="96"/>
      <c r="AI106" s="96"/>
      <c r="AJ106" s="96"/>
      <c r="AK106" s="192"/>
      <c r="AL106" s="875"/>
      <c r="AM106" s="875"/>
      <c r="AN106" s="875"/>
      <c r="AO106" s="50"/>
      <c r="AP106" s="97"/>
      <c r="AQ106" s="97"/>
      <c r="AR106" s="97"/>
      <c r="AS106" s="97"/>
      <c r="AT106" s="97"/>
      <c r="AU106" s="97"/>
      <c r="AV106" s="97"/>
      <c r="AW106" s="97"/>
      <c r="AX106" s="97"/>
      <c r="AY106" s="97"/>
      <c r="AZ106" s="97"/>
      <c r="BA106" s="97"/>
      <c r="BB106" s="97"/>
      <c r="BC106" s="97"/>
    </row>
    <row r="107" spans="1:55" ht="12.75" customHeight="1" x14ac:dyDescent="0.3">
      <c r="A107" s="2229"/>
      <c r="B107" s="767" t="str">
        <f>'Q1'!C115</f>
        <v>Bus - Local</v>
      </c>
      <c r="C107" s="1179">
        <f t="shared" ca="1" si="98"/>
        <v>0</v>
      </c>
      <c r="D107" s="768">
        <f t="shared" ca="1" si="98"/>
        <v>0</v>
      </c>
      <c r="E107" s="769">
        <f t="shared" ca="1" si="98"/>
        <v>0</v>
      </c>
      <c r="F107" s="769">
        <f t="shared" ca="1" si="98"/>
        <v>0</v>
      </c>
      <c r="G107" s="769">
        <f t="shared" ca="1" si="98"/>
        <v>0</v>
      </c>
      <c r="H107" s="769">
        <f t="shared" ca="1" si="98"/>
        <v>0</v>
      </c>
      <c r="I107" s="770">
        <f t="shared" ca="1" si="71"/>
        <v>0</v>
      </c>
      <c r="J107" s="872" t="str">
        <f t="shared" ca="1" si="73"/>
        <v/>
      </c>
      <c r="K107" s="782"/>
      <c r="L107" s="773"/>
      <c r="M107" s="774"/>
      <c r="N107" s="775"/>
      <c r="O107" s="776" t="str">
        <f t="shared" ca="1" si="99"/>
        <v/>
      </c>
      <c r="P107" s="777" t="str">
        <f t="shared" ca="1" si="74"/>
        <v/>
      </c>
      <c r="Q107" s="777" t="str">
        <f t="shared" ca="1" si="75"/>
        <v/>
      </c>
      <c r="R107" s="777" t="str">
        <f t="shared" ca="1" si="92"/>
        <v/>
      </c>
      <c r="S107" s="778" t="str">
        <f t="shared" ca="1" si="93"/>
        <v/>
      </c>
      <c r="T107" s="1066" t="str">
        <f t="shared" ca="1" si="76"/>
        <v/>
      </c>
      <c r="U107" s="1165" t="str">
        <f t="shared" ca="1" si="100"/>
        <v/>
      </c>
      <c r="V107" s="1350">
        <f t="shared" ca="1" si="101"/>
        <v>0</v>
      </c>
      <c r="W107" s="1350">
        <f t="shared" ca="1" si="101"/>
        <v>0</v>
      </c>
      <c r="X107" s="1350">
        <f t="shared" ca="1" si="101"/>
        <v>0</v>
      </c>
      <c r="Y107" s="1067" t="str">
        <f t="shared" ca="1" si="102"/>
        <v/>
      </c>
      <c r="Z107" s="1165" t="str">
        <f t="shared" ca="1" si="103"/>
        <v/>
      </c>
      <c r="AA107" s="772"/>
      <c r="AB107" s="871" t="str">
        <f t="shared" ca="1" si="91"/>
        <v/>
      </c>
      <c r="AC107" s="55"/>
      <c r="AD107" s="96"/>
      <c r="AE107" s="96"/>
      <c r="AF107" s="96"/>
      <c r="AG107" s="96"/>
      <c r="AH107" s="96"/>
      <c r="AI107" s="96"/>
      <c r="AJ107" s="96"/>
      <c r="AK107" s="192"/>
      <c r="AL107" s="875"/>
      <c r="AM107" s="875"/>
      <c r="AN107" s="875"/>
      <c r="AO107" s="50"/>
      <c r="AP107" s="97"/>
      <c r="AQ107" s="97"/>
      <c r="AR107" s="97"/>
      <c r="AS107" s="97"/>
      <c r="AT107" s="97"/>
      <c r="AU107" s="97"/>
      <c r="AV107" s="97"/>
      <c r="AW107" s="97"/>
      <c r="AX107" s="97"/>
      <c r="AY107" s="97"/>
      <c r="AZ107" s="97"/>
      <c r="BA107" s="97"/>
      <c r="BB107" s="97"/>
      <c r="BC107" s="97"/>
    </row>
    <row r="108" spans="1:55" ht="12.75" customHeight="1" x14ac:dyDescent="0.3">
      <c r="A108" s="2229"/>
      <c r="B108" s="767" t="str">
        <f>'Q1'!C116</f>
        <v>Bus - Transport for London</v>
      </c>
      <c r="C108" s="1179">
        <f t="shared" ca="1" si="98"/>
        <v>0</v>
      </c>
      <c r="D108" s="768">
        <f t="shared" ca="1" si="98"/>
        <v>0</v>
      </c>
      <c r="E108" s="769">
        <f t="shared" ca="1" si="98"/>
        <v>0</v>
      </c>
      <c r="F108" s="769">
        <f t="shared" ca="1" si="98"/>
        <v>0</v>
      </c>
      <c r="G108" s="769">
        <f t="shared" ca="1" si="98"/>
        <v>0</v>
      </c>
      <c r="H108" s="769">
        <f t="shared" ca="1" si="98"/>
        <v>0</v>
      </c>
      <c r="I108" s="770">
        <f t="shared" ca="1" si="71"/>
        <v>0</v>
      </c>
      <c r="J108" s="872" t="str">
        <f t="shared" ca="1" si="73"/>
        <v/>
      </c>
      <c r="K108" s="782"/>
      <c r="L108" s="773"/>
      <c r="M108" s="774"/>
      <c r="N108" s="775"/>
      <c r="O108" s="776" t="str">
        <f t="shared" ca="1" si="99"/>
        <v/>
      </c>
      <c r="P108" s="777" t="str">
        <f t="shared" ca="1" si="74"/>
        <v/>
      </c>
      <c r="Q108" s="777" t="str">
        <f t="shared" ca="1" si="75"/>
        <v/>
      </c>
      <c r="R108" s="777" t="str">
        <f t="shared" ca="1" si="92"/>
        <v/>
      </c>
      <c r="S108" s="778" t="str">
        <f t="shared" ca="1" si="93"/>
        <v/>
      </c>
      <c r="T108" s="1066" t="str">
        <f t="shared" ca="1" si="76"/>
        <v/>
      </c>
      <c r="U108" s="1165" t="str">
        <f t="shared" ca="1" si="100"/>
        <v/>
      </c>
      <c r="V108" s="1350">
        <f t="shared" ca="1" si="101"/>
        <v>0</v>
      </c>
      <c r="W108" s="1350">
        <f t="shared" ca="1" si="101"/>
        <v>0</v>
      </c>
      <c r="X108" s="1350">
        <f t="shared" ca="1" si="101"/>
        <v>0</v>
      </c>
      <c r="Y108" s="1067" t="str">
        <f t="shared" ca="1" si="102"/>
        <v/>
      </c>
      <c r="Z108" s="1165" t="str">
        <f t="shared" ca="1" si="103"/>
        <v/>
      </c>
      <c r="AA108" s="772"/>
      <c r="AB108" s="871" t="str">
        <f t="shared" ca="1" si="91"/>
        <v/>
      </c>
      <c r="AC108" s="55"/>
      <c r="AD108" s="96"/>
      <c r="AE108" s="96"/>
      <c r="AF108" s="96"/>
      <c r="AG108" s="96"/>
      <c r="AH108" s="96"/>
      <c r="AI108" s="96"/>
      <c r="AJ108" s="96"/>
      <c r="AK108" s="192"/>
      <c r="AL108" s="875"/>
      <c r="AM108" s="875"/>
      <c r="AN108" s="875"/>
      <c r="AO108" s="50"/>
      <c r="AP108" s="97"/>
      <c r="AQ108" s="97"/>
      <c r="AR108" s="97"/>
      <c r="AS108" s="97"/>
      <c r="AT108" s="97"/>
      <c r="AU108" s="97"/>
      <c r="AV108" s="97"/>
      <c r="AW108" s="97"/>
      <c r="AX108" s="97"/>
      <c r="AY108" s="97"/>
      <c r="AZ108" s="97"/>
      <c r="BA108" s="97"/>
      <c r="BB108" s="97"/>
      <c r="BC108" s="97"/>
    </row>
    <row r="109" spans="1:55" ht="12.75" customHeight="1" x14ac:dyDescent="0.3">
      <c r="A109" s="2229"/>
      <c r="B109" s="767" t="str">
        <f>'Q1'!C117</f>
        <v>Bus - Average</v>
      </c>
      <c r="C109" s="1179">
        <f t="shared" ca="1" si="98"/>
        <v>0</v>
      </c>
      <c r="D109" s="768">
        <f t="shared" ca="1" si="98"/>
        <v>0</v>
      </c>
      <c r="E109" s="769">
        <f t="shared" ca="1" si="98"/>
        <v>0</v>
      </c>
      <c r="F109" s="769">
        <f t="shared" ca="1" si="98"/>
        <v>0</v>
      </c>
      <c r="G109" s="769">
        <f t="shared" ca="1" si="98"/>
        <v>0</v>
      </c>
      <c r="H109" s="769">
        <f t="shared" ca="1" si="98"/>
        <v>0</v>
      </c>
      <c r="I109" s="770">
        <f t="shared" ca="1" si="71"/>
        <v>0</v>
      </c>
      <c r="J109" s="872" t="str">
        <f t="shared" ca="1" si="73"/>
        <v/>
      </c>
      <c r="K109" s="782"/>
      <c r="L109" s="773"/>
      <c r="M109" s="774"/>
      <c r="N109" s="775"/>
      <c r="O109" s="776" t="str">
        <f t="shared" ca="1" si="99"/>
        <v/>
      </c>
      <c r="P109" s="777" t="str">
        <f t="shared" ca="1" si="74"/>
        <v/>
      </c>
      <c r="Q109" s="777" t="str">
        <f t="shared" ca="1" si="75"/>
        <v/>
      </c>
      <c r="R109" s="777" t="str">
        <f t="shared" ca="1" si="92"/>
        <v/>
      </c>
      <c r="S109" s="778" t="str">
        <f t="shared" ca="1" si="93"/>
        <v/>
      </c>
      <c r="T109" s="1066" t="str">
        <f t="shared" ca="1" si="76"/>
        <v/>
      </c>
      <c r="U109" s="1165" t="str">
        <f t="shared" ca="1" si="100"/>
        <v/>
      </c>
      <c r="V109" s="1350">
        <f t="shared" ca="1" si="101"/>
        <v>0</v>
      </c>
      <c r="W109" s="1350">
        <f t="shared" ca="1" si="101"/>
        <v>0</v>
      </c>
      <c r="X109" s="1350">
        <f t="shared" ca="1" si="101"/>
        <v>0</v>
      </c>
      <c r="Y109" s="1067" t="str">
        <f t="shared" ca="1" si="102"/>
        <v/>
      </c>
      <c r="Z109" s="1165" t="str">
        <f t="shared" ca="1" si="103"/>
        <v/>
      </c>
      <c r="AA109" s="772"/>
      <c r="AB109" s="871" t="str">
        <f t="shared" ca="1" si="91"/>
        <v/>
      </c>
      <c r="AC109" s="55"/>
      <c r="AD109" s="96"/>
      <c r="AE109" s="96"/>
      <c r="AF109" s="96"/>
      <c r="AG109" s="96"/>
      <c r="AH109" s="96"/>
      <c r="AI109" s="96"/>
      <c r="AJ109" s="96"/>
      <c r="AK109" s="192"/>
      <c r="AL109" s="875"/>
      <c r="AM109" s="875"/>
      <c r="AN109" s="875"/>
      <c r="AO109" s="50"/>
      <c r="AP109" s="97"/>
      <c r="AQ109" s="97"/>
      <c r="AR109" s="97"/>
      <c r="AS109" s="97"/>
      <c r="AT109" s="97"/>
      <c r="AU109" s="97"/>
      <c r="AV109" s="97"/>
      <c r="AW109" s="97"/>
      <c r="AX109" s="97"/>
      <c r="AY109" s="97"/>
      <c r="AZ109" s="97"/>
      <c r="BA109" s="97"/>
      <c r="BB109" s="97"/>
      <c r="BC109" s="97"/>
    </row>
    <row r="110" spans="1:55" ht="12.75" customHeight="1" x14ac:dyDescent="0.3">
      <c r="A110" s="2229"/>
      <c r="B110" s="767" t="str">
        <f>'Q1'!C118</f>
        <v>Coach</v>
      </c>
      <c r="C110" s="1179">
        <f t="shared" ca="1" si="98"/>
        <v>0</v>
      </c>
      <c r="D110" s="768">
        <f t="shared" ca="1" si="98"/>
        <v>0</v>
      </c>
      <c r="E110" s="769">
        <f t="shared" ca="1" si="98"/>
        <v>0</v>
      </c>
      <c r="F110" s="769">
        <f t="shared" ca="1" si="98"/>
        <v>0</v>
      </c>
      <c r="G110" s="769">
        <f t="shared" ca="1" si="98"/>
        <v>0</v>
      </c>
      <c r="H110" s="769">
        <f t="shared" ca="1" si="98"/>
        <v>0</v>
      </c>
      <c r="I110" s="770">
        <f t="shared" ca="1" si="71"/>
        <v>0</v>
      </c>
      <c r="J110" s="872" t="str">
        <f t="shared" ca="1" si="73"/>
        <v/>
      </c>
      <c r="K110" s="782"/>
      <c r="L110" s="773"/>
      <c r="M110" s="774"/>
      <c r="N110" s="775"/>
      <c r="O110" s="776" t="str">
        <f t="shared" ca="1" si="99"/>
        <v/>
      </c>
      <c r="P110" s="777" t="str">
        <f t="shared" ca="1" si="74"/>
        <v/>
      </c>
      <c r="Q110" s="777" t="str">
        <f t="shared" ca="1" si="75"/>
        <v/>
      </c>
      <c r="R110" s="777" t="str">
        <f t="shared" ca="1" si="92"/>
        <v/>
      </c>
      <c r="S110" s="778" t="str">
        <f t="shared" ca="1" si="93"/>
        <v/>
      </c>
      <c r="T110" s="1066" t="str">
        <f t="shared" ca="1" si="76"/>
        <v/>
      </c>
      <c r="U110" s="1165" t="str">
        <f t="shared" ca="1" si="100"/>
        <v/>
      </c>
      <c r="V110" s="1350">
        <f t="shared" ca="1" si="101"/>
        <v>0</v>
      </c>
      <c r="W110" s="1350">
        <f t="shared" ca="1" si="101"/>
        <v>0</v>
      </c>
      <c r="X110" s="1350">
        <f t="shared" ca="1" si="101"/>
        <v>0</v>
      </c>
      <c r="Y110" s="1067" t="str">
        <f t="shared" ca="1" si="102"/>
        <v/>
      </c>
      <c r="Z110" s="1165" t="str">
        <f t="shared" ca="1" si="103"/>
        <v/>
      </c>
      <c r="AA110" s="772"/>
      <c r="AB110" s="871" t="str">
        <f t="shared" ca="1" si="91"/>
        <v/>
      </c>
      <c r="AC110" s="55"/>
      <c r="AD110" s="96"/>
      <c r="AE110" s="96"/>
      <c r="AF110" s="96"/>
      <c r="AG110" s="96"/>
      <c r="AH110" s="96"/>
      <c r="AI110" s="96"/>
      <c r="AJ110" s="96"/>
      <c r="AK110" s="192"/>
      <c r="AL110" s="875"/>
      <c r="AM110" s="875"/>
      <c r="AN110" s="875"/>
      <c r="AO110" s="50"/>
      <c r="AP110" s="97"/>
      <c r="AQ110" s="97"/>
      <c r="AR110" s="97"/>
      <c r="AS110" s="97"/>
      <c r="AT110" s="97"/>
      <c r="AU110" s="97"/>
      <c r="AV110" s="97"/>
      <c r="AW110" s="97"/>
      <c r="AX110" s="97"/>
      <c r="AY110" s="97"/>
      <c r="AZ110" s="97"/>
      <c r="BA110" s="97"/>
      <c r="BB110" s="97"/>
      <c r="BC110" s="97"/>
    </row>
    <row r="111" spans="1:55" ht="12.75" customHeight="1" x14ac:dyDescent="0.3">
      <c r="A111" s="2229"/>
      <c r="B111" s="767" t="str">
        <f>'Q1'!C119</f>
        <v>Other 1 (enter CO2 factor and specify fuel in "Notes")</v>
      </c>
      <c r="C111" s="1179">
        <f t="shared" ca="1" si="98"/>
        <v>0</v>
      </c>
      <c r="D111" s="768">
        <f t="shared" ca="1" si="98"/>
        <v>0</v>
      </c>
      <c r="E111" s="769">
        <f t="shared" ca="1" si="98"/>
        <v>0</v>
      </c>
      <c r="F111" s="769">
        <f t="shared" ca="1" si="98"/>
        <v>0</v>
      </c>
      <c r="G111" s="769">
        <f t="shared" ca="1" si="98"/>
        <v>0</v>
      </c>
      <c r="H111" s="769">
        <f t="shared" ca="1" si="98"/>
        <v>0</v>
      </c>
      <c r="I111" s="770">
        <f t="shared" ca="1" si="71"/>
        <v>0</v>
      </c>
      <c r="J111" s="872" t="str">
        <f t="shared" ca="1" si="73"/>
        <v/>
      </c>
      <c r="K111" s="782"/>
      <c r="L111" s="784" t="str">
        <f ca="1">IF(C111&gt;0,'Q3'!E119,"")</f>
        <v/>
      </c>
      <c r="M111" s="785" t="str">
        <f ca="1">IF(L111="","",IF('Q3'!I119=0,"Fuel type not stated",'Q3'!I119))</f>
        <v/>
      </c>
      <c r="N111" s="772"/>
      <c r="O111" s="776" t="str">
        <f t="shared" ca="1" si="99"/>
        <v/>
      </c>
      <c r="P111" s="777" t="str">
        <f t="shared" ca="1" si="74"/>
        <v/>
      </c>
      <c r="Q111" s="777" t="str">
        <f t="shared" ca="1" si="75"/>
        <v/>
      </c>
      <c r="R111" s="777" t="str">
        <f t="shared" ca="1" si="92"/>
        <v/>
      </c>
      <c r="S111" s="778" t="str">
        <f t="shared" ca="1" si="93"/>
        <v/>
      </c>
      <c r="T111" s="1066" t="str">
        <f t="shared" ca="1" si="76"/>
        <v/>
      </c>
      <c r="U111" s="1165" t="str">
        <f t="shared" ca="1" si="100"/>
        <v/>
      </c>
      <c r="V111" s="1350">
        <f t="shared" ca="1" si="101"/>
        <v>0</v>
      </c>
      <c r="W111" s="1350">
        <f t="shared" ca="1" si="101"/>
        <v>0</v>
      </c>
      <c r="X111" s="1350">
        <f t="shared" ca="1" si="101"/>
        <v>0</v>
      </c>
      <c r="Y111" s="1067" t="str">
        <f t="shared" ca="1" si="102"/>
        <v/>
      </c>
      <c r="Z111" s="1165" t="str">
        <f t="shared" ca="1" si="103"/>
        <v/>
      </c>
      <c r="AA111" s="772"/>
      <c r="AB111" s="871" t="str">
        <f ca="1">IF((CONCATENATE(IF(K111="OK","",J111), "    ",IF(L111="","",IF(N111="OK","",CONCATENATE(M111," = ",ROUND(L111,3),"kgCO2e/kWh"))),"    ",IF(AND(+AA111="",Z111="M"),"Value change with medium impact",IF(AND(AA111="",Z111="H"),"Value change with high impact",""))," "))="         ","",(CONCATENATE(IF(K111="OK","",J111), "    ",IF(L111="","",IF(N111="OK","",CONCATENATE(M111," = ",ROUND(L111,3),"kgCO2e/kWh"))),"    ",IF(AND(+AA111="",Z111="M"),"Value change with medium impact",IF(AND(AA111="",Z111="H"),"Value change with high impact",""))," ")))</f>
        <v/>
      </c>
      <c r="AC111" s="55"/>
      <c r="AD111" s="96"/>
      <c r="AE111" s="96"/>
      <c r="AF111" s="96"/>
      <c r="AG111" s="96"/>
      <c r="AH111" s="96"/>
      <c r="AI111" s="96"/>
      <c r="AJ111" s="96"/>
      <c r="AK111" s="192"/>
      <c r="AL111" s="875"/>
      <c r="AM111" s="875"/>
      <c r="AN111" s="875"/>
      <c r="AO111" s="50"/>
      <c r="AP111" s="97"/>
      <c r="AQ111" s="97"/>
      <c r="AR111" s="97"/>
      <c r="AS111" s="97"/>
      <c r="AT111" s="97"/>
      <c r="AU111" s="97"/>
      <c r="AV111" s="97"/>
      <c r="AW111" s="97"/>
      <c r="AX111" s="97"/>
      <c r="AY111" s="97"/>
      <c r="AZ111" s="97"/>
      <c r="BA111" s="97"/>
      <c r="BB111" s="97"/>
      <c r="BC111" s="97"/>
    </row>
    <row r="112" spans="1:55" ht="12.75" customHeight="1" x14ac:dyDescent="0.3">
      <c r="A112" s="2229"/>
      <c r="B112" s="767" t="str">
        <f>'Q1'!C120</f>
        <v>Other 2 (enter CO2 factor and specify fuel in "Notes")</v>
      </c>
      <c r="C112" s="1179">
        <f t="shared" ca="1" si="98"/>
        <v>0</v>
      </c>
      <c r="D112" s="768">
        <f t="shared" ca="1" si="98"/>
        <v>0</v>
      </c>
      <c r="E112" s="769">
        <f t="shared" ca="1" si="98"/>
        <v>0</v>
      </c>
      <c r="F112" s="769">
        <f t="shared" ca="1" si="98"/>
        <v>0</v>
      </c>
      <c r="G112" s="769">
        <f t="shared" ca="1" si="98"/>
        <v>0</v>
      </c>
      <c r="H112" s="769">
        <f t="shared" ca="1" si="98"/>
        <v>0</v>
      </c>
      <c r="I112" s="770">
        <f t="shared" ca="1" si="71"/>
        <v>0</v>
      </c>
      <c r="J112" s="872" t="str">
        <f t="shared" ca="1" si="73"/>
        <v/>
      </c>
      <c r="K112" s="782"/>
      <c r="L112" s="784" t="str">
        <f ca="1">IF(C112&gt;0,'Q3'!E120,"")</f>
        <v/>
      </c>
      <c r="M112" s="785" t="str">
        <f ca="1">IF(L112="","",IF('Q3'!I120=0,"Fuel type not stated",'Q3'!I120))</f>
        <v/>
      </c>
      <c r="N112" s="772"/>
      <c r="O112" s="810" t="str">
        <f t="shared" ca="1" si="99"/>
        <v/>
      </c>
      <c r="P112" s="783" t="str">
        <f t="shared" ca="1" si="74"/>
        <v/>
      </c>
      <c r="Q112" s="783" t="str">
        <f t="shared" ca="1" si="75"/>
        <v/>
      </c>
      <c r="R112" s="783" t="str">
        <f t="shared" ca="1" si="92"/>
        <v/>
      </c>
      <c r="S112" s="811" t="str">
        <f t="shared" ca="1" si="93"/>
        <v/>
      </c>
      <c r="T112" s="1066" t="str">
        <f t="shared" ca="1" si="76"/>
        <v/>
      </c>
      <c r="U112" s="1165" t="str">
        <f t="shared" ca="1" si="100"/>
        <v/>
      </c>
      <c r="V112" s="1350">
        <f t="shared" ca="1" si="101"/>
        <v>0</v>
      </c>
      <c r="W112" s="1350">
        <f t="shared" ca="1" si="101"/>
        <v>0</v>
      </c>
      <c r="X112" s="1350">
        <f t="shared" ca="1" si="101"/>
        <v>0</v>
      </c>
      <c r="Y112" s="1067" t="str">
        <f t="shared" ca="1" si="102"/>
        <v/>
      </c>
      <c r="Z112" s="1165" t="str">
        <f t="shared" ca="1" si="103"/>
        <v/>
      </c>
      <c r="AA112" s="772"/>
      <c r="AB112" s="871" t="str">
        <f t="shared" ca="1" si="91"/>
        <v/>
      </c>
      <c r="AC112" s="55"/>
      <c r="AD112" s="96"/>
      <c r="AE112" s="96"/>
      <c r="AF112" s="96"/>
      <c r="AG112" s="96"/>
      <c r="AH112" s="96"/>
      <c r="AI112" s="96"/>
      <c r="AJ112" s="96"/>
      <c r="AK112" s="192"/>
      <c r="AL112" s="875"/>
      <c r="AM112" s="875"/>
      <c r="AN112" s="875"/>
      <c r="AO112" s="50"/>
      <c r="AP112" s="97"/>
      <c r="AQ112" s="97"/>
      <c r="AR112" s="97"/>
      <c r="AS112" s="97"/>
      <c r="AT112" s="97"/>
      <c r="AU112" s="97"/>
      <c r="AV112" s="97"/>
      <c r="AW112" s="97"/>
      <c r="AX112" s="97"/>
      <c r="AY112" s="97"/>
      <c r="AZ112" s="97"/>
      <c r="BA112" s="97"/>
      <c r="BB112" s="97"/>
      <c r="BC112" s="97"/>
    </row>
    <row r="113" spans="1:55" ht="12.75" customHeight="1" thickBot="1" x14ac:dyDescent="0.35">
      <c r="A113" s="2230"/>
      <c r="B113" s="1178" t="str">
        <f>'Q1'!C121</f>
        <v>Other 3 (enter CO2 factor and specify fuel in "Notes")</v>
      </c>
      <c r="C113" s="1181">
        <f t="shared" ca="1" si="98"/>
        <v>0</v>
      </c>
      <c r="D113" s="786">
        <f t="shared" ca="1" si="98"/>
        <v>0</v>
      </c>
      <c r="E113" s="787">
        <f t="shared" ca="1" si="98"/>
        <v>0</v>
      </c>
      <c r="F113" s="787">
        <f t="shared" ca="1" si="98"/>
        <v>0</v>
      </c>
      <c r="G113" s="787">
        <f t="shared" ca="1" si="98"/>
        <v>0</v>
      </c>
      <c r="H113" s="787">
        <f t="shared" ca="1" si="98"/>
        <v>0</v>
      </c>
      <c r="I113" s="788">
        <f t="shared" ca="1" si="71"/>
        <v>0</v>
      </c>
      <c r="J113" s="849" t="str">
        <f t="shared" ca="1" si="73"/>
        <v/>
      </c>
      <c r="K113" s="796"/>
      <c r="L113" s="791" t="str">
        <f ca="1">IF(C113&gt;0,'Q3'!E121,"")</f>
        <v/>
      </c>
      <c r="M113" s="792" t="str">
        <f ca="1">IF(L113="","",IF('Q3'!I121=0,"Fuel type not stated",'Q3'!I121))</f>
        <v/>
      </c>
      <c r="N113" s="790"/>
      <c r="O113" s="813" t="str">
        <f t="shared" ca="1" si="99"/>
        <v/>
      </c>
      <c r="P113" s="1072" t="str">
        <f t="shared" ca="1" si="74"/>
        <v/>
      </c>
      <c r="Q113" s="1072" t="str">
        <f t="shared" ca="1" si="75"/>
        <v/>
      </c>
      <c r="R113" s="1072" t="str">
        <f t="shared" ca="1" si="92"/>
        <v/>
      </c>
      <c r="S113" s="1075" t="str">
        <f t="shared" ca="1" si="93"/>
        <v/>
      </c>
      <c r="T113" s="813" t="str">
        <f t="shared" ca="1" si="76"/>
        <v/>
      </c>
      <c r="U113" s="1163" t="str">
        <f t="shared" ca="1" si="100"/>
        <v/>
      </c>
      <c r="V113" s="1351">
        <f t="shared" ca="1" si="101"/>
        <v>0</v>
      </c>
      <c r="W113" s="1351">
        <f t="shared" ca="1" si="101"/>
        <v>0</v>
      </c>
      <c r="X113" s="1351">
        <f t="shared" ca="1" si="101"/>
        <v>0</v>
      </c>
      <c r="Y113" s="1073" t="str">
        <f t="shared" ca="1" si="102"/>
        <v/>
      </c>
      <c r="Z113" s="1163" t="str">
        <f t="shared" ca="1" si="103"/>
        <v/>
      </c>
      <c r="AA113" s="790"/>
      <c r="AB113" s="897" t="str">
        <f t="shared" ca="1" si="91"/>
        <v/>
      </c>
      <c r="AC113" s="55"/>
      <c r="AD113" s="96"/>
      <c r="AE113" s="96"/>
      <c r="AF113" s="96"/>
      <c r="AG113" s="96"/>
      <c r="AH113" s="96"/>
      <c r="AI113" s="96"/>
      <c r="AJ113" s="96"/>
      <c r="AK113" s="192"/>
      <c r="AL113" s="875"/>
      <c r="AM113" s="875"/>
      <c r="AN113" s="875"/>
      <c r="AO113" s="50"/>
      <c r="AP113" s="97"/>
      <c r="AQ113" s="97"/>
      <c r="AR113" s="97"/>
      <c r="AS113" s="97"/>
      <c r="AT113" s="97"/>
      <c r="AU113" s="97"/>
      <c r="AV113" s="97"/>
      <c r="AW113" s="97"/>
      <c r="AX113" s="97"/>
      <c r="AY113" s="97"/>
      <c r="AZ113" s="97"/>
      <c r="BA113" s="97"/>
      <c r="BB113" s="97"/>
      <c r="BC113" s="97"/>
    </row>
    <row r="114" spans="1:55" ht="12" customHeight="1" x14ac:dyDescent="0.3">
      <c r="A114" s="898"/>
      <c r="B114" s="898"/>
      <c r="C114" s="898"/>
      <c r="D114" s="898"/>
      <c r="E114" s="898"/>
      <c r="F114" s="898"/>
      <c r="G114" s="898"/>
      <c r="H114" s="898"/>
      <c r="I114" s="898"/>
      <c r="J114" s="852" t="str">
        <f>IF(AND(C114&gt;0,SUM(D114:I114)&gt;0),"",IF(AND(C114=0,SUM(C114:I114)=0),"",IF(AND(C114=0,D114&gt;0),"missing?",IF(AND(C114=0,I114&gt;0),"missing?","new category"))))</f>
        <v/>
      </c>
      <c r="K114" s="852"/>
      <c r="L114" s="852"/>
      <c r="M114" s="853"/>
      <c r="N114" s="852"/>
      <c r="O114" s="854" t="str">
        <f>IF(OR(+$J114="missing?",+$J114="new category"),"",IF($D114=0,"",IF(SUM($C114:$I114)=0,"",IFERROR((($C114-$D114)/$D114),"N/A"))))</f>
        <v/>
      </c>
      <c r="P114" s="854"/>
      <c r="Q114" s="854"/>
      <c r="R114" s="854" t="str">
        <f>IF(OR(+$J114="missing?",+$J114="new category"),"",IF($G114=0,"",IF(SUM($C114:$I114)=0,"",IFERROR((($C114-$G114)/$G114),"N/A"))))</f>
        <v/>
      </c>
      <c r="S114" s="854" t="str">
        <f>IF(OR(+$J114="missing?",+$J114="new category"),"",IF($I114=0,"",IF(SUM($C114:$I114)=0,"",IFERROR((($C114-$I114)/$I114),"N/A"))))</f>
        <v/>
      </c>
      <c r="T114" s="855" t="str">
        <f>IF(MAX(IF(O114&lt;0,-O114,O114),IF(R114&lt;0,-R114,R114),IF(S114&lt;0,-S114,S114))=0,"",MAX(IF(O114&lt;0,-O114,O114),IF(R114&lt;0,-R114,R114),IF(S114&lt;0,-S114,S114)))</f>
        <v/>
      </c>
      <c r="U114" s="855"/>
      <c r="V114" s="855"/>
      <c r="W114" s="855"/>
      <c r="X114" s="855"/>
      <c r="Y114" s="855" t="str">
        <f>IF('Q1'!F122=0,"",'Q1'!F122/L$7*MAX(T114:T114))</f>
        <v/>
      </c>
      <c r="Z114" s="713" t="str">
        <f>IF(+Y114="","",IF(Y114&gt;L$3,"H",IF(Y114&lt;L$4,"L","M")))</f>
        <v/>
      </c>
      <c r="AA114" s="856"/>
      <c r="AB114" s="854" t="str">
        <f>IF(AND(OR(AA114="OK",Z114="L",Z114=""),OR(J114="",K114="OK"),OR(+L114="",N114="OK")),"","Unresolved issue")</f>
        <v/>
      </c>
      <c r="AC114" s="55"/>
      <c r="AD114" s="875"/>
      <c r="AE114" s="875"/>
      <c r="AF114" s="875"/>
      <c r="AG114" s="875"/>
      <c r="AH114" s="875"/>
      <c r="AI114" s="875"/>
      <c r="AJ114" s="875"/>
      <c r="AK114" s="875"/>
      <c r="AL114" s="875"/>
      <c r="AM114" s="875"/>
      <c r="AN114" s="875"/>
      <c r="AO114" s="50"/>
      <c r="AP114" s="194"/>
      <c r="AQ114" s="194"/>
      <c r="AR114" s="194"/>
      <c r="AS114" s="194"/>
      <c r="AT114" s="194"/>
      <c r="AU114" s="194"/>
      <c r="AV114" s="194"/>
      <c r="AW114" s="194"/>
      <c r="AX114" s="194"/>
      <c r="AY114" s="194"/>
      <c r="AZ114" s="194"/>
      <c r="BA114" s="194"/>
      <c r="BB114" s="194"/>
      <c r="BC114" s="194"/>
    </row>
    <row r="115" spans="1:55" ht="12.75" customHeight="1" x14ac:dyDescent="0.3">
      <c r="A115" s="898"/>
      <c r="B115" s="898"/>
      <c r="C115" s="898"/>
      <c r="D115" s="898"/>
      <c r="E115" s="898"/>
      <c r="F115" s="898"/>
      <c r="G115" s="898"/>
      <c r="H115" s="898"/>
      <c r="I115" s="814"/>
      <c r="J115" s="852"/>
      <c r="K115" s="852"/>
      <c r="L115" s="852"/>
      <c r="M115" s="853"/>
      <c r="N115" s="852"/>
      <c r="O115" s="854"/>
      <c r="P115" s="854"/>
      <c r="Q115" s="854"/>
      <c r="R115" s="854"/>
      <c r="S115" s="854"/>
      <c r="T115" s="855"/>
      <c r="U115" s="855"/>
      <c r="V115" s="855"/>
      <c r="W115" s="855"/>
      <c r="X115" s="855"/>
      <c r="Y115" s="855"/>
      <c r="Z115" s="713"/>
      <c r="AA115" s="856"/>
      <c r="AB115" s="854"/>
      <c r="AC115" s="191"/>
      <c r="AD115" s="96"/>
      <c r="AE115" s="96"/>
      <c r="AF115" s="96"/>
      <c r="AG115" s="96"/>
      <c r="AH115" s="96"/>
      <c r="AI115" s="96"/>
      <c r="AJ115" s="96"/>
      <c r="AK115" s="192"/>
      <c r="AL115" s="875"/>
      <c r="AM115" s="875"/>
      <c r="AN115" s="875"/>
      <c r="AO115" s="50"/>
      <c r="AP115" s="97"/>
      <c r="AQ115" s="97"/>
      <c r="AR115" s="97"/>
      <c r="AS115" s="97"/>
      <c r="AT115" s="97"/>
      <c r="AU115" s="97"/>
      <c r="AV115" s="97"/>
      <c r="AW115" s="97"/>
      <c r="AX115" s="97"/>
      <c r="AY115" s="97"/>
      <c r="AZ115" s="97"/>
      <c r="BA115" s="97"/>
      <c r="BB115" s="97"/>
      <c r="BC115" s="97"/>
    </row>
    <row r="116" spans="1:55" ht="14.4" x14ac:dyDescent="0.3">
      <c r="A116" s="90"/>
      <c r="B116" s="90"/>
      <c r="C116" s="814"/>
      <c r="D116" s="814"/>
      <c r="E116" s="814"/>
      <c r="F116" s="814"/>
      <c r="G116" s="814"/>
      <c r="H116" s="814"/>
      <c r="I116" s="814"/>
      <c r="J116" s="852" t="str">
        <f>IF(AND(C116&gt;0,SUM(D116:I116)&gt;0),"",IF(AND(C116=0,SUM(C116:I116)=0),"",IF(AND(C116=0,D116&gt;0),"missing?",IF(AND(C116=0,I116&gt;0),"missing?","new category"))))</f>
        <v/>
      </c>
      <c r="K116" s="852"/>
      <c r="L116" s="854"/>
      <c r="M116" s="899"/>
      <c r="N116" s="55"/>
      <c r="O116" s="854" t="str">
        <f>IF(OR(+$J116="missing?",+$J116="new category"),"",IF($D116=0,"",IF(SUM($C116:$I116)=0,"",IFERROR((($C116-$D116)/$D116),"N/A"))))</f>
        <v/>
      </c>
      <c r="P116" s="854"/>
      <c r="Q116" s="854"/>
      <c r="R116" s="854" t="str">
        <f>IF(OR(+$J116="missing?",+$J116="new category"),"",IF($G116=0,"",IF(SUM($C116:$I116)=0,"",IFERROR((($C116-$G116)/$G116),"N/A"))))</f>
        <v/>
      </c>
      <c r="S116" s="854" t="str">
        <f>IF(OR(+$J116="missing?",+$J116="new category"),"",IF($I116=0,"",IF(SUM($C116:$I116)=0,"",IFERROR((($C116-$I116)/$I116),"N/A"))))</f>
        <v/>
      </c>
      <c r="T116" s="855" t="str">
        <f>IF(MAX(IF(O116&lt;0,-O116,O116),IF(R116&lt;0,-R116,R116),IF(S116&lt;0,-S116,S116))=0,"",MAX(IF(O116&lt;0,-O116,O116),IF(R116&lt;0,-R116,R116),IF(S116&lt;0,-S116,S116)))</f>
        <v/>
      </c>
      <c r="U116" s="855"/>
      <c r="V116" s="855"/>
      <c r="W116" s="855"/>
      <c r="X116" s="855"/>
      <c r="Y116" s="855"/>
      <c r="Z116" s="713" t="str">
        <f>IF(+Y116="","",IF(Y116&gt;L$3,"H",IF(Y116&lt;L$4,"L","M")))</f>
        <v/>
      </c>
      <c r="AA116" s="854"/>
      <c r="AB116" s="854"/>
      <c r="AC116" s="55"/>
      <c r="AD116" s="55"/>
      <c r="AE116" s="55"/>
      <c r="AF116" s="55"/>
      <c r="AG116" s="55"/>
      <c r="AH116" s="55"/>
      <c r="AI116" s="55"/>
      <c r="AJ116" s="98"/>
      <c r="AK116" s="55"/>
      <c r="AL116" s="99"/>
      <c r="AM116" s="110"/>
      <c r="AN116" s="1182"/>
      <c r="AO116" s="50"/>
      <c r="AP116" s="55"/>
      <c r="AQ116" s="55"/>
      <c r="AR116" s="55"/>
      <c r="AS116" s="55"/>
      <c r="AT116" s="55"/>
      <c r="AU116" s="55"/>
      <c r="AV116" s="55"/>
      <c r="AW116" s="55"/>
      <c r="AX116" s="55"/>
      <c r="AY116" s="55"/>
      <c r="AZ116" s="55"/>
      <c r="BA116" s="55"/>
      <c r="BB116" s="55"/>
      <c r="BC116" s="55"/>
    </row>
    <row r="117" spans="1:55" thickBot="1" x14ac:dyDescent="0.35">
      <c r="A117" s="673"/>
      <c r="B117" s="673"/>
      <c r="C117" s="671"/>
      <c r="D117" s="671"/>
      <c r="E117" s="671"/>
      <c r="F117" s="671"/>
      <c r="G117" s="671"/>
      <c r="H117" s="671"/>
      <c r="I117" s="671"/>
      <c r="J117" s="852" t="str">
        <f>IF(AND(C117&gt;0,SUM(D117:I117)&gt;0),"",IF(AND(C117=0,SUM(C117:I117)=0),"",IF(AND(C117=0,D117&gt;0),"missing?",IF(AND(C117=0,I117&gt;0),"missing?","new category"))))</f>
        <v/>
      </c>
      <c r="K117" s="852"/>
      <c r="L117" s="672"/>
      <c r="M117" s="672"/>
      <c r="N117" s="50"/>
      <c r="O117" s="854" t="str">
        <f>IF(OR(+$J117="missing?",+$J117="new category"),"",IF($D117=0,"",IF(SUM($C117:$I117)=0,"",IFERROR((($C117-$D117)/$D117),"N/A"))))</f>
        <v/>
      </c>
      <c r="P117" s="854"/>
      <c r="Q117" s="854"/>
      <c r="R117" s="854" t="str">
        <f>IF(OR(+$J117="missing?",+$J117="new category"),"",IF($G117=0,"",IF(SUM($C117:$I117)=0,"",IFERROR((($C117-$G117)/$G117),"N/A"))))</f>
        <v/>
      </c>
      <c r="S117" s="854" t="str">
        <f>IF(OR(+$J117="missing?",+$J117="new category"),"",IF($I117=0,"",IF(SUM($C117:$I117)=0,"",IFERROR((($C117-$I117)/$I117),"N/A"))))</f>
        <v/>
      </c>
      <c r="T117" s="855" t="str">
        <f>IF(MAX(IF(O117&lt;0,-O117,O117),IF(R117&lt;0,-R117,R117),IF(S117&lt;0,-S117,S117))=0,"",MAX(IF(O117&lt;0,-O117,O117),IF(R117&lt;0,-R117,R117),IF(S117&lt;0,-S117,S117)))</f>
        <v/>
      </c>
      <c r="U117" s="855"/>
      <c r="V117" s="855"/>
      <c r="W117" s="855"/>
      <c r="X117" s="855"/>
      <c r="Y117" s="855"/>
      <c r="Z117" s="713" t="str">
        <f>IF(+Y117="","",IF(Y117&gt;L$3,"H",IF(Y117&lt;L$4,"L","M")))</f>
        <v/>
      </c>
      <c r="AA117" s="672"/>
      <c r="AB117" s="672"/>
      <c r="AC117" s="50"/>
      <c r="AD117" s="50"/>
      <c r="AE117" s="50"/>
      <c r="AF117" s="50"/>
      <c r="AG117" s="50"/>
      <c r="AH117" s="50"/>
      <c r="AI117" s="50"/>
      <c r="AJ117" s="105"/>
      <c r="AK117" s="50"/>
      <c r="AL117" s="106"/>
      <c r="AM117" s="195"/>
      <c r="AN117" s="196"/>
      <c r="AO117" s="50"/>
      <c r="AP117" s="50"/>
      <c r="AQ117" s="50"/>
      <c r="AR117" s="50"/>
      <c r="AS117" s="50"/>
      <c r="AT117" s="50"/>
      <c r="AU117" s="50"/>
      <c r="AV117" s="50"/>
      <c r="AW117" s="50"/>
      <c r="AX117" s="50"/>
      <c r="AY117" s="50"/>
      <c r="AZ117" s="50"/>
      <c r="BA117" s="50"/>
      <c r="BB117" s="50"/>
      <c r="BC117" s="50"/>
    </row>
    <row r="118" spans="1:55" ht="27.6" x14ac:dyDescent="0.3">
      <c r="A118" s="100"/>
      <c r="B118" s="101"/>
      <c r="C118" s="1282" t="s">
        <v>176</v>
      </c>
      <c r="D118" s="2164" t="s">
        <v>177</v>
      </c>
      <c r="E118" s="2165"/>
      <c r="F118" s="2165"/>
      <c r="G118" s="2166"/>
      <c r="H118" s="2167"/>
      <c r="I118" s="2231"/>
      <c r="J118" s="2168" t="s">
        <v>428</v>
      </c>
      <c r="K118" s="2169"/>
      <c r="L118" s="2170"/>
      <c r="M118" s="2171"/>
      <c r="N118" s="2172"/>
      <c r="O118" s="2173" t="s">
        <v>430</v>
      </c>
      <c r="P118" s="2170"/>
      <c r="Q118" s="2170"/>
      <c r="R118" s="2171"/>
      <c r="S118" s="2174"/>
      <c r="T118" s="2170" t="s">
        <v>418</v>
      </c>
      <c r="U118" s="2171"/>
      <c r="V118" s="2171"/>
      <c r="W118" s="2171"/>
      <c r="X118" s="2171"/>
      <c r="Y118" s="2171"/>
      <c r="Z118" s="2171"/>
      <c r="AA118" s="2172"/>
      <c r="AB118" s="2192" t="s">
        <v>433</v>
      </c>
      <c r="AC118" s="50"/>
      <c r="AD118" s="192"/>
      <c r="AE118" s="192"/>
      <c r="AF118" s="192"/>
      <c r="AG118" s="192"/>
      <c r="AH118" s="192"/>
      <c r="AI118" s="192"/>
      <c r="AJ118" s="192"/>
      <c r="AK118" s="192"/>
      <c r="AL118" s="192"/>
      <c r="AM118" s="900"/>
      <c r="AN118" s="900"/>
      <c r="AO118" s="50"/>
      <c r="AP118" s="50"/>
      <c r="AQ118" s="50"/>
      <c r="AR118" s="50"/>
      <c r="AS118" s="50"/>
      <c r="AT118" s="50"/>
      <c r="AU118" s="50"/>
      <c r="AV118" s="50"/>
      <c r="AW118" s="50"/>
      <c r="AX118" s="50"/>
      <c r="AY118" s="50"/>
      <c r="AZ118" s="50"/>
      <c r="BA118" s="50"/>
      <c r="BB118" s="50"/>
      <c r="BC118" s="50"/>
    </row>
    <row r="119" spans="1:55" ht="51.75" customHeight="1" thickBot="1" x14ac:dyDescent="0.35">
      <c r="A119" s="901"/>
      <c r="B119" s="103"/>
      <c r="C119" s="1283" t="str">
        <f>C14</f>
        <v>Q3</v>
      </c>
      <c r="D119" s="721" t="str">
        <f t="shared" ref="D119:I119" si="104">D14</f>
        <v>Q2</v>
      </c>
      <c r="E119" s="925" t="str">
        <f t="shared" si="104"/>
        <v>Q1</v>
      </c>
      <c r="F119" s="925" t="str">
        <f t="shared" si="104"/>
        <v>Q4-19</v>
      </c>
      <c r="G119" s="722" t="str">
        <f t="shared" si="104"/>
        <v>Q3-19</v>
      </c>
      <c r="H119" s="722" t="str">
        <f t="shared" si="104"/>
        <v>2018-2019</v>
      </c>
      <c r="I119" s="723" t="str">
        <f t="shared" si="104"/>
        <v>25% of previous year total</v>
      </c>
      <c r="J119" s="724" t="s">
        <v>434</v>
      </c>
      <c r="K119" s="725" t="s">
        <v>435</v>
      </c>
      <c r="L119" s="1158"/>
      <c r="M119" s="726"/>
      <c r="N119" s="902"/>
      <c r="O119" s="728" t="s">
        <v>438</v>
      </c>
      <c r="P119" s="925" t="s">
        <v>470</v>
      </c>
      <c r="Q119" s="925" t="s">
        <v>471</v>
      </c>
      <c r="R119" s="1169" t="s">
        <v>439</v>
      </c>
      <c r="S119" s="729" t="s">
        <v>440</v>
      </c>
      <c r="T119" s="2156" t="s">
        <v>441</v>
      </c>
      <c r="U119" s="2155"/>
      <c r="V119" s="1169" t="str">
        <f>V14</f>
        <v>Q3</v>
      </c>
      <c r="W119" s="1169" t="str">
        <f t="shared" ref="W119:X119" si="105">W14</f>
        <v>Q2</v>
      </c>
      <c r="X119" s="1169" t="str">
        <f t="shared" si="105"/>
        <v>2018-2019</v>
      </c>
      <c r="Y119" s="2157" t="s">
        <v>442</v>
      </c>
      <c r="Z119" s="2155"/>
      <c r="AA119" s="1159" t="s">
        <v>435</v>
      </c>
      <c r="AB119" s="2193"/>
      <c r="AC119" s="50"/>
      <c r="AD119" s="192"/>
      <c r="AE119" s="192"/>
      <c r="AF119" s="192"/>
      <c r="AG119" s="192"/>
      <c r="AH119" s="192"/>
      <c r="AI119" s="192"/>
      <c r="AJ119" s="193"/>
      <c r="AK119" s="192"/>
      <c r="AL119" s="192"/>
      <c r="AM119" s="900"/>
      <c r="AN119" s="900"/>
      <c r="AO119" s="50"/>
      <c r="AP119" s="50"/>
      <c r="AQ119" s="50"/>
      <c r="AR119" s="50"/>
      <c r="AS119" s="50"/>
      <c r="AT119" s="50"/>
      <c r="AU119" s="50"/>
      <c r="AV119" s="50"/>
      <c r="AW119" s="50"/>
      <c r="AX119" s="50"/>
      <c r="AY119" s="50"/>
      <c r="AZ119" s="50"/>
      <c r="BA119" s="50"/>
      <c r="BB119" s="50"/>
      <c r="BC119" s="50"/>
    </row>
    <row r="120" spans="1:55" ht="12" customHeight="1" x14ac:dyDescent="0.3">
      <c r="A120" s="2232" t="s">
        <v>182</v>
      </c>
      <c r="B120" s="903" t="str">
        <f>'Q1'!O68</f>
        <v>STANDARD Petrol (average biofuel blend)*</v>
      </c>
      <c r="C120" s="1262">
        <f t="shared" ref="C120:H126" ca="1" si="106">INDEX(INDIRECT(CONCATENATE("'",C$14,"'!$R$68:$R$74"),TRUE),MATCH($B120,INDIRECT(CONCATENATE("'",C$14,"'!$O$68:$O$74"),TRUE),0))</f>
        <v>0</v>
      </c>
      <c r="D120" s="798">
        <f t="shared" ca="1" si="106"/>
        <v>41596</v>
      </c>
      <c r="E120" s="761">
        <f t="shared" ca="1" si="106"/>
        <v>44776</v>
      </c>
      <c r="F120" s="761">
        <f t="shared" ca="1" si="106"/>
        <v>6967</v>
      </c>
      <c r="G120" s="761">
        <f t="shared" ca="1" si="106"/>
        <v>3156</v>
      </c>
      <c r="H120" s="761">
        <f t="shared" ca="1" si="106"/>
        <v>23820</v>
      </c>
      <c r="I120" s="799">
        <f t="shared" ref="I120:I133" ca="1" si="107">H120/4</f>
        <v>5955</v>
      </c>
      <c r="J120" s="800" t="str">
        <f t="shared" ref="J120:J125" ca="1" si="108">IF(AND(C120&gt;0,SUM(D120:I120)&gt;0),"",IF(AND(C120=0,SUM(C120:I120)=0),"",IF(AND(C120=0,D120&gt;0),"Missing value?",IF(AND(C120=0,I120&gt;0),"Missing value?","New category"))))</f>
        <v>Missing value?</v>
      </c>
      <c r="K120" s="801"/>
      <c r="L120" s="904" t="str">
        <f ca="1">IF(C120&gt;0,'Q1'!E128,"")</f>
        <v/>
      </c>
      <c r="M120" s="763" t="str">
        <f ca="1">IF(L120="","",IF('Q1'!I128=0,"fuel type not stated",'Q1'!I128))</f>
        <v/>
      </c>
      <c r="N120" s="905"/>
      <c r="O120" s="906">
        <f t="shared" ref="O120:O133" ca="1" si="109">IF(OR(+$J120="missing?",+$J120="new category"),"",IF($D120=0,"",IF(SUM($C120:$I120)=0,"",IFERROR((($C120-$D120)/$D120),"N/A"))))</f>
        <v>-1</v>
      </c>
      <c r="P120" s="765">
        <f t="shared" ref="P120:P133" ca="1" si="110">IF(OR(+$J120="missing?",+$J120="new category"),"",IF($E120=0,"",IF(SUM($C120:$I120)=0,"",IFERROR((($C120-$E120)/$E120),"N/A"))))</f>
        <v>-1</v>
      </c>
      <c r="Q120" s="765">
        <f t="shared" ref="Q120:Q133" ca="1" si="111">IF(OR(+$J120="missing?",+$J120="new category"),"",IF($F120=0,"",IF(SUM($C120:$I120)=0,"",IFERROR((($C120-$F120)/$F120),"N/A"))))</f>
        <v>-1</v>
      </c>
      <c r="R120" s="765">
        <f t="shared" ref="R120:R133" ca="1" si="112">IF(OR(+$J120="missing?",+$J120="new category"),"",IF($G120=0,"",IF(SUM($C120:$I120)=0,"",IFERROR((($C120-$G120)/$G120),"N/A"))))</f>
        <v>-1</v>
      </c>
      <c r="S120" s="907">
        <f t="shared" ref="S120:S133" ca="1" si="113">IF(OR(+$J120="missing?",+$J120="new category"),"",IF($I120=0,"",IF(SUM($C120:$I120)=0,"",IFERROR((($C120-$I120)/$I120),"N/A"))))</f>
        <v>-1</v>
      </c>
      <c r="T120" s="1236">
        <f t="shared" ref="T120:T125" ca="1" si="114">IF(SUM(C120:I120)=0,"",IF(OR(AND(C120=0,SUM(D120:I120)&gt;0),AND(C120&gt;0,SUM(D120:I120)=0)),1,IF(MAX(IF(O120&lt;0,-O120,O120),IF(P120&lt;0,-P120,P120),IF(Q120&lt;0,-Q120,Q120),IF(R120&lt;0,-R120,R120),IF(S120&lt;0,-S120,S120))=0,"",MAX(IF(O120&lt;0,-O120,O120),IF(P120&lt;0,-P120,P120),IF(Q120&lt;0,-Q120,Q120),IF(R120&lt;0,-R120,R120),IF(S120&lt;0,-S120,S120)))))</f>
        <v>1</v>
      </c>
      <c r="U120" s="766" t="str">
        <f t="shared" ref="U120:U133" ca="1" si="115">IF(+T120="","",IF(T120&gt;L$3,"H",IF(T120&gt;L$4,"M","")))</f>
        <v>H</v>
      </c>
      <c r="V120" s="1349">
        <f t="shared" ref="V120:X126" ca="1" si="116">INDEX(INDIRECT(CONCATENATE("'",V$14,"'!$T$68:$T$74"),TRUE),MATCH($B120,INDIRECT(CONCATENATE("'",V$14,"'!$O$68:$O$74"),TRUE),0))</f>
        <v>0</v>
      </c>
      <c r="W120" s="1349">
        <f t="shared" ca="1" si="116"/>
        <v>91.887227839999994</v>
      </c>
      <c r="X120" s="1349">
        <f t="shared" ca="1" si="116"/>
        <v>52.477127400000001</v>
      </c>
      <c r="Y120" s="1237">
        <f t="shared" ref="Y120:Y133" ca="1" si="117">IF(V120=0,IF(W120&gt;0, W120/L$8, IF(X120&gt;0,X120/L$10, "")), IF(T120="", "", V120/L$7*T120))</f>
        <v>1.7137773739655721E-3</v>
      </c>
      <c r="Z120" s="766" t="str">
        <f t="shared" ref="Z120:Z133" ca="1" si="118">IF(+Y120="","",IF(Y120&gt;L$3,"H",IF(Y120&gt;L$4,"M","")))</f>
        <v>M</v>
      </c>
      <c r="AA120" s="801"/>
      <c r="AB120" s="758" t="str">
        <f t="shared" ref="AB120:AB133" ca="1" si="119">IF((CONCATENATE(IF(K120="OK","",J120), "    ",IF(L120="","",IF(N120="OK","",CONCATENATE(M120," = ",ROUND(L120,3),"kgCO2e/kWh"))),"    ",IF(AND(+AA120="",Z120="M"),"Value change with medium impact",IF(AND(AA120="",Z120="H"),"Value change with high impact",""))," "))="         ","",(CONCATENATE(IF(K120="OK","",J120), "    ",IF(L120="","",IF(N120="OK","",CONCATENATE(M120," = ",ROUND(L120,3),"kgCO2e/kWh"))),"    ",IF(AND(+AA120="",Z120="M"),"Value change with medium impact",IF(AND(AA120="",Z120="H"),"Value change with high impact",""))," ")))</f>
        <v xml:space="preserve">Missing value?        Value change with medium impact </v>
      </c>
      <c r="AC120" s="50"/>
      <c r="AD120" s="96"/>
      <c r="AE120" s="96"/>
      <c r="AF120" s="96"/>
      <c r="AG120" s="96"/>
      <c r="AH120" s="96"/>
      <c r="AI120" s="96"/>
      <c r="AJ120" s="96"/>
      <c r="AK120" s="192"/>
      <c r="AL120" s="875"/>
      <c r="AM120" s="875"/>
      <c r="AN120" s="875"/>
      <c r="AO120" s="50"/>
      <c r="AP120" s="50"/>
      <c r="AQ120" s="50"/>
      <c r="AR120" s="50"/>
      <c r="AS120" s="50"/>
      <c r="AT120" s="50"/>
      <c r="AU120" s="50"/>
      <c r="AV120" s="50"/>
      <c r="AW120" s="50"/>
      <c r="AX120" s="50"/>
      <c r="AY120" s="50"/>
      <c r="AZ120" s="50"/>
      <c r="BA120" s="50"/>
      <c r="BB120" s="50"/>
      <c r="BC120" s="50"/>
    </row>
    <row r="121" spans="1:55" ht="14.4" x14ac:dyDescent="0.3">
      <c r="A121" s="2233"/>
      <c r="B121" s="908" t="str">
        <f>'Q1'!O69</f>
        <v>Petrol (100% mineral petrol)</v>
      </c>
      <c r="C121" s="1183">
        <f t="shared" ca="1" si="106"/>
        <v>0</v>
      </c>
      <c r="D121" s="768">
        <f t="shared" ca="1" si="106"/>
        <v>0</v>
      </c>
      <c r="E121" s="769">
        <f t="shared" ca="1" si="106"/>
        <v>0</v>
      </c>
      <c r="F121" s="769">
        <f t="shared" ca="1" si="106"/>
        <v>0</v>
      </c>
      <c r="G121" s="769">
        <f t="shared" ca="1" si="106"/>
        <v>0</v>
      </c>
      <c r="H121" s="769">
        <f t="shared" ca="1" si="106"/>
        <v>0</v>
      </c>
      <c r="I121" s="770">
        <f t="shared" ca="1" si="107"/>
        <v>0</v>
      </c>
      <c r="J121" s="771" t="str">
        <f t="shared" ca="1" si="108"/>
        <v/>
      </c>
      <c r="K121" s="772"/>
      <c r="L121" s="909" t="str">
        <f ca="1">IF(C121&gt;0,'Q1'!E129,"")</f>
        <v/>
      </c>
      <c r="M121" s="774" t="str">
        <f ca="1">IF(L121="","",IF('Q1'!I129=0,"fuel type not stated",'Q1'!I129))</f>
        <v/>
      </c>
      <c r="N121" s="910"/>
      <c r="O121" s="810" t="str">
        <f t="shared" ca="1" si="109"/>
        <v/>
      </c>
      <c r="P121" s="783" t="str">
        <f t="shared" ca="1" si="110"/>
        <v/>
      </c>
      <c r="Q121" s="783" t="str">
        <f t="shared" ca="1" si="111"/>
        <v/>
      </c>
      <c r="R121" s="783" t="str">
        <f t="shared" ca="1" si="112"/>
        <v/>
      </c>
      <c r="S121" s="811" t="str">
        <f t="shared" ca="1" si="113"/>
        <v/>
      </c>
      <c r="T121" s="1066" t="str">
        <f t="shared" ca="1" si="114"/>
        <v/>
      </c>
      <c r="U121" s="1165" t="str">
        <f t="shared" ca="1" si="115"/>
        <v/>
      </c>
      <c r="V121" s="1350">
        <f t="shared" ca="1" si="116"/>
        <v>0</v>
      </c>
      <c r="W121" s="1350">
        <f t="shared" ca="1" si="116"/>
        <v>0</v>
      </c>
      <c r="X121" s="1350">
        <f t="shared" ca="1" si="116"/>
        <v>0</v>
      </c>
      <c r="Y121" s="1067" t="str">
        <f t="shared" ca="1" si="117"/>
        <v/>
      </c>
      <c r="Z121" s="1165" t="str">
        <f t="shared" ca="1" si="118"/>
        <v/>
      </c>
      <c r="AA121" s="772"/>
      <c r="AB121" s="804" t="str">
        <f t="shared" ca="1" si="119"/>
        <v/>
      </c>
      <c r="AC121" s="50"/>
      <c r="AD121" s="96"/>
      <c r="AE121" s="96"/>
      <c r="AF121" s="96"/>
      <c r="AG121" s="96"/>
      <c r="AH121" s="96"/>
      <c r="AI121" s="96"/>
      <c r="AJ121" s="96"/>
      <c r="AK121" s="192"/>
      <c r="AL121" s="875"/>
      <c r="AM121" s="875"/>
      <c r="AN121" s="875"/>
      <c r="AO121" s="50"/>
      <c r="AP121" s="50"/>
      <c r="AQ121" s="50"/>
      <c r="AR121" s="50"/>
      <c r="AS121" s="50"/>
      <c r="AT121" s="50"/>
      <c r="AU121" s="50"/>
      <c r="AV121" s="50"/>
      <c r="AW121" s="50"/>
      <c r="AX121" s="50"/>
      <c r="AY121" s="50"/>
      <c r="AZ121" s="50"/>
      <c r="BA121" s="50"/>
      <c r="BB121" s="50"/>
      <c r="BC121" s="50"/>
    </row>
    <row r="122" spans="1:55" ht="14.4" x14ac:dyDescent="0.3">
      <c r="A122" s="2233"/>
      <c r="B122" s="908" t="str">
        <f>'Q1'!O70</f>
        <v>STANDARD Diesel (average biofuel blend)*</v>
      </c>
      <c r="C122" s="1183">
        <f t="shared" ca="1" si="106"/>
        <v>0</v>
      </c>
      <c r="D122" s="768">
        <f t="shared" ca="1" si="106"/>
        <v>391336</v>
      </c>
      <c r="E122" s="769">
        <f t="shared" ca="1" si="106"/>
        <v>402867</v>
      </c>
      <c r="F122" s="769">
        <f t="shared" ca="1" si="106"/>
        <v>109567</v>
      </c>
      <c r="G122" s="769">
        <f t="shared" ca="1" si="106"/>
        <v>47417</v>
      </c>
      <c r="H122" s="769">
        <f t="shared" ca="1" si="106"/>
        <v>716836</v>
      </c>
      <c r="I122" s="770">
        <f t="shared" ca="1" si="107"/>
        <v>179209</v>
      </c>
      <c r="J122" s="771" t="str">
        <f t="shared" ca="1" si="108"/>
        <v>Missing value?</v>
      </c>
      <c r="K122" s="772"/>
      <c r="L122" s="909" t="str">
        <f ca="1">IF(C122&gt;0,'Q1'!E130,"")</f>
        <v/>
      </c>
      <c r="M122" s="774" t="str">
        <f ca="1">IF(L122="","",IF('Q1'!I130=0,"fuel type not stated",'Q1'!I130))</f>
        <v/>
      </c>
      <c r="N122" s="910"/>
      <c r="O122" s="810">
        <f t="shared" ca="1" si="109"/>
        <v>-1</v>
      </c>
      <c r="P122" s="783">
        <f t="shared" ca="1" si="110"/>
        <v>-1</v>
      </c>
      <c r="Q122" s="783">
        <f t="shared" ca="1" si="111"/>
        <v>-1</v>
      </c>
      <c r="R122" s="783">
        <f t="shared" ca="1" si="112"/>
        <v>-1</v>
      </c>
      <c r="S122" s="811">
        <f t="shared" ca="1" si="113"/>
        <v>-1</v>
      </c>
      <c r="T122" s="1066">
        <f t="shared" ca="1" si="114"/>
        <v>1</v>
      </c>
      <c r="U122" s="1165" t="str">
        <f t="shared" ca="1" si="115"/>
        <v>H</v>
      </c>
      <c r="V122" s="1350">
        <f t="shared" ca="1" si="116"/>
        <v>0</v>
      </c>
      <c r="W122" s="1350">
        <f t="shared" ca="1" si="116"/>
        <v>1015.1686309600001</v>
      </c>
      <c r="X122" s="1350">
        <f t="shared" ca="1" si="116"/>
        <v>1883.08516184</v>
      </c>
      <c r="Y122" s="1067">
        <f t="shared" ca="1" si="117"/>
        <v>1.8933785155955077E-2</v>
      </c>
      <c r="Z122" s="1165" t="str">
        <f t="shared" ca="1" si="118"/>
        <v>M</v>
      </c>
      <c r="AA122" s="772"/>
      <c r="AB122" s="804" t="str">
        <f t="shared" ca="1" si="119"/>
        <v xml:space="preserve">Missing value?        Value change with medium impact </v>
      </c>
      <c r="AC122" s="50"/>
      <c r="AD122" s="96"/>
      <c r="AE122" s="96"/>
      <c r="AF122" s="96"/>
      <c r="AG122" s="96"/>
      <c r="AH122" s="96"/>
      <c r="AI122" s="96"/>
      <c r="AJ122" s="96"/>
      <c r="AK122" s="192"/>
      <c r="AL122" s="875"/>
      <c r="AM122" s="875"/>
      <c r="AN122" s="875"/>
      <c r="AO122" s="50"/>
      <c r="AP122" s="50"/>
      <c r="AQ122" s="50"/>
      <c r="AR122" s="50"/>
      <c r="AS122" s="50"/>
      <c r="AT122" s="50"/>
      <c r="AU122" s="50"/>
      <c r="AV122" s="50"/>
      <c r="AW122" s="50"/>
      <c r="AX122" s="50"/>
      <c r="AY122" s="50"/>
      <c r="AZ122" s="50"/>
      <c r="BA122" s="50"/>
      <c r="BB122" s="50"/>
      <c r="BC122" s="50"/>
    </row>
    <row r="123" spans="1:55" ht="14.4" x14ac:dyDescent="0.3">
      <c r="A123" s="2233"/>
      <c r="B123" s="908" t="str">
        <f>'Q1'!O71</f>
        <v>Diesel (100% mineral diesel)</v>
      </c>
      <c r="C123" s="1183">
        <f t="shared" ca="1" si="106"/>
        <v>0</v>
      </c>
      <c r="D123" s="768">
        <f t="shared" ca="1" si="106"/>
        <v>0</v>
      </c>
      <c r="E123" s="769">
        <f t="shared" ca="1" si="106"/>
        <v>0</v>
      </c>
      <c r="F123" s="769">
        <f t="shared" ca="1" si="106"/>
        <v>0</v>
      </c>
      <c r="G123" s="769">
        <f t="shared" ca="1" si="106"/>
        <v>0</v>
      </c>
      <c r="H123" s="769">
        <f t="shared" ca="1" si="106"/>
        <v>0</v>
      </c>
      <c r="I123" s="770">
        <f t="shared" ca="1" si="107"/>
        <v>0</v>
      </c>
      <c r="J123" s="771" t="str">
        <f t="shared" ca="1" si="108"/>
        <v/>
      </c>
      <c r="K123" s="772"/>
      <c r="L123" s="909" t="str">
        <f ca="1">IF(C123&gt;0,'Q1'!E131,"")</f>
        <v/>
      </c>
      <c r="M123" s="774" t="str">
        <f ca="1">IF(L123="","",IF('Q1'!I131=0,"fuel type not stated",'Q1'!I131))</f>
        <v/>
      </c>
      <c r="N123" s="910"/>
      <c r="O123" s="810" t="str">
        <f t="shared" ca="1" si="109"/>
        <v/>
      </c>
      <c r="P123" s="783" t="str">
        <f t="shared" ca="1" si="110"/>
        <v/>
      </c>
      <c r="Q123" s="783" t="str">
        <f t="shared" ca="1" si="111"/>
        <v/>
      </c>
      <c r="R123" s="783" t="str">
        <f t="shared" ca="1" si="112"/>
        <v/>
      </c>
      <c r="S123" s="811" t="str">
        <f t="shared" ca="1" si="113"/>
        <v/>
      </c>
      <c r="T123" s="1066" t="str">
        <f t="shared" ca="1" si="114"/>
        <v/>
      </c>
      <c r="U123" s="1165" t="str">
        <f t="shared" ca="1" si="115"/>
        <v/>
      </c>
      <c r="V123" s="1350">
        <f t="shared" ca="1" si="116"/>
        <v>0</v>
      </c>
      <c r="W123" s="1350">
        <f t="shared" ca="1" si="116"/>
        <v>0</v>
      </c>
      <c r="X123" s="1350">
        <f t="shared" ca="1" si="116"/>
        <v>0</v>
      </c>
      <c r="Y123" s="1067" t="str">
        <f t="shared" ca="1" si="117"/>
        <v/>
      </c>
      <c r="Z123" s="1165" t="str">
        <f t="shared" ca="1" si="118"/>
        <v/>
      </c>
      <c r="AA123" s="772"/>
      <c r="AB123" s="804" t="str">
        <f t="shared" ca="1" si="119"/>
        <v/>
      </c>
      <c r="AC123" s="50"/>
      <c r="AD123" s="96"/>
      <c r="AE123" s="96"/>
      <c r="AF123" s="96"/>
      <c r="AG123" s="96"/>
      <c r="AH123" s="96"/>
      <c r="AI123" s="96"/>
      <c r="AJ123" s="96"/>
      <c r="AK123" s="192"/>
      <c r="AL123" s="875"/>
      <c r="AM123" s="875"/>
      <c r="AN123" s="875"/>
      <c r="AO123" s="50"/>
      <c r="AP123" s="50"/>
      <c r="AQ123" s="50"/>
      <c r="AR123" s="50"/>
      <c r="AS123" s="50"/>
      <c r="AT123" s="50"/>
      <c r="AU123" s="50"/>
      <c r="AV123" s="50"/>
      <c r="AW123" s="50"/>
      <c r="AX123" s="50"/>
      <c r="AY123" s="50"/>
      <c r="AZ123" s="50"/>
      <c r="BA123" s="50"/>
      <c r="BB123" s="50"/>
      <c r="BC123" s="50"/>
    </row>
    <row r="124" spans="1:55" ht="14.4" x14ac:dyDescent="0.3">
      <c r="A124" s="2233"/>
      <c r="B124" s="908" t="str">
        <f>'Q1'!O72</f>
        <v>Compressed Natural Gas (CNG)</v>
      </c>
      <c r="C124" s="1183">
        <f t="shared" ca="1" si="106"/>
        <v>0</v>
      </c>
      <c r="D124" s="768">
        <f t="shared" ca="1" si="106"/>
        <v>0</v>
      </c>
      <c r="E124" s="769">
        <f t="shared" ca="1" si="106"/>
        <v>0</v>
      </c>
      <c r="F124" s="769">
        <f t="shared" ca="1" si="106"/>
        <v>0</v>
      </c>
      <c r="G124" s="769">
        <f t="shared" ca="1" si="106"/>
        <v>0</v>
      </c>
      <c r="H124" s="769">
        <f t="shared" ca="1" si="106"/>
        <v>0</v>
      </c>
      <c r="I124" s="770">
        <f t="shared" ca="1" si="107"/>
        <v>0</v>
      </c>
      <c r="J124" s="771" t="str">
        <f t="shared" ca="1" si="108"/>
        <v/>
      </c>
      <c r="K124" s="772"/>
      <c r="L124" s="909" t="str">
        <f ca="1">IF(C124&gt;0,'Q1'!E132,"")</f>
        <v/>
      </c>
      <c r="M124" s="774" t="str">
        <f ca="1">IF(L124="","",IF('Q1'!I132=0,"fuel type not stated",'Q1'!I132))</f>
        <v/>
      </c>
      <c r="N124" s="910"/>
      <c r="O124" s="810" t="str">
        <f t="shared" ca="1" si="109"/>
        <v/>
      </c>
      <c r="P124" s="783" t="str">
        <f t="shared" ca="1" si="110"/>
        <v/>
      </c>
      <c r="Q124" s="783" t="str">
        <f t="shared" ca="1" si="111"/>
        <v/>
      </c>
      <c r="R124" s="783" t="str">
        <f t="shared" ca="1" si="112"/>
        <v/>
      </c>
      <c r="S124" s="811" t="str">
        <f t="shared" ca="1" si="113"/>
        <v/>
      </c>
      <c r="T124" s="1066" t="str">
        <f t="shared" ca="1" si="114"/>
        <v/>
      </c>
      <c r="U124" s="1165" t="str">
        <f t="shared" ca="1" si="115"/>
        <v/>
      </c>
      <c r="V124" s="1350">
        <f t="shared" ca="1" si="116"/>
        <v>0</v>
      </c>
      <c r="W124" s="1350">
        <f t="shared" ca="1" si="116"/>
        <v>0</v>
      </c>
      <c r="X124" s="1350">
        <f t="shared" ca="1" si="116"/>
        <v>0</v>
      </c>
      <c r="Y124" s="1067" t="str">
        <f t="shared" ca="1" si="117"/>
        <v/>
      </c>
      <c r="Z124" s="1165" t="str">
        <f t="shared" ca="1" si="118"/>
        <v/>
      </c>
      <c r="AA124" s="772"/>
      <c r="AB124" s="804" t="str">
        <f t="shared" ca="1" si="119"/>
        <v/>
      </c>
      <c r="AC124" s="50"/>
      <c r="AD124" s="96"/>
      <c r="AE124" s="96"/>
      <c r="AF124" s="96"/>
      <c r="AG124" s="96"/>
      <c r="AH124" s="96"/>
      <c r="AI124" s="96"/>
      <c r="AJ124" s="96"/>
      <c r="AK124" s="192"/>
      <c r="AL124" s="875"/>
      <c r="AM124" s="875"/>
      <c r="AN124" s="875"/>
      <c r="AO124" s="50"/>
      <c r="AP124" s="50"/>
      <c r="AQ124" s="50"/>
      <c r="AR124" s="50"/>
      <c r="AS124" s="50"/>
      <c r="AT124" s="50"/>
      <c r="AU124" s="50"/>
      <c r="AV124" s="50"/>
      <c r="AW124" s="50"/>
      <c r="AX124" s="50"/>
      <c r="AY124" s="50"/>
      <c r="AZ124" s="50"/>
      <c r="BA124" s="50"/>
      <c r="BB124" s="50"/>
      <c r="BC124" s="50"/>
    </row>
    <row r="125" spans="1:55" ht="14.4" x14ac:dyDescent="0.3">
      <c r="A125" s="2233"/>
      <c r="B125" s="908" t="str">
        <f>'Q1'!O73</f>
        <v>Liquid Petroleum Gas (LPG)</v>
      </c>
      <c r="C125" s="1183">
        <f t="shared" ca="1" si="106"/>
        <v>0</v>
      </c>
      <c r="D125" s="768">
        <f t="shared" ca="1" si="106"/>
        <v>0</v>
      </c>
      <c r="E125" s="769">
        <f t="shared" ca="1" si="106"/>
        <v>0</v>
      </c>
      <c r="F125" s="769">
        <f t="shared" ca="1" si="106"/>
        <v>0</v>
      </c>
      <c r="G125" s="769">
        <f t="shared" ca="1" si="106"/>
        <v>0</v>
      </c>
      <c r="H125" s="769">
        <f t="shared" ca="1" si="106"/>
        <v>0</v>
      </c>
      <c r="I125" s="770">
        <f t="shared" ca="1" si="107"/>
        <v>0</v>
      </c>
      <c r="J125" s="771" t="str">
        <f t="shared" ca="1" si="108"/>
        <v/>
      </c>
      <c r="K125" s="772"/>
      <c r="L125" s="909" t="str">
        <f ca="1">IF(C125&gt;0,'Q1'!E133,"")</f>
        <v/>
      </c>
      <c r="M125" s="774" t="str">
        <f ca="1">IF(L125="","",IF('Q1'!I133=0,"fuel type not stated",'Q1'!I133))</f>
        <v/>
      </c>
      <c r="N125" s="910"/>
      <c r="O125" s="810" t="str">
        <f t="shared" ca="1" si="109"/>
        <v/>
      </c>
      <c r="P125" s="783" t="str">
        <f t="shared" ca="1" si="110"/>
        <v/>
      </c>
      <c r="Q125" s="783" t="str">
        <f t="shared" ca="1" si="111"/>
        <v/>
      </c>
      <c r="R125" s="783" t="str">
        <f t="shared" ca="1" si="112"/>
        <v/>
      </c>
      <c r="S125" s="811" t="str">
        <f t="shared" ca="1" si="113"/>
        <v/>
      </c>
      <c r="T125" s="1066" t="str">
        <f t="shared" ca="1" si="114"/>
        <v/>
      </c>
      <c r="U125" s="1165" t="str">
        <f t="shared" ca="1" si="115"/>
        <v/>
      </c>
      <c r="V125" s="1350">
        <f t="shared" ca="1" si="116"/>
        <v>0</v>
      </c>
      <c r="W125" s="1350">
        <f t="shared" ca="1" si="116"/>
        <v>0</v>
      </c>
      <c r="X125" s="1350">
        <f t="shared" ca="1" si="116"/>
        <v>0</v>
      </c>
      <c r="Y125" s="1067" t="str">
        <f t="shared" ca="1" si="117"/>
        <v/>
      </c>
      <c r="Z125" s="1165" t="str">
        <f t="shared" ca="1" si="118"/>
        <v/>
      </c>
      <c r="AA125" s="772"/>
      <c r="AB125" s="804" t="str">
        <f t="shared" ca="1" si="119"/>
        <v/>
      </c>
      <c r="AC125" s="50"/>
      <c r="AD125" s="96"/>
      <c r="AE125" s="96"/>
      <c r="AF125" s="96"/>
      <c r="AG125" s="96"/>
      <c r="AH125" s="96"/>
      <c r="AI125" s="96"/>
      <c r="AJ125" s="96"/>
      <c r="AK125" s="192"/>
      <c r="AL125" s="875"/>
      <c r="AM125" s="875"/>
      <c r="AN125" s="875"/>
      <c r="AO125" s="50"/>
      <c r="AP125" s="50"/>
      <c r="AQ125" s="50"/>
      <c r="AR125" s="50"/>
      <c r="AS125" s="50"/>
      <c r="AT125" s="50"/>
      <c r="AU125" s="50"/>
      <c r="AV125" s="50"/>
      <c r="AW125" s="50"/>
      <c r="AX125" s="50"/>
      <c r="AY125" s="50"/>
      <c r="AZ125" s="50"/>
      <c r="BA125" s="50"/>
      <c r="BB125" s="50"/>
      <c r="BC125" s="50"/>
    </row>
    <row r="126" spans="1:55" thickBot="1" x14ac:dyDescent="0.35">
      <c r="A126" s="2234"/>
      <c r="B126" s="911" t="str">
        <f>'Q1'!O74</f>
        <v>Other (enter CO2 factor and specify fuel in "Notes")</v>
      </c>
      <c r="C126" s="1184">
        <f t="shared" ca="1" si="106"/>
        <v>0</v>
      </c>
      <c r="D126" s="786">
        <f t="shared" ca="1" si="106"/>
        <v>0</v>
      </c>
      <c r="E126" s="787">
        <f t="shared" ca="1" si="106"/>
        <v>0</v>
      </c>
      <c r="F126" s="787">
        <f t="shared" ca="1" si="106"/>
        <v>0</v>
      </c>
      <c r="G126" s="787">
        <f t="shared" ca="1" si="106"/>
        <v>0</v>
      </c>
      <c r="H126" s="787">
        <f t="shared" ca="1" si="106"/>
        <v>0</v>
      </c>
      <c r="I126" s="788">
        <f t="shared" ca="1" si="107"/>
        <v>0</v>
      </c>
      <c r="J126" s="812" t="str">
        <f t="shared" ref="J126" ca="1" si="120">IF(AND(C126&gt;0,SUM(D126:I126)&gt;0),"",IF(AND(C126=0,SUM(C126:I126)=0),"",IF(AND(C126=0,D126&gt;0),"Missing value?",IF(AND(C126=0,I126&gt;0),"Missing value?","New category"))))</f>
        <v/>
      </c>
      <c r="K126" s="790"/>
      <c r="L126" s="912" t="str">
        <f ca="1">IF(C126&gt;0,'Q1'!E134,"")</f>
        <v/>
      </c>
      <c r="M126" s="913" t="str">
        <f ca="1">IF(L126="","",IF('Q1'!I134=0,"fuel type not stated",'Q1'!I134))</f>
        <v/>
      </c>
      <c r="N126" s="914"/>
      <c r="O126" s="813" t="str">
        <f t="shared" ca="1" si="109"/>
        <v/>
      </c>
      <c r="P126" s="1072" t="str">
        <f t="shared" ca="1" si="110"/>
        <v/>
      </c>
      <c r="Q126" s="1072" t="str">
        <f t="shared" ca="1" si="111"/>
        <v/>
      </c>
      <c r="R126" s="1072" t="str">
        <f t="shared" ca="1" si="112"/>
        <v/>
      </c>
      <c r="S126" s="1075" t="str">
        <f t="shared" ca="1" si="113"/>
        <v/>
      </c>
      <c r="T126" s="1238" t="str">
        <f t="shared" ref="T126" ca="1" si="121">IF(SUM(C126:I126)=0,"",IF(OR(AND(C126=0,SUM(D126:I126)&gt;0),AND(C126&gt;0,SUM(D126:I126)=0)),1,IF(MAX(IF(O126&lt;0,-O126,O126),IF(P126&lt;0,-P126,P126),IF(Q126&lt;0,-Q126,Q126),IF(R126&lt;0,-R126,R126),IF(S126&lt;0,-S126,S126))=0,"",MAX(IF(O126&lt;0,-O126,O126),IF(P126&lt;0,-P126,P126),IF(Q126&lt;0,-Q126,Q126),IF(R126&lt;0,-R126,R126),IF(S126&lt;0,-S126,S126)))))</f>
        <v/>
      </c>
      <c r="U126" s="1163" t="str">
        <f t="shared" ca="1" si="115"/>
        <v/>
      </c>
      <c r="V126" s="1351">
        <f t="shared" ca="1" si="116"/>
        <v>0</v>
      </c>
      <c r="W126" s="1351">
        <f t="shared" ca="1" si="116"/>
        <v>0</v>
      </c>
      <c r="X126" s="1351">
        <f t="shared" ca="1" si="116"/>
        <v>0</v>
      </c>
      <c r="Y126" s="1239" t="str">
        <f t="shared" ca="1" si="117"/>
        <v/>
      </c>
      <c r="Z126" s="1163" t="str">
        <f t="shared" ca="1" si="118"/>
        <v/>
      </c>
      <c r="AA126" s="790"/>
      <c r="AB126" s="915" t="str">
        <f t="shared" ca="1" si="119"/>
        <v/>
      </c>
      <c r="AC126" s="55"/>
      <c r="AD126" s="55"/>
      <c r="AE126" s="55"/>
      <c r="AF126" s="55"/>
      <c r="AG126" s="55"/>
      <c r="AH126" s="55"/>
      <c r="AI126" s="55"/>
      <c r="AJ126" s="98"/>
      <c r="AK126" s="55"/>
      <c r="AL126" s="99"/>
      <c r="AM126" s="99"/>
      <c r="AN126" s="104"/>
      <c r="AO126" s="50"/>
      <c r="AP126" s="55"/>
      <c r="AQ126" s="55"/>
      <c r="AR126" s="55"/>
      <c r="AS126" s="55"/>
      <c r="AT126" s="55"/>
      <c r="AU126" s="55"/>
      <c r="AV126" s="55"/>
      <c r="AW126" s="55"/>
      <c r="AX126" s="55"/>
      <c r="AY126" s="55"/>
      <c r="AZ126" s="55"/>
      <c r="BA126" s="55"/>
      <c r="BB126" s="55"/>
      <c r="BC126" s="55"/>
    </row>
    <row r="127" spans="1:55" ht="15" customHeight="1" x14ac:dyDescent="0.3">
      <c r="A127" s="2233" t="s">
        <v>518</v>
      </c>
      <c r="B127" s="1240" t="str">
        <f>'Q1'!O90</f>
        <v>STANDARD Petrol (average biofuel blend)*</v>
      </c>
      <c r="C127" s="1262">
        <f t="shared" ref="C127:H133" ca="1" si="122">INDEX(INDIRECT(CONCATENATE("'",C$14,"'!$R$90:$R$96"),TRUE),MATCH($B127,INDIRECT(CONCATENATE("'",C$14,"'!$O$90:$O$96"),TRUE),0))</f>
        <v>0</v>
      </c>
      <c r="D127" s="748">
        <f t="shared" ca="1" si="122"/>
        <v>0</v>
      </c>
      <c r="E127" s="749">
        <f t="shared" ca="1" si="122"/>
        <v>0</v>
      </c>
      <c r="F127" s="749">
        <f t="shared" ca="1" si="122"/>
        <v>0</v>
      </c>
      <c r="G127" s="749">
        <f t="shared" ca="1" si="122"/>
        <v>0</v>
      </c>
      <c r="H127" s="749">
        <f t="shared" ca="1" si="122"/>
        <v>0</v>
      </c>
      <c r="I127" s="750">
        <f t="shared" ca="1" si="107"/>
        <v>0</v>
      </c>
      <c r="J127" s="973" t="str">
        <f t="shared" ref="J127:J132" ca="1" si="123">IF(AND(C127&gt;0,SUM(D127:I127)&gt;0),"",IF(AND(C127=0,SUM(C127:I127)=0),"",IF(AND(C127=0,D127&gt;0),"Missing value?",IF(AND(C127=0,I127&gt;0),"Missing value?","New category"))))</f>
        <v/>
      </c>
      <c r="K127" s="751"/>
      <c r="L127" s="1241" t="str">
        <f ca="1">IF(C127&gt;0,'Q1'!E137,"")</f>
        <v/>
      </c>
      <c r="M127" s="753" t="str">
        <f ca="1">IF(L127="","",IF('Q1'!I137=0,"fuel type not stated",'Q1'!I137))</f>
        <v/>
      </c>
      <c r="N127" s="1242"/>
      <c r="O127" s="1024" t="str">
        <f t="shared" ca="1" si="109"/>
        <v/>
      </c>
      <c r="P127" s="808" t="str">
        <f t="shared" ca="1" si="110"/>
        <v/>
      </c>
      <c r="Q127" s="808" t="str">
        <f t="shared" ca="1" si="111"/>
        <v/>
      </c>
      <c r="R127" s="808" t="str">
        <f t="shared" ca="1" si="112"/>
        <v/>
      </c>
      <c r="S127" s="974" t="str">
        <f t="shared" ca="1" si="113"/>
        <v/>
      </c>
      <c r="T127" s="1236" t="str">
        <f t="shared" ref="T127:T132" ca="1" si="124">IF(SUM(C127:I127)=0,"",IF(OR(AND(C127=0,SUM(D127:I127)&gt;0),AND(C127&gt;0,SUM(D127:I127)=0)),1,IF(MAX(IF(O127&lt;0,-O127,O127),IF(P127&lt;0,-P127,P127),IF(Q127&lt;0,-Q127,Q127),IF(R127&lt;0,-R127,R127),IF(S127&lt;0,-S127,S127))=0,"",MAX(IF(O127&lt;0,-O127,O127),IF(P127&lt;0,-P127,P127),IF(Q127&lt;0,-Q127,Q127),IF(R127&lt;0,-R127,R127),IF(S127&lt;0,-S127,S127)))))</f>
        <v/>
      </c>
      <c r="U127" s="766" t="str">
        <f t="shared" ca="1" si="115"/>
        <v/>
      </c>
      <c r="V127" s="1349">
        <f t="shared" ref="V127:X133" ca="1" si="125">INDEX(INDIRECT(CONCATENATE("'",V$14,"'!$T$90:$T$96"),TRUE),MATCH($B127,INDIRECT(CONCATENATE("'",V$14,"'!$O$90:$O$96"),TRUE),0))</f>
        <v>0</v>
      </c>
      <c r="W127" s="1349">
        <f t="shared" ca="1" si="125"/>
        <v>0</v>
      </c>
      <c r="X127" s="1349">
        <f t="shared" ca="1" si="125"/>
        <v>0</v>
      </c>
      <c r="Y127" s="1237" t="str">
        <f t="shared" ca="1" si="117"/>
        <v/>
      </c>
      <c r="Z127" s="766" t="str">
        <f t="shared" ca="1" si="118"/>
        <v/>
      </c>
      <c r="AA127" s="801"/>
      <c r="AB127" s="804" t="str">
        <f t="shared" ca="1" si="119"/>
        <v/>
      </c>
      <c r="AC127" s="55"/>
      <c r="AD127" s="1185"/>
      <c r="AE127" s="1185"/>
      <c r="AF127" s="1185"/>
      <c r="AG127" s="1185"/>
      <c r="AH127" s="1185"/>
      <c r="AI127" s="1185"/>
      <c r="AJ127" s="1185"/>
      <c r="AK127" s="1185"/>
      <c r="AL127" s="1185"/>
      <c r="AM127" s="1185"/>
      <c r="AN127" s="1185"/>
      <c r="AO127" s="1185"/>
      <c r="AP127" s="1185"/>
      <c r="AQ127" s="1185"/>
      <c r="AR127" s="1185"/>
      <c r="AS127" s="1185"/>
      <c r="AT127" s="1185"/>
      <c r="AU127" s="1185"/>
      <c r="AV127" s="1185"/>
      <c r="AW127" s="1185"/>
      <c r="AX127" s="1185"/>
      <c r="AY127" s="1185"/>
      <c r="AZ127" s="1185"/>
      <c r="BA127" s="1185"/>
      <c r="BB127" s="1185"/>
      <c r="BC127" s="1185"/>
    </row>
    <row r="128" spans="1:55" ht="14.4" x14ac:dyDescent="0.3">
      <c r="A128" s="2233"/>
      <c r="B128" s="908" t="str">
        <f>'Q1'!O91</f>
        <v>Petrol (100% mineral petrol)</v>
      </c>
      <c r="C128" s="1183">
        <f t="shared" ca="1" si="122"/>
        <v>0</v>
      </c>
      <c r="D128" s="768">
        <f t="shared" ca="1" si="122"/>
        <v>0</v>
      </c>
      <c r="E128" s="769">
        <f t="shared" ca="1" si="122"/>
        <v>0</v>
      </c>
      <c r="F128" s="769">
        <f t="shared" ca="1" si="122"/>
        <v>0</v>
      </c>
      <c r="G128" s="769">
        <f t="shared" ca="1" si="122"/>
        <v>0</v>
      </c>
      <c r="H128" s="769">
        <f t="shared" ca="1" si="122"/>
        <v>0</v>
      </c>
      <c r="I128" s="770">
        <f t="shared" ca="1" si="107"/>
        <v>0</v>
      </c>
      <c r="J128" s="771" t="str">
        <f t="shared" ca="1" si="123"/>
        <v/>
      </c>
      <c r="K128" s="772"/>
      <c r="L128" s="909" t="str">
        <f ca="1">IF(C128&gt;0,'Q1'!E138,"")</f>
        <v/>
      </c>
      <c r="M128" s="774" t="str">
        <f ca="1">IF(L128="","",IF('Q1'!I138=0,"fuel type not stated",'Q1'!I138))</f>
        <v/>
      </c>
      <c r="N128" s="910"/>
      <c r="O128" s="810" t="str">
        <f t="shared" ca="1" si="109"/>
        <v/>
      </c>
      <c r="P128" s="783" t="str">
        <f t="shared" ca="1" si="110"/>
        <v/>
      </c>
      <c r="Q128" s="783" t="str">
        <f t="shared" ca="1" si="111"/>
        <v/>
      </c>
      <c r="R128" s="783" t="str">
        <f t="shared" ca="1" si="112"/>
        <v/>
      </c>
      <c r="S128" s="811" t="str">
        <f t="shared" ca="1" si="113"/>
        <v/>
      </c>
      <c r="T128" s="1066" t="str">
        <f t="shared" ca="1" si="124"/>
        <v/>
      </c>
      <c r="U128" s="1165" t="str">
        <f t="shared" ca="1" si="115"/>
        <v/>
      </c>
      <c r="V128" s="1350">
        <f t="shared" ca="1" si="125"/>
        <v>0</v>
      </c>
      <c r="W128" s="1350">
        <f t="shared" ca="1" si="125"/>
        <v>0</v>
      </c>
      <c r="X128" s="1350">
        <f t="shared" ca="1" si="125"/>
        <v>0</v>
      </c>
      <c r="Y128" s="1067" t="str">
        <f t="shared" ca="1" si="117"/>
        <v/>
      </c>
      <c r="Z128" s="1165" t="str">
        <f t="shared" ca="1" si="118"/>
        <v/>
      </c>
      <c r="AA128" s="772"/>
      <c r="AB128" s="804" t="str">
        <f t="shared" ca="1" si="119"/>
        <v/>
      </c>
      <c r="AC128" s="919"/>
      <c r="AD128" s="1188"/>
      <c r="AE128" s="922"/>
      <c r="AF128" s="922"/>
      <c r="AG128" s="922"/>
      <c r="AH128" s="50"/>
      <c r="AI128" s="50"/>
      <c r="AJ128" s="105"/>
      <c r="AK128" s="50"/>
      <c r="AL128" s="921"/>
      <c r="AM128" s="1187"/>
      <c r="AN128" s="1187"/>
      <c r="AO128" s="1188"/>
      <c r="AP128" s="1188"/>
      <c r="AQ128" s="1188"/>
      <c r="AR128" s="1188"/>
      <c r="AS128" s="1188"/>
      <c r="AT128" s="1188"/>
      <c r="AU128" s="1188"/>
      <c r="AV128" s="1188"/>
      <c r="AW128" s="1188"/>
      <c r="AX128" s="1188"/>
      <c r="AY128" s="1188"/>
      <c r="AZ128" s="1188"/>
      <c r="BA128" s="1188"/>
      <c r="BB128" s="1188"/>
      <c r="BC128" s="1188"/>
    </row>
    <row r="129" spans="1:55" ht="14.4" x14ac:dyDescent="0.3">
      <c r="A129" s="2233"/>
      <c r="B129" s="908" t="str">
        <f>'Q1'!O92</f>
        <v>STANDARD Diesel (average biofuel blend)*</v>
      </c>
      <c r="C129" s="1183">
        <f t="shared" ca="1" si="122"/>
        <v>0</v>
      </c>
      <c r="D129" s="768">
        <f t="shared" ca="1" si="122"/>
        <v>0</v>
      </c>
      <c r="E129" s="769">
        <f t="shared" ca="1" si="122"/>
        <v>0</v>
      </c>
      <c r="F129" s="769">
        <f t="shared" ca="1" si="122"/>
        <v>0</v>
      </c>
      <c r="G129" s="769">
        <f t="shared" ca="1" si="122"/>
        <v>0</v>
      </c>
      <c r="H129" s="769">
        <f t="shared" ca="1" si="122"/>
        <v>0</v>
      </c>
      <c r="I129" s="770">
        <f t="shared" ca="1" si="107"/>
        <v>0</v>
      </c>
      <c r="J129" s="771" t="str">
        <f t="shared" ca="1" si="123"/>
        <v/>
      </c>
      <c r="K129" s="772"/>
      <c r="L129" s="909" t="str">
        <f ca="1">IF(C129&gt;0,'Q1'!E139,"")</f>
        <v/>
      </c>
      <c r="M129" s="774" t="str">
        <f ca="1">IF(L129="","",IF('Q1'!I139=0,"fuel type not stated",'Q1'!I139))</f>
        <v/>
      </c>
      <c r="N129" s="910"/>
      <c r="O129" s="810" t="str">
        <f t="shared" ca="1" si="109"/>
        <v/>
      </c>
      <c r="P129" s="783" t="str">
        <f t="shared" ca="1" si="110"/>
        <v/>
      </c>
      <c r="Q129" s="783" t="str">
        <f t="shared" ca="1" si="111"/>
        <v/>
      </c>
      <c r="R129" s="783" t="str">
        <f t="shared" ca="1" si="112"/>
        <v/>
      </c>
      <c r="S129" s="811" t="str">
        <f t="shared" ca="1" si="113"/>
        <v/>
      </c>
      <c r="T129" s="1066" t="str">
        <f t="shared" ca="1" si="124"/>
        <v/>
      </c>
      <c r="U129" s="1165" t="str">
        <f t="shared" ca="1" si="115"/>
        <v/>
      </c>
      <c r="V129" s="1350">
        <f t="shared" ca="1" si="125"/>
        <v>0</v>
      </c>
      <c r="W129" s="1350">
        <f t="shared" ca="1" si="125"/>
        <v>0</v>
      </c>
      <c r="X129" s="1350">
        <f t="shared" ca="1" si="125"/>
        <v>0</v>
      </c>
      <c r="Y129" s="1067" t="str">
        <f t="shared" ca="1" si="117"/>
        <v/>
      </c>
      <c r="Z129" s="1165" t="str">
        <f t="shared" ca="1" si="118"/>
        <v/>
      </c>
      <c r="AA129" s="772"/>
      <c r="AB129" s="804" t="str">
        <f t="shared" ca="1" si="119"/>
        <v/>
      </c>
      <c r="AC129" s="55"/>
      <c r="AD129" s="1185"/>
      <c r="AE129" s="1185"/>
      <c r="AF129" s="1185"/>
      <c r="AG129" s="1185"/>
      <c r="AH129" s="99"/>
      <c r="AI129" s="99"/>
      <c r="AJ129" s="107"/>
      <c r="AK129" s="108"/>
      <c r="AL129" s="108"/>
      <c r="AM129" s="108"/>
      <c r="AN129" s="109"/>
      <c r="AO129" s="109"/>
      <c r="AP129" s="109"/>
      <c r="AQ129" s="109"/>
      <c r="AR129" s="109"/>
      <c r="AS129" s="109"/>
      <c r="AT129" s="109"/>
      <c r="AU129" s="109"/>
      <c r="AV129" s="109"/>
      <c r="AW129" s="109"/>
      <c r="AX129" s="109"/>
      <c r="AY129" s="109"/>
      <c r="AZ129" s="109"/>
      <c r="BA129" s="109"/>
      <c r="BB129" s="109"/>
      <c r="BC129" s="109"/>
    </row>
    <row r="130" spans="1:55" ht="14.4" x14ac:dyDescent="0.3">
      <c r="A130" s="2233"/>
      <c r="B130" s="908" t="str">
        <f>'Q1'!O93</f>
        <v>Diesel (100% mineral diesel)</v>
      </c>
      <c r="C130" s="1183">
        <f t="shared" ca="1" si="122"/>
        <v>0</v>
      </c>
      <c r="D130" s="768">
        <f t="shared" ca="1" si="122"/>
        <v>0</v>
      </c>
      <c r="E130" s="769">
        <f t="shared" ca="1" si="122"/>
        <v>0</v>
      </c>
      <c r="F130" s="769">
        <f t="shared" ca="1" si="122"/>
        <v>0</v>
      </c>
      <c r="G130" s="769">
        <f t="shared" ca="1" si="122"/>
        <v>0</v>
      </c>
      <c r="H130" s="769">
        <f t="shared" ca="1" si="122"/>
        <v>0</v>
      </c>
      <c r="I130" s="770">
        <f t="shared" ca="1" si="107"/>
        <v>0</v>
      </c>
      <c r="J130" s="771" t="str">
        <f t="shared" ca="1" si="123"/>
        <v/>
      </c>
      <c r="K130" s="772"/>
      <c r="L130" s="909" t="str">
        <f ca="1">IF(C130&gt;0,'Q1'!E140,"")</f>
        <v/>
      </c>
      <c r="M130" s="774" t="str">
        <f ca="1">IF(L130="","",IF('Q1'!I140=0,"fuel type not stated",'Q1'!I140))</f>
        <v/>
      </c>
      <c r="N130" s="910"/>
      <c r="O130" s="810" t="str">
        <f t="shared" ca="1" si="109"/>
        <v/>
      </c>
      <c r="P130" s="783" t="str">
        <f t="shared" ca="1" si="110"/>
        <v/>
      </c>
      <c r="Q130" s="783" t="str">
        <f t="shared" ca="1" si="111"/>
        <v/>
      </c>
      <c r="R130" s="783" t="str">
        <f t="shared" ca="1" si="112"/>
        <v/>
      </c>
      <c r="S130" s="811" t="str">
        <f t="shared" ca="1" si="113"/>
        <v/>
      </c>
      <c r="T130" s="1066" t="str">
        <f t="shared" ca="1" si="124"/>
        <v/>
      </c>
      <c r="U130" s="1165" t="str">
        <f t="shared" ca="1" si="115"/>
        <v/>
      </c>
      <c r="V130" s="1350">
        <f t="shared" ca="1" si="125"/>
        <v>0</v>
      </c>
      <c r="W130" s="1350">
        <f t="shared" ca="1" si="125"/>
        <v>0</v>
      </c>
      <c r="X130" s="1350">
        <f t="shared" ca="1" si="125"/>
        <v>0</v>
      </c>
      <c r="Y130" s="1067" t="str">
        <f t="shared" ca="1" si="117"/>
        <v/>
      </c>
      <c r="Z130" s="1165" t="str">
        <f t="shared" ca="1" si="118"/>
        <v/>
      </c>
      <c r="AA130" s="772"/>
      <c r="AB130" s="804" t="str">
        <f t="shared" ca="1" si="119"/>
        <v/>
      </c>
      <c r="AC130" s="919"/>
      <c r="AD130" s="1188"/>
      <c r="AE130" s="1188"/>
      <c r="AF130" s="1188"/>
      <c r="AG130" s="1188"/>
      <c r="AH130" s="1188"/>
      <c r="AI130" s="1188"/>
      <c r="AJ130" s="1189"/>
      <c r="AK130" s="1188"/>
      <c r="AL130" s="1187"/>
      <c r="AM130" s="1187"/>
      <c r="AN130" s="1187"/>
      <c r="AO130" s="1188"/>
      <c r="AP130" s="1188"/>
      <c r="AQ130" s="1188"/>
      <c r="AR130" s="1188"/>
      <c r="AS130" s="1188"/>
      <c r="AT130" s="1188"/>
      <c r="AU130" s="1188"/>
      <c r="AV130" s="1188"/>
      <c r="AW130" s="1188"/>
      <c r="AX130" s="1188"/>
      <c r="AY130" s="1188"/>
      <c r="AZ130" s="1188"/>
      <c r="BA130" s="1188"/>
      <c r="BB130" s="1188"/>
      <c r="BC130" s="1188"/>
    </row>
    <row r="131" spans="1:55" ht="12.75" customHeight="1" x14ac:dyDescent="0.3">
      <c r="A131" s="2233"/>
      <c r="B131" s="908" t="str">
        <f>'Q1'!O94</f>
        <v>Compressed Natural Gas (CNG)</v>
      </c>
      <c r="C131" s="1183">
        <f t="shared" ca="1" si="122"/>
        <v>0</v>
      </c>
      <c r="D131" s="768">
        <f t="shared" ca="1" si="122"/>
        <v>0</v>
      </c>
      <c r="E131" s="769">
        <f t="shared" ca="1" si="122"/>
        <v>0</v>
      </c>
      <c r="F131" s="769">
        <f t="shared" ca="1" si="122"/>
        <v>0</v>
      </c>
      <c r="G131" s="769">
        <f t="shared" ca="1" si="122"/>
        <v>0</v>
      </c>
      <c r="H131" s="769">
        <f t="shared" ca="1" si="122"/>
        <v>0</v>
      </c>
      <c r="I131" s="770">
        <f t="shared" ca="1" si="107"/>
        <v>0</v>
      </c>
      <c r="J131" s="771" t="str">
        <f t="shared" ca="1" si="123"/>
        <v/>
      </c>
      <c r="K131" s="772"/>
      <c r="L131" s="909" t="str">
        <f ca="1">IF(C131&gt;0,'Q1'!E141,"")</f>
        <v/>
      </c>
      <c r="M131" s="774" t="str">
        <f ca="1">IF(L131="","",IF('Q1'!I141=0,"fuel type not stated",'Q1'!I141))</f>
        <v/>
      </c>
      <c r="N131" s="910"/>
      <c r="O131" s="810" t="str">
        <f t="shared" ca="1" si="109"/>
        <v/>
      </c>
      <c r="P131" s="783" t="str">
        <f t="shared" ca="1" si="110"/>
        <v/>
      </c>
      <c r="Q131" s="783" t="str">
        <f t="shared" ca="1" si="111"/>
        <v/>
      </c>
      <c r="R131" s="783" t="str">
        <f t="shared" ca="1" si="112"/>
        <v/>
      </c>
      <c r="S131" s="811" t="str">
        <f t="shared" ca="1" si="113"/>
        <v/>
      </c>
      <c r="T131" s="1066" t="str">
        <f t="shared" ca="1" si="124"/>
        <v/>
      </c>
      <c r="U131" s="1165" t="str">
        <f t="shared" ca="1" si="115"/>
        <v/>
      </c>
      <c r="V131" s="1350">
        <f t="shared" ca="1" si="125"/>
        <v>0</v>
      </c>
      <c r="W131" s="1350">
        <f t="shared" ca="1" si="125"/>
        <v>0</v>
      </c>
      <c r="X131" s="1350">
        <f t="shared" ca="1" si="125"/>
        <v>0</v>
      </c>
      <c r="Y131" s="1067" t="str">
        <f t="shared" ca="1" si="117"/>
        <v/>
      </c>
      <c r="Z131" s="1165" t="str">
        <f t="shared" ca="1" si="118"/>
        <v/>
      </c>
      <c r="AA131" s="772"/>
      <c r="AB131" s="804" t="str">
        <f t="shared" ca="1" si="119"/>
        <v/>
      </c>
      <c r="AC131" s="1164"/>
      <c r="AD131" s="1190"/>
      <c r="AE131" s="1190"/>
      <c r="AF131" s="1190"/>
      <c r="AG131" s="1190"/>
      <c r="AH131" s="1190"/>
      <c r="AI131" s="1190"/>
      <c r="AJ131" s="1191"/>
      <c r="AK131" s="1190"/>
      <c r="AL131" s="1182"/>
      <c r="AM131" s="1182"/>
      <c r="AN131" s="1182"/>
      <c r="AO131" s="1190"/>
      <c r="AP131" s="1190"/>
      <c r="AQ131" s="1190"/>
      <c r="AR131" s="1190"/>
      <c r="AS131" s="1190"/>
      <c r="AT131" s="1190"/>
      <c r="AU131" s="2227"/>
      <c r="AV131" s="2227"/>
      <c r="AW131" s="1164"/>
      <c r="AX131" s="1164"/>
      <c r="AY131" s="1164"/>
      <c r="AZ131" s="710"/>
      <c r="BA131" s="711"/>
      <c r="BB131" s="50"/>
      <c r="BC131" s="1190"/>
    </row>
    <row r="132" spans="1:55" ht="14.4" x14ac:dyDescent="0.3">
      <c r="A132" s="2233"/>
      <c r="B132" s="908" t="str">
        <f>'Q1'!O95</f>
        <v>Liquid Petroleum Gas (LPG)</v>
      </c>
      <c r="C132" s="1183">
        <f t="shared" ca="1" si="122"/>
        <v>0</v>
      </c>
      <c r="D132" s="768">
        <f t="shared" ca="1" si="122"/>
        <v>0</v>
      </c>
      <c r="E132" s="769">
        <f t="shared" ca="1" si="122"/>
        <v>0</v>
      </c>
      <c r="F132" s="769">
        <f t="shared" ca="1" si="122"/>
        <v>0</v>
      </c>
      <c r="G132" s="769">
        <f t="shared" ca="1" si="122"/>
        <v>0</v>
      </c>
      <c r="H132" s="769">
        <f t="shared" ca="1" si="122"/>
        <v>0</v>
      </c>
      <c r="I132" s="770">
        <f t="shared" ca="1" si="107"/>
        <v>0</v>
      </c>
      <c r="J132" s="771" t="str">
        <f t="shared" ca="1" si="123"/>
        <v/>
      </c>
      <c r="K132" s="772"/>
      <c r="L132" s="909" t="str">
        <f ca="1">IF(C132&gt;0,'Q1'!E142,"")</f>
        <v/>
      </c>
      <c r="M132" s="774" t="str">
        <f ca="1">IF(L132="","",IF('Q1'!I142=0,"fuel type not stated",'Q1'!I142))</f>
        <v/>
      </c>
      <c r="N132" s="910"/>
      <c r="O132" s="810" t="str">
        <f t="shared" ca="1" si="109"/>
        <v/>
      </c>
      <c r="P132" s="783" t="str">
        <f t="shared" ca="1" si="110"/>
        <v/>
      </c>
      <c r="Q132" s="783" t="str">
        <f t="shared" ca="1" si="111"/>
        <v/>
      </c>
      <c r="R132" s="783" t="str">
        <f t="shared" ca="1" si="112"/>
        <v/>
      </c>
      <c r="S132" s="811" t="str">
        <f t="shared" ca="1" si="113"/>
        <v/>
      </c>
      <c r="T132" s="1066" t="str">
        <f t="shared" ca="1" si="124"/>
        <v/>
      </c>
      <c r="U132" s="1165" t="str">
        <f t="shared" ca="1" si="115"/>
        <v/>
      </c>
      <c r="V132" s="1350">
        <f t="shared" ca="1" si="125"/>
        <v>0</v>
      </c>
      <c r="W132" s="1350">
        <f t="shared" ca="1" si="125"/>
        <v>0</v>
      </c>
      <c r="X132" s="1350">
        <f t="shared" ca="1" si="125"/>
        <v>0</v>
      </c>
      <c r="Y132" s="1067" t="str">
        <f t="shared" ca="1" si="117"/>
        <v/>
      </c>
      <c r="Z132" s="1165" t="str">
        <f t="shared" ca="1" si="118"/>
        <v/>
      </c>
      <c r="AA132" s="772"/>
      <c r="AB132" s="804" t="str">
        <f t="shared" ca="1" si="119"/>
        <v/>
      </c>
      <c r="AC132" s="917"/>
      <c r="AD132" s="917"/>
      <c r="AE132" s="917"/>
      <c r="AF132" s="917"/>
      <c r="AG132" s="917"/>
      <c r="AH132" s="917"/>
      <c r="AI132" s="917"/>
      <c r="AJ132" s="917"/>
      <c r="AK132" s="917"/>
      <c r="AL132" s="917"/>
      <c r="AM132" s="917"/>
      <c r="AN132" s="917"/>
      <c r="AO132" s="917"/>
      <c r="AP132" s="917"/>
      <c r="AQ132" s="917"/>
      <c r="AR132" s="917"/>
      <c r="AS132" s="917"/>
      <c r="AT132" s="917"/>
      <c r="AU132" s="2227"/>
      <c r="AV132" s="2227"/>
      <c r="AW132" s="1164"/>
      <c r="AX132" s="1164"/>
      <c r="AY132" s="1164"/>
      <c r="AZ132" s="710"/>
      <c r="BA132" s="711"/>
      <c r="BB132" s="50"/>
      <c r="BC132" s="917"/>
    </row>
    <row r="133" spans="1:55" thickBot="1" x14ac:dyDescent="0.35">
      <c r="A133" s="2234"/>
      <c r="B133" s="911" t="str">
        <f>'Q1'!O96</f>
        <v>Other (enter CO2 factor and specify fuel in "Notes")</v>
      </c>
      <c r="C133" s="1184">
        <f t="shared" ca="1" si="122"/>
        <v>0</v>
      </c>
      <c r="D133" s="786">
        <f t="shared" ca="1" si="122"/>
        <v>0</v>
      </c>
      <c r="E133" s="787">
        <f t="shared" ca="1" si="122"/>
        <v>0</v>
      </c>
      <c r="F133" s="787">
        <f t="shared" ca="1" si="122"/>
        <v>0</v>
      </c>
      <c r="G133" s="787">
        <f t="shared" ca="1" si="122"/>
        <v>0</v>
      </c>
      <c r="H133" s="787">
        <f t="shared" ca="1" si="122"/>
        <v>0</v>
      </c>
      <c r="I133" s="788">
        <f t="shared" ca="1" si="107"/>
        <v>0</v>
      </c>
      <c r="J133" s="812" t="str">
        <f t="shared" ref="J133" ca="1" si="126">IF(AND(C133&gt;0,SUM(D133:I133)&gt;0),"",IF(AND(C133=0,SUM(C133:I133)=0),"",IF(AND(C133=0,D133&gt;0),"Missing value?",IF(AND(C133=0,I133&gt;0),"Missing value?","New category"))))</f>
        <v/>
      </c>
      <c r="K133" s="790"/>
      <c r="L133" s="912" t="str">
        <f ca="1">IF(C133&gt;0,'Q1'!E143,"")</f>
        <v/>
      </c>
      <c r="M133" s="913" t="str">
        <f ca="1">IF(L133="","",IF('Q1'!I143=0,"fuel type not stated",'Q1'!I143))</f>
        <v/>
      </c>
      <c r="N133" s="914"/>
      <c r="O133" s="813" t="str">
        <f t="shared" ca="1" si="109"/>
        <v/>
      </c>
      <c r="P133" s="1072" t="str">
        <f t="shared" ca="1" si="110"/>
        <v/>
      </c>
      <c r="Q133" s="1072" t="str">
        <f t="shared" ca="1" si="111"/>
        <v/>
      </c>
      <c r="R133" s="1072" t="str">
        <f t="shared" ca="1" si="112"/>
        <v/>
      </c>
      <c r="S133" s="1075" t="str">
        <f t="shared" ca="1" si="113"/>
        <v/>
      </c>
      <c r="T133" s="1238" t="str">
        <f t="shared" ref="T133" ca="1" si="127">IF(SUM(C133:I133)=0,"",IF(OR(AND(C133=0,SUM(D133:I133)&gt;0),AND(C133&gt;0,SUM(D133:I133)=0)),1,IF(MAX(IF(O133&lt;0,-O133,O133),IF(P133&lt;0,-P133,P133),IF(Q133&lt;0,-Q133,Q133),IF(R133&lt;0,-R133,R133),IF(S133&lt;0,-S133,S133))=0,"",MAX(IF(O133&lt;0,-O133,O133),IF(P133&lt;0,-P133,P133),IF(Q133&lt;0,-Q133,Q133),IF(R133&lt;0,-R133,R133),IF(S133&lt;0,-S133,S133)))))</f>
        <v/>
      </c>
      <c r="U133" s="1163" t="str">
        <f t="shared" ca="1" si="115"/>
        <v/>
      </c>
      <c r="V133" s="1351">
        <f t="shared" ca="1" si="125"/>
        <v>0</v>
      </c>
      <c r="W133" s="1351">
        <f t="shared" ca="1" si="125"/>
        <v>0</v>
      </c>
      <c r="X133" s="1351">
        <f t="shared" ca="1" si="125"/>
        <v>0</v>
      </c>
      <c r="Y133" s="1239" t="str">
        <f t="shared" ca="1" si="117"/>
        <v/>
      </c>
      <c r="Z133" s="1163" t="str">
        <f t="shared" ca="1" si="118"/>
        <v/>
      </c>
      <c r="AA133" s="790"/>
      <c r="AB133" s="915" t="str">
        <f t="shared" ca="1" si="119"/>
        <v/>
      </c>
      <c r="AC133" s="55"/>
      <c r="AD133" s="193"/>
      <c r="AE133" s="193"/>
      <c r="AF133" s="193"/>
      <c r="AG133" s="193"/>
      <c r="AH133" s="193"/>
      <c r="AI133" s="193"/>
      <c r="AJ133" s="918"/>
      <c r="AK133" s="900"/>
      <c r="AL133" s="900"/>
      <c r="AM133" s="900"/>
      <c r="AN133" s="900"/>
      <c r="AO133" s="900"/>
      <c r="AP133" s="900"/>
      <c r="AQ133" s="900"/>
      <c r="AR133" s="900"/>
      <c r="AS133" s="900"/>
      <c r="AT133" s="900"/>
      <c r="AU133" s="2227"/>
      <c r="AV133" s="2227"/>
      <c r="AW133" s="1164"/>
      <c r="AX133" s="1164"/>
      <c r="AY133" s="1164"/>
      <c r="AZ133" s="710"/>
      <c r="BA133" s="711"/>
      <c r="BB133" s="50"/>
      <c r="BC133" s="900"/>
    </row>
    <row r="134" spans="1:55" ht="14.4" x14ac:dyDescent="0.3">
      <c r="A134" s="55"/>
      <c r="B134" s="55"/>
      <c r="C134" s="920"/>
      <c r="D134" s="920"/>
      <c r="E134" s="920"/>
      <c r="F134" s="920"/>
      <c r="G134" s="920"/>
      <c r="H134" s="920"/>
      <c r="I134" s="920"/>
      <c r="J134" s="1185"/>
      <c r="K134" s="1185"/>
      <c r="L134" s="1185"/>
      <c r="M134" s="1186"/>
      <c r="N134" s="55"/>
      <c r="O134" s="1185"/>
      <c r="P134" s="1185"/>
      <c r="Q134" s="1185"/>
      <c r="R134" s="1185"/>
      <c r="S134" s="1185"/>
      <c r="T134" s="1185"/>
      <c r="U134" s="1185"/>
      <c r="V134" s="1185"/>
      <c r="W134" s="1185"/>
      <c r="X134" s="1185"/>
      <c r="Y134" s="1185"/>
      <c r="Z134" s="1185"/>
      <c r="AA134" s="1185"/>
      <c r="AB134" s="1185"/>
      <c r="AC134" s="55"/>
      <c r="AD134" s="1185"/>
      <c r="AE134" s="1185"/>
      <c r="AF134" s="1185"/>
      <c r="AG134" s="1185"/>
      <c r="AH134" s="1185"/>
      <c r="AI134" s="1185"/>
      <c r="AJ134" s="1185"/>
      <c r="AK134" s="1185"/>
      <c r="AL134" s="1185"/>
      <c r="AM134" s="1185"/>
      <c r="AN134" s="1185"/>
      <c r="AO134" s="1185"/>
      <c r="AP134" s="1185"/>
      <c r="AQ134" s="1185"/>
      <c r="AR134" s="1185"/>
      <c r="AS134" s="1185"/>
      <c r="AT134" s="1185"/>
      <c r="AU134" s="1185"/>
      <c r="AV134" s="1185"/>
      <c r="AW134" s="1185"/>
      <c r="AX134" s="1185"/>
      <c r="AY134" s="1185"/>
      <c r="AZ134" s="1185"/>
      <c r="BA134" s="1185"/>
      <c r="BB134" s="1185"/>
      <c r="BC134" s="1185"/>
    </row>
    <row r="135" spans="1:55" ht="14.4" x14ac:dyDescent="0.3">
      <c r="A135" s="923" t="s">
        <v>143</v>
      </c>
      <c r="B135" s="87"/>
      <c r="C135" s="924"/>
      <c r="D135" s="924"/>
      <c r="E135" s="924"/>
      <c r="F135" s="924"/>
      <c r="G135" s="924"/>
      <c r="H135" s="924"/>
      <c r="I135" s="819" t="s">
        <v>23</v>
      </c>
      <c r="J135" s="819" t="s">
        <v>23</v>
      </c>
      <c r="K135" s="819" t="s">
        <v>23</v>
      </c>
      <c r="L135" s="819" t="s">
        <v>23</v>
      </c>
      <c r="M135" s="819" t="s">
        <v>23</v>
      </c>
      <c r="N135" s="819" t="s">
        <v>23</v>
      </c>
      <c r="O135" s="819" t="s">
        <v>23</v>
      </c>
      <c r="P135" s="819" t="s">
        <v>23</v>
      </c>
      <c r="Q135" s="819" t="s">
        <v>23</v>
      </c>
      <c r="R135" s="819" t="s">
        <v>23</v>
      </c>
      <c r="S135" s="819" t="s">
        <v>23</v>
      </c>
      <c r="T135" s="819" t="s">
        <v>23</v>
      </c>
      <c r="U135" s="819"/>
      <c r="V135" s="819"/>
      <c r="W135" s="819"/>
      <c r="X135" s="819"/>
      <c r="Y135" s="819" t="s">
        <v>23</v>
      </c>
      <c r="Z135" s="819" t="s">
        <v>23</v>
      </c>
      <c r="AA135" s="819" t="s">
        <v>23</v>
      </c>
      <c r="AB135" s="819" t="s">
        <v>23</v>
      </c>
      <c r="AC135" s="1076" t="s">
        <v>144</v>
      </c>
      <c r="AD135" s="1076" t="s">
        <v>144</v>
      </c>
      <c r="AE135" s="1076" t="s">
        <v>144</v>
      </c>
      <c r="AF135" s="1076" t="s">
        <v>144</v>
      </c>
      <c r="AG135" s="1076" t="s">
        <v>144</v>
      </c>
      <c r="AH135" s="1076" t="s">
        <v>144</v>
      </c>
      <c r="AI135" s="1076"/>
      <c r="AJ135" s="1076" t="s">
        <v>144</v>
      </c>
      <c r="AK135" s="1076" t="s">
        <v>144</v>
      </c>
      <c r="AL135" s="1076" t="s">
        <v>144</v>
      </c>
      <c r="AM135" s="1076" t="s">
        <v>144</v>
      </c>
      <c r="AN135" s="1076" t="s">
        <v>144</v>
      </c>
      <c r="AO135" s="1076" t="s">
        <v>144</v>
      </c>
      <c r="AP135" s="1076" t="s">
        <v>144</v>
      </c>
      <c r="AQ135" s="1076" t="s">
        <v>144</v>
      </c>
      <c r="AR135" s="1076" t="s">
        <v>144</v>
      </c>
      <c r="AS135" s="1076" t="s">
        <v>144</v>
      </c>
      <c r="AT135" s="1076" t="s">
        <v>144</v>
      </c>
      <c r="AU135" s="1076" t="s">
        <v>144</v>
      </c>
      <c r="AV135" s="1076"/>
      <c r="AW135" s="1076"/>
      <c r="AX135" s="1076"/>
      <c r="AY135" s="1076"/>
      <c r="AZ135" s="1076" t="s">
        <v>144</v>
      </c>
      <c r="BA135" s="1076" t="s">
        <v>144</v>
      </c>
      <c r="BB135" s="1076" t="s">
        <v>144</v>
      </c>
      <c r="BC135" s="1076" t="s">
        <v>144</v>
      </c>
    </row>
    <row r="136" spans="1:55" ht="14.4" x14ac:dyDescent="0.3">
      <c r="A136" s="1170"/>
      <c r="B136" s="55"/>
      <c r="C136" s="820"/>
      <c r="D136" s="820"/>
      <c r="E136" s="820"/>
      <c r="F136" s="820"/>
      <c r="G136" s="820"/>
      <c r="H136" s="820"/>
      <c r="I136" s="820"/>
      <c r="J136" s="99"/>
      <c r="K136" s="99"/>
      <c r="L136" s="104"/>
      <c r="M136" s="916"/>
      <c r="N136" s="1170"/>
      <c r="O136" s="99"/>
      <c r="P136" s="99"/>
      <c r="Q136" s="99"/>
      <c r="R136" s="110"/>
      <c r="S136" s="104"/>
      <c r="T136" s="104"/>
      <c r="U136" s="104"/>
      <c r="V136" s="104"/>
      <c r="W136" s="104"/>
      <c r="X136" s="104"/>
      <c r="Y136" s="104"/>
      <c r="Z136" s="104"/>
      <c r="AA136" s="104"/>
      <c r="AB136" s="104"/>
      <c r="AC136" s="55"/>
      <c r="AD136" s="55"/>
      <c r="AE136" s="55"/>
      <c r="AF136" s="55"/>
      <c r="AG136" s="55"/>
      <c r="AH136" s="55"/>
      <c r="AI136" s="55"/>
      <c r="AJ136" s="98"/>
      <c r="AK136" s="55"/>
      <c r="AL136" s="99"/>
      <c r="AM136" s="110"/>
      <c r="AN136" s="104"/>
      <c r="AO136" s="55"/>
      <c r="AP136" s="55"/>
      <c r="AQ136" s="55"/>
      <c r="AR136" s="55"/>
      <c r="AS136" s="55"/>
      <c r="AT136" s="55"/>
      <c r="AU136" s="55"/>
      <c r="AV136" s="55"/>
      <c r="AW136" s="55"/>
      <c r="AX136" s="55"/>
      <c r="AY136" s="55"/>
      <c r="AZ136" s="55"/>
      <c r="BA136" s="55"/>
      <c r="BB136" s="55"/>
      <c r="BC136" s="55"/>
    </row>
    <row r="137" spans="1:55" thickBot="1" x14ac:dyDescent="0.35">
      <c r="A137" s="55"/>
      <c r="B137" s="55"/>
      <c r="C137" s="820"/>
      <c r="D137" s="820"/>
      <c r="E137" s="820"/>
      <c r="F137" s="820"/>
      <c r="G137" s="820"/>
      <c r="H137" s="820"/>
      <c r="I137" s="820"/>
      <c r="J137" s="99"/>
      <c r="K137" s="99"/>
      <c r="L137" s="99"/>
      <c r="M137" s="667"/>
      <c r="N137" s="55"/>
      <c r="O137" s="99"/>
      <c r="P137" s="99"/>
      <c r="Q137" s="99"/>
      <c r="R137" s="99"/>
      <c r="S137" s="99"/>
      <c r="T137" s="99"/>
      <c r="U137" s="99"/>
      <c r="V137" s="99"/>
      <c r="W137" s="99"/>
      <c r="X137" s="99"/>
      <c r="Y137" s="99"/>
      <c r="Z137" s="99"/>
      <c r="AA137" s="99"/>
      <c r="AB137" s="99"/>
      <c r="AC137" s="55"/>
      <c r="AD137" s="55"/>
      <c r="AE137" s="55"/>
      <c r="AF137" s="55"/>
      <c r="AG137" s="55"/>
      <c r="AH137" s="55"/>
      <c r="AI137" s="55"/>
      <c r="AJ137" s="55"/>
      <c r="AK137" s="55"/>
      <c r="AL137" s="55"/>
      <c r="AM137" s="55"/>
      <c r="AN137" s="55"/>
      <c r="AO137" s="55"/>
      <c r="AP137" s="55"/>
      <c r="AQ137" s="55"/>
      <c r="AR137" s="55"/>
      <c r="AS137" s="55"/>
      <c r="AT137" s="55"/>
      <c r="AU137" s="55"/>
      <c r="AV137" s="55"/>
      <c r="AW137" s="55"/>
      <c r="AX137" s="55"/>
      <c r="AY137" s="55"/>
      <c r="AZ137" s="55"/>
      <c r="BA137" s="55"/>
      <c r="BB137" s="55"/>
      <c r="BC137" s="55"/>
    </row>
    <row r="138" spans="1:55" ht="27.6" x14ac:dyDescent="0.3">
      <c r="A138" s="1170"/>
      <c r="B138" s="2222"/>
      <c r="C138" s="1244" t="s">
        <v>176</v>
      </c>
      <c r="D138" s="2165" t="s">
        <v>177</v>
      </c>
      <c r="E138" s="2165"/>
      <c r="F138" s="2165"/>
      <c r="G138" s="2166"/>
      <c r="H138" s="2167"/>
      <c r="I138" s="2167"/>
      <c r="J138" s="2168" t="s">
        <v>428</v>
      </c>
      <c r="K138" s="2169"/>
      <c r="L138" s="2170"/>
      <c r="M138" s="2171"/>
      <c r="N138" s="2172"/>
      <c r="O138" s="2173" t="s">
        <v>430</v>
      </c>
      <c r="P138" s="2170"/>
      <c r="Q138" s="2170"/>
      <c r="R138" s="2171"/>
      <c r="S138" s="2174"/>
      <c r="T138" s="2173" t="s">
        <v>418</v>
      </c>
      <c r="U138" s="2171"/>
      <c r="V138" s="2171"/>
      <c r="W138" s="2171"/>
      <c r="X138" s="2171"/>
      <c r="Y138" s="2171"/>
      <c r="Z138" s="2171"/>
      <c r="AA138" s="2174"/>
      <c r="AB138" s="2179" t="s">
        <v>433</v>
      </c>
      <c r="AC138" s="2215" t="s">
        <v>432</v>
      </c>
      <c r="AD138" s="1320" t="s">
        <v>176</v>
      </c>
      <c r="AE138" s="2217" t="s">
        <v>177</v>
      </c>
      <c r="AF138" s="2218"/>
      <c r="AG138" s="2218"/>
      <c r="AH138" s="2219"/>
      <c r="AI138" s="2220"/>
      <c r="AJ138" s="2221"/>
      <c r="AK138" s="2209" t="s">
        <v>428</v>
      </c>
      <c r="AL138" s="2210"/>
      <c r="AM138" s="2185"/>
      <c r="AN138" s="2183"/>
      <c r="AO138" s="2186"/>
      <c r="AP138" s="2182" t="s">
        <v>430</v>
      </c>
      <c r="AQ138" s="2182"/>
      <c r="AR138" s="2182"/>
      <c r="AS138" s="2183"/>
      <c r="AT138" s="2184"/>
      <c r="AU138" s="2185" t="s">
        <v>418</v>
      </c>
      <c r="AV138" s="2183"/>
      <c r="AW138" s="2183"/>
      <c r="AX138" s="2183"/>
      <c r="AY138" s="2183"/>
      <c r="AZ138" s="2183"/>
      <c r="BA138" s="2183"/>
      <c r="BB138" s="2186"/>
      <c r="BC138" s="2211" t="s">
        <v>433</v>
      </c>
    </row>
    <row r="139" spans="1:55" ht="51.75" customHeight="1" thickBot="1" x14ac:dyDescent="0.35">
      <c r="A139" s="94"/>
      <c r="B139" s="2223"/>
      <c r="C139" s="1245" t="str">
        <f>C14</f>
        <v>Q3</v>
      </c>
      <c r="D139" s="925" t="str">
        <f t="shared" ref="D139:I139" si="128">D14</f>
        <v>Q2</v>
      </c>
      <c r="E139" s="925" t="str">
        <f t="shared" si="128"/>
        <v>Q1</v>
      </c>
      <c r="F139" s="925" t="str">
        <f t="shared" si="128"/>
        <v>Q4-19</v>
      </c>
      <c r="G139" s="722" t="str">
        <f t="shared" si="128"/>
        <v>Q3-19</v>
      </c>
      <c r="H139" s="722" t="str">
        <f t="shared" si="128"/>
        <v>2018-2019</v>
      </c>
      <c r="I139" s="926" t="str">
        <f t="shared" si="128"/>
        <v>25% of previous year total</v>
      </c>
      <c r="J139" s="724" t="s">
        <v>434</v>
      </c>
      <c r="K139" s="725" t="s">
        <v>435</v>
      </c>
      <c r="L139" s="2155"/>
      <c r="M139" s="2224"/>
      <c r="N139" s="2157"/>
      <c r="O139" s="728" t="s">
        <v>438</v>
      </c>
      <c r="P139" s="925" t="s">
        <v>470</v>
      </c>
      <c r="Q139" s="925" t="s">
        <v>471</v>
      </c>
      <c r="R139" s="1169" t="s">
        <v>439</v>
      </c>
      <c r="S139" s="729" t="s">
        <v>440</v>
      </c>
      <c r="T139" s="2156" t="s">
        <v>441</v>
      </c>
      <c r="U139" s="2155"/>
      <c r="V139" s="1394"/>
      <c r="W139" s="1394"/>
      <c r="X139" s="1394"/>
      <c r="Y139" s="2157" t="s">
        <v>443</v>
      </c>
      <c r="Z139" s="2155"/>
      <c r="AA139" s="729" t="s">
        <v>445</v>
      </c>
      <c r="AB139" s="2154"/>
      <c r="AC139" s="2216"/>
      <c r="AD139" s="1321" t="str">
        <f>AD14</f>
        <v>Q3</v>
      </c>
      <c r="AE139" s="832" t="str">
        <f t="shared" ref="AE139:AI139" si="129">AE14</f>
        <v>Q2</v>
      </c>
      <c r="AF139" s="730" t="str">
        <f t="shared" si="129"/>
        <v>Q1</v>
      </c>
      <c r="AG139" s="730" t="str">
        <f t="shared" si="129"/>
        <v>Q4-19</v>
      </c>
      <c r="AH139" s="833" t="str">
        <f t="shared" si="129"/>
        <v>Q3-19</v>
      </c>
      <c r="AI139" s="833" t="str">
        <f t="shared" si="129"/>
        <v>2018-2019</v>
      </c>
      <c r="AJ139" s="834" t="s">
        <v>178</v>
      </c>
      <c r="AK139" s="835" t="s">
        <v>434</v>
      </c>
      <c r="AL139" s="836" t="s">
        <v>435</v>
      </c>
      <c r="AM139" s="2213" t="s">
        <v>446</v>
      </c>
      <c r="AN139" s="2214"/>
      <c r="AO139" s="927" t="s">
        <v>447</v>
      </c>
      <c r="AP139" s="928" t="s">
        <v>438</v>
      </c>
      <c r="AQ139" s="730" t="s">
        <v>470</v>
      </c>
      <c r="AR139" s="730" t="s">
        <v>471</v>
      </c>
      <c r="AS139" s="1168" t="s">
        <v>439</v>
      </c>
      <c r="AT139" s="1162" t="s">
        <v>440</v>
      </c>
      <c r="AU139" s="2213" t="s">
        <v>441</v>
      </c>
      <c r="AV139" s="2214"/>
      <c r="AW139" s="1406"/>
      <c r="AX139" s="1406"/>
      <c r="AY139" s="1406"/>
      <c r="AZ139" s="2214" t="s">
        <v>443</v>
      </c>
      <c r="BA139" s="2214"/>
      <c r="BB139" s="732" t="s">
        <v>435</v>
      </c>
      <c r="BC139" s="2212"/>
    </row>
    <row r="140" spans="1:55" ht="12.75" customHeight="1" thickBot="1" x14ac:dyDescent="0.35">
      <c r="A140" s="55"/>
      <c r="B140" s="102" t="s">
        <v>183</v>
      </c>
      <c r="C140" s="1177">
        <f t="shared" ref="C140:H140" ca="1" si="130">INDIRECT(CONCATENATE("'",C$14,"'!$D$164"),TRUE)</f>
        <v>0</v>
      </c>
      <c r="D140" s="1192">
        <f t="shared" ca="1" si="130"/>
        <v>2259986.9982851301</v>
      </c>
      <c r="E140" s="1193">
        <f t="shared" ca="1" si="130"/>
        <v>2197087.5279642199</v>
      </c>
      <c r="F140" s="1193">
        <f t="shared" ca="1" si="130"/>
        <v>2296353.4087912301</v>
      </c>
      <c r="G140" s="1193">
        <f t="shared" ca="1" si="130"/>
        <v>2272430.1143495701</v>
      </c>
      <c r="H140" s="1193">
        <f t="shared" ca="1" si="130"/>
        <v>8974021.0786053389</v>
      </c>
      <c r="I140" s="1194">
        <f t="shared" ref="I140" ca="1" si="131">H140/4</f>
        <v>2243505.2696513347</v>
      </c>
      <c r="J140" s="789" t="str">
        <f ca="1">IF(AND(C140&gt;0,SUM(D140:I140)&gt;0),"",IF(AND(C140=0,SUM(C140:I140)=0),"",IF(AND(C140=0,D140&gt;0),"Missing value?",IF(AND(C140=0,I140&gt;0),"Missing value?","New category"))))</f>
        <v>Missing value?</v>
      </c>
      <c r="K140" s="929"/>
      <c r="L140" s="2204"/>
      <c r="M140" s="2205"/>
      <c r="N140" s="930"/>
      <c r="O140" s="931">
        <f ca="1">IF(OR(+$J140="missing?",+$J140="new category"),"",IF($D140=0,"",IF(SUM($C140:$I140)=0,"",IFERROR((($C140-$D140)/$D140),"N/A"))))</f>
        <v>-1</v>
      </c>
      <c r="P140" s="739">
        <f t="shared" ref="P140" ca="1" si="132">IF(OR(+$J140="missing?",+$J140="new category"),"",IF($E140=0,"",IF(SUM($C140:$I140)=0,"",IFERROR((($C140-$E140)/$E140),"N/A"))))</f>
        <v>-1</v>
      </c>
      <c r="Q140" s="739">
        <f t="shared" ref="Q140" ca="1" si="133">IF(OR(+$J140="missing?",+$J140="new category"),"",IF($F140=0,"",IF(SUM($C140:$I140)=0,"",IFERROR((($C140-$F140)/$F140),"N/A"))))</f>
        <v>-1</v>
      </c>
      <c r="R140" s="797">
        <f ca="1">IF(OR(+$J140="missing?",+$J140="new category"),"",IF($G140=0,"",IF(SUM($C140:$I140)=0,"",IFERROR((($C140-$G140)/$G140),"N/A"))))</f>
        <v>-1</v>
      </c>
      <c r="S140" s="932">
        <f ca="1">IF(OR(+$J140="missing?",+$J140="new category"),"",IF($I140=0,"",IF(SUM($C140:$I140)=0,"",IFERROR((($C140-$I140)/$I140),"N/A"))))</f>
        <v>-1</v>
      </c>
      <c r="T140" s="1072">
        <f t="shared" ref="T140" ca="1" si="134">IF(SUM(C140:I140)=0,"",IF(OR(AND(C140=0,SUM(D140:I140)&gt;0),AND(C140&gt;0,SUM(D140:I140)=0)),1,IF(MAX(IF(O140&lt;0,-O140,O140),IF(P140&lt;0,-P140,P140),IF(Q140&lt;0,-Q140,Q140),IF(R140&lt;0,-R140,R140),IF(S140&lt;0,-S140,S140))=0,"",MAX(IF(O140&lt;0,-O140,O140),IF(P140&lt;0,-P140,P140),IF(Q140&lt;0,-Q140,Q140),IF(R140&lt;0,-R140,R140),IF(S140&lt;0,-S140,S140)))))</f>
        <v>1</v>
      </c>
      <c r="U140" s="1051">
        <f ca="1">IF(SUM(D140:J140)=0,"",IF(OR(AND(D140=0,SUM(G140:J140)&gt;0),AND(D140&gt;0,SUM(G140:J140)=0)),1,IF(MAX(IF(R140&lt;0,-R140,R140),IF(S140&lt;0,-S140,S140),IF(T140&lt;0,-T140,T140))=0,"",MAX(IF(R140&lt;0,-R140,R140),IF(S140&lt;0,-S140,S140),IF(T140&lt;0,-T140,T140)))))</f>
        <v>1</v>
      </c>
      <c r="V140" s="1402"/>
      <c r="W140" s="1402"/>
      <c r="X140" s="1402"/>
      <c r="Y140" s="2162" t="str">
        <f ca="1">IF(+T140="","",IF(T140&gt;$M$3,"H",IF(T140&gt;$M$4,"M","")))</f>
        <v>H</v>
      </c>
      <c r="Z140" s="2163"/>
      <c r="AA140" s="929"/>
      <c r="AB140" s="933" t="str">
        <f ca="1">IF(CONCATENATE(IF(K140="OK","",J140), "    ",IF(AND(+AA140="",Y140="M"),"Value change with medium impact",IF(AND(AA140="",Y140="H"),"Value change with high impact",""))," ")="     ","",CONCATENATE(IF(K140="OK","",J140), "    ",IF(AND(+AA140="",Y140="M"),"Value change with medium impact",IF(AND(AA140="",Y140="H"),"Value change with high impact",""))," "))</f>
        <v xml:space="preserve">Missing value?    Value change with high impact </v>
      </c>
      <c r="AC140" s="934" t="str">
        <f ca="1">IF(AD140&gt;C140,"Offices only&gt;Total Estate","")</f>
        <v/>
      </c>
      <c r="AD140" s="1195">
        <f t="shared" ref="AD140:AI140" ca="1" si="135">INDIRECT(CONCATENATE("'",AD$14,"'!$G$164"),TRUE)</f>
        <v>0</v>
      </c>
      <c r="AE140" s="1196">
        <f t="shared" ca="1" si="135"/>
        <v>4777.67864106451</v>
      </c>
      <c r="AF140" s="1197">
        <f t="shared" ca="1" si="135"/>
        <v>7248.8655607535902</v>
      </c>
      <c r="AG140" s="1197">
        <f t="shared" ca="1" si="135"/>
        <v>10509.415973245899</v>
      </c>
      <c r="AH140" s="1197">
        <f t="shared" ca="1" si="135"/>
        <v>11256.907888894501</v>
      </c>
      <c r="AI140" s="1197">
        <f t="shared" ca="1" si="135"/>
        <v>41629.236539650978</v>
      </c>
      <c r="AJ140" s="1198">
        <f ca="1">AI140/4</f>
        <v>10407.309134912744</v>
      </c>
      <c r="AK140" s="868" t="str">
        <f ca="1">IF(AND(AD140&gt;0,SUM(AE140:AJ140)&gt;0),"",IF(AND(AD140=0,SUM(AD140:AJ140)=0),"",IF(AND(AD140=0,AE140&gt;0),"Missing value?",IF(AND(AD140=0,AJ140&gt;0),"Missing value?","New category"))))</f>
        <v>Missing value?</v>
      </c>
      <c r="AL140" s="809"/>
      <c r="AM140" s="935"/>
      <c r="AN140" s="936"/>
      <c r="AO140" s="937"/>
      <c r="AP140" s="938">
        <f ca="1">IF(OR(+$AK140="missing?",+$AK140="new category"),"",IF($AE140=0,"",IF(SUM($AD140:$AJ140)=0,"",IFERROR((($AD140-$AE140)/$AE140),"N/A"))))</f>
        <v>-1</v>
      </c>
      <c r="AQ140" s="756">
        <f t="shared" ref="AQ140:AQ142" ca="1" si="136">IF(OR(+$AK140="missing?",+$AK140="new category"),"",IF($AF140=0,"",IF(SUM($AD140:$AJ140)=0,"",IFERROR((($AD140-$AF140)/$AF140),"N/A"))))</f>
        <v>-1</v>
      </c>
      <c r="AR140" s="756">
        <f t="shared" ref="AR140:AR142" ca="1" si="137">IF(OR(+$AK140="missing?",+$AK140="new category"),"",IF($AG140=0,"",IF(SUM($AD140:$AJ140)=0,"",IFERROR((($AD140-$AG140)/$AG140),"N/A"))))</f>
        <v>-1</v>
      </c>
      <c r="AS140" s="756">
        <f ca="1">IF(OR(+$AK140="missing?",+$AK140="new category"),"",IF($AH140=0,"",IF(SUM($AD140:$AJ140)=0,"",IFERROR((($AD140-$AH140)/$AH140),"N/A"))))</f>
        <v>-1</v>
      </c>
      <c r="AT140" s="939">
        <f ca="1">IF(OR(+$AK140="missing?",+$AK140="new category"),"",IF($AJ140=0,"",IF(SUM($AD140:$AJ140)=0,"",IFERROR((($AD140-$AJ140)/$AJ140),"N/A"))))</f>
        <v>-1</v>
      </c>
      <c r="AU140" s="2206">
        <f ca="1">IF(MAX(IF(AP140&lt;0,-AP140,AP140),IF(AS140&lt;0,-AS140,AS140),IF(AT140&lt;0,-AT140,AT140))=0,"",MAX(IF(AP140&lt;0,-AP140,AP140),IF(AQ140&lt;0,-AQ140,AQ140),IF(AR140&lt;0,-AR140,AR140),IF(AS140&lt;0,-AS140,AS140),IF(AT140&lt;0,-AT140,AT140)))</f>
        <v>1</v>
      </c>
      <c r="AV140" s="2207"/>
      <c r="AW140" s="1407"/>
      <c r="AX140" s="1407"/>
      <c r="AY140" s="1407"/>
      <c r="AZ140" s="2208" t="str">
        <f ca="1">IF(+AU140="","",IF(AU140&gt;$AN$3,"H",IF(AU140&gt;$AN$4,"M","")))</f>
        <v>H</v>
      </c>
      <c r="BA140" s="2208"/>
      <c r="BB140" s="751"/>
      <c r="BC140" s="871" t="str">
        <f ca="1">IF(CONCATENATE(AC140, "    ", IF(AL140="OK","",AK140), "    ",IF(AND(+BB140="",AZ140="M"),"Value change with medium impact",IF(AND(BB140="",AZ140="H"),"Value change with high impact",""))," ")="         ","",CONCATENATE(AC140, "    ", IF(AL140="OK","",AK140), "    ",IF(AND(+BB140="",AZ140="M"),"Value change with medium impact",IF(AND(BB140="",AZ140="H"),"Value change with high impact",""))," "))</f>
        <v xml:space="preserve">    Missing value?    Value change with high impact </v>
      </c>
    </row>
    <row r="141" spans="1:55" ht="12.75" customHeight="1" x14ac:dyDescent="0.3">
      <c r="A141" s="55"/>
      <c r="B141" s="1182"/>
      <c r="C141" s="1182"/>
      <c r="D141" s="1182"/>
      <c r="E141" s="1182"/>
      <c r="F141" s="1182"/>
      <c r="G141" s="1182"/>
      <c r="H141" s="1182"/>
      <c r="I141" s="1182"/>
      <c r="J141" s="1182"/>
      <c r="K141" s="1182"/>
      <c r="L141" s="1182"/>
      <c r="M141" s="1182"/>
      <c r="N141" s="1182"/>
      <c r="O141" s="1182"/>
      <c r="P141" s="1182"/>
      <c r="Q141" s="1182"/>
      <c r="R141" s="1182"/>
      <c r="S141" s="1182"/>
      <c r="T141" s="1182"/>
      <c r="U141" s="1182"/>
      <c r="V141" s="1182"/>
      <c r="W141" s="1182"/>
      <c r="X141" s="1182"/>
      <c r="Y141" s="1182"/>
      <c r="Z141" s="1182"/>
      <c r="AA141" s="1182"/>
      <c r="AB141" s="1182"/>
      <c r="AC141" s="940" t="s">
        <v>184</v>
      </c>
      <c r="AD141" s="1199">
        <f t="shared" ref="AD141:AI141" ca="1" si="138">INDIRECT(CONCATENATE("'",AD$14,"'!$E$164"),TRUE)</f>
        <v>0</v>
      </c>
      <c r="AE141" s="1200">
        <f t="shared" ca="1" si="138"/>
        <v>3304</v>
      </c>
      <c r="AF141" s="1201">
        <f t="shared" ca="1" si="138"/>
        <v>3304</v>
      </c>
      <c r="AG141" s="1201">
        <f t="shared" ca="1" si="138"/>
        <v>3304</v>
      </c>
      <c r="AH141" s="1201">
        <f t="shared" ca="1" si="138"/>
        <v>3304</v>
      </c>
      <c r="AI141" s="1201">
        <f t="shared" ca="1" si="138"/>
        <v>3304</v>
      </c>
      <c r="AJ141" s="1202">
        <f ca="1">AI141</f>
        <v>3304</v>
      </c>
      <c r="AK141" s="872" t="str">
        <f ca="1">IF(AND(AD141&gt;0,SUM(AE141:AJ141)&gt;0),"",IF(AND(AD141=0,SUM(AD141:AJ141)=0),"",IF(AND(AD141=0,AE141&gt;0),"Missing value?",IF(AND(AD141=0,AJ141&gt;0),"Missing value?","New category"))))</f>
        <v>Missing value?</v>
      </c>
      <c r="AL141" s="782"/>
      <c r="AM141" s="941"/>
      <c r="AN141" s="942"/>
      <c r="AO141" s="943"/>
      <c r="AP141" s="944">
        <f ca="1">IF(OR(+$AK141="missing?",+$AK141="new category"),"",IF($AE141=0,"",IF(SUM($AD141:$AJ141)=0,"",IFERROR((($AD141-$AE141)/$AE141),"N/A"))))</f>
        <v>-1</v>
      </c>
      <c r="AQ141" s="777">
        <f t="shared" ca="1" si="136"/>
        <v>-1</v>
      </c>
      <c r="AR141" s="777">
        <f t="shared" ca="1" si="137"/>
        <v>-1</v>
      </c>
      <c r="AS141" s="777">
        <f t="shared" ref="AS141" ca="1" si="139">IF(OR(+$AK141="missing?",+$AK141="new category"),"",IF($AH141=0,"",IF(SUM($AD141:$AJ141)=0,"",IFERROR((($AD141-$AH141)/$AH141),"N/A"))))</f>
        <v>-1</v>
      </c>
      <c r="AT141" s="945">
        <f ca="1">IF(OR(+$AK141="missing?",+$AK141="new category"),"",IF($AJ141=0,"",IF(SUM($AD141:$AJ141)=0,"",IFERROR((($AD141-$AJ141)/$AJ141),"N/A"))))</f>
        <v>-1</v>
      </c>
      <c r="AU141" s="2206">
        <f t="shared" ref="AU141:AU142" ca="1" si="140">IF(MAX(IF(AP141&lt;0,-AP141,AP141),IF(AS141&lt;0,-AS141,AS141),IF(AT141&lt;0,-AT141,AT141))=0,"",MAX(IF(AP141&lt;0,-AP141,AP141),IF(AQ141&lt;0,-AQ141,AQ141),IF(AR141&lt;0,-AR141,AR141),IF(AS141&lt;0,-AS141,AS141),IF(AT141&lt;0,-AT141,AT141)))</f>
        <v>1</v>
      </c>
      <c r="AV141" s="2207"/>
      <c r="AW141" s="1396"/>
      <c r="AX141" s="1396"/>
      <c r="AY141" s="1396"/>
      <c r="AZ141" s="2207" t="str">
        <f ca="1">IF(+AU141="","",IF(AU141&gt;$AN$3,"H",IF(AU141&gt;$AN$4,"M","")))</f>
        <v>H</v>
      </c>
      <c r="BA141" s="2207"/>
      <c r="BB141" s="772"/>
      <c r="BC141" s="946" t="str">
        <f ca="1">IF(CONCATENATE(IF(AL141="OK","",AK141), "    ",IF(AND(+BB141="",AZ141="M"),"Value change with medium impact",IF(AND(BB141="",AZ141="H"),"Value change with high impact",""))," ")="     ","",CONCATENATE(IF(AL141="OK","",AK141), "    ",IF(AND(+BB141="",AZ141="M"),"Value change with medium impact",IF(AND(BB141="",AZ141="H"),"Value change with high impact",""))," "))</f>
        <v xml:space="preserve">Missing value?    Value change with high impact </v>
      </c>
    </row>
    <row r="142" spans="1:55" ht="12.75" customHeight="1" thickBot="1" x14ac:dyDescent="0.35">
      <c r="A142" s="55"/>
      <c r="B142" s="1182"/>
      <c r="C142" s="1182"/>
      <c r="D142" s="1182"/>
      <c r="E142" s="1182"/>
      <c r="F142" s="1182"/>
      <c r="G142" s="1182"/>
      <c r="H142" s="1182"/>
      <c r="I142" s="1182"/>
      <c r="J142" s="1182"/>
      <c r="K142" s="1182"/>
      <c r="L142" s="1182"/>
      <c r="M142" s="1182"/>
      <c r="N142" s="1182"/>
      <c r="O142" s="1182"/>
      <c r="P142" s="1182"/>
      <c r="Q142" s="1182"/>
      <c r="R142" s="1182"/>
      <c r="S142" s="1182"/>
      <c r="T142" s="1182"/>
      <c r="U142" s="1182"/>
      <c r="V142" s="1182"/>
      <c r="W142" s="1182"/>
      <c r="X142" s="1182"/>
      <c r="Y142" s="1182"/>
      <c r="Z142" s="1182"/>
      <c r="AA142" s="1182"/>
      <c r="AB142" s="1182"/>
      <c r="AC142" s="947" t="s">
        <v>448</v>
      </c>
      <c r="AD142" s="948" t="str">
        <f ca="1">IF(OR(AD140=0,AD141=0),"",AD140/AD141)</f>
        <v/>
      </c>
      <c r="AE142" s="949">
        <f t="shared" ref="AE142:AJ142" ca="1" si="141">IF(OR(AE140=0,AE141=0),"",AE140/AE141)</f>
        <v>1.4460286443899848</v>
      </c>
      <c r="AF142" s="950">
        <f t="shared" ca="1" si="141"/>
        <v>2.193966574077963</v>
      </c>
      <c r="AG142" s="950">
        <f t="shared" ca="1" si="141"/>
        <v>3.1808159725320517</v>
      </c>
      <c r="AH142" s="950">
        <f t="shared" ca="1" si="141"/>
        <v>3.4070544457913137</v>
      </c>
      <c r="AI142" s="950">
        <f t="shared" ca="1" si="141"/>
        <v>12.599647863090489</v>
      </c>
      <c r="AJ142" s="951">
        <f t="shared" ca="1" si="141"/>
        <v>3.1499119657726222</v>
      </c>
      <c r="AK142" s="849" t="str">
        <f ca="1">IF(AND(AD142&gt;0,SUM(AE142:AJ142)&gt;0),"",IF(AND(AD142=0,SUM(AD142:AJ142)=0),"",IF(AND(AD142=0,AE142&gt;0),"Missing value?",IF(AND(AD142=0,AJ142&gt;0),"Missing value?","New category"))))</f>
        <v/>
      </c>
      <c r="AL142" s="796"/>
      <c r="AM142" s="2200" t="str">
        <f ca="1">IF(AD142&lt;'QA config'!D2,CONCATENATE("&lt; ",'QA config'!D2," m3/FTE"),IF(AD142&gt;'QA config'!C2,CONCATENATE("&gt; ",'QA config'!C2," m3/FTE"),""))</f>
        <v>&gt; 20 m3/FTE</v>
      </c>
      <c r="AN142" s="2201"/>
      <c r="AO142" s="790"/>
      <c r="AP142" s="952" t="str">
        <f ca="1">IF(OR(+$AK142="missing?",+$AK142="new category"),"",IF($AE142=0,"",IF(SUM($AD142:$AJ142)=0,"",IFERROR((($AD142-$AE142)/$AE142),"N/A"))))</f>
        <v>N/A</v>
      </c>
      <c r="AQ142" s="1070" t="str">
        <f t="shared" ca="1" si="136"/>
        <v>N/A</v>
      </c>
      <c r="AR142" s="1070" t="str">
        <f t="shared" ca="1" si="137"/>
        <v>N/A</v>
      </c>
      <c r="AS142" s="1070" t="str">
        <f ca="1">IF(OR(+$AK142="missing?",+$AK142="new category"),"",IF($AH142=0,"",IF(SUM($AD142:$AJ142)=0,"",IFERROR((($AD142-$AH142)/$AH142),"N/A"))))</f>
        <v>N/A</v>
      </c>
      <c r="AT142" s="953" t="str">
        <f ca="1">IF(OR(+$AK142="missing?",+$AK142="new category"),"",IF($AJ142=0,"",IF(SUM($AD142:$AJ142)=0,"",IFERROR((($AD142-$AJ142)/$AJ142),"N/A"))))</f>
        <v>N/A</v>
      </c>
      <c r="AU142" s="2202" t="str">
        <f t="shared" ca="1" si="140"/>
        <v/>
      </c>
      <c r="AV142" s="2203"/>
      <c r="AW142" s="1405"/>
      <c r="AX142" s="1405"/>
      <c r="AY142" s="1405"/>
      <c r="AZ142" s="2203" t="str">
        <f ca="1">IF(+AU142="","",IF(AU142&gt;$AN$3,"H",IF(AU142&gt;$AN$4,"M","")))</f>
        <v/>
      </c>
      <c r="BA142" s="2203"/>
      <c r="BB142" s="790"/>
      <c r="BC142" s="954" t="str">
        <f ca="1">IF(CONCATENATE(IF(AL142="OK","",AK142), "    ",IF(AND(+BB142="",AZ142="M"),"Value change with medium impact",IF(AND(BB142="",AZ142="H"),"Value change with high impact",""))," ")="     ","",CONCATENATE(IF(AL142="OK","",AK142), "    ",IF(AND(+BB142="",AZ142="M"),"Value change with medium impact",IF(AND(BB142="",AZ142="H"),"Value change with high impact",""))," "))</f>
        <v/>
      </c>
    </row>
    <row r="143" spans="1:55" ht="12.75" customHeight="1" x14ac:dyDescent="0.3">
      <c r="A143" s="55"/>
      <c r="B143" s="1182"/>
      <c r="C143" s="1182"/>
      <c r="D143" s="1182"/>
      <c r="E143" s="1182"/>
      <c r="F143" s="1182"/>
      <c r="G143" s="1182"/>
      <c r="H143" s="1182"/>
      <c r="I143" s="1182"/>
      <c r="J143" s="1182"/>
      <c r="K143" s="1182"/>
      <c r="L143" s="1182"/>
      <c r="M143" s="1182"/>
      <c r="N143" s="1182"/>
      <c r="O143" s="1182"/>
      <c r="P143" s="1182"/>
      <c r="Q143" s="1182"/>
      <c r="R143" s="1182"/>
      <c r="S143" s="1182"/>
      <c r="T143" s="1182"/>
      <c r="U143" s="1182"/>
      <c r="V143" s="1182"/>
      <c r="W143" s="1182"/>
      <c r="X143" s="1182"/>
      <c r="Y143" s="1182"/>
      <c r="Z143" s="1182"/>
      <c r="AA143" s="1182"/>
      <c r="AB143" s="1182"/>
      <c r="AC143" s="55"/>
      <c r="AD143" s="1393"/>
      <c r="AE143" s="1393"/>
      <c r="AF143" s="1393"/>
      <c r="AG143" s="1393"/>
      <c r="AH143" s="1393"/>
      <c r="AI143" s="1393"/>
      <c r="AJ143" s="1393"/>
      <c r="AK143" s="192"/>
      <c r="AL143" s="192"/>
      <c r="AM143" s="99"/>
      <c r="AN143" s="99"/>
      <c r="AO143" s="192"/>
      <c r="AP143" s="921"/>
      <c r="AQ143" s="921"/>
      <c r="AR143" s="921"/>
      <c r="AS143" s="921"/>
      <c r="AT143" s="921"/>
      <c r="AU143" s="710"/>
      <c r="AV143" s="710"/>
      <c r="AW143" s="710"/>
      <c r="AX143" s="710"/>
      <c r="AY143" s="710"/>
      <c r="AZ143" s="710"/>
      <c r="BA143" s="710"/>
      <c r="BB143" s="192"/>
      <c r="BC143" s="875"/>
    </row>
    <row r="144" spans="1:55" ht="12.75" customHeight="1" x14ac:dyDescent="0.3">
      <c r="A144" s="55"/>
      <c r="B144" s="1182"/>
      <c r="C144" s="1182"/>
      <c r="D144" s="1182"/>
      <c r="E144" s="1182"/>
      <c r="F144" s="1182"/>
      <c r="G144" s="1182"/>
      <c r="H144" s="1182"/>
      <c r="I144" s="1182"/>
      <c r="J144" s="1182"/>
      <c r="K144" s="1182"/>
      <c r="L144" s="1182"/>
      <c r="M144" s="1182"/>
      <c r="N144" s="1182"/>
      <c r="O144" s="1182"/>
      <c r="P144" s="1182"/>
      <c r="Q144" s="1182"/>
      <c r="R144" s="1182"/>
      <c r="S144" s="1182"/>
      <c r="T144" s="1182"/>
      <c r="U144" s="1182"/>
      <c r="V144" s="1182"/>
      <c r="W144" s="1182"/>
      <c r="X144" s="1182"/>
      <c r="Y144" s="1182"/>
      <c r="Z144" s="1182"/>
      <c r="AA144" s="1182"/>
      <c r="AB144" s="1182"/>
      <c r="AC144" s="55"/>
      <c r="AD144" s="1393"/>
      <c r="AE144" s="1393"/>
      <c r="AF144" s="1393"/>
      <c r="AG144" s="1393"/>
      <c r="AH144" s="1393"/>
      <c r="AI144" s="1393"/>
      <c r="AJ144" s="1393"/>
      <c r="AK144" s="192"/>
      <c r="AL144" s="192"/>
      <c r="AM144" s="99"/>
      <c r="AN144" s="99"/>
      <c r="AO144" s="192"/>
      <c r="AP144" s="921"/>
      <c r="AQ144" s="921"/>
      <c r="AR144" s="921"/>
      <c r="AS144" s="921"/>
      <c r="AT144" s="921"/>
      <c r="AU144" s="710"/>
      <c r="AV144" s="710"/>
      <c r="AW144" s="710"/>
      <c r="AX144" s="710"/>
      <c r="AY144" s="710"/>
      <c r="AZ144" s="710"/>
      <c r="BA144" s="710"/>
      <c r="BB144" s="192"/>
      <c r="BC144" s="875"/>
    </row>
    <row r="145" spans="1:55" ht="13.5" customHeight="1" x14ac:dyDescent="0.3">
      <c r="A145" s="923" t="s">
        <v>147</v>
      </c>
      <c r="B145" s="87"/>
      <c r="C145" s="819" t="s">
        <v>23</v>
      </c>
      <c r="D145" s="819" t="s">
        <v>23</v>
      </c>
      <c r="E145" s="819" t="s">
        <v>23</v>
      </c>
      <c r="F145" s="819" t="s">
        <v>23</v>
      </c>
      <c r="G145" s="819" t="s">
        <v>23</v>
      </c>
      <c r="H145" s="819"/>
      <c r="I145" s="819" t="s">
        <v>23</v>
      </c>
      <c r="J145" s="819" t="s">
        <v>23</v>
      </c>
      <c r="K145" s="819" t="s">
        <v>23</v>
      </c>
      <c r="L145" s="819" t="s">
        <v>23</v>
      </c>
      <c r="M145" s="819" t="s">
        <v>23</v>
      </c>
      <c r="N145" s="819" t="s">
        <v>23</v>
      </c>
      <c r="O145" s="819" t="s">
        <v>23</v>
      </c>
      <c r="P145" s="819" t="s">
        <v>23</v>
      </c>
      <c r="Q145" s="819" t="s">
        <v>23</v>
      </c>
      <c r="R145" s="819" t="s">
        <v>23</v>
      </c>
      <c r="S145" s="819" t="s">
        <v>23</v>
      </c>
      <c r="T145" s="819" t="s">
        <v>23</v>
      </c>
      <c r="U145" s="819"/>
      <c r="V145" s="819"/>
      <c r="W145" s="819"/>
      <c r="X145" s="819"/>
      <c r="Y145" s="819" t="s">
        <v>23</v>
      </c>
      <c r="Z145" s="819" t="s">
        <v>23</v>
      </c>
      <c r="AA145" s="819" t="s">
        <v>23</v>
      </c>
      <c r="AB145" s="819" t="s">
        <v>23</v>
      </c>
      <c r="AC145" s="1076" t="s">
        <v>144</v>
      </c>
      <c r="AD145" s="1076" t="s">
        <v>144</v>
      </c>
      <c r="AE145" s="1076" t="s">
        <v>144</v>
      </c>
      <c r="AF145" s="1076" t="s">
        <v>144</v>
      </c>
      <c r="AG145" s="1076" t="s">
        <v>144</v>
      </c>
      <c r="AH145" s="1076" t="s">
        <v>144</v>
      </c>
      <c r="AI145" s="1076"/>
      <c r="AJ145" s="1076" t="s">
        <v>144</v>
      </c>
      <c r="AK145" s="1076" t="s">
        <v>144</v>
      </c>
      <c r="AL145" s="1076" t="s">
        <v>144</v>
      </c>
      <c r="AM145" s="1076" t="s">
        <v>144</v>
      </c>
      <c r="AN145" s="1076" t="s">
        <v>144</v>
      </c>
      <c r="AO145" s="1076" t="s">
        <v>144</v>
      </c>
      <c r="AP145" s="1076" t="s">
        <v>144</v>
      </c>
      <c r="AQ145" s="1076" t="s">
        <v>144</v>
      </c>
      <c r="AR145" s="1076" t="s">
        <v>144</v>
      </c>
      <c r="AS145" s="1076" t="s">
        <v>144</v>
      </c>
      <c r="AT145" s="1076" t="s">
        <v>144</v>
      </c>
      <c r="AU145" s="1076" t="s">
        <v>144</v>
      </c>
      <c r="AV145" s="1076"/>
      <c r="AW145" s="1076"/>
      <c r="AX145" s="1076"/>
      <c r="AY145" s="1076"/>
      <c r="AZ145" s="1076" t="s">
        <v>144</v>
      </c>
      <c r="BA145" s="1076" t="s">
        <v>144</v>
      </c>
      <c r="BB145" s="1076" t="s">
        <v>144</v>
      </c>
      <c r="BC145" s="1076" t="s">
        <v>144</v>
      </c>
    </row>
    <row r="146" spans="1:55" thickBot="1" x14ac:dyDescent="0.35">
      <c r="A146" s="1170"/>
      <c r="B146" s="50"/>
      <c r="C146" s="671"/>
      <c r="D146" s="671"/>
      <c r="E146" s="671"/>
      <c r="F146" s="671"/>
      <c r="G146" s="671"/>
      <c r="H146" s="671"/>
      <c r="I146" s="671"/>
      <c r="J146" s="88"/>
      <c r="K146" s="88"/>
      <c r="L146" s="88"/>
      <c r="M146" s="88"/>
      <c r="N146" s="1170"/>
      <c r="O146" s="88"/>
      <c r="P146" s="88"/>
      <c r="Q146" s="88"/>
      <c r="R146" s="88"/>
      <c r="S146" s="88"/>
      <c r="T146" s="88"/>
      <c r="U146" s="88"/>
      <c r="V146" s="88"/>
      <c r="W146" s="88"/>
      <c r="X146" s="88"/>
      <c r="Y146" s="88"/>
      <c r="Z146" s="88"/>
      <c r="AA146" s="88"/>
      <c r="AB146" s="88"/>
      <c r="AC146" s="50"/>
      <c r="AD146" s="106"/>
      <c r="AE146" s="106"/>
      <c r="AF146" s="106"/>
      <c r="AG146" s="106"/>
      <c r="AH146" s="106"/>
      <c r="AI146" s="106"/>
      <c r="AJ146" s="197"/>
      <c r="AK146" s="106"/>
      <c r="AL146" s="106"/>
      <c r="AM146" s="106"/>
      <c r="AN146" s="106"/>
      <c r="AO146" s="50"/>
      <c r="AP146" s="50"/>
      <c r="AQ146" s="50"/>
      <c r="AR146" s="50"/>
      <c r="AS146" s="50"/>
      <c r="AT146" s="50"/>
      <c r="AU146" s="50"/>
      <c r="AV146" s="50"/>
      <c r="AW146" s="50"/>
      <c r="AX146" s="50"/>
      <c r="AY146" s="50"/>
      <c r="AZ146" s="50"/>
      <c r="BA146" s="50"/>
      <c r="BB146" s="50"/>
      <c r="BC146" s="50"/>
    </row>
    <row r="147" spans="1:55" ht="27.6" x14ac:dyDescent="0.3">
      <c r="A147" s="100"/>
      <c r="B147" s="101"/>
      <c r="C147" s="1244" t="s">
        <v>176</v>
      </c>
      <c r="D147" s="2165" t="s">
        <v>177</v>
      </c>
      <c r="E147" s="2165"/>
      <c r="F147" s="2165"/>
      <c r="G147" s="2166"/>
      <c r="H147" s="2167"/>
      <c r="I147" s="2167"/>
      <c r="J147" s="2168" t="s">
        <v>428</v>
      </c>
      <c r="K147" s="2169"/>
      <c r="L147" s="2170"/>
      <c r="M147" s="2171"/>
      <c r="N147" s="2172"/>
      <c r="O147" s="2173" t="s">
        <v>430</v>
      </c>
      <c r="P147" s="2170"/>
      <c r="Q147" s="2170"/>
      <c r="R147" s="2171"/>
      <c r="S147" s="2174"/>
      <c r="T147" s="2170" t="s">
        <v>418</v>
      </c>
      <c r="U147" s="2171"/>
      <c r="V147" s="2171"/>
      <c r="W147" s="2171"/>
      <c r="X147" s="2171"/>
      <c r="Y147" s="2171"/>
      <c r="Z147" s="2171"/>
      <c r="AA147" s="2172"/>
      <c r="AB147" s="2192" t="s">
        <v>433</v>
      </c>
      <c r="AC147" s="2194" t="s">
        <v>432</v>
      </c>
      <c r="AD147" s="1408" t="s">
        <v>176</v>
      </c>
      <c r="AE147" s="2195" t="s">
        <v>177</v>
      </c>
      <c r="AF147" s="2195"/>
      <c r="AG147" s="2195"/>
      <c r="AH147" s="2196"/>
      <c r="AI147" s="2197"/>
      <c r="AJ147" s="2197"/>
      <c r="AK147" s="2198" t="s">
        <v>428</v>
      </c>
      <c r="AL147" s="2199"/>
      <c r="AM147" s="2182"/>
      <c r="AN147" s="2183"/>
      <c r="AO147" s="2184"/>
      <c r="AP147" s="2185" t="s">
        <v>430</v>
      </c>
      <c r="AQ147" s="2182"/>
      <c r="AR147" s="2182"/>
      <c r="AS147" s="2183"/>
      <c r="AT147" s="2186"/>
      <c r="AU147" s="2182" t="s">
        <v>418</v>
      </c>
      <c r="AV147" s="2183"/>
      <c r="AW147" s="2183"/>
      <c r="AX147" s="2183"/>
      <c r="AY147" s="2183"/>
      <c r="AZ147" s="2183"/>
      <c r="BA147" s="2183"/>
      <c r="BB147" s="2184"/>
      <c r="BC147" s="2187" t="s">
        <v>433</v>
      </c>
    </row>
    <row r="148" spans="1:55" ht="38.25" customHeight="1" thickBot="1" x14ac:dyDescent="0.35">
      <c r="A148" s="102"/>
      <c r="B148" s="653"/>
      <c r="C148" s="1245" t="str">
        <f>C14</f>
        <v>Q3</v>
      </c>
      <c r="D148" s="925" t="str">
        <f t="shared" ref="D148:I148" si="142">D14</f>
        <v>Q2</v>
      </c>
      <c r="E148" s="925" t="str">
        <f t="shared" si="142"/>
        <v>Q1</v>
      </c>
      <c r="F148" s="925" t="str">
        <f t="shared" si="142"/>
        <v>Q4-19</v>
      </c>
      <c r="G148" s="722" t="str">
        <f t="shared" si="142"/>
        <v>Q3-19</v>
      </c>
      <c r="H148" s="722" t="str">
        <f t="shared" si="142"/>
        <v>2018-2019</v>
      </c>
      <c r="I148" s="926" t="str">
        <f t="shared" si="142"/>
        <v>25% of previous year total</v>
      </c>
      <c r="J148" s="724" t="s">
        <v>434</v>
      </c>
      <c r="K148" s="725" t="s">
        <v>435</v>
      </c>
      <c r="L148" s="1158"/>
      <c r="M148" s="726"/>
      <c r="N148" s="902"/>
      <c r="O148" s="728" t="s">
        <v>438</v>
      </c>
      <c r="P148" s="925" t="s">
        <v>470</v>
      </c>
      <c r="Q148" s="925" t="s">
        <v>471</v>
      </c>
      <c r="R148" s="1169" t="s">
        <v>439</v>
      </c>
      <c r="S148" s="729" t="s">
        <v>440</v>
      </c>
      <c r="T148" s="2156" t="s">
        <v>441</v>
      </c>
      <c r="U148" s="2155"/>
      <c r="V148" s="1394"/>
      <c r="W148" s="1394"/>
      <c r="X148" s="1394"/>
      <c r="Y148" s="2157" t="s">
        <v>449</v>
      </c>
      <c r="Z148" s="2155"/>
      <c r="AA148" s="1159" t="s">
        <v>445</v>
      </c>
      <c r="AB148" s="2193"/>
      <c r="AC148" s="2189"/>
      <c r="AD148" s="1409" t="str">
        <f>AD14</f>
        <v>Q3</v>
      </c>
      <c r="AE148" s="955" t="str">
        <f t="shared" ref="AE148:AJ148" si="143">AE14</f>
        <v>Q2</v>
      </c>
      <c r="AF148" s="730" t="str">
        <f t="shared" si="143"/>
        <v>Q1</v>
      </c>
      <c r="AG148" s="730" t="str">
        <f t="shared" si="143"/>
        <v>Q4-19</v>
      </c>
      <c r="AH148" s="956" t="str">
        <f t="shared" si="143"/>
        <v>Q3-19</v>
      </c>
      <c r="AI148" s="957" t="str">
        <f t="shared" si="143"/>
        <v>2018-2019</v>
      </c>
      <c r="AJ148" s="957" t="str">
        <f t="shared" si="143"/>
        <v>25% of previous year total</v>
      </c>
      <c r="AK148" s="958" t="s">
        <v>434</v>
      </c>
      <c r="AL148" s="959" t="s">
        <v>435</v>
      </c>
      <c r="AM148" s="1161"/>
      <c r="AN148" s="837"/>
      <c r="AO148" s="838"/>
      <c r="AP148" s="731" t="s">
        <v>438</v>
      </c>
      <c r="AQ148" s="730" t="s">
        <v>470</v>
      </c>
      <c r="AR148" s="730" t="s">
        <v>471</v>
      </c>
      <c r="AS148" s="1168" t="s">
        <v>439</v>
      </c>
      <c r="AT148" s="732" t="s">
        <v>440</v>
      </c>
      <c r="AU148" s="2189" t="s">
        <v>441</v>
      </c>
      <c r="AV148" s="2190"/>
      <c r="AW148" s="1394"/>
      <c r="AX148" s="1394"/>
      <c r="AY148" s="1394"/>
      <c r="AZ148" s="2191" t="s">
        <v>450</v>
      </c>
      <c r="BA148" s="2190"/>
      <c r="BB148" s="1162" t="s">
        <v>445</v>
      </c>
      <c r="BC148" s="2188"/>
    </row>
    <row r="149" spans="1:55" ht="13.5" customHeight="1" x14ac:dyDescent="0.3">
      <c r="A149" s="960" t="str">
        <f>'Q1'!B171</f>
        <v>Waste recycled externally (excl. ICT waste)</v>
      </c>
      <c r="B149" s="903"/>
      <c r="C149" s="1262">
        <f t="shared" ref="C149:H162" ca="1" si="144">INDEX(INDIRECT(CONCATENATE("'",C$14,"'!$E$171:$E$184"),TRUE),MATCH($A149,INDIRECT(CONCATENATE("'",C$14,"'!$B$171:$B$184"),TRUE),0))</f>
        <v>0</v>
      </c>
      <c r="D149" s="760">
        <f t="shared" ca="1" si="144"/>
        <v>9584.11</v>
      </c>
      <c r="E149" s="761">
        <f t="shared" ca="1" si="144"/>
        <v>10210.61</v>
      </c>
      <c r="F149" s="761">
        <f t="shared" ca="1" si="144"/>
        <v>10123.6057666738</v>
      </c>
      <c r="G149" s="761">
        <f t="shared" ca="1" si="144"/>
        <v>9587.2362859801106</v>
      </c>
      <c r="H149" s="761">
        <f t="shared" ca="1" si="144"/>
        <v>39436.597342014502</v>
      </c>
      <c r="I149" s="961">
        <f t="shared" ref="I149:I162" ca="1" si="145">H149/4</f>
        <v>9859.1493355036255</v>
      </c>
      <c r="J149" s="800" t="str">
        <f t="shared" ref="J149:J157" ca="1" si="146">IF(AND(C149&gt;0,SUM(D149:I149)&gt;0),"",IF(AND(C149=0,SUM(C149:I149)=0),"",IF(AND(C149=0,D149&gt;0),"Missing value?",IF(AND(C149=0,I149&gt;0),"Missing value?","New category"))))</f>
        <v>Missing value?</v>
      </c>
      <c r="K149" s="801"/>
      <c r="L149" s="962"/>
      <c r="M149" s="963"/>
      <c r="N149" s="964"/>
      <c r="O149" s="906">
        <f t="shared" ref="O149:O162" ca="1" si="147">IF(OR(+$J149="missing?",+$J149="new category"),"",IF($D149=0,"",IF(SUM($C149:$I149)=0,"",IFERROR((($C149-$D149)/$D149),"N/A"))))</f>
        <v>-1</v>
      </c>
      <c r="P149" s="765">
        <f t="shared" ref="P149:P162" ca="1" si="148">IF(OR(+$J149="missing?",+$J149="new category"),"",IF($E149=0,"",IF(SUM($C149:$I149)=0,"",IFERROR((($C149-$E149)/$E149),"N/A"))))</f>
        <v>-1</v>
      </c>
      <c r="Q149" s="765">
        <f t="shared" ref="Q149:Q162" ca="1" si="149">IF(OR(+$J149="missing?",+$J149="new category"),"",IF($F149=0,"",IF(SUM($C149:$I149)=0,"",IFERROR((($C149-$F149)/$F149),"N/A"))))</f>
        <v>-1</v>
      </c>
      <c r="R149" s="765">
        <f t="shared" ref="R149:R162" ca="1" si="150">IF(OR(+$J149="missing?",+$J149="new category"),"",IF($G149=0,"",IF(SUM($C149:$I149)=0,"",IFERROR((($C149-$G149)/$G149),"N/A"))))</f>
        <v>-1</v>
      </c>
      <c r="S149" s="907">
        <f t="shared" ref="S149:S162" ca="1" si="151">IF(OR(+$J149="missing?",+$J149="new category"),"",IF($I149=0,"",IF(SUM($C149:$I149)=0,"",IFERROR((($C149-$I149)/$I149),"N/A"))))</f>
        <v>-1</v>
      </c>
      <c r="T149" s="1068">
        <f t="shared" ref="T149:T157" ca="1" si="152">IF(SUM(C149:I149)=0,"",IF(OR(AND(C149=0,SUM(D149:I149)&gt;0),AND(C149&gt;0,SUM(D149:I149)=0)),1,IF(MAX(IF(O149&lt;0,-O149,O149),IF(P149&lt;0,-P149,P149),IF(Q149&lt;0,-Q149,Q149),IF(R149&lt;0,-R149,R149),IF(S149&lt;0,-S149,S149))=0,"",MAX(IF(O149&lt;0,-O149,O149),IF(P149&lt;0,-P149,P149),IF(Q149&lt;0,-Q149,Q149),IF(R149&lt;0,-R149,R149),IF(S149&lt;0,-S149,S149)))))</f>
        <v>1</v>
      </c>
      <c r="U149" s="766" t="str">
        <f t="shared" ref="U149:U157" ca="1" si="153">IF(+T149="","",IF(T149&gt;$N$3,"H",IF(T149&gt;$N$4,"M","")))</f>
        <v>H</v>
      </c>
      <c r="V149" s="1395"/>
      <c r="W149" s="1395"/>
      <c r="X149" s="1395"/>
      <c r="Y149" s="1068">
        <f ca="1">IF(OR(C149=0,C$162=0),IF(AND(D149&gt;0,D$162&gt;0), +T149*D149/D$162, IF(AND(I149&gt;0,I$162&gt;0), +T149*I149/I$162, "")), +T149*C149/C$162)</f>
        <v>0.74107171162867658</v>
      </c>
      <c r="Z149" s="766" t="str">
        <f t="shared" ref="Z149:Z157" ca="1" si="154">IF(+Y149="","",IF(Y149&gt;$N$3,"H",IF(Y149&gt;$N$4,"M","")))</f>
        <v>H</v>
      </c>
      <c r="AA149" s="762"/>
      <c r="AB149" s="758" t="str">
        <f ca="1">IF(CONCATENATE(IF(K149="OK","",J149),"    ",IF(AND(+AA149="",Z149="M"),"Value change with medium impact",IF(AND(AA149="",Z149="H"),"Value change with high impact",""))," ")="     ","",CONCATENATE(IF(K149="OK","",J149),"    ",IF(AND(+AA149="",Z149="M"),"Value change with medium impact",IF(AND(AA149="",Z149="H"),"Value change with high impact",""))," "))</f>
        <v xml:space="preserve">Missing value?    Value change with high impact </v>
      </c>
      <c r="AC149" s="965" t="str">
        <f ca="1">IF(AD149&gt;C149,"Offices only&gt;Total Estate","")</f>
        <v/>
      </c>
      <c r="AD149" s="1180">
        <f t="shared" ref="AD149:AI162" ca="1" si="155">INDEX(INDIRECT(CONCATENATE("'",AD$14,"'!$G$171:$G$184"),TRUE),MATCH($A149,INDIRECT(CONCATENATE("'",AD$14,"'!$B$171:$B$184"),TRUE),0))</f>
        <v>0</v>
      </c>
      <c r="AE149" s="760">
        <f t="shared" ca="1" si="155"/>
        <v>143.43</v>
      </c>
      <c r="AF149" s="761">
        <f t="shared" ca="1" si="155"/>
        <v>98.81</v>
      </c>
      <c r="AG149" s="761">
        <f t="shared" ca="1" si="155"/>
        <v>443.85256819385501</v>
      </c>
      <c r="AH149" s="761">
        <f t="shared" ca="1" si="155"/>
        <v>311.27616338948701</v>
      </c>
      <c r="AI149" s="761">
        <f t="shared" ca="1" si="155"/>
        <v>1542.576482537015</v>
      </c>
      <c r="AJ149" s="961">
        <f ca="1">AI149/4</f>
        <v>385.64412063425374</v>
      </c>
      <c r="AK149" s="800" t="str">
        <f ca="1">IF(AND(AD149&gt;0,SUM(AE149:AJ149)&gt;0),"",IF(AND(AD149=0,SUM(AD149:AJ149)=0),"",IF(AND(AD149=0,AE149&gt;0),"missing?",IF(AND(AD149=0,AJ149&gt;0),"missing?","new category"))))</f>
        <v>missing?</v>
      </c>
      <c r="AL149" s="801"/>
      <c r="AM149" s="962"/>
      <c r="AN149" s="963"/>
      <c r="AO149" s="964"/>
      <c r="AP149" s="802" t="str">
        <f t="shared" ref="AP149:AP162" ca="1" si="156">IF(OR(+$AK149="missing?",+$AK149="new category"),"",IF($AE149=0,"",IF(SUM($AD149:$AJ149)=0,"",IFERROR((($AD149-$AE149)/$AE149),"N/A"))))</f>
        <v/>
      </c>
      <c r="AQ149" s="765" t="str">
        <f t="shared" ref="AQ149:AQ162" ca="1" si="157">IF(OR(+$AK149="missing?",+$AK149="new category"),"",IF($AF149=0,"",IF(SUM($AD149:$AJ149)=0,"",IFERROR((($AD149-$AF149)/$AF149),"N/A"))))</f>
        <v/>
      </c>
      <c r="AR149" s="765" t="str">
        <f t="shared" ref="AR149:AR162" ca="1" si="158">IF(OR(+$AK149="missing?",+$AK149="new category"),"",IF($AG149=0,"",IF(SUM($AD149:$AJ149)=0,"",IFERROR((($AD149-$AG149)/$AG149),"N/A"))))</f>
        <v/>
      </c>
      <c r="AS149" s="765" t="str">
        <f t="shared" ref="AS149:AS162" ca="1" si="159">IF(OR(+$AK149="missing?",+$AK149="new category"),"",IF($AH149=0,"",IF(SUM($AD149:$AJ149)=0,"",IFERROR((($AD149-$AH149)/$AH149),"N/A"))))</f>
        <v/>
      </c>
      <c r="AT149" s="907" t="str">
        <f ca="1">IF(OR(+$AK149="missing?",+$AK149="new category"),"",IF($AJ149=0,"",IF(SUM($AD149:$AJ149)=0,"",IFERROR((($AD149-$AJ149)/$AJ149),"N/A"))))</f>
        <v/>
      </c>
      <c r="AU149" s="1068" t="str">
        <f t="shared" ref="AU149:AU157" ca="1" si="160">IF(MAX(IF(AP149&lt;0,-AP149,AP149),IF(AS149&lt;0,-AS149,AS149),IF(AT149&lt;0,-AT149,AT149))=0,"",MAX(IF(AP149&lt;0,-AP149,AP149),IF(AQ149&lt;0,-AQ149,AQ149),IF(AR149&lt;0,-AR149,AR149),IF(AS149&lt;0,-AS149,AS149),IF(AT149&lt;0,-AT149,AT149)))</f>
        <v/>
      </c>
      <c r="AV149" s="766" t="str">
        <f t="shared" ref="AV149:AV157" ca="1" si="161">IF(+AU149="","",IF(AU149&gt;$AO$3,"H",IF(AU149&gt;$AO$4,"M","")))</f>
        <v/>
      </c>
      <c r="AW149" s="1395"/>
      <c r="AX149" s="1395"/>
      <c r="AY149" s="1395"/>
      <c r="AZ149" s="1068" t="e">
        <f ca="1">IF(OR(AD149=0,AD$162=0),IF(AND(AE149&gt;0,AE$162&gt;0), +AU149*AE149/AE$162, IF(AND(AJ149&gt;0,AJ$162&gt;0), +AU149*AJ149/AJ$162, "")), IF(AU149="", "", +AU149*AD149/AD$162))</f>
        <v>#VALUE!</v>
      </c>
      <c r="BA149" s="766" t="e">
        <f t="shared" ref="BA149:BA157" ca="1" si="162">IF(+AZ149="","",IF(AZ149&gt;$AO$3,"H",IF(AZ149&gt;$AO$4,"M","")))</f>
        <v>#VALUE!</v>
      </c>
      <c r="BB149" s="762"/>
      <c r="BC149" s="758" t="e">
        <f ca="1">IF(CONCATENATE(AC149, "    ", IF(AL149="OK","",AK149),"    ",IF(AND(+BB149="",BA149="M"),"Value change with medium impact",IF(AND(BB149="",BA149="H"),"Value change with high impact",""))," ")="         ","",CONCATENATE(AC149, "    ", IF(AL149="OK","",AK149),"    ",IF(AND(+BB149="",BA149="M"),"Value change with medium impact",IF(AND(BB149="",BA149="H"),"Value change with high impact",""))," "))</f>
        <v>#VALUE!</v>
      </c>
    </row>
    <row r="150" spans="1:55" ht="13.5" customHeight="1" x14ac:dyDescent="0.3">
      <c r="A150" s="966" t="str">
        <f>'Q1'!B172</f>
        <v>waste reused externally  (excl. ICT waste)</v>
      </c>
      <c r="B150" s="908"/>
      <c r="C150" s="1179">
        <f t="shared" ca="1" si="144"/>
        <v>0</v>
      </c>
      <c r="D150" s="781">
        <f t="shared" ca="1" si="144"/>
        <v>155.63999999999999</v>
      </c>
      <c r="E150" s="769">
        <f t="shared" ca="1" si="144"/>
        <v>34.437230194091804</v>
      </c>
      <c r="F150" s="769">
        <f t="shared" ca="1" si="144"/>
        <v>192.63350514221099</v>
      </c>
      <c r="G150" s="769">
        <f t="shared" ca="1" si="144"/>
        <v>410.24924185660399</v>
      </c>
      <c r="H150" s="769">
        <f t="shared" ca="1" si="144"/>
        <v>1075.929548987916</v>
      </c>
      <c r="I150" s="967">
        <f t="shared" ca="1" si="145"/>
        <v>268.98238724697899</v>
      </c>
      <c r="J150" s="771" t="str">
        <f t="shared" ca="1" si="146"/>
        <v>Missing value?</v>
      </c>
      <c r="K150" s="772"/>
      <c r="L150" s="968"/>
      <c r="M150" s="969"/>
      <c r="N150" s="970"/>
      <c r="O150" s="810">
        <f t="shared" ca="1" si="147"/>
        <v>-1</v>
      </c>
      <c r="P150" s="783">
        <f t="shared" ca="1" si="148"/>
        <v>-1</v>
      </c>
      <c r="Q150" s="783">
        <f t="shared" ca="1" si="149"/>
        <v>-1</v>
      </c>
      <c r="R150" s="783">
        <f t="shared" ca="1" si="150"/>
        <v>-1</v>
      </c>
      <c r="S150" s="811">
        <f t="shared" ca="1" si="151"/>
        <v>-1</v>
      </c>
      <c r="T150" s="1069">
        <f t="shared" ca="1" si="152"/>
        <v>1</v>
      </c>
      <c r="U150" s="1165" t="str">
        <f t="shared" ca="1" si="153"/>
        <v>H</v>
      </c>
      <c r="V150" s="1396"/>
      <c r="W150" s="1396"/>
      <c r="X150" s="1396"/>
      <c r="Y150" s="1069">
        <f t="shared" ref="Y150:Y157" ca="1" si="163">IF(OR(C150=0,C$162=0),IF(AND(D150&gt;0,D$162&gt;0), +T150*D150/D$162, IF(AND(I150&gt;0,I$162&gt;0), +T150*I150/I$162, "")), +T150*C150/C$162)</f>
        <v>1.2034544803626753E-2</v>
      </c>
      <c r="Z150" s="1165" t="str">
        <f t="shared" ca="1" si="154"/>
        <v/>
      </c>
      <c r="AA150" s="782"/>
      <c r="AB150" s="804" t="str">
        <f t="shared" ref="AB150:AB156" ca="1" si="164">IF(CONCATENATE(IF(K150="OK","",J150),"    ",IF(AND(+AA150="",Z150="M"),"Value change with medium impact",IF(AND(AA150="",Z150="H"),"Value change with high impact",""))," ")="     ","",CONCATENATE(IF(K150="OK","",J150),"    ",IF(AND(+AA150="",Z150="M"),"Value change with medium impact",IF(AND(AA150="",Z150="H"),"Value change with high impact",""))," "))</f>
        <v xml:space="preserve">Missing value?     </v>
      </c>
      <c r="AC150" s="971" t="str">
        <f t="shared" ref="AC150:AC157" ca="1" si="165">IF(AD150&gt;C150,"Offices only&gt;Total Estate","")</f>
        <v/>
      </c>
      <c r="AD150" s="1179">
        <f t="shared" ca="1" si="155"/>
        <v>0</v>
      </c>
      <c r="AE150" s="806">
        <f t="shared" ca="1" si="155"/>
        <v>0</v>
      </c>
      <c r="AF150" s="749">
        <f t="shared" ca="1" si="155"/>
        <v>0</v>
      </c>
      <c r="AG150" s="749">
        <f t="shared" ca="1" si="155"/>
        <v>4</v>
      </c>
      <c r="AH150" s="749">
        <f t="shared" ca="1" si="155"/>
        <v>0</v>
      </c>
      <c r="AI150" s="749">
        <f t="shared" ca="1" si="155"/>
        <v>4</v>
      </c>
      <c r="AJ150" s="972">
        <f t="shared" ref="AJ150:AJ162" ca="1" si="166">AI150/4</f>
        <v>1</v>
      </c>
      <c r="AK150" s="973" t="str">
        <f t="shared" ref="AK150:AK157" ca="1" si="167">IF(AND(AD150&gt;0,SUM(AE150:AJ150)&gt;0),"",IF(AND(AD150=0,SUM(AD150:AJ150)=0),"",IF(AND(AD150=0,AE150&gt;0),"missing?",IF(AND(AD150=0,AJ150&gt;0),"missing?","new category"))))</f>
        <v>missing?</v>
      </c>
      <c r="AL150" s="772"/>
      <c r="AM150" s="968"/>
      <c r="AN150" s="969"/>
      <c r="AO150" s="970"/>
      <c r="AP150" s="755" t="str">
        <f t="shared" ca="1" si="156"/>
        <v/>
      </c>
      <c r="AQ150" s="808" t="str">
        <f t="shared" ca="1" si="157"/>
        <v/>
      </c>
      <c r="AR150" s="808" t="str">
        <f t="shared" ca="1" si="158"/>
        <v/>
      </c>
      <c r="AS150" s="808" t="str">
        <f t="shared" ca="1" si="159"/>
        <v/>
      </c>
      <c r="AT150" s="974" t="str">
        <f t="shared" ref="AT150:AT162" ca="1" si="168">IF(OR(+$AK150="missing?",+$AK150="new category"),"",IF($AJ150=0,"",IF(SUM($AD150:$AJ150)=0,"",IFERROR((($AD150-$AJ150)/$AJ150),"N/A"))))</f>
        <v/>
      </c>
      <c r="AU150" s="1069" t="str">
        <f t="shared" ca="1" si="160"/>
        <v/>
      </c>
      <c r="AV150" s="1165" t="str">
        <f t="shared" ca="1" si="161"/>
        <v/>
      </c>
      <c r="AW150" s="1396"/>
      <c r="AX150" s="1396"/>
      <c r="AY150" s="1396"/>
      <c r="AZ150" s="1069" t="e">
        <f t="shared" ref="AZ150:AZ161" ca="1" si="169">IF(OR(AD150=0,AD$162=0),IF(AND(AE150&gt;0,AE$162&gt;0), +AU150*AE150/AE$162, IF(AND(AJ150&gt;0,AJ$162&gt;0), +AU150*AJ150/AJ$162, "")), IF(AU150="", "", +AU150*AD150/AD$162))</f>
        <v>#VALUE!</v>
      </c>
      <c r="BA150" s="1165" t="e">
        <f t="shared" ca="1" si="162"/>
        <v>#VALUE!</v>
      </c>
      <c r="BB150" s="782"/>
      <c r="BC150" s="804" t="e">
        <f t="shared" ref="BC150:BC161" ca="1" si="170">IF(CONCATENATE(AC150, "    ", IF(AL150="OK","",AK150),"    ",IF(AND(+BB150="",BA150="M"),"Value change with medium impact",IF(AND(BB150="",BA150="H"),"Value change with high impact",""))," ")="         ","",CONCATENATE(AC150, "    ", IF(AL150="OK","",AK150),"    ",IF(AND(+BB150="",BA150="M"),"Value change with medium impact",IF(AND(BB150="",BA150="H"),"Value change with high impact",""))," "))</f>
        <v>#VALUE!</v>
      </c>
    </row>
    <row r="151" spans="1:55" ht="13.5" customHeight="1" x14ac:dyDescent="0.3">
      <c r="A151" s="966" t="str">
        <f>'Q1'!B173</f>
        <v>ICT waste recycled externally</v>
      </c>
      <c r="B151" s="908"/>
      <c r="C151" s="1179">
        <f t="shared" ca="1" si="144"/>
        <v>0</v>
      </c>
      <c r="D151" s="781">
        <f t="shared" ca="1" si="144"/>
        <v>1.03</v>
      </c>
      <c r="E151" s="769">
        <f t="shared" ca="1" si="144"/>
        <v>2.3051999511718799</v>
      </c>
      <c r="F151" s="769">
        <f t="shared" ca="1" si="144"/>
        <v>7.766</v>
      </c>
      <c r="G151" s="769">
        <f t="shared" ca="1" si="144"/>
        <v>8.1000000000000003E-2</v>
      </c>
      <c r="H151" s="769">
        <f t="shared" ca="1" si="144"/>
        <v>10.001200000762939</v>
      </c>
      <c r="I151" s="967">
        <f t="shared" ca="1" si="145"/>
        <v>2.5003000001907347</v>
      </c>
      <c r="J151" s="771" t="str">
        <f t="shared" ca="1" si="146"/>
        <v>Missing value?</v>
      </c>
      <c r="K151" s="772"/>
      <c r="L151" s="968"/>
      <c r="M151" s="969"/>
      <c r="N151" s="1203"/>
      <c r="O151" s="810">
        <f t="shared" ca="1" si="147"/>
        <v>-1</v>
      </c>
      <c r="P151" s="783">
        <f t="shared" ca="1" si="148"/>
        <v>-1</v>
      </c>
      <c r="Q151" s="783">
        <f t="shared" ca="1" si="149"/>
        <v>-1</v>
      </c>
      <c r="R151" s="783">
        <f t="shared" ca="1" si="150"/>
        <v>-1</v>
      </c>
      <c r="S151" s="811">
        <f t="shared" ca="1" si="151"/>
        <v>-1</v>
      </c>
      <c r="T151" s="1069">
        <f t="shared" ca="1" si="152"/>
        <v>1</v>
      </c>
      <c r="U151" s="1165" t="str">
        <f t="shared" ca="1" si="153"/>
        <v>H</v>
      </c>
      <c r="V151" s="1396"/>
      <c r="W151" s="1396"/>
      <c r="X151" s="1396"/>
      <c r="Y151" s="1069">
        <f t="shared" ca="1" si="163"/>
        <v>7.9642644228575929E-5</v>
      </c>
      <c r="Z151" s="1165" t="str">
        <f t="shared" ca="1" si="154"/>
        <v/>
      </c>
      <c r="AA151" s="782"/>
      <c r="AB151" s="804" t="str">
        <f t="shared" ca="1" si="164"/>
        <v xml:space="preserve">Missing value?     </v>
      </c>
      <c r="AC151" s="971" t="str">
        <f t="shared" ca="1" si="165"/>
        <v/>
      </c>
      <c r="AD151" s="1179">
        <f t="shared" ca="1" si="155"/>
        <v>0</v>
      </c>
      <c r="AE151" s="806">
        <f t="shared" ca="1" si="155"/>
        <v>0.01</v>
      </c>
      <c r="AF151" s="749">
        <f t="shared" ca="1" si="155"/>
        <v>1.11719995117188</v>
      </c>
      <c r="AG151" s="749">
        <f t="shared" ca="1" si="155"/>
        <v>7.7</v>
      </c>
      <c r="AH151" s="749">
        <f t="shared" ca="1" si="155"/>
        <v>0</v>
      </c>
      <c r="AI151" s="749">
        <f t="shared" ca="1" si="155"/>
        <v>7.71870000076294</v>
      </c>
      <c r="AJ151" s="972">
        <f t="shared" ca="1" si="166"/>
        <v>1.929675000190735</v>
      </c>
      <c r="AK151" s="973" t="str">
        <f ca="1">IF(AND(AD151&gt;0,SUM(AE151:AJ151)&gt;0),"",IF(AND(AD151=0,SUM(AD151:AJ151)=0),"",IF(AND(AD151=0,AE151&gt;0),"missing?",IF(AND(AD151=0,AJ151&gt;0),"missing?","new category"))))</f>
        <v>missing?</v>
      </c>
      <c r="AL151" s="772"/>
      <c r="AM151" s="968"/>
      <c r="AN151" s="969"/>
      <c r="AO151" s="970"/>
      <c r="AP151" s="755" t="str">
        <f ca="1">IF(OR(+$AK151="missing?",+$AK151="new category"),"",IF($AE151=0,"",IF(SUM($AD151:$AJ151)=0,"",IFERROR((($AD151-$AE151)/$AE151),"N/A"))))</f>
        <v/>
      </c>
      <c r="AQ151" s="808" t="str">
        <f t="shared" ca="1" si="157"/>
        <v/>
      </c>
      <c r="AR151" s="808" t="str">
        <f t="shared" ca="1" si="158"/>
        <v/>
      </c>
      <c r="AS151" s="808" t="str">
        <f t="shared" ca="1" si="159"/>
        <v/>
      </c>
      <c r="AT151" s="974" t="str">
        <f t="shared" ca="1" si="168"/>
        <v/>
      </c>
      <c r="AU151" s="1069" t="str">
        <f t="shared" ca="1" si="160"/>
        <v/>
      </c>
      <c r="AV151" s="1165" t="str">
        <f t="shared" ca="1" si="161"/>
        <v/>
      </c>
      <c r="AW151" s="1396"/>
      <c r="AX151" s="1396"/>
      <c r="AY151" s="1396"/>
      <c r="AZ151" s="1069" t="e">
        <f t="shared" ca="1" si="169"/>
        <v>#VALUE!</v>
      </c>
      <c r="BA151" s="1165" t="e">
        <f t="shared" ca="1" si="162"/>
        <v>#VALUE!</v>
      </c>
      <c r="BB151" s="782"/>
      <c r="BC151" s="804" t="e">
        <f ca="1">IF(CONCATENATE(AC151, "    ", IF(AL151="OK","",AK151),"    ",IF(AND(+BB151="",BA151="M"),"Value change with medium impact",IF(AND(BB151="",BA151="H"),"Value change with high impact",""))," ")="         ","",CONCATENATE(AC151, "    ", IF(AL151="OK","",AK151),"    ",IF(AND(+BB151="",BA151="M"),"Value change with medium impact",IF(AND(BB151="",BA151="H"),"Value change with high impact",""))," "))</f>
        <v>#VALUE!</v>
      </c>
    </row>
    <row r="152" spans="1:55" ht="13.5" customHeight="1" x14ac:dyDescent="0.3">
      <c r="A152" s="966" t="str">
        <f>'Q1'!B174</f>
        <v>ICT waste reused externally</v>
      </c>
      <c r="B152" s="908"/>
      <c r="C152" s="1179">
        <f t="shared" ca="1" si="144"/>
        <v>0</v>
      </c>
      <c r="D152" s="781">
        <f t="shared" ca="1" si="144"/>
        <v>0</v>
      </c>
      <c r="E152" s="769">
        <f t="shared" ca="1" si="144"/>
        <v>0</v>
      </c>
      <c r="F152" s="769">
        <f t="shared" ca="1" si="144"/>
        <v>0</v>
      </c>
      <c r="G152" s="769">
        <f t="shared" ca="1" si="144"/>
        <v>0</v>
      </c>
      <c r="H152" s="769">
        <f t="shared" ca="1" si="144"/>
        <v>0</v>
      </c>
      <c r="I152" s="967">
        <f t="shared" ca="1" si="145"/>
        <v>0</v>
      </c>
      <c r="J152" s="771" t="str">
        <f t="shared" ca="1" si="146"/>
        <v/>
      </c>
      <c r="K152" s="772"/>
      <c r="L152" s="968"/>
      <c r="M152" s="969"/>
      <c r="N152" s="1203"/>
      <c r="O152" s="810" t="str">
        <f t="shared" ca="1" si="147"/>
        <v/>
      </c>
      <c r="P152" s="783" t="str">
        <f t="shared" ca="1" si="148"/>
        <v/>
      </c>
      <c r="Q152" s="783" t="str">
        <f t="shared" ca="1" si="149"/>
        <v/>
      </c>
      <c r="R152" s="783" t="str">
        <f t="shared" ca="1" si="150"/>
        <v/>
      </c>
      <c r="S152" s="811" t="str">
        <f t="shared" ca="1" si="151"/>
        <v/>
      </c>
      <c r="T152" s="1069" t="str">
        <f t="shared" ca="1" si="152"/>
        <v/>
      </c>
      <c r="U152" s="1165" t="str">
        <f t="shared" ca="1" si="153"/>
        <v/>
      </c>
      <c r="V152" s="1396"/>
      <c r="W152" s="1396"/>
      <c r="X152" s="1396"/>
      <c r="Y152" s="1069" t="str">
        <f t="shared" ca="1" si="163"/>
        <v/>
      </c>
      <c r="Z152" s="1165" t="str">
        <f t="shared" ca="1" si="154"/>
        <v/>
      </c>
      <c r="AA152" s="782"/>
      <c r="AB152" s="804" t="str">
        <f t="shared" ca="1" si="164"/>
        <v/>
      </c>
      <c r="AC152" s="971" t="str">
        <f t="shared" ca="1" si="165"/>
        <v/>
      </c>
      <c r="AD152" s="1179">
        <f t="shared" ca="1" si="155"/>
        <v>0</v>
      </c>
      <c r="AE152" s="806">
        <f t="shared" ca="1" si="155"/>
        <v>0</v>
      </c>
      <c r="AF152" s="749">
        <f t="shared" ca="1" si="155"/>
        <v>0</v>
      </c>
      <c r="AG152" s="749">
        <f t="shared" ca="1" si="155"/>
        <v>0</v>
      </c>
      <c r="AH152" s="749">
        <f t="shared" ca="1" si="155"/>
        <v>0</v>
      </c>
      <c r="AI152" s="749">
        <f t="shared" ca="1" si="155"/>
        <v>0</v>
      </c>
      <c r="AJ152" s="972">
        <f t="shared" ca="1" si="166"/>
        <v>0</v>
      </c>
      <c r="AK152" s="973" t="str">
        <f t="shared" ca="1" si="167"/>
        <v/>
      </c>
      <c r="AL152" s="772"/>
      <c r="AM152" s="968"/>
      <c r="AN152" s="969"/>
      <c r="AO152" s="970"/>
      <c r="AP152" s="755" t="str">
        <f t="shared" ca="1" si="156"/>
        <v/>
      </c>
      <c r="AQ152" s="808" t="str">
        <f t="shared" ca="1" si="157"/>
        <v/>
      </c>
      <c r="AR152" s="808" t="str">
        <f t="shared" ca="1" si="158"/>
        <v/>
      </c>
      <c r="AS152" s="808" t="str">
        <f t="shared" ca="1" si="159"/>
        <v/>
      </c>
      <c r="AT152" s="974" t="str">
        <f t="shared" ca="1" si="168"/>
        <v/>
      </c>
      <c r="AU152" s="1069" t="str">
        <f t="shared" ca="1" si="160"/>
        <v/>
      </c>
      <c r="AV152" s="1165" t="str">
        <f t="shared" ca="1" si="161"/>
        <v/>
      </c>
      <c r="AW152" s="1396"/>
      <c r="AX152" s="1396"/>
      <c r="AY152" s="1396"/>
      <c r="AZ152" s="1069" t="str">
        <f t="shared" ca="1" si="169"/>
        <v/>
      </c>
      <c r="BA152" s="1165" t="str">
        <f t="shared" ca="1" si="162"/>
        <v/>
      </c>
      <c r="BB152" s="782"/>
      <c r="BC152" s="804" t="str">
        <f t="shared" ca="1" si="170"/>
        <v/>
      </c>
    </row>
    <row r="153" spans="1:55" ht="13.5" customHeight="1" x14ac:dyDescent="0.3">
      <c r="A153" s="966" t="str">
        <f>'Q1'!B175</f>
        <v>ICT waste - other (please describe and explain)</v>
      </c>
      <c r="B153" s="908"/>
      <c r="C153" s="1179">
        <f t="shared" ca="1" si="144"/>
        <v>0</v>
      </c>
      <c r="D153" s="781">
        <f t="shared" ca="1" si="144"/>
        <v>0</v>
      </c>
      <c r="E153" s="769">
        <f t="shared" ca="1" si="144"/>
        <v>0</v>
      </c>
      <c r="F153" s="769">
        <f t="shared" ca="1" si="144"/>
        <v>0</v>
      </c>
      <c r="G153" s="769">
        <f t="shared" ca="1" si="144"/>
        <v>0</v>
      </c>
      <c r="H153" s="769">
        <f t="shared" ca="1" si="144"/>
        <v>0</v>
      </c>
      <c r="I153" s="967">
        <f t="shared" ca="1" si="145"/>
        <v>0</v>
      </c>
      <c r="J153" s="771" t="str">
        <f t="shared" ca="1" si="146"/>
        <v/>
      </c>
      <c r="K153" s="772"/>
      <c r="L153" s="968"/>
      <c r="M153" s="969"/>
      <c r="N153" s="1203"/>
      <c r="O153" s="810" t="str">
        <f t="shared" ca="1" si="147"/>
        <v/>
      </c>
      <c r="P153" s="783" t="str">
        <f t="shared" ca="1" si="148"/>
        <v/>
      </c>
      <c r="Q153" s="783" t="str">
        <f t="shared" ca="1" si="149"/>
        <v/>
      </c>
      <c r="R153" s="783" t="str">
        <f t="shared" ca="1" si="150"/>
        <v/>
      </c>
      <c r="S153" s="811" t="str">
        <f t="shared" ca="1" si="151"/>
        <v/>
      </c>
      <c r="T153" s="1069" t="str">
        <f t="shared" ca="1" si="152"/>
        <v/>
      </c>
      <c r="U153" s="1165" t="str">
        <f t="shared" ca="1" si="153"/>
        <v/>
      </c>
      <c r="V153" s="1396"/>
      <c r="W153" s="1396"/>
      <c r="X153" s="1396"/>
      <c r="Y153" s="1069" t="str">
        <f t="shared" ca="1" si="163"/>
        <v/>
      </c>
      <c r="Z153" s="1165" t="str">
        <f t="shared" ca="1" si="154"/>
        <v/>
      </c>
      <c r="AA153" s="782"/>
      <c r="AB153" s="804" t="str">
        <f t="shared" ca="1" si="164"/>
        <v/>
      </c>
      <c r="AC153" s="971" t="str">
        <f t="shared" ca="1" si="165"/>
        <v/>
      </c>
      <c r="AD153" s="1179">
        <f t="shared" ca="1" si="155"/>
        <v>0</v>
      </c>
      <c r="AE153" s="806">
        <f t="shared" ca="1" si="155"/>
        <v>0</v>
      </c>
      <c r="AF153" s="749">
        <f t="shared" ca="1" si="155"/>
        <v>0</v>
      </c>
      <c r="AG153" s="749">
        <f t="shared" ca="1" si="155"/>
        <v>0</v>
      </c>
      <c r="AH153" s="749">
        <f t="shared" ca="1" si="155"/>
        <v>0</v>
      </c>
      <c r="AI153" s="749">
        <f t="shared" ca="1" si="155"/>
        <v>0</v>
      </c>
      <c r="AJ153" s="972">
        <f t="shared" ca="1" si="166"/>
        <v>0</v>
      </c>
      <c r="AK153" s="973" t="str">
        <f t="shared" ca="1" si="167"/>
        <v/>
      </c>
      <c r="AL153" s="772"/>
      <c r="AM153" s="968"/>
      <c r="AN153" s="969"/>
      <c r="AO153" s="970"/>
      <c r="AP153" s="755" t="str">
        <f t="shared" ca="1" si="156"/>
        <v/>
      </c>
      <c r="AQ153" s="808" t="str">
        <f t="shared" ca="1" si="157"/>
        <v/>
      </c>
      <c r="AR153" s="808" t="str">
        <f t="shared" ca="1" si="158"/>
        <v/>
      </c>
      <c r="AS153" s="808" t="str">
        <f t="shared" ca="1" si="159"/>
        <v/>
      </c>
      <c r="AT153" s="974" t="str">
        <f t="shared" ca="1" si="168"/>
        <v/>
      </c>
      <c r="AU153" s="1069" t="str">
        <f t="shared" ca="1" si="160"/>
        <v/>
      </c>
      <c r="AV153" s="1165" t="str">
        <f t="shared" ca="1" si="161"/>
        <v/>
      </c>
      <c r="AW153" s="1396"/>
      <c r="AX153" s="1396"/>
      <c r="AY153" s="1396"/>
      <c r="AZ153" s="1069" t="str">
        <f t="shared" ca="1" si="169"/>
        <v/>
      </c>
      <c r="BA153" s="1165" t="str">
        <f t="shared" ca="1" si="162"/>
        <v/>
      </c>
      <c r="BB153" s="782"/>
      <c r="BC153" s="804" t="str">
        <f t="shared" ca="1" si="170"/>
        <v/>
      </c>
    </row>
    <row r="154" spans="1:55" ht="13.5" customHeight="1" x14ac:dyDescent="0.3">
      <c r="A154" s="966" t="str">
        <f>'Q1'!B176</f>
        <v>Waste composted or sent to anaerobic digestion</v>
      </c>
      <c r="B154" s="908"/>
      <c r="C154" s="1179">
        <f t="shared" ca="1" si="144"/>
        <v>0</v>
      </c>
      <c r="D154" s="781">
        <f t="shared" ca="1" si="144"/>
        <v>861.37</v>
      </c>
      <c r="E154" s="769">
        <f t="shared" ca="1" si="144"/>
        <v>747.00797580645099</v>
      </c>
      <c r="F154" s="769">
        <f t="shared" ca="1" si="144"/>
        <v>663.91750000000002</v>
      </c>
      <c r="G154" s="769">
        <f t="shared" ca="1" si="144"/>
        <v>670.14179040354395</v>
      </c>
      <c r="H154" s="769">
        <f t="shared" ca="1" si="144"/>
        <v>2544.680415403544</v>
      </c>
      <c r="I154" s="967">
        <f t="shared" ca="1" si="145"/>
        <v>636.17010385088599</v>
      </c>
      <c r="J154" s="771" t="str">
        <f t="shared" ca="1" si="146"/>
        <v>Missing value?</v>
      </c>
      <c r="K154" s="772"/>
      <c r="L154" s="968"/>
      <c r="M154" s="969"/>
      <c r="N154" s="970"/>
      <c r="O154" s="810">
        <f t="shared" ca="1" si="147"/>
        <v>-1</v>
      </c>
      <c r="P154" s="783">
        <f t="shared" ca="1" si="148"/>
        <v>-1</v>
      </c>
      <c r="Q154" s="783">
        <f t="shared" ca="1" si="149"/>
        <v>-1</v>
      </c>
      <c r="R154" s="783">
        <f t="shared" ca="1" si="150"/>
        <v>-1</v>
      </c>
      <c r="S154" s="811">
        <f t="shared" ca="1" si="151"/>
        <v>-1</v>
      </c>
      <c r="T154" s="1069">
        <f t="shared" ca="1" si="152"/>
        <v>1</v>
      </c>
      <c r="U154" s="1165" t="str">
        <f t="shared" ca="1" si="153"/>
        <v>H</v>
      </c>
      <c r="V154" s="1396"/>
      <c r="W154" s="1396"/>
      <c r="X154" s="1396"/>
      <c r="Y154" s="1069">
        <f t="shared" ca="1" si="163"/>
        <v>6.660367423220237E-2</v>
      </c>
      <c r="Z154" s="1165" t="str">
        <f t="shared" ca="1" si="154"/>
        <v>M</v>
      </c>
      <c r="AA154" s="782"/>
      <c r="AB154" s="804" t="str">
        <f ca="1">IF(CONCATENATE(IF(K154="OK","",J154),"    ",IF(AND(+AA154="",Z154="M"),"Value change with medium impact",IF(AND(AA154="",Z154="H"),"Value change with high impact",""))," ")="     ","",CONCATENATE(IF(K154="OK","",J154),"    ",IF(AND(+AA154="",Z154="M"),"Value change with medium impact",IF(AND(AA154="",Z154="H"),"Value change with high impact",""))," "))</f>
        <v xml:space="preserve">Missing value?    Value change with medium impact </v>
      </c>
      <c r="AC154" s="971" t="str">
        <f t="shared" ca="1" si="165"/>
        <v/>
      </c>
      <c r="AD154" s="1179">
        <f t="shared" ca="1" si="155"/>
        <v>0</v>
      </c>
      <c r="AE154" s="806">
        <f t="shared" ca="1" si="155"/>
        <v>6.38</v>
      </c>
      <c r="AF154" s="749">
        <f t="shared" ca="1" si="155"/>
        <v>5.9287499999999902</v>
      </c>
      <c r="AG154" s="749">
        <f t="shared" ca="1" si="155"/>
        <v>0</v>
      </c>
      <c r="AH154" s="749">
        <f t="shared" ca="1" si="155"/>
        <v>10.0823475271756</v>
      </c>
      <c r="AI154" s="749">
        <f t="shared" ca="1" si="155"/>
        <v>48.162722527175603</v>
      </c>
      <c r="AJ154" s="972">
        <f t="shared" ca="1" si="166"/>
        <v>12.040680631793901</v>
      </c>
      <c r="AK154" s="973" t="str">
        <f t="shared" ca="1" si="167"/>
        <v>missing?</v>
      </c>
      <c r="AL154" s="772"/>
      <c r="AM154" s="968"/>
      <c r="AN154" s="969"/>
      <c r="AO154" s="970"/>
      <c r="AP154" s="755" t="str">
        <f t="shared" ca="1" si="156"/>
        <v/>
      </c>
      <c r="AQ154" s="808" t="str">
        <f t="shared" ca="1" si="157"/>
        <v/>
      </c>
      <c r="AR154" s="808" t="str">
        <f t="shared" ca="1" si="158"/>
        <v/>
      </c>
      <c r="AS154" s="808" t="str">
        <f t="shared" ca="1" si="159"/>
        <v/>
      </c>
      <c r="AT154" s="974" t="str">
        <f t="shared" ca="1" si="168"/>
        <v/>
      </c>
      <c r="AU154" s="1069" t="str">
        <f t="shared" ca="1" si="160"/>
        <v/>
      </c>
      <c r="AV154" s="1165" t="str">
        <f t="shared" ca="1" si="161"/>
        <v/>
      </c>
      <c r="AW154" s="1396"/>
      <c r="AX154" s="1396"/>
      <c r="AY154" s="1396"/>
      <c r="AZ154" s="1069" t="e">
        <f t="shared" ca="1" si="169"/>
        <v>#VALUE!</v>
      </c>
      <c r="BA154" s="1165" t="e">
        <f t="shared" ca="1" si="162"/>
        <v>#VALUE!</v>
      </c>
      <c r="BB154" s="782"/>
      <c r="BC154" s="804" t="e">
        <f t="shared" ca="1" si="170"/>
        <v>#VALUE!</v>
      </c>
    </row>
    <row r="155" spans="1:55" ht="13.5" customHeight="1" x14ac:dyDescent="0.3">
      <c r="A155" s="966" t="str">
        <f>'Q1'!B177</f>
        <v>Waste incinerated with energy recovery</v>
      </c>
      <c r="B155" s="908"/>
      <c r="C155" s="1179">
        <f t="shared" ca="1" si="144"/>
        <v>0</v>
      </c>
      <c r="D155" s="781">
        <f t="shared" ca="1" si="144"/>
        <v>2157.5</v>
      </c>
      <c r="E155" s="769">
        <f t="shared" ca="1" si="144"/>
        <v>1822.28682709912</v>
      </c>
      <c r="F155" s="769">
        <f t="shared" ca="1" si="144"/>
        <v>1931.62825443829</v>
      </c>
      <c r="G155" s="769">
        <f t="shared" ca="1" si="144"/>
        <v>1781.3726693828835</v>
      </c>
      <c r="H155" s="769">
        <f t="shared" ca="1" si="144"/>
        <v>6871.1899212343542</v>
      </c>
      <c r="I155" s="967">
        <f t="shared" ca="1" si="145"/>
        <v>1717.7974803085885</v>
      </c>
      <c r="J155" s="771" t="str">
        <f t="shared" ca="1" si="146"/>
        <v>Missing value?</v>
      </c>
      <c r="K155" s="772"/>
      <c r="L155" s="968"/>
      <c r="M155" s="969"/>
      <c r="N155" s="970"/>
      <c r="O155" s="810">
        <f t="shared" ca="1" si="147"/>
        <v>-1</v>
      </c>
      <c r="P155" s="783">
        <f t="shared" ca="1" si="148"/>
        <v>-1</v>
      </c>
      <c r="Q155" s="783">
        <f t="shared" ca="1" si="149"/>
        <v>-1</v>
      </c>
      <c r="R155" s="783">
        <f t="shared" ca="1" si="150"/>
        <v>-1</v>
      </c>
      <c r="S155" s="811">
        <f t="shared" ca="1" si="151"/>
        <v>-1</v>
      </c>
      <c r="T155" s="1069">
        <f t="shared" ca="1" si="152"/>
        <v>1</v>
      </c>
      <c r="U155" s="1165" t="str">
        <f t="shared" ca="1" si="153"/>
        <v>H</v>
      </c>
      <c r="V155" s="1396"/>
      <c r="W155" s="1396"/>
      <c r="X155" s="1396"/>
      <c r="Y155" s="1069">
        <f t="shared" ca="1" si="163"/>
        <v>0.16682427662441995</v>
      </c>
      <c r="Z155" s="1165" t="str">
        <f t="shared" ca="1" si="154"/>
        <v>M</v>
      </c>
      <c r="AA155" s="782"/>
      <c r="AB155" s="804" t="str">
        <f t="shared" ca="1" si="164"/>
        <v xml:space="preserve">Missing value?    Value change with medium impact </v>
      </c>
      <c r="AC155" s="971" t="str">
        <f t="shared" ca="1" si="165"/>
        <v/>
      </c>
      <c r="AD155" s="1179">
        <f t="shared" ca="1" si="155"/>
        <v>0</v>
      </c>
      <c r="AE155" s="806">
        <f t="shared" ca="1" si="155"/>
        <v>3.66</v>
      </c>
      <c r="AF155" s="749">
        <f t="shared" ca="1" si="155"/>
        <v>2</v>
      </c>
      <c r="AG155" s="749">
        <f t="shared" ca="1" si="155"/>
        <v>0</v>
      </c>
      <c r="AH155" s="749">
        <f t="shared" ca="1" si="155"/>
        <v>0</v>
      </c>
      <c r="AI155" s="749">
        <f t="shared" ca="1" si="155"/>
        <v>0</v>
      </c>
      <c r="AJ155" s="972">
        <f t="shared" ca="1" si="166"/>
        <v>0</v>
      </c>
      <c r="AK155" s="973" t="str">
        <f t="shared" ca="1" si="167"/>
        <v>missing?</v>
      </c>
      <c r="AL155" s="772"/>
      <c r="AM155" s="968"/>
      <c r="AN155" s="969"/>
      <c r="AO155" s="970"/>
      <c r="AP155" s="755" t="str">
        <f t="shared" ca="1" si="156"/>
        <v/>
      </c>
      <c r="AQ155" s="808" t="str">
        <f t="shared" ca="1" si="157"/>
        <v/>
      </c>
      <c r="AR155" s="808" t="str">
        <f t="shared" ca="1" si="158"/>
        <v/>
      </c>
      <c r="AS155" s="808" t="str">
        <f t="shared" ca="1" si="159"/>
        <v/>
      </c>
      <c r="AT155" s="974" t="str">
        <f t="shared" ca="1" si="168"/>
        <v/>
      </c>
      <c r="AU155" s="1069" t="str">
        <f t="shared" ca="1" si="160"/>
        <v/>
      </c>
      <c r="AV155" s="1165" t="str">
        <f t="shared" ca="1" si="161"/>
        <v/>
      </c>
      <c r="AW155" s="1396"/>
      <c r="AX155" s="1396"/>
      <c r="AY155" s="1396"/>
      <c r="AZ155" s="1069" t="e">
        <f t="shared" ca="1" si="169"/>
        <v>#VALUE!</v>
      </c>
      <c r="BA155" s="1165" t="e">
        <f t="shared" ca="1" si="162"/>
        <v>#VALUE!</v>
      </c>
      <c r="BB155" s="782"/>
      <c r="BC155" s="804" t="e">
        <f t="shared" ca="1" si="170"/>
        <v>#VALUE!</v>
      </c>
    </row>
    <row r="156" spans="1:55" ht="13.5" customHeight="1" x14ac:dyDescent="0.3">
      <c r="A156" s="966" t="str">
        <f>'Q1'!B178</f>
        <v>Waste incinerated without energy recovery</v>
      </c>
      <c r="B156" s="908"/>
      <c r="C156" s="1179">
        <f t="shared" ca="1" si="144"/>
        <v>0</v>
      </c>
      <c r="D156" s="781">
        <f t="shared" ca="1" si="144"/>
        <v>0</v>
      </c>
      <c r="E156" s="769">
        <f t="shared" ca="1" si="144"/>
        <v>0</v>
      </c>
      <c r="F156" s="769">
        <f t="shared" ca="1" si="144"/>
        <v>0</v>
      </c>
      <c r="G156" s="769">
        <f t="shared" ca="1" si="144"/>
        <v>4.0000000000000001E-3</v>
      </c>
      <c r="H156" s="769">
        <f t="shared" ca="1" si="144"/>
        <v>4.0000000000000001E-3</v>
      </c>
      <c r="I156" s="967">
        <f t="shared" ca="1" si="145"/>
        <v>1E-3</v>
      </c>
      <c r="J156" s="771" t="str">
        <f t="shared" ca="1" si="146"/>
        <v>Missing value?</v>
      </c>
      <c r="K156" s="772"/>
      <c r="L156" s="968"/>
      <c r="M156" s="969"/>
      <c r="N156" s="970"/>
      <c r="O156" s="810" t="str">
        <f t="shared" ca="1" si="147"/>
        <v/>
      </c>
      <c r="P156" s="783" t="str">
        <f t="shared" ca="1" si="148"/>
        <v/>
      </c>
      <c r="Q156" s="783" t="str">
        <f t="shared" ca="1" si="149"/>
        <v/>
      </c>
      <c r="R156" s="783">
        <f t="shared" ca="1" si="150"/>
        <v>-1</v>
      </c>
      <c r="S156" s="811">
        <f t="shared" ca="1" si="151"/>
        <v>-1</v>
      </c>
      <c r="T156" s="1069">
        <f t="shared" ca="1" si="152"/>
        <v>1</v>
      </c>
      <c r="U156" s="1165" t="str">
        <f t="shared" ca="1" si="153"/>
        <v>H</v>
      </c>
      <c r="V156" s="1396"/>
      <c r="W156" s="1396"/>
      <c r="X156" s="1396"/>
      <c r="Y156" s="1069">
        <f t="shared" ca="1" si="163"/>
        <v>7.9448004618128142E-8</v>
      </c>
      <c r="Z156" s="1165" t="str">
        <f t="shared" ca="1" si="154"/>
        <v/>
      </c>
      <c r="AA156" s="782"/>
      <c r="AB156" s="804" t="str">
        <f t="shared" ca="1" si="164"/>
        <v xml:space="preserve">Missing value?     </v>
      </c>
      <c r="AC156" s="971" t="str">
        <f t="shared" ca="1" si="165"/>
        <v/>
      </c>
      <c r="AD156" s="1179">
        <f t="shared" ca="1" si="155"/>
        <v>0</v>
      </c>
      <c r="AE156" s="806">
        <f t="shared" ca="1" si="155"/>
        <v>0</v>
      </c>
      <c r="AF156" s="749">
        <f t="shared" ca="1" si="155"/>
        <v>0</v>
      </c>
      <c r="AG156" s="749">
        <f t="shared" ca="1" si="155"/>
        <v>0</v>
      </c>
      <c r="AH156" s="749">
        <f t="shared" ca="1" si="155"/>
        <v>0</v>
      </c>
      <c r="AI156" s="749">
        <f t="shared" ca="1" si="155"/>
        <v>0</v>
      </c>
      <c r="AJ156" s="972">
        <f t="shared" ca="1" si="166"/>
        <v>0</v>
      </c>
      <c r="AK156" s="973" t="str">
        <f t="shared" ca="1" si="167"/>
        <v/>
      </c>
      <c r="AL156" s="772"/>
      <c r="AM156" s="968"/>
      <c r="AN156" s="969"/>
      <c r="AO156" s="970"/>
      <c r="AP156" s="755" t="str">
        <f t="shared" ca="1" si="156"/>
        <v/>
      </c>
      <c r="AQ156" s="808" t="str">
        <f t="shared" ca="1" si="157"/>
        <v/>
      </c>
      <c r="AR156" s="808" t="str">
        <f t="shared" ca="1" si="158"/>
        <v/>
      </c>
      <c r="AS156" s="808" t="str">
        <f t="shared" ca="1" si="159"/>
        <v/>
      </c>
      <c r="AT156" s="974" t="str">
        <f t="shared" ca="1" si="168"/>
        <v/>
      </c>
      <c r="AU156" s="1069" t="str">
        <f t="shared" ca="1" si="160"/>
        <v/>
      </c>
      <c r="AV156" s="1165" t="str">
        <f t="shared" ca="1" si="161"/>
        <v/>
      </c>
      <c r="AW156" s="1396"/>
      <c r="AX156" s="1396"/>
      <c r="AY156" s="1396"/>
      <c r="AZ156" s="1069" t="str">
        <f t="shared" ca="1" si="169"/>
        <v/>
      </c>
      <c r="BA156" s="1165" t="str">
        <f t="shared" ca="1" si="162"/>
        <v/>
      </c>
      <c r="BB156" s="782"/>
      <c r="BC156" s="804" t="str">
        <f t="shared" ca="1" si="170"/>
        <v/>
      </c>
    </row>
    <row r="157" spans="1:55" ht="13.5" customHeight="1" x14ac:dyDescent="0.3">
      <c r="A157" s="966" t="str">
        <f>'Q1'!B179</f>
        <v>Preparation for reuse</v>
      </c>
      <c r="B157" s="908"/>
      <c r="C157" s="1179">
        <f t="shared" ca="1" si="144"/>
        <v>0</v>
      </c>
      <c r="D157" s="781">
        <f t="shared" ca="1" si="144"/>
        <v>0</v>
      </c>
      <c r="E157" s="769">
        <f t="shared" ca="1" si="144"/>
        <v>0</v>
      </c>
      <c r="F157" s="769">
        <f t="shared" ca="1" si="144"/>
        <v>0</v>
      </c>
      <c r="G157" s="769">
        <f t="shared" ca="1" si="144"/>
        <v>0</v>
      </c>
      <c r="H157" s="769">
        <f t="shared" ca="1" si="144"/>
        <v>0</v>
      </c>
      <c r="I157" s="967">
        <f t="shared" ca="1" si="145"/>
        <v>0</v>
      </c>
      <c r="J157" s="771" t="str">
        <f t="shared" ca="1" si="146"/>
        <v/>
      </c>
      <c r="K157" s="772"/>
      <c r="L157" s="968"/>
      <c r="M157" s="969"/>
      <c r="N157" s="970"/>
      <c r="O157" s="810" t="str">
        <f t="shared" ca="1" si="147"/>
        <v/>
      </c>
      <c r="P157" s="783" t="str">
        <f t="shared" ca="1" si="148"/>
        <v/>
      </c>
      <c r="Q157" s="783" t="str">
        <f t="shared" ca="1" si="149"/>
        <v/>
      </c>
      <c r="R157" s="783" t="str">
        <f t="shared" ca="1" si="150"/>
        <v/>
      </c>
      <c r="S157" s="811" t="str">
        <f t="shared" ca="1" si="151"/>
        <v/>
      </c>
      <c r="T157" s="1069" t="str">
        <f t="shared" ca="1" si="152"/>
        <v/>
      </c>
      <c r="U157" s="1165" t="str">
        <f t="shared" ca="1" si="153"/>
        <v/>
      </c>
      <c r="V157" s="1396"/>
      <c r="W157" s="1396"/>
      <c r="X157" s="1396"/>
      <c r="Y157" s="1069" t="str">
        <f t="shared" ca="1" si="163"/>
        <v/>
      </c>
      <c r="Z157" s="1165" t="str">
        <f t="shared" ca="1" si="154"/>
        <v/>
      </c>
      <c r="AA157" s="782"/>
      <c r="AB157" s="804" t="str">
        <f ca="1">IF(CONCATENATE(IF(K157="OK","",J157),"    ",IF(AND(+AA157="",Z157="M"),"Value change with medium impact",IF(AND(AA157="",Z157="H"),"Value change with high impact",""))," ")="     ","",CONCATENATE(IF(K157="OK","",J157),"    ",IF(AND(+AA157="",Z157="M"),"Value change with medium impact",IF(AND(AA157="",Z157="H"),"Value change with high impact",""))," "))</f>
        <v/>
      </c>
      <c r="AC157" s="971" t="str">
        <f t="shared" ca="1" si="165"/>
        <v/>
      </c>
      <c r="AD157" s="1179">
        <f t="shared" ca="1" si="155"/>
        <v>0</v>
      </c>
      <c r="AE157" s="806">
        <f t="shared" ca="1" si="155"/>
        <v>0</v>
      </c>
      <c r="AF157" s="749">
        <f t="shared" ca="1" si="155"/>
        <v>0</v>
      </c>
      <c r="AG157" s="749">
        <f t="shared" ca="1" si="155"/>
        <v>0</v>
      </c>
      <c r="AH157" s="749">
        <f t="shared" ca="1" si="155"/>
        <v>0</v>
      </c>
      <c r="AI157" s="749">
        <f t="shared" ca="1" si="155"/>
        <v>0</v>
      </c>
      <c r="AJ157" s="972">
        <f t="shared" ca="1" si="166"/>
        <v>0</v>
      </c>
      <c r="AK157" s="973" t="str">
        <f t="shared" ca="1" si="167"/>
        <v/>
      </c>
      <c r="AL157" s="772"/>
      <c r="AM157" s="968"/>
      <c r="AN157" s="969"/>
      <c r="AO157" s="970"/>
      <c r="AP157" s="755" t="str">
        <f t="shared" ca="1" si="156"/>
        <v/>
      </c>
      <c r="AQ157" s="808" t="str">
        <f t="shared" ca="1" si="157"/>
        <v/>
      </c>
      <c r="AR157" s="808" t="str">
        <f t="shared" ca="1" si="158"/>
        <v/>
      </c>
      <c r="AS157" s="808" t="str">
        <f t="shared" ca="1" si="159"/>
        <v/>
      </c>
      <c r="AT157" s="974" t="str">
        <f t="shared" ca="1" si="168"/>
        <v/>
      </c>
      <c r="AU157" s="1069" t="str">
        <f t="shared" ca="1" si="160"/>
        <v/>
      </c>
      <c r="AV157" s="1165" t="str">
        <f t="shared" ca="1" si="161"/>
        <v/>
      </c>
      <c r="AW157" s="1396"/>
      <c r="AX157" s="1396"/>
      <c r="AY157" s="1396"/>
      <c r="AZ157" s="1069" t="str">
        <f t="shared" ca="1" si="169"/>
        <v/>
      </c>
      <c r="BA157" s="1165" t="str">
        <f t="shared" ca="1" si="162"/>
        <v/>
      </c>
      <c r="BB157" s="782"/>
      <c r="BC157" s="804" t="str">
        <f t="shared" ca="1" si="170"/>
        <v/>
      </c>
    </row>
    <row r="158" spans="1:55" ht="13.5" customHeight="1" x14ac:dyDescent="0.3">
      <c r="A158" s="966" t="str">
        <f>'Q1'!B180</f>
        <v>TOTAL WASTE RECYCLED</v>
      </c>
      <c r="B158" s="908"/>
      <c r="C158" s="1179">
        <f t="shared" ca="1" si="144"/>
        <v>0</v>
      </c>
      <c r="D158" s="781">
        <f t="shared" ca="1" si="144"/>
        <v>10446.510000000002</v>
      </c>
      <c r="E158" s="769">
        <f t="shared" ca="1" si="144"/>
        <v>10959.923175757624</v>
      </c>
      <c r="F158" s="769">
        <f t="shared" ca="1" si="144"/>
        <v>10795.289266673799</v>
      </c>
      <c r="G158" s="769">
        <f t="shared" ca="1" si="144"/>
        <v>10257.459076383655</v>
      </c>
      <c r="H158" s="769">
        <f t="shared" ca="1" si="144"/>
        <v>41991.278957418806</v>
      </c>
      <c r="I158" s="967">
        <f t="shared" ca="1" si="145"/>
        <v>10497.819739354702</v>
      </c>
      <c r="J158" s="873"/>
      <c r="K158" s="775"/>
      <c r="L158" s="968"/>
      <c r="M158" s="969"/>
      <c r="N158" s="975"/>
      <c r="O158" s="810">
        <f t="shared" ca="1" si="147"/>
        <v>-1</v>
      </c>
      <c r="P158" s="783">
        <f t="shared" ca="1" si="148"/>
        <v>-1</v>
      </c>
      <c r="Q158" s="783">
        <f t="shared" ca="1" si="149"/>
        <v>-1</v>
      </c>
      <c r="R158" s="783">
        <f t="shared" ca="1" si="150"/>
        <v>-1</v>
      </c>
      <c r="S158" s="811">
        <f t="shared" ca="1" si="151"/>
        <v>-1</v>
      </c>
      <c r="T158" s="1077"/>
      <c r="U158" s="1077"/>
      <c r="V158" s="1397"/>
      <c r="W158" s="1397"/>
      <c r="X158" s="1397"/>
      <c r="Y158" s="1077"/>
      <c r="Z158" s="1077"/>
      <c r="AA158" s="976"/>
      <c r="AB158" s="977"/>
      <c r="AC158" s="978"/>
      <c r="AD158" s="1179">
        <f t="shared" ca="1" si="155"/>
        <v>0</v>
      </c>
      <c r="AE158" s="806">
        <f t="shared" ca="1" si="155"/>
        <v>149.82</v>
      </c>
      <c r="AF158" s="749">
        <f t="shared" ca="1" si="155"/>
        <v>105.85594995117188</v>
      </c>
      <c r="AG158" s="749">
        <f t="shared" ca="1" si="155"/>
        <v>451.552568193855</v>
      </c>
      <c r="AH158" s="749">
        <f t="shared" ca="1" si="155"/>
        <v>321.35851091666262</v>
      </c>
      <c r="AI158" s="749">
        <f t="shared" ca="1" si="155"/>
        <v>1598.4579050649536</v>
      </c>
      <c r="AJ158" s="972">
        <f t="shared" ca="1" si="166"/>
        <v>399.6144762662384</v>
      </c>
      <c r="AK158" s="979"/>
      <c r="AL158" s="980"/>
      <c r="AM158" s="968"/>
      <c r="AN158" s="981"/>
      <c r="AO158" s="976"/>
      <c r="AP158" s="755">
        <f t="shared" ca="1" si="156"/>
        <v>-1</v>
      </c>
      <c r="AQ158" s="808">
        <f t="shared" ca="1" si="157"/>
        <v>-1</v>
      </c>
      <c r="AR158" s="808">
        <f t="shared" ca="1" si="158"/>
        <v>-1</v>
      </c>
      <c r="AS158" s="808">
        <f t="shared" ca="1" si="159"/>
        <v>-1</v>
      </c>
      <c r="AT158" s="974">
        <f t="shared" ca="1" si="168"/>
        <v>-1</v>
      </c>
      <c r="AU158" s="1078"/>
      <c r="AV158" s="982"/>
      <c r="AW158" s="1396"/>
      <c r="AX158" s="1396"/>
      <c r="AY158" s="1396"/>
      <c r="AZ158" s="1078"/>
      <c r="BA158" s="982"/>
      <c r="BB158" s="983"/>
      <c r="BC158" s="984"/>
    </row>
    <row r="159" spans="1:55" ht="13.5" customHeight="1" x14ac:dyDescent="0.3">
      <c r="A159" s="966" t="str">
        <f>'Q1'!B181</f>
        <v>TOTAL ICT WASTE (excl. waste reused)</v>
      </c>
      <c r="B159" s="908"/>
      <c r="C159" s="1179">
        <f t="shared" ca="1" si="144"/>
        <v>0</v>
      </c>
      <c r="D159" s="781">
        <f t="shared" ca="1" si="144"/>
        <v>1.03</v>
      </c>
      <c r="E159" s="769">
        <f t="shared" ca="1" si="144"/>
        <v>2.3051999511718799</v>
      </c>
      <c r="F159" s="769">
        <f t="shared" ca="1" si="144"/>
        <v>7.766</v>
      </c>
      <c r="G159" s="769">
        <f t="shared" ca="1" si="144"/>
        <v>8.1000000000000003E-2</v>
      </c>
      <c r="H159" s="769">
        <f t="shared" ca="1" si="144"/>
        <v>10.001200000762939</v>
      </c>
      <c r="I159" s="967">
        <f t="shared" ca="1" si="145"/>
        <v>2.5003000001907347</v>
      </c>
      <c r="J159" s="873"/>
      <c r="K159" s="775"/>
      <c r="L159" s="968"/>
      <c r="M159" s="969"/>
      <c r="N159" s="975"/>
      <c r="O159" s="810">
        <f t="shared" ca="1" si="147"/>
        <v>-1</v>
      </c>
      <c r="P159" s="783">
        <f t="shared" ca="1" si="148"/>
        <v>-1</v>
      </c>
      <c r="Q159" s="783">
        <f t="shared" ca="1" si="149"/>
        <v>-1</v>
      </c>
      <c r="R159" s="783">
        <f t="shared" ca="1" si="150"/>
        <v>-1</v>
      </c>
      <c r="S159" s="811">
        <f t="shared" ca="1" si="151"/>
        <v>-1</v>
      </c>
      <c r="T159" s="1077"/>
      <c r="U159" s="1077"/>
      <c r="V159" s="1397"/>
      <c r="W159" s="1397"/>
      <c r="X159" s="1397"/>
      <c r="Y159" s="1077"/>
      <c r="Z159" s="1077"/>
      <c r="AA159" s="976"/>
      <c r="AB159" s="977"/>
      <c r="AC159" s="978"/>
      <c r="AD159" s="1179">
        <f t="shared" ca="1" si="155"/>
        <v>0</v>
      </c>
      <c r="AE159" s="806">
        <f t="shared" ca="1" si="155"/>
        <v>0.01</v>
      </c>
      <c r="AF159" s="749">
        <f t="shared" ca="1" si="155"/>
        <v>1.11719995117188</v>
      </c>
      <c r="AG159" s="749">
        <f t="shared" ca="1" si="155"/>
        <v>7.7</v>
      </c>
      <c r="AH159" s="749">
        <f t="shared" ca="1" si="155"/>
        <v>0</v>
      </c>
      <c r="AI159" s="749">
        <f t="shared" ca="1" si="155"/>
        <v>7.71870000076294</v>
      </c>
      <c r="AJ159" s="972">
        <f t="shared" ca="1" si="166"/>
        <v>1.929675000190735</v>
      </c>
      <c r="AK159" s="979"/>
      <c r="AL159" s="980"/>
      <c r="AM159" s="968"/>
      <c r="AN159" s="981"/>
      <c r="AO159" s="976"/>
      <c r="AP159" s="755">
        <f t="shared" ca="1" si="156"/>
        <v>-1</v>
      </c>
      <c r="AQ159" s="808">
        <f t="shared" ca="1" si="157"/>
        <v>-1</v>
      </c>
      <c r="AR159" s="808">
        <f t="shared" ca="1" si="158"/>
        <v>-1</v>
      </c>
      <c r="AS159" s="808" t="str">
        <f t="shared" ca="1" si="159"/>
        <v/>
      </c>
      <c r="AT159" s="974">
        <f t="shared" ca="1" si="168"/>
        <v>-1</v>
      </c>
      <c r="AU159" s="1078"/>
      <c r="AV159" s="982"/>
      <c r="AW159" s="1396"/>
      <c r="AX159" s="1396"/>
      <c r="AY159" s="1396"/>
      <c r="AZ159" s="1078"/>
      <c r="BA159" s="982"/>
      <c r="BB159" s="983"/>
      <c r="BC159" s="984"/>
    </row>
    <row r="160" spans="1:55" ht="13.5" customHeight="1" x14ac:dyDescent="0.3">
      <c r="A160" s="966" t="str">
        <f>'Q1'!B182</f>
        <v>TOTAL WASTE NOT TO LANDFILL (excl. waste reused)</v>
      </c>
      <c r="B160" s="908"/>
      <c r="C160" s="1179">
        <f t="shared" ca="1" si="144"/>
        <v>0</v>
      </c>
      <c r="D160" s="781">
        <f t="shared" ca="1" si="144"/>
        <v>12604.010000000002</v>
      </c>
      <c r="E160" s="769">
        <f t="shared" ca="1" si="144"/>
        <v>12782.210002856744</v>
      </c>
      <c r="F160" s="769">
        <f t="shared" ca="1" si="144"/>
        <v>12726.917521112089</v>
      </c>
      <c r="G160" s="769">
        <f t="shared" ca="1" si="144"/>
        <v>12038.835745766539</v>
      </c>
      <c r="H160" s="769">
        <f t="shared" ca="1" si="144"/>
        <v>48862.472878653163</v>
      </c>
      <c r="I160" s="967">
        <f t="shared" ca="1" si="145"/>
        <v>12215.618219663291</v>
      </c>
      <c r="J160" s="873"/>
      <c r="K160" s="775"/>
      <c r="L160" s="968"/>
      <c r="M160" s="969"/>
      <c r="N160" s="975"/>
      <c r="O160" s="810">
        <f t="shared" ca="1" si="147"/>
        <v>-1</v>
      </c>
      <c r="P160" s="783">
        <f t="shared" ca="1" si="148"/>
        <v>-1</v>
      </c>
      <c r="Q160" s="783">
        <f t="shared" ca="1" si="149"/>
        <v>-1</v>
      </c>
      <c r="R160" s="783">
        <f t="shared" ca="1" si="150"/>
        <v>-1</v>
      </c>
      <c r="S160" s="811">
        <f t="shared" ca="1" si="151"/>
        <v>-1</v>
      </c>
      <c r="T160" s="1077"/>
      <c r="U160" s="1077"/>
      <c r="V160" s="1397"/>
      <c r="W160" s="1397"/>
      <c r="X160" s="1397"/>
      <c r="Y160" s="1077"/>
      <c r="Z160" s="1077"/>
      <c r="AA160" s="976"/>
      <c r="AB160" s="977"/>
      <c r="AC160" s="978"/>
      <c r="AD160" s="1179">
        <f t="shared" ca="1" si="155"/>
        <v>0</v>
      </c>
      <c r="AE160" s="806">
        <f t="shared" ca="1" si="155"/>
        <v>153.47999999999999</v>
      </c>
      <c r="AF160" s="749">
        <f t="shared" ca="1" si="155"/>
        <v>107.85594995117188</v>
      </c>
      <c r="AG160" s="749">
        <f t="shared" ca="1" si="155"/>
        <v>451.552568193855</v>
      </c>
      <c r="AH160" s="749">
        <f t="shared" ca="1" si="155"/>
        <v>321.35851091666262</v>
      </c>
      <c r="AI160" s="749">
        <f t="shared" ca="1" si="155"/>
        <v>1598.4579050649536</v>
      </c>
      <c r="AJ160" s="972">
        <f t="shared" ca="1" si="166"/>
        <v>399.6144762662384</v>
      </c>
      <c r="AK160" s="979"/>
      <c r="AL160" s="980"/>
      <c r="AM160" s="968"/>
      <c r="AN160" s="981"/>
      <c r="AO160" s="976"/>
      <c r="AP160" s="755">
        <f t="shared" ca="1" si="156"/>
        <v>-1</v>
      </c>
      <c r="AQ160" s="808">
        <f t="shared" ca="1" si="157"/>
        <v>-1</v>
      </c>
      <c r="AR160" s="808">
        <f t="shared" ca="1" si="158"/>
        <v>-1</v>
      </c>
      <c r="AS160" s="808">
        <f t="shared" ca="1" si="159"/>
        <v>-1</v>
      </c>
      <c r="AT160" s="974">
        <f t="shared" ca="1" si="168"/>
        <v>-1</v>
      </c>
      <c r="AU160" s="1078"/>
      <c r="AV160" s="982"/>
      <c r="AW160" s="1396"/>
      <c r="AX160" s="1396"/>
      <c r="AY160" s="1396"/>
      <c r="AZ160" s="1078"/>
      <c r="BA160" s="982"/>
      <c r="BB160" s="983"/>
      <c r="BC160" s="984"/>
    </row>
    <row r="161" spans="1:55" ht="13.5" customHeight="1" x14ac:dyDescent="0.3">
      <c r="A161" s="966" t="str">
        <f>'Q1'!B183</f>
        <v>TOTAL WASTE SENT TO LANDFILL</v>
      </c>
      <c r="B161" s="908"/>
      <c r="C161" s="1179">
        <f t="shared" ca="1" si="144"/>
        <v>0</v>
      </c>
      <c r="D161" s="781">
        <f t="shared" ca="1" si="144"/>
        <v>328.76</v>
      </c>
      <c r="E161" s="769">
        <f t="shared" ca="1" si="144"/>
        <v>370.83551995239202</v>
      </c>
      <c r="F161" s="769">
        <f t="shared" ca="1" si="144"/>
        <v>381.57792798966898</v>
      </c>
      <c r="G161" s="769">
        <f t="shared" ca="1" si="144"/>
        <v>351.86219660840999</v>
      </c>
      <c r="H161" s="769">
        <f t="shared" ca="1" si="144"/>
        <v>1484.921234342537</v>
      </c>
      <c r="I161" s="967">
        <f t="shared" ca="1" si="145"/>
        <v>371.23030858563425</v>
      </c>
      <c r="J161" s="771" t="str">
        <f ca="1">IF(AND(C161&gt;0,SUM(D161:I161)&gt;0),"",IF(AND(C161=0,SUM(C161:I161)=0),"",IF(AND(C161=0,D161&gt;0),"Missing value?",IF(AND(C161=0,I161&gt;0),"Missing value?","New category"))))</f>
        <v>Missing value?</v>
      </c>
      <c r="K161" s="772"/>
      <c r="L161" s="968"/>
      <c r="M161" s="969"/>
      <c r="N161" s="975"/>
      <c r="O161" s="810">
        <f t="shared" ca="1" si="147"/>
        <v>-1</v>
      </c>
      <c r="P161" s="783">
        <f t="shared" ca="1" si="148"/>
        <v>-1</v>
      </c>
      <c r="Q161" s="783">
        <f t="shared" ca="1" si="149"/>
        <v>-1</v>
      </c>
      <c r="R161" s="783">
        <f t="shared" ca="1" si="150"/>
        <v>-1</v>
      </c>
      <c r="S161" s="811">
        <f t="shared" ca="1" si="151"/>
        <v>-1</v>
      </c>
      <c r="T161" s="1069">
        <f t="shared" ref="T161" ca="1" si="171">IF(SUM(C161:I161)=0,"",IF(OR(AND(C161=0,SUM(D161:I161)&gt;0),AND(C161&gt;0,SUM(D161:I161)=0)),1,IF(MAX(IF(O161&lt;0,-O161,O161),IF(P161&lt;0,-P161,P161),IF(Q161&lt;0,-Q161,Q161),IF(R161&lt;0,-R161,R161),IF(S161&lt;0,-S161,S161))=0,"",MAX(IF(O161&lt;0,-O161,O161),IF(P161&lt;0,-P161,P161),IF(Q161&lt;0,-Q161,Q161),IF(R161&lt;0,-R161,R161),IF(S161&lt;0,-S161,S161)))))</f>
        <v>1</v>
      </c>
      <c r="U161" s="1165" t="str">
        <f ca="1">IF(+T161="","",IF(T161&gt;$N$3,"H",IF(T161&gt;$N$4,"M","")))</f>
        <v>H</v>
      </c>
      <c r="V161" s="1396"/>
      <c r="W161" s="1396"/>
      <c r="X161" s="1396"/>
      <c r="Y161" s="1069">
        <f t="shared" ref="Y161" ca="1" si="172">IF(OR(C161=0,C$162=0),IF(AND(D161&gt;0,D$162&gt;0), +T161*D161/D$162, IF(AND(I161&gt;0,I$162&gt;0), +T161*I161/I$162, "")), +T161*C161/C$162)</f>
        <v>2.5420694870472445E-2</v>
      </c>
      <c r="Z161" s="1165" t="str">
        <f ca="1">IF(+Y161="","",IF(Y161&gt;$N$3,"H",IF(Y161&gt;$N$4,"M","")))</f>
        <v/>
      </c>
      <c r="AA161" s="782"/>
      <c r="AB161" s="804" t="str">
        <f t="shared" ref="AB161" ca="1" si="173">IF(CONCATENATE(IF(K161="OK","",J161),"    ",IF(AND(+AA161="",Z161="M"),"Value change with medium impact",IF(AND(AA161="",Z161="H"),"Value change with high impact",""))," ")="     ","",CONCATENATE(IF(K161="OK","",J161),"    ",IF(AND(+AA161="",Z161="M"),"Value change with medium impact",IF(AND(AA161="",Z161="H"),"Value change with high impact",""))," "))</f>
        <v xml:space="preserve">Missing value?     </v>
      </c>
      <c r="AC161" s="971" t="str">
        <f ca="1">IF(AD161&gt;C161,"Offices only&gt;Total Estate","")</f>
        <v/>
      </c>
      <c r="AD161" s="1179">
        <f t="shared" ca="1" si="155"/>
        <v>0</v>
      </c>
      <c r="AE161" s="806">
        <f t="shared" ca="1" si="155"/>
        <v>3.86</v>
      </c>
      <c r="AF161" s="749">
        <f t="shared" ca="1" si="155"/>
        <v>6.5211999816894499</v>
      </c>
      <c r="AG161" s="749">
        <f t="shared" ca="1" si="155"/>
        <v>40.726291525889202</v>
      </c>
      <c r="AH161" s="749">
        <f t="shared" ca="1" si="155"/>
        <v>55.5123149013831</v>
      </c>
      <c r="AI161" s="749">
        <f t="shared" ca="1" si="155"/>
        <v>212.7427011538347</v>
      </c>
      <c r="AJ161" s="972">
        <f t="shared" ca="1" si="166"/>
        <v>53.185675288458675</v>
      </c>
      <c r="AK161" s="771" t="str">
        <f ca="1">IF(AND(AD161&gt;0,SUM(AE161:AJ161)&gt;0),"",IF(AND(AD161=0,SUM(AD161:AJ161)=0),"",IF(AND(AD161=0,AE161&gt;0),"missing?",IF(AND(AD161=0,AJ161&gt;0),"missing?","new category"))))</f>
        <v>missing?</v>
      </c>
      <c r="AL161" s="772"/>
      <c r="AM161" s="968"/>
      <c r="AN161" s="969"/>
      <c r="AO161" s="970"/>
      <c r="AP161" s="755" t="str">
        <f t="shared" ca="1" si="156"/>
        <v/>
      </c>
      <c r="AQ161" s="808" t="str">
        <f t="shared" ca="1" si="157"/>
        <v/>
      </c>
      <c r="AR161" s="808" t="str">
        <f t="shared" ca="1" si="158"/>
        <v/>
      </c>
      <c r="AS161" s="808" t="str">
        <f t="shared" ca="1" si="159"/>
        <v/>
      </c>
      <c r="AT161" s="974" t="str">
        <f t="shared" ca="1" si="168"/>
        <v/>
      </c>
      <c r="AU161" s="1069" t="str">
        <f t="shared" ref="AU161" ca="1" si="174">IF(MAX(IF(AP161&lt;0,-AP161,AP161),IF(AS161&lt;0,-AS161,AS161),IF(AT161&lt;0,-AT161,AT161))=0,"",MAX(IF(AP161&lt;0,-AP161,AP161),IF(AQ161&lt;0,-AQ161,AQ161),IF(AR161&lt;0,-AR161,AR161),IF(AS161&lt;0,-AS161,AS161),IF(AT161&lt;0,-AT161,AT161)))</f>
        <v/>
      </c>
      <c r="AV161" s="1165" t="str">
        <f ca="1">IF(+AU161="","",IF(AU161&gt;$AO$3,"H",IF(AU161&gt;$AO$4,"M","")))</f>
        <v/>
      </c>
      <c r="AW161" s="1396"/>
      <c r="AX161" s="1396"/>
      <c r="AY161" s="1396"/>
      <c r="AZ161" s="1069" t="e">
        <f t="shared" ca="1" si="169"/>
        <v>#VALUE!</v>
      </c>
      <c r="BA161" s="1165" t="e">
        <f ca="1">IF(+AZ161="","",IF(AZ161&gt;$AO$3,"H",IF(AZ161&gt;$AO$4,"M","")))</f>
        <v>#VALUE!</v>
      </c>
      <c r="BB161" s="782"/>
      <c r="BC161" s="804" t="e">
        <f t="shared" ca="1" si="170"/>
        <v>#VALUE!</v>
      </c>
    </row>
    <row r="162" spans="1:55" ht="13.5" customHeight="1" thickBot="1" x14ac:dyDescent="0.35">
      <c r="A162" s="985" t="str">
        <f>'Q1'!B184</f>
        <v>TOTAL WASTE (excl. waste reused)</v>
      </c>
      <c r="B162" s="911"/>
      <c r="C162" s="1181">
        <f t="shared" ca="1" si="144"/>
        <v>0</v>
      </c>
      <c r="D162" s="795">
        <f t="shared" ca="1" si="144"/>
        <v>12932.770000000002</v>
      </c>
      <c r="E162" s="787">
        <f t="shared" ca="1" si="144"/>
        <v>13153.045522809136</v>
      </c>
      <c r="F162" s="787">
        <f t="shared" ca="1" si="144"/>
        <v>13108.495449101758</v>
      </c>
      <c r="G162" s="787">
        <f t="shared" ca="1" si="144"/>
        <v>12390.697942374949</v>
      </c>
      <c r="H162" s="787">
        <f t="shared" ca="1" si="144"/>
        <v>50347.394112995702</v>
      </c>
      <c r="I162" s="986">
        <f t="shared" ca="1" si="145"/>
        <v>12586.848528248926</v>
      </c>
      <c r="J162" s="987"/>
      <c r="K162" s="988"/>
      <c r="L162" s="989"/>
      <c r="M162" s="990"/>
      <c r="N162" s="991"/>
      <c r="O162" s="813">
        <f t="shared" ca="1" si="147"/>
        <v>-1</v>
      </c>
      <c r="P162" s="1072">
        <f t="shared" ca="1" si="148"/>
        <v>-1</v>
      </c>
      <c r="Q162" s="1072">
        <f t="shared" ca="1" si="149"/>
        <v>-1</v>
      </c>
      <c r="R162" s="1072">
        <f t="shared" ca="1" si="150"/>
        <v>-1</v>
      </c>
      <c r="S162" s="1075">
        <f t="shared" ca="1" si="151"/>
        <v>-1</v>
      </c>
      <c r="T162" s="1079"/>
      <c r="U162" s="1079"/>
      <c r="V162" s="1398"/>
      <c r="W162" s="1398"/>
      <c r="X162" s="1398"/>
      <c r="Y162" s="1079"/>
      <c r="Z162" s="1079"/>
      <c r="AA162" s="992"/>
      <c r="AB162" s="993"/>
      <c r="AC162" s="994"/>
      <c r="AD162" s="1181">
        <f t="shared" ca="1" si="155"/>
        <v>0</v>
      </c>
      <c r="AE162" s="995">
        <f t="shared" ca="1" si="155"/>
        <v>157.34</v>
      </c>
      <c r="AF162" s="996">
        <f t="shared" ca="1" si="155"/>
        <v>114.37714993286133</v>
      </c>
      <c r="AG162" s="996">
        <f t="shared" ca="1" si="155"/>
        <v>492.27885971974422</v>
      </c>
      <c r="AH162" s="996">
        <f t="shared" ca="1" si="155"/>
        <v>376.87082581804572</v>
      </c>
      <c r="AI162" s="996">
        <f t="shared" ca="1" si="155"/>
        <v>1811.2006062187884</v>
      </c>
      <c r="AJ162" s="997">
        <f t="shared" ca="1" si="166"/>
        <v>452.80015155469709</v>
      </c>
      <c r="AK162" s="987"/>
      <c r="AL162" s="988"/>
      <c r="AM162" s="989"/>
      <c r="AN162" s="990"/>
      <c r="AO162" s="998"/>
      <c r="AP162" s="931">
        <f t="shared" ca="1" si="156"/>
        <v>-1</v>
      </c>
      <c r="AQ162" s="999">
        <f t="shared" ca="1" si="157"/>
        <v>-1</v>
      </c>
      <c r="AR162" s="999">
        <f t="shared" ca="1" si="158"/>
        <v>-1</v>
      </c>
      <c r="AS162" s="999">
        <f t="shared" ca="1" si="159"/>
        <v>-1</v>
      </c>
      <c r="AT162" s="1000">
        <f t="shared" ca="1" si="168"/>
        <v>-1</v>
      </c>
      <c r="AU162" s="1080"/>
      <c r="AV162" s="1001"/>
      <c r="AW162" s="1405"/>
      <c r="AX162" s="1405"/>
      <c r="AY162" s="1405"/>
      <c r="AZ162" s="1080"/>
      <c r="BA162" s="1001"/>
      <c r="BB162" s="992"/>
      <c r="BC162" s="1002"/>
    </row>
    <row r="163" spans="1:55" ht="14.4" x14ac:dyDescent="0.3">
      <c r="A163" s="50"/>
      <c r="B163" s="302"/>
      <c r="C163" s="820"/>
      <c r="D163" s="820"/>
      <c r="E163" s="820"/>
      <c r="F163" s="820"/>
      <c r="G163" s="820"/>
      <c r="H163" s="820"/>
      <c r="I163" s="820"/>
      <c r="J163" s="191"/>
      <c r="K163" s="191"/>
      <c r="L163" s="104"/>
      <c r="M163" s="916"/>
      <c r="N163" s="113"/>
      <c r="O163" s="191"/>
      <c r="P163" s="191"/>
      <c r="Q163" s="191"/>
      <c r="R163" s="110"/>
      <c r="S163" s="104"/>
      <c r="T163" s="104"/>
      <c r="U163" s="104"/>
      <c r="V163" s="104"/>
      <c r="W163" s="104"/>
      <c r="X163" s="104"/>
      <c r="Y163" s="104"/>
      <c r="Z163" s="104"/>
      <c r="AA163" s="104"/>
      <c r="AB163" s="104"/>
      <c r="AC163" s="1204"/>
      <c r="AD163" s="1204"/>
      <c r="AE163" s="1204"/>
      <c r="AF163" s="1204"/>
      <c r="AG163" s="1204"/>
      <c r="AH163" s="1204"/>
      <c r="AI163" s="1204"/>
      <c r="AJ163" s="1204"/>
      <c r="AK163" s="1204"/>
      <c r="AL163" s="191"/>
      <c r="AM163" s="110"/>
      <c r="AN163" s="104"/>
      <c r="AO163" s="50"/>
      <c r="AP163" s="50"/>
      <c r="AQ163" s="50"/>
      <c r="AR163" s="50"/>
      <c r="AS163" s="50"/>
      <c r="AT163" s="50"/>
      <c r="AU163" s="50"/>
      <c r="AV163" s="50"/>
      <c r="AW163" s="50"/>
      <c r="AX163" s="50"/>
      <c r="AY163" s="50"/>
      <c r="AZ163" s="50"/>
      <c r="BA163" s="50"/>
      <c r="BB163" s="50"/>
      <c r="BC163" s="50"/>
    </row>
    <row r="164" spans="1:55" ht="12.75" customHeight="1" x14ac:dyDescent="0.3">
      <c r="A164" s="113"/>
      <c r="B164" s="1204"/>
      <c r="C164" s="820"/>
      <c r="D164" s="820"/>
      <c r="E164" s="820"/>
      <c r="F164" s="820"/>
      <c r="G164" s="820"/>
      <c r="H164" s="820"/>
      <c r="I164" s="820"/>
      <c r="J164" s="191"/>
      <c r="K164" s="191"/>
      <c r="L164" s="104"/>
      <c r="M164" s="916"/>
      <c r="N164" s="113"/>
      <c r="O164" s="191"/>
      <c r="P164" s="191"/>
      <c r="Q164" s="191"/>
      <c r="R164" s="110"/>
      <c r="S164" s="104"/>
      <c r="T164" s="919"/>
      <c r="U164" s="919"/>
      <c r="V164" s="919"/>
      <c r="W164" s="919"/>
      <c r="X164" s="919"/>
      <c r="Y164" s="710"/>
      <c r="Z164" s="711"/>
      <c r="AA164" s="196"/>
      <c r="AB164" s="104"/>
      <c r="AC164" s="113"/>
      <c r="AD164" s="113"/>
      <c r="AE164" s="113"/>
      <c r="AF164" s="113"/>
      <c r="AG164" s="113"/>
      <c r="AH164" s="113"/>
      <c r="AI164" s="113"/>
      <c r="AJ164" s="113"/>
      <c r="AK164" s="113"/>
      <c r="AL164" s="113"/>
      <c r="AM164" s="113"/>
      <c r="AN164" s="113"/>
      <c r="AO164" s="113"/>
      <c r="AP164" s="113"/>
      <c r="AQ164" s="113"/>
      <c r="AR164" s="113"/>
      <c r="AS164" s="113"/>
      <c r="AT164" s="113"/>
      <c r="AU164" s="113"/>
      <c r="AV164" s="113"/>
      <c r="AW164" s="113"/>
      <c r="AX164" s="113"/>
      <c r="AY164" s="113"/>
      <c r="AZ164" s="113"/>
      <c r="BA164" s="113"/>
      <c r="BB164" s="113"/>
      <c r="BC164" s="113"/>
    </row>
    <row r="165" spans="1:55" ht="14.55" customHeight="1" x14ac:dyDescent="0.3">
      <c r="A165" s="923" t="s">
        <v>164</v>
      </c>
      <c r="B165" s="87"/>
      <c r="C165" s="819" t="s">
        <v>23</v>
      </c>
      <c r="D165" s="819" t="s">
        <v>23</v>
      </c>
      <c r="E165" s="819" t="s">
        <v>23</v>
      </c>
      <c r="F165" s="819" t="s">
        <v>23</v>
      </c>
      <c r="G165" s="819" t="s">
        <v>23</v>
      </c>
      <c r="H165" s="819"/>
      <c r="I165" s="819" t="s">
        <v>23</v>
      </c>
      <c r="J165" s="819" t="s">
        <v>23</v>
      </c>
      <c r="K165" s="819" t="s">
        <v>23</v>
      </c>
      <c r="L165" s="819" t="s">
        <v>23</v>
      </c>
      <c r="M165" s="819" t="s">
        <v>23</v>
      </c>
      <c r="N165" s="819" t="s">
        <v>23</v>
      </c>
      <c r="O165" s="819" t="s">
        <v>23</v>
      </c>
      <c r="P165" s="819" t="s">
        <v>23</v>
      </c>
      <c r="Q165" s="819" t="s">
        <v>23</v>
      </c>
      <c r="R165" s="819" t="s">
        <v>23</v>
      </c>
      <c r="S165" s="819" t="s">
        <v>23</v>
      </c>
      <c r="T165" s="1003"/>
      <c r="U165" s="1003"/>
      <c r="V165" s="1003"/>
      <c r="W165" s="1003"/>
      <c r="X165" s="1003"/>
      <c r="Y165" s="1004"/>
      <c r="Z165" s="1005"/>
      <c r="AA165" s="1006"/>
      <c r="AB165" s="819" t="s">
        <v>23</v>
      </c>
      <c r="AC165" s="113"/>
      <c r="AD165" s="113"/>
      <c r="AE165" s="113"/>
      <c r="AF165" s="113"/>
      <c r="AG165" s="113"/>
      <c r="AH165" s="113"/>
      <c r="AI165" s="113"/>
      <c r="AJ165" s="113"/>
      <c r="AK165" s="113"/>
      <c r="AL165" s="113"/>
      <c r="AM165" s="113"/>
      <c r="AN165" s="113"/>
      <c r="AO165" s="113"/>
      <c r="AP165" s="113"/>
      <c r="AQ165" s="113"/>
      <c r="AR165" s="113"/>
      <c r="AS165" s="113"/>
      <c r="AT165" s="113"/>
      <c r="AU165" s="113"/>
      <c r="AV165" s="113"/>
      <c r="AW165" s="113"/>
      <c r="AX165" s="113"/>
      <c r="AY165" s="113"/>
      <c r="AZ165" s="113"/>
      <c r="BA165" s="113"/>
      <c r="BB165" s="113"/>
      <c r="BC165" s="113"/>
    </row>
    <row r="166" spans="1:55" ht="12.75" customHeight="1" thickBot="1" x14ac:dyDescent="0.35">
      <c r="A166" s="1170"/>
      <c r="B166" s="50"/>
      <c r="C166" s="671"/>
      <c r="D166" s="671"/>
      <c r="E166" s="671"/>
      <c r="F166" s="671"/>
      <c r="G166" s="671"/>
      <c r="H166" s="671"/>
      <c r="I166" s="671"/>
      <c r="J166" s="88"/>
      <c r="K166" s="88"/>
      <c r="L166" s="88"/>
      <c r="M166" s="88"/>
      <c r="N166" s="113"/>
      <c r="O166" s="88"/>
      <c r="P166" s="88"/>
      <c r="Q166" s="88"/>
      <c r="R166" s="88"/>
      <c r="S166" s="88"/>
      <c r="T166" s="919"/>
      <c r="U166" s="919"/>
      <c r="V166" s="919"/>
      <c r="W166" s="919"/>
      <c r="X166" s="919"/>
      <c r="Y166" s="710"/>
      <c r="Z166" s="711"/>
      <c r="AA166" s="106"/>
      <c r="AB166" s="88"/>
      <c r="AC166" s="113"/>
      <c r="AD166" s="113"/>
      <c r="AE166" s="113"/>
      <c r="AF166" s="113"/>
      <c r="AG166" s="113"/>
      <c r="AH166" s="113"/>
      <c r="AI166" s="113"/>
      <c r="AJ166" s="113"/>
      <c r="AK166" s="113"/>
      <c r="AL166" s="113"/>
      <c r="AM166" s="113"/>
      <c r="AN166" s="113"/>
      <c r="AO166" s="113"/>
      <c r="AP166" s="113"/>
      <c r="AQ166" s="113"/>
      <c r="AR166" s="113"/>
      <c r="AS166" s="113"/>
      <c r="AT166" s="113"/>
      <c r="AU166" s="113"/>
      <c r="AV166" s="113"/>
      <c r="AW166" s="113"/>
      <c r="AX166" s="113"/>
      <c r="AY166" s="113"/>
      <c r="AZ166" s="113"/>
      <c r="BA166" s="113"/>
      <c r="BB166" s="113"/>
      <c r="BC166" s="113"/>
    </row>
    <row r="167" spans="1:55" ht="27.6" x14ac:dyDescent="0.3">
      <c r="A167" s="100"/>
      <c r="B167" s="101"/>
      <c r="C167" s="1008" t="s">
        <v>176</v>
      </c>
      <c r="D167" s="2175" t="s">
        <v>177</v>
      </c>
      <c r="E167" s="2176"/>
      <c r="F167" s="2176"/>
      <c r="G167" s="2176"/>
      <c r="H167" s="2176"/>
      <c r="I167" s="2177"/>
      <c r="J167" s="2168" t="s">
        <v>428</v>
      </c>
      <c r="K167" s="2169"/>
      <c r="L167" s="2173"/>
      <c r="M167" s="2171"/>
      <c r="N167" s="2174"/>
      <c r="O167" s="2173" t="s">
        <v>430</v>
      </c>
      <c r="P167" s="2170"/>
      <c r="Q167" s="2170"/>
      <c r="R167" s="2171"/>
      <c r="S167" s="2174"/>
      <c r="T167" s="2178" t="s">
        <v>418</v>
      </c>
      <c r="U167" s="2179"/>
      <c r="V167" s="2179"/>
      <c r="W167" s="2179"/>
      <c r="X167" s="2179"/>
      <c r="Y167" s="2179"/>
      <c r="Z167" s="2179"/>
      <c r="AA167" s="2152"/>
      <c r="AB167" s="2180" t="s">
        <v>433</v>
      </c>
      <c r="AC167" s="113"/>
      <c r="AD167" s="113"/>
      <c r="AE167" s="113"/>
      <c r="AF167" s="113"/>
      <c r="AG167" s="113"/>
      <c r="AH167" s="113"/>
      <c r="AI167" s="113"/>
      <c r="AJ167" s="113"/>
      <c r="AK167" s="113"/>
      <c r="AL167" s="113"/>
      <c r="AM167" s="113"/>
      <c r="AN167" s="113"/>
      <c r="AO167" s="113"/>
      <c r="AP167" s="113"/>
      <c r="AQ167" s="113"/>
      <c r="AR167" s="113"/>
      <c r="AS167" s="113"/>
      <c r="AT167" s="113"/>
      <c r="AU167" s="113"/>
      <c r="AV167" s="113"/>
      <c r="AW167" s="113"/>
      <c r="AX167" s="113"/>
      <c r="AY167" s="113"/>
      <c r="AZ167" s="113"/>
      <c r="BA167" s="113"/>
      <c r="BB167" s="113"/>
      <c r="BC167" s="113"/>
    </row>
    <row r="168" spans="1:55" ht="42" thickBot="1" x14ac:dyDescent="0.35">
      <c r="A168" s="901"/>
      <c r="B168" s="103"/>
      <c r="C168" s="1225" t="str">
        <f>C14</f>
        <v>Q3</v>
      </c>
      <c r="D168" s="821" t="str">
        <f t="shared" ref="D168:I168" si="175">D14</f>
        <v>Q2</v>
      </c>
      <c r="E168" s="925" t="str">
        <f t="shared" si="175"/>
        <v>Q1</v>
      </c>
      <c r="F168" s="925" t="str">
        <f t="shared" si="175"/>
        <v>Q4-19</v>
      </c>
      <c r="G168" s="822" t="str">
        <f t="shared" si="175"/>
        <v>Q3-19</v>
      </c>
      <c r="H168" s="822" t="str">
        <f t="shared" si="175"/>
        <v>2018-2019</v>
      </c>
      <c r="I168" s="823" t="str">
        <f t="shared" si="175"/>
        <v>25% of previous year total</v>
      </c>
      <c r="J168" s="824" t="s">
        <v>434</v>
      </c>
      <c r="K168" s="825" t="s">
        <v>435</v>
      </c>
      <c r="L168" s="831"/>
      <c r="M168" s="826"/>
      <c r="N168" s="860"/>
      <c r="O168" s="828" t="s">
        <v>438</v>
      </c>
      <c r="P168" s="925" t="s">
        <v>470</v>
      </c>
      <c r="Q168" s="925" t="s">
        <v>471</v>
      </c>
      <c r="R168" s="829" t="s">
        <v>439</v>
      </c>
      <c r="S168" s="830" t="s">
        <v>440</v>
      </c>
      <c r="T168" s="2156" t="s">
        <v>441</v>
      </c>
      <c r="U168" s="2155"/>
      <c r="V168" s="1394"/>
      <c r="W168" s="1394"/>
      <c r="X168" s="1394"/>
      <c r="Y168" s="2157" t="s">
        <v>451</v>
      </c>
      <c r="Z168" s="2155"/>
      <c r="AA168" s="830" t="s">
        <v>445</v>
      </c>
      <c r="AB168" s="2181"/>
      <c r="AC168" s="113"/>
      <c r="AD168" s="113"/>
      <c r="AE168" s="113"/>
      <c r="AF168" s="113"/>
      <c r="AG168" s="113"/>
      <c r="AH168" s="113"/>
      <c r="AI168" s="113"/>
      <c r="AJ168" s="113"/>
      <c r="AK168" s="113"/>
      <c r="AL168" s="113"/>
      <c r="AM168" s="113"/>
      <c r="AN168" s="113"/>
      <c r="AO168" s="113"/>
      <c r="AP168" s="113"/>
      <c r="AQ168" s="113"/>
      <c r="AR168" s="113"/>
      <c r="AS168" s="113"/>
      <c r="AT168" s="113"/>
      <c r="AU168" s="113"/>
      <c r="AV168" s="113"/>
      <c r="AW168" s="113"/>
      <c r="AX168" s="113"/>
      <c r="AY168" s="113"/>
      <c r="AZ168" s="113"/>
      <c r="BA168" s="113"/>
      <c r="BB168" s="113"/>
      <c r="BC168" s="113"/>
    </row>
    <row r="169" spans="1:55" ht="12.75" customHeight="1" thickBot="1" x14ac:dyDescent="0.35">
      <c r="A169" s="1009" t="s">
        <v>186</v>
      </c>
      <c r="B169" s="1010"/>
      <c r="C169" s="1177">
        <f t="shared" ref="C169:H169" ca="1" si="176">INDIRECT(CONCATENATE("'",C$14,"'!$E$191"),TRUE)</f>
        <v>0</v>
      </c>
      <c r="D169" s="1205">
        <f t="shared" ca="1" si="176"/>
        <v>269613</v>
      </c>
      <c r="E169" s="1206">
        <f t="shared" ca="1" si="176"/>
        <v>265900.5</v>
      </c>
      <c r="F169" s="1206">
        <f t="shared" ca="1" si="176"/>
        <v>285494</v>
      </c>
      <c r="G169" s="1206">
        <f t="shared" ca="1" si="176"/>
        <v>254638</v>
      </c>
      <c r="H169" s="1206">
        <f t="shared" ca="1" si="176"/>
        <v>1075816</v>
      </c>
      <c r="I169" s="1207">
        <f t="shared" ref="I169" ca="1" si="177">H169/4</f>
        <v>268954</v>
      </c>
      <c r="J169" s="842" t="str">
        <f ca="1">IF(AND(C169&gt;0,SUM(D169:I169)&gt;0),"",IF(AND(C169=0,SUM(C169:I169)=0),"",IF(AND(C169=0,D169&gt;0),"Missing value?",IF(AND(C169=0,I169&gt;0),"Missing value?","New category"))))</f>
        <v>Missing value?</v>
      </c>
      <c r="K169" s="843"/>
      <c r="L169" s="1011"/>
      <c r="M169" s="1012"/>
      <c r="N169" s="1013"/>
      <c r="O169" s="738">
        <f ca="1">IF(OR(+$J169="missing?",+$J169="new category"),"",IF($D169=0,"",IF(SUM($C169:$I169)=0,"",IFERROR((($C169-$D169)/$D169),"N/A"))))</f>
        <v>-1</v>
      </c>
      <c r="P169" s="1072">
        <f t="shared" ref="P169" ca="1" si="178">IF(OR(+$J169="missing?",+$J169="new category"),"",IF($E169=0,"",IF(SUM($C169:$I169)=0,"",IFERROR((($C169-$E169)/$E169),"N/A"))))</f>
        <v>-1</v>
      </c>
      <c r="Q169" s="1072">
        <f t="shared" ref="Q169" ca="1" si="179">IF(OR(+$J169="missing?",+$J169="new category"),"",IF($F169=0,"",IF(SUM($C169:$I169)=0,"",IFERROR((($C169-$F169)/$F169),"N/A"))))</f>
        <v>-1</v>
      </c>
      <c r="R169" s="739">
        <f ca="1">IF(OR(+$J169="missing?",+$J169="new category"),"",IF($G169=0,"",IF(SUM($C169:$I169)=0,"",IFERROR((($C169-$G169)/$G169),"N/A"))))</f>
        <v>-1</v>
      </c>
      <c r="S169" s="740">
        <f ca="1">IF(OR(+$J169="missing?",+$J169="new category"),"",IF($I169=0,"",IF(SUM($C169:$I169)=0,"",IFERROR((($C169-$I169)/$I169),"N/A"))))</f>
        <v>-1</v>
      </c>
      <c r="T169" s="1070">
        <f t="shared" ref="T169" ca="1" si="180">IF(SUM(C169:I169)=0,"",IF(OR(AND(C169=0,SUM(D169:I169)&gt;0),AND(C169&gt;0,SUM(D169:I169)=0)),1,IF(MAX(IF(O169&lt;0,-O169,O169),IF(P169&lt;0,-P169,P169),IF(Q169&lt;0,-Q169,Q169),IF(R169&lt;0,-R169,R169),IF(S169&lt;0,-S169,S169))=0,"",MAX(IF(O169&lt;0,-O169,O169),IF(P169&lt;0,-P169,P169),IF(Q169&lt;0,-Q169,Q169),IF(R169&lt;0,-R169,R169),IF(S169&lt;0,-S169,S169)))))</f>
        <v>1</v>
      </c>
      <c r="U169" s="1160">
        <f ca="1">IF(SUM(D169:J169)=0,"",IF(OR(AND(D169=0,SUM(G169:J169)&gt;0),AND(D169&gt;0,SUM(G169:J169)=0)),1,IF(MAX(IF(R169&lt;0,-R169,R169),IF(S169&lt;0,-S169,S169),IF(T169&lt;0,-T169,T169))=0,"",MAX(IF(R169&lt;0,-R169,R169),IF(S169&lt;0,-S169,S169),IF(T169&lt;0,-T169,T169)))))</f>
        <v>1</v>
      </c>
      <c r="V169" s="1399"/>
      <c r="W169" s="1399"/>
      <c r="X169" s="1399"/>
      <c r="Y169" s="2162" t="str">
        <f ca="1">IF(+T169="","",IF(T169&gt;$O$3,"H",IF(T169&gt;$O$4,"M","")))</f>
        <v>H</v>
      </c>
      <c r="Z169" s="2163"/>
      <c r="AA169" s="843"/>
      <c r="AB169" s="1014" t="str">
        <f ca="1">IF(CONCATENATE(IF(K169="OK","",J169),"    ",IF(L169="","",IF(N169="OK","",CONCATENATE(M169," = ",ROUND(L169,3),"kgCO2e/kWh"))),"    ",IF(AND(+AA169="",Y169="M"),"Value change with medium impact",IF(AND(AA169="",Y169="H"),"Value change with high impact",""))," ")="         ","",CONCATENATE(IF(K169="OK","",J169),"    ",IF(L169="","",IF(N169="OK","",CONCATENATE(M169," = ",ROUND(L169,3),"kgCO2e/kWh"))),"    ",IF(AND(+AA169="",Y169="M"),"Value change with medium impact",IF(AND(AA169="",Y169="H"),"Value change with high impact",""))," "))</f>
        <v xml:space="preserve">Missing value?        Value change with high impact </v>
      </c>
      <c r="AC169" s="113"/>
      <c r="AD169" s="113"/>
      <c r="AE169" s="113"/>
      <c r="AF169" s="113"/>
      <c r="AG169" s="113"/>
      <c r="AH169" s="113"/>
      <c r="AI169" s="113"/>
      <c r="AJ169" s="113"/>
      <c r="AK169" s="113"/>
      <c r="AL169" s="113"/>
      <c r="AM169" s="113"/>
      <c r="AN169" s="113"/>
      <c r="AO169" s="113"/>
      <c r="AP169" s="113"/>
      <c r="AQ169" s="113"/>
      <c r="AR169" s="113"/>
      <c r="AS169" s="113"/>
      <c r="AT169" s="113"/>
      <c r="AU169" s="113"/>
      <c r="AV169" s="113"/>
      <c r="AW169" s="113"/>
      <c r="AX169" s="113"/>
      <c r="AY169" s="113"/>
      <c r="AZ169" s="113"/>
      <c r="BA169" s="113"/>
      <c r="BB169" s="113"/>
      <c r="BC169" s="113"/>
    </row>
    <row r="170" spans="1:55" ht="14.4" x14ac:dyDescent="0.3">
      <c r="A170" s="90"/>
      <c r="B170" s="90"/>
      <c r="C170" s="814"/>
      <c r="D170" s="814"/>
      <c r="E170" s="814"/>
      <c r="F170" s="814"/>
      <c r="G170" s="814"/>
      <c r="H170" s="814"/>
      <c r="I170" s="671"/>
      <c r="J170" s="88"/>
      <c r="K170" s="88"/>
      <c r="L170" s="1015"/>
      <c r="M170" s="1016"/>
      <c r="N170" s="113"/>
      <c r="O170" s="93"/>
      <c r="P170" s="93"/>
      <c r="Q170" s="93"/>
      <c r="R170" s="93"/>
      <c r="S170" s="1015">
        <f ca="1">G169</f>
        <v>254638</v>
      </c>
      <c r="T170" s="1015"/>
      <c r="U170" s="1015"/>
      <c r="V170" s="1015"/>
      <c r="W170" s="1015"/>
      <c r="X170" s="1015"/>
      <c r="Y170" s="1015"/>
      <c r="Z170" s="1015"/>
      <c r="AA170" s="1015"/>
      <c r="AB170" s="1015"/>
      <c r="AC170" s="113"/>
      <c r="AD170" s="113"/>
      <c r="AE170" s="113"/>
      <c r="AF170" s="113"/>
      <c r="AG170" s="113"/>
      <c r="AH170" s="113"/>
      <c r="AI170" s="113"/>
      <c r="AJ170" s="113"/>
      <c r="AK170" s="113"/>
      <c r="AL170" s="113"/>
      <c r="AM170" s="113"/>
      <c r="AN170" s="113"/>
      <c r="AO170" s="113"/>
      <c r="AP170" s="113"/>
      <c r="AQ170" s="113"/>
      <c r="AR170" s="113"/>
      <c r="AS170" s="113"/>
      <c r="AT170" s="113"/>
      <c r="AU170" s="113"/>
      <c r="AV170" s="113"/>
      <c r="AW170" s="113"/>
      <c r="AX170" s="113"/>
      <c r="AY170" s="113"/>
      <c r="AZ170" s="113"/>
      <c r="BA170" s="113"/>
      <c r="BB170" s="113"/>
      <c r="BC170" s="113"/>
    </row>
    <row r="171" spans="1:55" ht="14.4" x14ac:dyDescent="0.3">
      <c r="A171" s="923" t="s">
        <v>169</v>
      </c>
      <c r="B171" s="87"/>
      <c r="C171" s="819" t="s">
        <v>23</v>
      </c>
      <c r="D171" s="819" t="s">
        <v>23</v>
      </c>
      <c r="E171" s="819" t="s">
        <v>23</v>
      </c>
      <c r="F171" s="819" t="s">
        <v>23</v>
      </c>
      <c r="G171" s="819" t="s">
        <v>23</v>
      </c>
      <c r="H171" s="819"/>
      <c r="I171" s="819" t="s">
        <v>23</v>
      </c>
      <c r="J171" s="819" t="s">
        <v>23</v>
      </c>
      <c r="K171" s="819" t="s">
        <v>23</v>
      </c>
      <c r="L171" s="819" t="s">
        <v>23</v>
      </c>
      <c r="M171" s="819" t="s">
        <v>23</v>
      </c>
      <c r="N171" s="819" t="s">
        <v>23</v>
      </c>
      <c r="O171" s="819" t="s">
        <v>23</v>
      </c>
      <c r="P171" s="819" t="s">
        <v>23</v>
      </c>
      <c r="Q171" s="819" t="s">
        <v>23</v>
      </c>
      <c r="R171" s="819" t="s">
        <v>23</v>
      </c>
      <c r="S171" s="819" t="s">
        <v>23</v>
      </c>
      <c r="T171" s="819" t="s">
        <v>23</v>
      </c>
      <c r="U171" s="819"/>
      <c r="V171" s="819"/>
      <c r="W171" s="819"/>
      <c r="X171" s="819"/>
      <c r="Y171" s="819" t="s">
        <v>23</v>
      </c>
      <c r="Z171" s="819" t="s">
        <v>23</v>
      </c>
      <c r="AA171" s="819" t="s">
        <v>23</v>
      </c>
      <c r="AB171" s="819" t="s">
        <v>23</v>
      </c>
      <c r="AC171" s="113"/>
      <c r="AD171" s="113"/>
      <c r="AE171" s="113"/>
      <c r="AF171" s="113"/>
      <c r="AG171" s="113"/>
      <c r="AH171" s="113"/>
      <c r="AI171" s="113"/>
      <c r="AJ171" s="113"/>
      <c r="AK171" s="113"/>
      <c r="AL171" s="113"/>
      <c r="AM171" s="113"/>
      <c r="AN171" s="113"/>
      <c r="AO171" s="113"/>
      <c r="AP171" s="113"/>
      <c r="AQ171" s="113"/>
      <c r="AR171" s="113"/>
      <c r="AS171" s="113"/>
      <c r="AT171" s="113"/>
      <c r="AU171" s="113"/>
      <c r="AV171" s="113"/>
      <c r="AW171" s="113"/>
      <c r="AX171" s="113"/>
      <c r="AY171" s="113"/>
      <c r="AZ171" s="113"/>
      <c r="BA171" s="113"/>
      <c r="BB171" s="113"/>
      <c r="BC171" s="113"/>
    </row>
    <row r="172" spans="1:55" ht="12.75" customHeight="1" x14ac:dyDescent="0.3">
      <c r="A172" s="1170"/>
      <c r="B172" s="90"/>
      <c r="C172" s="814"/>
      <c r="D172" s="814"/>
      <c r="E172" s="814"/>
      <c r="F172" s="814"/>
      <c r="G172" s="814"/>
      <c r="H172" s="814"/>
      <c r="I172" s="814"/>
      <c r="J172" s="93"/>
      <c r="K172" s="93"/>
      <c r="L172" s="93"/>
      <c r="M172" s="718"/>
      <c r="N172" s="113"/>
      <c r="O172" s="93"/>
      <c r="P172" s="93"/>
      <c r="Q172" s="93"/>
      <c r="R172" s="93"/>
      <c r="S172" s="93"/>
      <c r="T172" s="919"/>
      <c r="U172" s="919"/>
      <c r="V172" s="919"/>
      <c r="W172" s="919"/>
      <c r="X172" s="919"/>
      <c r="Y172" s="710"/>
      <c r="Z172" s="711"/>
      <c r="AA172" s="196"/>
      <c r="AB172" s="93"/>
      <c r="AC172" s="113"/>
      <c r="AD172" s="113"/>
      <c r="AE172" s="113"/>
      <c r="AF172" s="113"/>
      <c r="AG172" s="113"/>
      <c r="AH172" s="113"/>
      <c r="AI172" s="113"/>
      <c r="AJ172" s="113"/>
      <c r="AK172" s="113"/>
      <c r="AL172" s="113"/>
      <c r="AM172" s="113"/>
      <c r="AN172" s="113"/>
      <c r="AO172" s="113"/>
      <c r="AP172" s="113"/>
      <c r="AQ172" s="113"/>
      <c r="AR172" s="113"/>
      <c r="AS172" s="113"/>
      <c r="AT172" s="113"/>
      <c r="AU172" s="113"/>
      <c r="AV172" s="113"/>
      <c r="AW172" s="113"/>
      <c r="AX172" s="113"/>
      <c r="AY172" s="113"/>
      <c r="AZ172" s="113"/>
      <c r="BA172" s="113"/>
      <c r="BB172" s="113"/>
      <c r="BC172" s="113"/>
    </row>
    <row r="173" spans="1:55" ht="14.55" customHeight="1" x14ac:dyDescent="0.3">
      <c r="A173" s="673"/>
      <c r="B173" s="673"/>
      <c r="C173" s="671"/>
      <c r="D173" s="671"/>
      <c r="E173" s="671"/>
      <c r="F173" s="671"/>
      <c r="G173" s="814"/>
      <c r="H173" s="814"/>
      <c r="I173" s="814"/>
      <c r="J173" s="93"/>
      <c r="K173" s="1007"/>
      <c r="L173" s="1017"/>
      <c r="M173" s="1017"/>
      <c r="N173" s="113"/>
      <c r="O173" s="93"/>
      <c r="P173" s="93"/>
      <c r="Q173" s="93"/>
      <c r="R173" s="93"/>
      <c r="S173" s="93"/>
      <c r="T173" s="919"/>
      <c r="U173" s="919"/>
      <c r="V173" s="919"/>
      <c r="W173" s="919"/>
      <c r="X173" s="919"/>
      <c r="Y173" s="710"/>
      <c r="Z173" s="711"/>
      <c r="AA173" s="196"/>
      <c r="AB173" s="93"/>
      <c r="AC173" s="113"/>
      <c r="AD173" s="113"/>
      <c r="AE173" s="113"/>
      <c r="AF173" s="113"/>
      <c r="AG173" s="113"/>
      <c r="AH173" s="113"/>
      <c r="AI173" s="113"/>
      <c r="AJ173" s="113"/>
      <c r="AK173" s="113"/>
      <c r="AL173" s="113"/>
      <c r="AM173" s="113"/>
      <c r="AN173" s="113"/>
      <c r="AO173" s="113"/>
      <c r="AP173" s="113"/>
      <c r="AQ173" s="113"/>
      <c r="AR173" s="113"/>
      <c r="AS173" s="113"/>
      <c r="AT173" s="113"/>
      <c r="AU173" s="113"/>
      <c r="AV173" s="113"/>
      <c r="AW173" s="113"/>
      <c r="AX173" s="113"/>
      <c r="AY173" s="113"/>
      <c r="AZ173" s="113"/>
      <c r="BA173" s="113"/>
      <c r="BB173" s="113"/>
      <c r="BC173" s="113"/>
    </row>
    <row r="174" spans="1:55" ht="12" customHeight="1" thickBot="1" x14ac:dyDescent="0.35">
      <c r="A174" s="673"/>
      <c r="B174" s="673"/>
      <c r="C174" s="671"/>
      <c r="D174" s="671"/>
      <c r="E174" s="671"/>
      <c r="F174" s="671"/>
      <c r="G174" s="814"/>
      <c r="H174" s="814"/>
      <c r="I174" s="814"/>
      <c r="J174" s="93"/>
      <c r="K174" s="1007"/>
      <c r="L174" s="1007"/>
      <c r="M174" s="1007"/>
      <c r="N174" s="1170"/>
      <c r="O174" s="93"/>
      <c r="P174" s="93"/>
      <c r="Q174" s="93"/>
      <c r="R174" s="93"/>
      <c r="S174" s="93"/>
      <c r="T174" s="919"/>
      <c r="U174" s="919"/>
      <c r="V174" s="919"/>
      <c r="W174" s="919"/>
      <c r="X174" s="919"/>
      <c r="Y174" s="710"/>
      <c r="Z174" s="711"/>
      <c r="AA174" s="106"/>
      <c r="AB174" s="93"/>
      <c r="AC174" s="1170"/>
      <c r="AD174" s="1170"/>
      <c r="AE174" s="1170"/>
      <c r="AF174" s="1170"/>
      <c r="AG174" s="1170"/>
      <c r="AH174" s="1170"/>
      <c r="AI174" s="1170"/>
      <c r="AJ174" s="1170"/>
      <c r="AK174" s="1170"/>
      <c r="AL174" s="1170"/>
      <c r="AM174" s="1170"/>
      <c r="AN174" s="1170"/>
      <c r="AO174" s="1170"/>
      <c r="AP174" s="1170"/>
      <c r="AQ174" s="1170"/>
      <c r="AR174" s="1170"/>
      <c r="AS174" s="1170"/>
      <c r="AT174" s="1170"/>
      <c r="AU174" s="1170"/>
      <c r="AV174" s="1170"/>
      <c r="AW174" s="1170"/>
      <c r="AX174" s="1170"/>
      <c r="AY174" s="1170"/>
      <c r="AZ174" s="1170"/>
      <c r="BA174" s="1170"/>
      <c r="BB174" s="1170"/>
      <c r="BC174" s="1170"/>
    </row>
    <row r="175" spans="1:55" ht="27.6" x14ac:dyDescent="0.3">
      <c r="A175" s="100"/>
      <c r="B175" s="1018"/>
      <c r="C175" s="1282" t="s">
        <v>176</v>
      </c>
      <c r="D175" s="2164" t="s">
        <v>177</v>
      </c>
      <c r="E175" s="2165"/>
      <c r="F175" s="2165"/>
      <c r="G175" s="2166"/>
      <c r="H175" s="2167"/>
      <c r="I175" s="2167"/>
      <c r="J175" s="2168" t="s">
        <v>428</v>
      </c>
      <c r="K175" s="2169"/>
      <c r="L175" s="2170" t="s">
        <v>452</v>
      </c>
      <c r="M175" s="2171"/>
      <c r="N175" s="2172"/>
      <c r="O175" s="2173" t="s">
        <v>430</v>
      </c>
      <c r="P175" s="2170"/>
      <c r="Q175" s="2170"/>
      <c r="R175" s="2171"/>
      <c r="S175" s="2174"/>
      <c r="T175" s="2170" t="s">
        <v>418</v>
      </c>
      <c r="U175" s="2171"/>
      <c r="V175" s="2171"/>
      <c r="W175" s="2171"/>
      <c r="X175" s="2171"/>
      <c r="Y175" s="2171"/>
      <c r="Z175" s="2171"/>
      <c r="AA175" s="2174"/>
      <c r="AB175" s="2152" t="s">
        <v>433</v>
      </c>
      <c r="AC175" s="1170"/>
      <c r="AD175" s="1170"/>
      <c r="AE175" s="1170"/>
      <c r="AF175" s="1170"/>
      <c r="AG175" s="1170"/>
      <c r="AH175" s="1170"/>
      <c r="AI175" s="1170"/>
      <c r="AJ175" s="1170"/>
      <c r="AK175" s="1170"/>
      <c r="AL175" s="1170"/>
      <c r="AM175" s="1170"/>
      <c r="AN175" s="1170"/>
      <c r="AO175" s="1170"/>
      <c r="AP175" s="1170"/>
      <c r="AQ175" s="1170"/>
      <c r="AR175" s="1170"/>
      <c r="AS175" s="1170"/>
      <c r="AT175" s="1170"/>
      <c r="AU175" s="1170"/>
      <c r="AV175" s="1170"/>
      <c r="AW175" s="1170"/>
      <c r="AX175" s="1170"/>
      <c r="AY175" s="1170"/>
      <c r="AZ175" s="1170"/>
      <c r="BA175" s="1170"/>
      <c r="BB175" s="1170"/>
      <c r="BC175" s="1170"/>
    </row>
    <row r="176" spans="1:55" ht="47.55" customHeight="1" thickBot="1" x14ac:dyDescent="0.35">
      <c r="A176" s="102"/>
      <c r="B176" s="1019"/>
      <c r="C176" s="1283" t="str">
        <f>C14</f>
        <v>Q3</v>
      </c>
      <c r="D176" s="721" t="str">
        <f t="shared" ref="D176:I176" si="181">D14</f>
        <v>Q2</v>
      </c>
      <c r="E176" s="925" t="str">
        <f t="shared" si="181"/>
        <v>Q1</v>
      </c>
      <c r="F176" s="925" t="str">
        <f t="shared" si="181"/>
        <v>Q4-19</v>
      </c>
      <c r="G176" s="722" t="str">
        <f t="shared" si="181"/>
        <v>Q3-19</v>
      </c>
      <c r="H176" s="722" t="str">
        <f t="shared" si="181"/>
        <v>2018-2019</v>
      </c>
      <c r="I176" s="926" t="str">
        <f t="shared" si="181"/>
        <v>25% of previous year total</v>
      </c>
      <c r="J176" s="724" t="s">
        <v>434</v>
      </c>
      <c r="K176" s="725" t="s">
        <v>435</v>
      </c>
      <c r="L176" s="2154" t="str">
        <f>CONCATENATE("Average flight distance = ",+O8," to ",+O9," km")</f>
        <v>Average flight distance = 100 to 800 km</v>
      </c>
      <c r="M176" s="2155"/>
      <c r="N176" s="1020" t="s">
        <v>435</v>
      </c>
      <c r="O176" s="728" t="s">
        <v>438</v>
      </c>
      <c r="P176" s="925" t="s">
        <v>470</v>
      </c>
      <c r="Q176" s="925" t="s">
        <v>471</v>
      </c>
      <c r="R176" s="1169" t="s">
        <v>439</v>
      </c>
      <c r="S176" s="729" t="s">
        <v>440</v>
      </c>
      <c r="T176" s="2156" t="s">
        <v>441</v>
      </c>
      <c r="U176" s="2155"/>
      <c r="V176" s="1394"/>
      <c r="W176" s="1394"/>
      <c r="X176" s="1394"/>
      <c r="Y176" s="2157" t="s">
        <v>453</v>
      </c>
      <c r="Z176" s="2155"/>
      <c r="AA176" s="729" t="s">
        <v>445</v>
      </c>
      <c r="AB176" s="2153"/>
      <c r="AC176" s="1170"/>
      <c r="AD176" s="1170"/>
      <c r="AE176" s="1170"/>
      <c r="AF176" s="1170"/>
      <c r="AG176" s="1170"/>
      <c r="AH176" s="1170"/>
      <c r="AI176" s="1170"/>
      <c r="AJ176" s="1170"/>
      <c r="AK176" s="1170"/>
      <c r="AL176" s="1170"/>
      <c r="AM176" s="1170"/>
      <c r="AN176" s="1170"/>
      <c r="AO176" s="1170"/>
      <c r="AP176" s="1170"/>
      <c r="AQ176" s="1170"/>
      <c r="AR176" s="1170"/>
      <c r="AS176" s="1170"/>
      <c r="AT176" s="1170"/>
      <c r="AU176" s="1170"/>
      <c r="AV176" s="1170"/>
      <c r="AW176" s="1170"/>
      <c r="AX176" s="1170"/>
      <c r="AY176" s="1170"/>
      <c r="AZ176" s="1170"/>
      <c r="BA176" s="1170"/>
      <c r="BB176" s="1170"/>
      <c r="BC176" s="1170"/>
    </row>
    <row r="177" spans="1:55" ht="12" customHeight="1" x14ac:dyDescent="0.3">
      <c r="A177" s="1021" t="s">
        <v>187</v>
      </c>
      <c r="B177" s="1022"/>
      <c r="C177" s="1195">
        <f t="shared" ref="C177:H177" ca="1" si="182">INDIRECT(CONCATENATE("'",C$14,"'!$D$197"),TRUE)</f>
        <v>0</v>
      </c>
      <c r="D177" s="1196">
        <f t="shared" ca="1" si="182"/>
        <v>772</v>
      </c>
      <c r="E177" s="1197">
        <f t="shared" ca="1" si="182"/>
        <v>976</v>
      </c>
      <c r="F177" s="1197">
        <f t="shared" ca="1" si="182"/>
        <v>1088</v>
      </c>
      <c r="G177" s="1197">
        <f t="shared" ca="1" si="182"/>
        <v>1075</v>
      </c>
      <c r="H177" s="1197">
        <f t="shared" ca="1" si="182"/>
        <v>4200</v>
      </c>
      <c r="I177" s="1208">
        <f t="shared" ref="I177" ca="1" si="183">H177/4</f>
        <v>1050</v>
      </c>
      <c r="J177" s="973" t="str">
        <f ca="1">IF(AND(C177&gt;0,SUM(D177:I177)&gt;0),"",IF(AND(C177=0,SUM(C177:I177)=0),"",IF(AND(C177=0,D177&gt;0),"missing?",IF(AND(C177=0,I177&gt;0),"missing?","new category"))))</f>
        <v>missing?</v>
      </c>
      <c r="K177" s="751"/>
      <c r="L177" s="2158"/>
      <c r="M177" s="2159"/>
      <c r="N177" s="1023"/>
      <c r="O177" s="1024" t="str">
        <f ca="1">IF(OR(+$J177="missing?",+$J177="new category"),"",IF($D177=0,"",IF(SUM($C177:$I177)=0,"",IFERROR((($C177-$D177)/$D177),"N/A"))))</f>
        <v/>
      </c>
      <c r="P177" s="808" t="str">
        <f t="shared" ref="P177:P178" ca="1" si="184">IF(OR(+$J177="missing?",+$J177="new category"),"",IF($E177=0,"",IF(SUM($C177:$I177)=0,"",IFERROR((($C177-$E177)/$E177),"N/A"))))</f>
        <v/>
      </c>
      <c r="Q177" s="808" t="str">
        <f t="shared" ref="Q177:Q178" ca="1" si="185">IF(OR(+$J177="missing?",+$J177="new category"),"",IF($F177=0,"",IF(SUM($C177:$I177)=0,"",IFERROR((($C177-$F177)/$F177),"N/A"))))</f>
        <v/>
      </c>
      <c r="R177" s="808" t="str">
        <f ca="1">IF(OR(+$J177="missing?",+$J177="new category"),"",IF($G177=0,"",IF(SUM($C177:$I177)=0,"",IFERROR((($C177-$G177)/$G177),"N/A"))))</f>
        <v/>
      </c>
      <c r="S177" s="974" t="str">
        <f ca="1">IF(OR(+$J177="missing?",+$J177="new category"),"",IF($I177=0,"",IF(SUM($C177:$I177)=0,"",IFERROR((($C177-$I177)/$I177),"N/A"))))</f>
        <v/>
      </c>
      <c r="T177" s="1166">
        <f t="shared" ref="T177:T178" ca="1" si="186">IF(SUM(C177:I177)=0,"",IF(OR(AND(C177=0,SUM(D177:I177)&gt;0),AND(C177&gt;0,SUM(D177:I177)=0)),1,IF(MAX(IF(O177&lt;0,-O177,O177),IF(P177&lt;0,-P177,P177),IF(Q177&lt;0,-Q177,Q177),IF(R177&lt;0,-R177,R177),IF(S177&lt;0,-S177,S177))=0,"",MAX(IF(O177&lt;0,-O177,O177),IF(P177&lt;0,-P177,P177),IF(Q177&lt;0,-Q177,Q177),IF(R177&lt;0,-R177,R177),IF(S177&lt;0,-S177,S177)))))</f>
        <v>1</v>
      </c>
      <c r="U177" s="1166">
        <f ca="1">IF(SUM(D177:J177)=0,"",IF(OR(AND(D177=0,SUM(G177:J177)&gt;0),AND(D177&gt;0,SUM(G177:J177)=0)),1,IF(MAX(IF(R177&lt;0,-R177,R177),IF(S177&lt;0,-S177,S177),IF(T177&lt;0,-T177,T177))=0,"",MAX(IF(R177&lt;0,-R177,R177),IF(S177&lt;0,-S177,S177),IF(T177&lt;0,-T177,T177)))))</f>
        <v>1</v>
      </c>
      <c r="V177" s="1400"/>
      <c r="W177" s="1400"/>
      <c r="X177" s="1400"/>
      <c r="Y177" s="2160" t="str">
        <f ca="1">IF(+T177="","",IF(T177&gt;$P$3,"H",IF(T177&gt;$P$4,"M","")))</f>
        <v>H</v>
      </c>
      <c r="Z177" s="2161"/>
      <c r="AA177" s="751"/>
      <c r="AB177" s="871" t="str">
        <f t="shared" ref="AB177" ca="1" si="187">IF(CONCATENATE(IF(K177="OK","",J177),"    ",IF(L177="","",IF(N177="OK","",CONCATENATE(M177," = ",ROUND(L177,3),"kgCO2e/kWh"))),"    ",IF(AND(+AA177="",Y177="M"),"Value change with medium impact",IF(AND(AA177="",Y177="H"),"Value change with high impact",""))," ")="         ","",CONCATENATE(IF(K177="OK","",J177),"    ",IF(L177="","",IF(N177="OK","",CONCATENATE(M177," = ",ROUND(L177,3),"kgCO2e/kWh"))),"    ",IF(AND(+AA177="",Y177="M"),"Value change with medium impact",IF(AND(AA177="",Y177="H"),"Value change with high impact",""))," "))</f>
        <v xml:space="preserve">missing?        Value change with high impact </v>
      </c>
      <c r="AC177" s="1170"/>
      <c r="AD177" s="1170"/>
      <c r="AE177" s="1170"/>
      <c r="AF177" s="1170"/>
      <c r="AG177" s="1170"/>
      <c r="AH177" s="1170"/>
      <c r="AI177" s="1170"/>
      <c r="AJ177" s="1170"/>
      <c r="AK177" s="1170"/>
      <c r="AL177" s="1170"/>
      <c r="AM177" s="1170"/>
      <c r="AN177" s="1170"/>
      <c r="AO177" s="1170"/>
      <c r="AP177" s="1170"/>
      <c r="AQ177" s="1170"/>
      <c r="AR177" s="1170"/>
      <c r="AS177" s="1170"/>
      <c r="AT177" s="1170"/>
      <c r="AU177" s="1170"/>
      <c r="AV177" s="1170"/>
      <c r="AW177" s="1170"/>
      <c r="AX177" s="1170"/>
      <c r="AY177" s="1170"/>
      <c r="AZ177" s="1170"/>
      <c r="BA177" s="1170"/>
      <c r="BB177" s="1170"/>
      <c r="BC177" s="1170"/>
    </row>
    <row r="178" spans="1:55" ht="12" customHeight="1" thickBot="1" x14ac:dyDescent="0.35">
      <c r="A178" s="1025" t="s">
        <v>188</v>
      </c>
      <c r="B178" s="1026"/>
      <c r="C178" s="1027" t="str">
        <f t="shared" ref="C178:H178" ca="1" si="188">INDIRECT(CONCATENATE("'",C$14,"'!$D$198"),TRUE)</f>
        <v/>
      </c>
      <c r="D178" s="1028">
        <f t="shared" ca="1" si="188"/>
        <v>460.77093264248703</v>
      </c>
      <c r="E178" s="1029">
        <f t="shared" ca="1" si="188"/>
        <v>445.94013081485554</v>
      </c>
      <c r="F178" s="1029">
        <f t="shared" ca="1" si="188"/>
        <v>427.86793783900828</v>
      </c>
      <c r="G178" s="1029">
        <f t="shared" ca="1" si="188"/>
        <v>434.31989490597675</v>
      </c>
      <c r="H178" s="1029">
        <f t="shared" ca="1" si="188"/>
        <v>437.63966523215277</v>
      </c>
      <c r="I178" s="1030">
        <f ca="1">H178</f>
        <v>437.63966523215277</v>
      </c>
      <c r="J178" s="812" t="str">
        <f ca="1">IF(AND(C178&gt;0,SUM(D178:I178)&gt;0),"",IF(AND(C178=0,SUM(C178:I178)=0),"",IF(AND(C178=0,D178&gt;0),"missing?",IF(AND(C178=0,I178&gt;0),"missing?","new category"))))</f>
        <v/>
      </c>
      <c r="K178" s="790"/>
      <c r="L178" s="2148" t="str">
        <f ca="1">IF(C178&gt;+O9,"too high?",IF(C178&lt;+O8,"too low?",""))</f>
        <v>too high?</v>
      </c>
      <c r="M178" s="2149"/>
      <c r="N178" s="796"/>
      <c r="O178" s="813" t="str">
        <f ca="1">IF(OR(+$J178="missing?",+$J178="new category"),"",IF($D178=0,"",IF(SUM($C178:$I178)=0,"",IFERROR((($C178-$D178)/$D178),"N/A"))))</f>
        <v>N/A</v>
      </c>
      <c r="P178" s="1072" t="str">
        <f t="shared" ca="1" si="184"/>
        <v>N/A</v>
      </c>
      <c r="Q178" s="1072" t="str">
        <f t="shared" ca="1" si="185"/>
        <v>N/A</v>
      </c>
      <c r="R178" s="1072" t="str">
        <f ca="1">IF(OR(+$J178="missing?",+$J178="new category"),"",IF($G178=0,"",IF(SUM($C178:$I178)=0,"",IFERROR((($C178-$G178)/$G178),"N/A"))))</f>
        <v>N/A</v>
      </c>
      <c r="S178" s="1075" t="str">
        <f ca="1">IF(OR(+$J178="missing?",+$J178="new category"),"",IF($I178=0,"",IF(SUM($C178:$I178)=0,"",IFERROR((($C178-$I178)/$I178),"N/A"))))</f>
        <v>N/A</v>
      </c>
      <c r="T178" s="1163" t="str">
        <f t="shared" ca="1" si="186"/>
        <v/>
      </c>
      <c r="U178" s="1163" t="str">
        <f ca="1">IF(SUM(D178:J178)=0,"",IF(OR(AND(D178=0,SUM(G178:J178)&gt;0),AND(D178&gt;0,SUM(G178:J178)=0)),1,IF(MAX(IF(R178&lt;0,-R178,R178),IF(S178&lt;0,-S178,S178),IF(T178&lt;0,-T178,T178))=0,"",MAX(IF(R178&lt;0,-R178,R178),IF(S178&lt;0,-S178,S178),IF(T178&lt;0,-T178,T178)))))</f>
        <v/>
      </c>
      <c r="V178" s="1401"/>
      <c r="W178" s="1401"/>
      <c r="X178" s="1401"/>
      <c r="Y178" s="2150" t="str">
        <f ca="1">IF(+T178="","",IF(T178&gt;$P$3,"H",IF(T178&gt;$P$4,"M","")))</f>
        <v/>
      </c>
      <c r="Z178" s="2151"/>
      <c r="AA178" s="790"/>
      <c r="AB178" s="954" t="str">
        <f ca="1">+L178</f>
        <v>too high?</v>
      </c>
      <c r="AC178" s="1170"/>
      <c r="AD178" s="1170"/>
      <c r="AE178" s="1170"/>
      <c r="AF178" s="1170"/>
      <c r="AG178" s="1170"/>
      <c r="AH178" s="1170"/>
      <c r="AI178" s="1170"/>
      <c r="AJ178" s="1170"/>
      <c r="AK178" s="1170"/>
      <c r="AL178" s="1170"/>
      <c r="AM178" s="1170"/>
      <c r="AN178" s="1170"/>
      <c r="AO178" s="1170"/>
      <c r="AP178" s="1170"/>
      <c r="AQ178" s="1170"/>
      <c r="AR178" s="1170"/>
      <c r="AS178" s="1170"/>
      <c r="AT178" s="1170"/>
      <c r="AU178" s="1170"/>
      <c r="AV178" s="1170"/>
      <c r="AW178" s="1170"/>
      <c r="AX178" s="1170"/>
      <c r="AY178" s="1170"/>
      <c r="AZ178" s="1170"/>
      <c r="BA178" s="1170"/>
      <c r="BB178" s="1170"/>
      <c r="BC178" s="1170"/>
    </row>
  </sheetData>
  <sheetProtection algorithmName="SHA-512" hashValue="ohD1eeyaDBEy7WWAT0LnO7gATZnsQBRocHEF/BbFRf3G3RqG4mq+wJ3Peab7gxNgN7oD7hCWLWbpnbkAAu4/RQ==" saltValue="SrmEYt56IoEqA7nblYIgFw==" spinCount="100000" sheet="1" objects="1" scenarios="1"/>
  <mergeCells count="136">
    <mergeCell ref="L178:M178"/>
    <mergeCell ref="Y178:Z178"/>
    <mergeCell ref="AB175:AB176"/>
    <mergeCell ref="L176:M176"/>
    <mergeCell ref="T176:U176"/>
    <mergeCell ref="Y176:Z176"/>
    <mergeCell ref="L177:M177"/>
    <mergeCell ref="Y177:Z177"/>
    <mergeCell ref="T168:U168"/>
    <mergeCell ref="Y168:Z168"/>
    <mergeCell ref="Y169:Z169"/>
    <mergeCell ref="D175:I175"/>
    <mergeCell ref="J175:K175"/>
    <mergeCell ref="L175:N175"/>
    <mergeCell ref="O175:S175"/>
    <mergeCell ref="T175:AA175"/>
    <mergeCell ref="T148:U148"/>
    <mergeCell ref="Y148:Z148"/>
    <mergeCell ref="AU148:AV148"/>
    <mergeCell ref="AZ148:BA148"/>
    <mergeCell ref="D167:I167"/>
    <mergeCell ref="J167:K167"/>
    <mergeCell ref="L167:N167"/>
    <mergeCell ref="O167:S167"/>
    <mergeCell ref="T167:AA167"/>
    <mergeCell ref="AB167:AB168"/>
    <mergeCell ref="AE147:AJ147"/>
    <mergeCell ref="AK147:AL147"/>
    <mergeCell ref="AM147:AO147"/>
    <mergeCell ref="AP147:AT147"/>
    <mergeCell ref="AU147:BB147"/>
    <mergeCell ref="BC147:BC148"/>
    <mergeCell ref="AM142:AN142"/>
    <mergeCell ref="AU142:AV142"/>
    <mergeCell ref="AZ142:BA142"/>
    <mergeCell ref="D147:I147"/>
    <mergeCell ref="J147:K147"/>
    <mergeCell ref="L147:N147"/>
    <mergeCell ref="O147:S147"/>
    <mergeCell ref="T147:AA147"/>
    <mergeCell ref="AB147:AB148"/>
    <mergeCell ref="AC147:AC148"/>
    <mergeCell ref="L140:M140"/>
    <mergeCell ref="Y140:Z140"/>
    <mergeCell ref="AU140:AV140"/>
    <mergeCell ref="AZ140:BA140"/>
    <mergeCell ref="AU141:AV141"/>
    <mergeCell ref="AZ141:BA141"/>
    <mergeCell ref="BC138:BC139"/>
    <mergeCell ref="T139:U139"/>
    <mergeCell ref="Y139:Z139"/>
    <mergeCell ref="AM139:AN139"/>
    <mergeCell ref="AU139:AV139"/>
    <mergeCell ref="AZ139:BA139"/>
    <mergeCell ref="AC138:AC139"/>
    <mergeCell ref="AE138:AJ138"/>
    <mergeCell ref="AK138:AL138"/>
    <mergeCell ref="AM138:AO138"/>
    <mergeCell ref="AP138:AT138"/>
    <mergeCell ref="AU138:BB138"/>
    <mergeCell ref="A127:A133"/>
    <mergeCell ref="AU131:AV133"/>
    <mergeCell ref="B138:B139"/>
    <mergeCell ref="D138:I138"/>
    <mergeCell ref="J138:K138"/>
    <mergeCell ref="L138:M139"/>
    <mergeCell ref="N138:N139"/>
    <mergeCell ref="O138:S138"/>
    <mergeCell ref="T138:AA138"/>
    <mergeCell ref="AB138:AB139"/>
    <mergeCell ref="O118:S118"/>
    <mergeCell ref="T118:AA118"/>
    <mergeCell ref="AB118:AB119"/>
    <mergeCell ref="T119:U119"/>
    <mergeCell ref="Y119:Z119"/>
    <mergeCell ref="A120:A126"/>
    <mergeCell ref="A79:A99"/>
    <mergeCell ref="A100:B100"/>
    <mergeCell ref="A101:A113"/>
    <mergeCell ref="D118:I118"/>
    <mergeCell ref="J118:K118"/>
    <mergeCell ref="L118:N118"/>
    <mergeCell ref="AB54:AB55"/>
    <mergeCell ref="T55:U55"/>
    <mergeCell ref="Y55:Z55"/>
    <mergeCell ref="A56:B56"/>
    <mergeCell ref="A57:A77"/>
    <mergeCell ref="A78:B78"/>
    <mergeCell ref="A54:B55"/>
    <mergeCell ref="D54:I54"/>
    <mergeCell ref="J54:K54"/>
    <mergeCell ref="L54:N54"/>
    <mergeCell ref="O54:S54"/>
    <mergeCell ref="T54:AA54"/>
    <mergeCell ref="BC47:BC48"/>
    <mergeCell ref="T48:U48"/>
    <mergeCell ref="Y48:Z48"/>
    <mergeCell ref="A49:B49"/>
    <mergeCell ref="T47:AA47"/>
    <mergeCell ref="AB47:AB48"/>
    <mergeCell ref="AC47:AC48"/>
    <mergeCell ref="AE47:AJ47"/>
    <mergeCell ref="AK47:AL47"/>
    <mergeCell ref="AM47:AO47"/>
    <mergeCell ref="BC13:BC14"/>
    <mergeCell ref="T14:U14"/>
    <mergeCell ref="Y14:Z14"/>
    <mergeCell ref="A15:B15"/>
    <mergeCell ref="A16:A31"/>
    <mergeCell ref="AB13:AB14"/>
    <mergeCell ref="AC13:AC14"/>
    <mergeCell ref="AE13:AJ13"/>
    <mergeCell ref="AK13:AL13"/>
    <mergeCell ref="AM13:AO13"/>
    <mergeCell ref="AP13:AT13"/>
    <mergeCell ref="A13:B14"/>
    <mergeCell ref="D13:I13"/>
    <mergeCell ref="J13:K13"/>
    <mergeCell ref="L13:N13"/>
    <mergeCell ref="O13:S13"/>
    <mergeCell ref="T13:AA13"/>
    <mergeCell ref="J2:K2"/>
    <mergeCell ref="AK2:AL2"/>
    <mergeCell ref="J7:J10"/>
    <mergeCell ref="AK7:AK10"/>
    <mergeCell ref="AU9:AV11"/>
    <mergeCell ref="AU12:BA12"/>
    <mergeCell ref="A32:A43"/>
    <mergeCell ref="A47:B48"/>
    <mergeCell ref="D47:I47"/>
    <mergeCell ref="J47:K47"/>
    <mergeCell ref="L47:N47"/>
    <mergeCell ref="O47:S47"/>
    <mergeCell ref="AU13:BB13"/>
    <mergeCell ref="AP47:AT47"/>
    <mergeCell ref="AU47:BB47"/>
  </mergeCells>
  <conditionalFormatting sqref="K15 J53 J15:J43">
    <cfRule type="expression" dxfId="738" priority="303" stopIfTrue="1">
      <formula>K15="OK"</formula>
    </cfRule>
    <cfRule type="containsText" dxfId="737" priority="304" operator="containsText" text="g">
      <formula>NOT(ISERROR(SEARCH("g",J15)))</formula>
    </cfRule>
  </conditionalFormatting>
  <conditionalFormatting sqref="L53 L15:L37">
    <cfRule type="expression" dxfId="736" priority="302" stopIfTrue="1">
      <formula>N15="OK"</formula>
    </cfRule>
    <cfRule type="notContainsBlanks" dxfId="735" priority="305">
      <formula>LEN(TRIM(L15))&gt;0</formula>
    </cfRule>
  </conditionalFormatting>
  <conditionalFormatting sqref="K16:K43">
    <cfRule type="expression" dxfId="734" priority="297">
      <formula>J16=""</formula>
    </cfRule>
  </conditionalFormatting>
  <conditionalFormatting sqref="L38:L43">
    <cfRule type="expression" dxfId="733" priority="300" stopIfTrue="1">
      <formula>N38="OK"</formula>
    </cfRule>
    <cfRule type="notContainsBlanks" dxfId="732" priority="301">
      <formula>LEN(TRIM(L38))&gt;0</formula>
    </cfRule>
  </conditionalFormatting>
  <conditionalFormatting sqref="AM15:AM20">
    <cfRule type="expression" dxfId="731" priority="298" stopIfTrue="1">
      <formula>AO15="OK"</formula>
    </cfRule>
    <cfRule type="notContainsBlanks" dxfId="730" priority="299">
      <formula>LEN(TRIM(AM15))&gt;0</formula>
    </cfRule>
  </conditionalFormatting>
  <conditionalFormatting sqref="N24:N43">
    <cfRule type="expression" dxfId="729" priority="296">
      <formula>M24=""</formula>
    </cfRule>
  </conditionalFormatting>
  <conditionalFormatting sqref="AA16:AA43">
    <cfRule type="expression" dxfId="728" priority="295">
      <formula>Z16=""</formula>
    </cfRule>
  </conditionalFormatting>
  <conditionalFormatting sqref="AL16:AL20">
    <cfRule type="expression" dxfId="727" priority="294">
      <formula>AK16=""</formula>
    </cfRule>
  </conditionalFormatting>
  <conditionalFormatting sqref="BB16:BB20">
    <cfRule type="expression" dxfId="726" priority="293">
      <formula>BA16=""</formula>
    </cfRule>
  </conditionalFormatting>
  <conditionalFormatting sqref="J50:J51 J56 J114:J117">
    <cfRule type="expression" dxfId="725" priority="290" stopIfTrue="1">
      <formula>K50="OK"</formula>
    </cfRule>
    <cfRule type="containsText" dxfId="724" priority="291" operator="containsText" text="g">
      <formula>NOT(ISERROR(SEARCH("g",J50)))</formula>
    </cfRule>
  </conditionalFormatting>
  <conditionalFormatting sqref="L49:L51 L114:L115">
    <cfRule type="expression" dxfId="723" priority="289" stopIfTrue="1">
      <formula>N49="OK"</formula>
    </cfRule>
    <cfRule type="notContainsBlanks" dxfId="722" priority="292">
      <formula>LEN(TRIM(L49))&gt;0</formula>
    </cfRule>
  </conditionalFormatting>
  <conditionalFormatting sqref="J158:J160">
    <cfRule type="expression" dxfId="721" priority="287" stopIfTrue="1">
      <formula>K158="OK"</formula>
    </cfRule>
    <cfRule type="containsText" dxfId="720" priority="288" operator="containsText" text="g">
      <formula>NOT(ISERROR(SEARCH("g",J158)))</formula>
    </cfRule>
  </conditionalFormatting>
  <conditionalFormatting sqref="J100">
    <cfRule type="expression" dxfId="719" priority="285" stopIfTrue="1">
      <formula>K100="OK"</formula>
    </cfRule>
    <cfRule type="containsText" dxfId="718" priority="286" operator="containsText" text="g">
      <formula>NOT(ISERROR(SEARCH("g",J100)))</formula>
    </cfRule>
  </conditionalFormatting>
  <conditionalFormatting sqref="L111:L113 J78:K78 L73:L99">
    <cfRule type="expression" dxfId="717" priority="283" stopIfTrue="1">
      <formula>L73="OK"</formula>
    </cfRule>
    <cfRule type="notContainsBlanks" dxfId="716" priority="284">
      <formula>LEN(TRIM(J73))&gt;0</formula>
    </cfRule>
  </conditionalFormatting>
  <conditionalFormatting sqref="L100:L110">
    <cfRule type="expression" dxfId="715" priority="281" stopIfTrue="1">
      <formula>N100="OK"</formula>
    </cfRule>
    <cfRule type="notContainsBlanks" dxfId="714" priority="282">
      <formula>LEN(TRIM(L100))&gt;0</formula>
    </cfRule>
  </conditionalFormatting>
  <conditionalFormatting sqref="L120:L124">
    <cfRule type="expression" dxfId="713" priority="279" stopIfTrue="1">
      <formula>N120="OK"</formula>
    </cfRule>
    <cfRule type="notContainsBlanks" dxfId="712" priority="280">
      <formula>LEN(TRIM(L120))&gt;0</formula>
    </cfRule>
  </conditionalFormatting>
  <conditionalFormatting sqref="AK149:AK157">
    <cfRule type="expression" dxfId="711" priority="277" stopIfTrue="1">
      <formula>AL149="OK"</formula>
    </cfRule>
    <cfRule type="containsText" dxfId="710" priority="278" operator="containsText" text="g">
      <formula>NOT(ISERROR(SEARCH("g",AK149)))</formula>
    </cfRule>
  </conditionalFormatting>
  <conditionalFormatting sqref="AK161">
    <cfRule type="expression" dxfId="709" priority="275" stopIfTrue="1">
      <formula>AL161="OK"</formula>
    </cfRule>
    <cfRule type="containsText" dxfId="708" priority="276" operator="containsText" text="g">
      <formula>NOT(ISERROR(SEARCH("g",AK161)))</formula>
    </cfRule>
  </conditionalFormatting>
  <conditionalFormatting sqref="K49">
    <cfRule type="expression" dxfId="707" priority="274">
      <formula>J49=""</formula>
    </cfRule>
  </conditionalFormatting>
  <conditionalFormatting sqref="K57:K77">
    <cfRule type="expression" dxfId="706" priority="273">
      <formula>J57=""</formula>
    </cfRule>
  </conditionalFormatting>
  <conditionalFormatting sqref="K79:K99">
    <cfRule type="expression" dxfId="705" priority="272">
      <formula>J79=""</formula>
    </cfRule>
  </conditionalFormatting>
  <conditionalFormatting sqref="K101:K113">
    <cfRule type="expression" dxfId="704" priority="271">
      <formula>J101=""</formula>
    </cfRule>
  </conditionalFormatting>
  <conditionalFormatting sqref="K120:K124">
    <cfRule type="expression" dxfId="703" priority="270">
      <formula>J120=""</formula>
    </cfRule>
  </conditionalFormatting>
  <conditionalFormatting sqref="K140">
    <cfRule type="expression" dxfId="702" priority="269">
      <formula>J140=""</formula>
    </cfRule>
  </conditionalFormatting>
  <conditionalFormatting sqref="K149:K157">
    <cfRule type="expression" dxfId="701" priority="268">
      <formula>J149=""</formula>
    </cfRule>
  </conditionalFormatting>
  <conditionalFormatting sqref="K161">
    <cfRule type="expression" dxfId="700" priority="267">
      <formula>J161=""</formula>
    </cfRule>
  </conditionalFormatting>
  <conditionalFormatting sqref="K169">
    <cfRule type="expression" dxfId="699" priority="266">
      <formula>J169=""</formula>
    </cfRule>
  </conditionalFormatting>
  <conditionalFormatting sqref="N73:N77">
    <cfRule type="expression" dxfId="698" priority="265">
      <formula>M73=""</formula>
    </cfRule>
  </conditionalFormatting>
  <conditionalFormatting sqref="N95:N99">
    <cfRule type="expression" dxfId="697" priority="264">
      <formula>M95=""</formula>
    </cfRule>
  </conditionalFormatting>
  <conditionalFormatting sqref="N111:N113">
    <cfRule type="expression" dxfId="696" priority="263">
      <formula>M111=""</formula>
    </cfRule>
  </conditionalFormatting>
  <conditionalFormatting sqref="AA49">
    <cfRule type="expression" dxfId="695" priority="262">
      <formula>Z49=""</formula>
    </cfRule>
  </conditionalFormatting>
  <conditionalFormatting sqref="AA57:AA77">
    <cfRule type="expression" dxfId="694" priority="261">
      <formula>Z57=""</formula>
    </cfRule>
  </conditionalFormatting>
  <conditionalFormatting sqref="AA79:AA99">
    <cfRule type="expression" dxfId="693" priority="260">
      <formula>Z79=""</formula>
    </cfRule>
  </conditionalFormatting>
  <conditionalFormatting sqref="AA101:AA113">
    <cfRule type="expression" dxfId="692" priority="259">
      <formula>Z101=""</formula>
    </cfRule>
  </conditionalFormatting>
  <conditionalFormatting sqref="AA120:AA124">
    <cfRule type="expression" dxfId="691" priority="258">
      <formula>Z120=""</formula>
    </cfRule>
  </conditionalFormatting>
  <conditionalFormatting sqref="BB149:BB157">
    <cfRule type="expression" dxfId="690" priority="257">
      <formula>BA149=""</formula>
    </cfRule>
  </conditionalFormatting>
  <conditionalFormatting sqref="J49">
    <cfRule type="expression" dxfId="689" priority="255" stopIfTrue="1">
      <formula>K49="OK"</formula>
    </cfRule>
    <cfRule type="containsText" dxfId="688" priority="256" operator="containsText" text="g">
      <formula>NOT(ISERROR(SEARCH("g",J49)))</formula>
    </cfRule>
  </conditionalFormatting>
  <conditionalFormatting sqref="J57:J77">
    <cfRule type="expression" dxfId="687" priority="253" stopIfTrue="1">
      <formula>K57="OK"</formula>
    </cfRule>
    <cfRule type="containsText" dxfId="686" priority="254" operator="containsText" text="g">
      <formula>NOT(ISERROR(SEARCH("g",J57)))</formula>
    </cfRule>
  </conditionalFormatting>
  <conditionalFormatting sqref="J79:J99">
    <cfRule type="expression" dxfId="685" priority="251" stopIfTrue="1">
      <formula>K79="OK"</formula>
    </cfRule>
    <cfRule type="containsText" dxfId="684" priority="252" operator="containsText" text="g">
      <formula>NOT(ISERROR(SEARCH("g",J79)))</formula>
    </cfRule>
  </conditionalFormatting>
  <conditionalFormatting sqref="J101:J113">
    <cfRule type="expression" dxfId="683" priority="249" stopIfTrue="1">
      <formula>K101="OK"</formula>
    </cfRule>
    <cfRule type="containsText" dxfId="682" priority="250" operator="containsText" text="g">
      <formula>NOT(ISERROR(SEARCH("g",J101)))</formula>
    </cfRule>
  </conditionalFormatting>
  <conditionalFormatting sqref="J120:J124">
    <cfRule type="expression" dxfId="681" priority="247" stopIfTrue="1">
      <formula>K120="OK"</formula>
    </cfRule>
    <cfRule type="containsText" dxfId="680" priority="248" operator="containsText" text="g">
      <formula>NOT(ISERROR(SEARCH("g",J120)))</formula>
    </cfRule>
  </conditionalFormatting>
  <conditionalFormatting sqref="J140">
    <cfRule type="expression" dxfId="679" priority="245" stopIfTrue="1">
      <formula>K140="OK"</formula>
    </cfRule>
    <cfRule type="containsText" dxfId="678" priority="246" operator="containsText" text="g">
      <formula>NOT(ISERROR(SEARCH("g",J140)))</formula>
    </cfRule>
  </conditionalFormatting>
  <conditionalFormatting sqref="J149:J157">
    <cfRule type="expression" dxfId="677" priority="243" stopIfTrue="1">
      <formula>K149="OK"</formula>
    </cfRule>
    <cfRule type="containsText" dxfId="676" priority="244" operator="containsText" text="g">
      <formula>NOT(ISERROR(SEARCH("g",J149)))</formula>
    </cfRule>
  </conditionalFormatting>
  <conditionalFormatting sqref="J161">
    <cfRule type="expression" dxfId="675" priority="241" stopIfTrue="1">
      <formula>K161="OK"</formula>
    </cfRule>
    <cfRule type="containsText" dxfId="674" priority="242" operator="containsText" text="g">
      <formula>NOT(ISERROR(SEARCH("g",J161)))</formula>
    </cfRule>
  </conditionalFormatting>
  <conditionalFormatting sqref="J169">
    <cfRule type="expression" dxfId="673" priority="239" stopIfTrue="1">
      <formula>K169="OK"</formula>
    </cfRule>
    <cfRule type="containsText" dxfId="672" priority="240" operator="containsText" text="g">
      <formula>NOT(ISERROR(SEARCH("g",J169)))</formula>
    </cfRule>
  </conditionalFormatting>
  <conditionalFormatting sqref="AK16:AK20">
    <cfRule type="expression" dxfId="671" priority="237" stopIfTrue="1">
      <formula>AL16="OK"</formula>
    </cfRule>
    <cfRule type="containsText" dxfId="670" priority="238" operator="containsText" text="g">
      <formula>NOT(ISERROR(SEARCH("g",AK16)))</formula>
    </cfRule>
  </conditionalFormatting>
  <conditionalFormatting sqref="K177">
    <cfRule type="expression" dxfId="669" priority="236">
      <formula>J177=""</formula>
    </cfRule>
  </conditionalFormatting>
  <conditionalFormatting sqref="J177:J178">
    <cfRule type="expression" dxfId="668" priority="234" stopIfTrue="1">
      <formula>K177="OK"</formula>
    </cfRule>
    <cfRule type="containsText" dxfId="667" priority="235" operator="containsText" text="g">
      <formula>NOT(ISERROR(SEARCH("g",J177)))</formula>
    </cfRule>
  </conditionalFormatting>
  <conditionalFormatting sqref="AA140 AA169 AA177 BB161">
    <cfRule type="expression" dxfId="666" priority="306">
      <formula>Y140=""</formula>
    </cfRule>
  </conditionalFormatting>
  <conditionalFormatting sqref="AA150 AA152:AA157">
    <cfRule type="expression" dxfId="665" priority="233">
      <formula>Y150=""</formula>
    </cfRule>
  </conditionalFormatting>
  <conditionalFormatting sqref="AA149">
    <cfRule type="expression" dxfId="664" priority="232">
      <formula>Z149=""</formula>
    </cfRule>
  </conditionalFormatting>
  <conditionalFormatting sqref="AA151">
    <cfRule type="expression" dxfId="663" priority="231">
      <formula>Z151=""</formula>
    </cfRule>
  </conditionalFormatting>
  <conditionalFormatting sqref="AA161">
    <cfRule type="expression" dxfId="662" priority="230">
      <formula>Y161=""</formula>
    </cfRule>
  </conditionalFormatting>
  <conditionalFormatting sqref="K178">
    <cfRule type="expression" dxfId="661" priority="228">
      <formula>J178=""</formula>
    </cfRule>
  </conditionalFormatting>
  <conditionalFormatting sqref="N178">
    <cfRule type="expression" dxfId="660" priority="227">
      <formula>L178=""</formula>
    </cfRule>
  </conditionalFormatting>
  <conditionalFormatting sqref="AA178">
    <cfRule type="expression" dxfId="659" priority="229">
      <formula>Y178=""</formula>
    </cfRule>
  </conditionalFormatting>
  <conditionalFormatting sqref="AL49">
    <cfRule type="expression" dxfId="658" priority="226">
      <formula>AK49=""</formula>
    </cfRule>
  </conditionalFormatting>
  <conditionalFormatting sqref="BB49">
    <cfRule type="expression" dxfId="657" priority="225">
      <formula>BA49=""</formula>
    </cfRule>
  </conditionalFormatting>
  <conditionalFormatting sqref="AK49">
    <cfRule type="expression" dxfId="656" priority="223" stopIfTrue="1">
      <formula>AL49="OK"</formula>
    </cfRule>
    <cfRule type="containsText" dxfId="655" priority="224" operator="containsText" text="g">
      <formula>NOT(ISERROR(SEARCH("g",AK49)))</formula>
    </cfRule>
  </conditionalFormatting>
  <conditionalFormatting sqref="AO16:AO20">
    <cfRule type="expression" dxfId="654" priority="221" stopIfTrue="1">
      <formula>AS16="OK"</formula>
    </cfRule>
    <cfRule type="notContainsBlanks" dxfId="653" priority="222">
      <formula>LEN(TRIM(AO16))&gt;0</formula>
    </cfRule>
  </conditionalFormatting>
  <conditionalFormatting sqref="AM49">
    <cfRule type="expression" dxfId="652" priority="219" stopIfTrue="1">
      <formula>AO49="OK"</formula>
    </cfRule>
    <cfRule type="notContainsBlanks" dxfId="651" priority="220">
      <formula>LEN(TRIM(AM49))&gt;0</formula>
    </cfRule>
  </conditionalFormatting>
  <conditionalFormatting sqref="AO49">
    <cfRule type="expression" dxfId="650" priority="217" stopIfTrue="1">
      <formula>AS49="OK"</formula>
    </cfRule>
    <cfRule type="notContainsBlanks" dxfId="649" priority="218">
      <formula>LEN(TRIM(AO49))&gt;0</formula>
    </cfRule>
  </conditionalFormatting>
  <conditionalFormatting sqref="AL140:AL141">
    <cfRule type="expression" dxfId="648" priority="214">
      <formula>AK140=""</formula>
    </cfRule>
  </conditionalFormatting>
  <conditionalFormatting sqref="AK140:AK141">
    <cfRule type="expression" dxfId="647" priority="215" stopIfTrue="1">
      <formula>AL140="OK"</formula>
    </cfRule>
    <cfRule type="containsText" dxfId="646" priority="216" operator="containsText" text="g">
      <formula>NOT(ISERROR(SEARCH("g",AK140)))</formula>
    </cfRule>
  </conditionalFormatting>
  <conditionalFormatting sqref="AM142:AM144">
    <cfRule type="containsText" dxfId="645" priority="213" operator="containsText" text="f">
      <formula>NOT(ISERROR(SEARCH("f",AM142)))</formula>
    </cfRule>
  </conditionalFormatting>
  <conditionalFormatting sqref="AO142:AO144">
    <cfRule type="expression" dxfId="644" priority="307">
      <formula>AM142=""</formula>
    </cfRule>
  </conditionalFormatting>
  <conditionalFormatting sqref="AL142:AL144">
    <cfRule type="expression" dxfId="643" priority="210">
      <formula>AK142=""</formula>
    </cfRule>
  </conditionalFormatting>
  <conditionalFormatting sqref="AK142:AK144">
    <cfRule type="expression" dxfId="642" priority="211" stopIfTrue="1">
      <formula>AL142="OK"</formula>
    </cfRule>
    <cfRule type="containsText" dxfId="641" priority="212" operator="containsText" text="g">
      <formula>NOT(ISERROR(SEARCH("g",AK142)))</formula>
    </cfRule>
  </conditionalFormatting>
  <conditionalFormatting sqref="BB140:BB144">
    <cfRule type="expression" dxfId="640" priority="209">
      <formula>AZ140=""</formula>
    </cfRule>
  </conditionalFormatting>
  <conditionalFormatting sqref="AL149:AL157">
    <cfRule type="expression" dxfId="639" priority="208">
      <formula>AK149=""</formula>
    </cfRule>
  </conditionalFormatting>
  <conditionalFormatting sqref="AL161">
    <cfRule type="expression" dxfId="638" priority="207">
      <formula>AK161=""</formula>
    </cfRule>
  </conditionalFormatting>
  <conditionalFormatting sqref="L178:M178">
    <cfRule type="containsText" dxfId="637" priority="206" operator="containsText" text="too">
      <formula>NOT(ISERROR(SEARCH("too",L178)))</formula>
    </cfRule>
  </conditionalFormatting>
  <conditionalFormatting sqref="Z15:Z43">
    <cfRule type="colorScale" priority="205">
      <colorScale>
        <cfvo type="min"/>
        <cfvo type="percentile" val="50"/>
        <cfvo type="max"/>
        <color rgb="FF63BE7B"/>
        <color rgb="FFFFEB84"/>
        <color rgb="FFF8696B"/>
      </colorScale>
    </cfRule>
  </conditionalFormatting>
  <conditionalFormatting sqref="Y140 Y177 Z53 Z16:Z43">
    <cfRule type="containsText" dxfId="636" priority="203" operator="containsText" text="M">
      <formula>NOT(ISERROR(SEARCH("M",Y16)))</formula>
    </cfRule>
    <cfRule type="containsText" dxfId="635" priority="204" operator="containsText" text="H">
      <formula>NOT(ISERROR(SEARCH("H",Y16)))</formula>
    </cfRule>
  </conditionalFormatting>
  <conditionalFormatting sqref="Z17:Z43">
    <cfRule type="containsText" dxfId="634" priority="201" operator="containsText" text="M">
      <formula>NOT(ISERROR(SEARCH("M",Z17)))</formula>
    </cfRule>
    <cfRule type="containsText" dxfId="633" priority="202" operator="containsText" text="H">
      <formula>NOT(ISERROR(SEARCH("H",Z17)))</formula>
    </cfRule>
  </conditionalFormatting>
  <conditionalFormatting sqref="Z114:Z117 Z53 Z50:Z51">
    <cfRule type="colorScale" priority="200">
      <colorScale>
        <cfvo type="min"/>
        <cfvo type="percentile" val="50"/>
        <cfvo type="max"/>
        <color rgb="FF63BE7B"/>
        <color rgb="FFFFEB84"/>
        <color rgb="FFF8696B"/>
      </colorScale>
    </cfRule>
  </conditionalFormatting>
  <conditionalFormatting sqref="Z50:Z51 Z114:Z117">
    <cfRule type="containsText" dxfId="632" priority="198" operator="containsText" text="M">
      <formula>NOT(ISERROR(SEARCH("M",Z50)))</formula>
    </cfRule>
    <cfRule type="containsText" dxfId="631" priority="199" operator="containsText" text="H">
      <formula>NOT(ISERROR(SEARCH("H",Z50)))</formula>
    </cfRule>
  </conditionalFormatting>
  <conditionalFormatting sqref="Z78 Z56 Z100">
    <cfRule type="colorScale" priority="197">
      <colorScale>
        <cfvo type="min"/>
        <cfvo type="percentile" val="50"/>
        <cfvo type="max"/>
        <color rgb="FF63BE7B"/>
        <color rgb="FFFFEB84"/>
        <color rgb="FFF8696B"/>
      </colorScale>
    </cfRule>
  </conditionalFormatting>
  <conditionalFormatting sqref="Z56 Z78 Z100">
    <cfRule type="containsText" dxfId="630" priority="195" operator="containsText" text="M">
      <formula>NOT(ISERROR(SEARCH("M",Z56)))</formula>
    </cfRule>
    <cfRule type="containsText" dxfId="629" priority="196" operator="containsText" text="H">
      <formula>NOT(ISERROR(SEARCH("H",Z56)))</formula>
    </cfRule>
  </conditionalFormatting>
  <conditionalFormatting sqref="Z49">
    <cfRule type="colorScale" priority="194">
      <colorScale>
        <cfvo type="min"/>
        <cfvo type="percentile" val="50"/>
        <cfvo type="max"/>
        <color rgb="FF63BE7B"/>
        <color rgb="FFFFEB84"/>
        <color rgb="FFF8696B"/>
      </colorScale>
    </cfRule>
  </conditionalFormatting>
  <conditionalFormatting sqref="Z49">
    <cfRule type="containsText" dxfId="628" priority="192" operator="containsText" text="M">
      <formula>NOT(ISERROR(SEARCH("M",Z49)))</formula>
    </cfRule>
    <cfRule type="containsText" dxfId="627" priority="193" operator="containsText" text="H">
      <formula>NOT(ISERROR(SEARCH("H",Z49)))</formula>
    </cfRule>
  </conditionalFormatting>
  <conditionalFormatting sqref="Z49">
    <cfRule type="containsText" dxfId="626" priority="190" operator="containsText" text="M">
      <formula>NOT(ISERROR(SEARCH("M",Z49)))</formula>
    </cfRule>
    <cfRule type="containsText" dxfId="625" priority="191" operator="containsText" text="H">
      <formula>NOT(ISERROR(SEARCH("H",Z49)))</formula>
    </cfRule>
  </conditionalFormatting>
  <conditionalFormatting sqref="Z57:Z77">
    <cfRule type="colorScale" priority="189">
      <colorScale>
        <cfvo type="min"/>
        <cfvo type="percentile" val="50"/>
        <cfvo type="max"/>
        <color rgb="FF63BE7B"/>
        <color rgb="FFFFEB84"/>
        <color rgb="FFF8696B"/>
      </colorScale>
    </cfRule>
  </conditionalFormatting>
  <conditionalFormatting sqref="Z57:Z77">
    <cfRule type="containsText" dxfId="624" priority="187" operator="containsText" text="M">
      <formula>NOT(ISERROR(SEARCH("M",Z57)))</formula>
    </cfRule>
    <cfRule type="containsText" dxfId="623" priority="188" operator="containsText" text="H">
      <formula>NOT(ISERROR(SEARCH("H",Z57)))</formula>
    </cfRule>
  </conditionalFormatting>
  <conditionalFormatting sqref="Z57:Z77">
    <cfRule type="containsText" dxfId="622" priority="185" operator="containsText" text="M">
      <formula>NOT(ISERROR(SEARCH("M",Z57)))</formula>
    </cfRule>
    <cfRule type="containsText" dxfId="621" priority="186" operator="containsText" text="H">
      <formula>NOT(ISERROR(SEARCH("H",Z57)))</formula>
    </cfRule>
  </conditionalFormatting>
  <conditionalFormatting sqref="Z79:Z99">
    <cfRule type="colorScale" priority="184">
      <colorScale>
        <cfvo type="min"/>
        <cfvo type="percentile" val="50"/>
        <cfvo type="max"/>
        <color rgb="FF63BE7B"/>
        <color rgb="FFFFEB84"/>
        <color rgb="FFF8696B"/>
      </colorScale>
    </cfRule>
  </conditionalFormatting>
  <conditionalFormatting sqref="Z79:Z99">
    <cfRule type="containsText" dxfId="620" priority="182" operator="containsText" text="M">
      <formula>NOT(ISERROR(SEARCH("M",Z79)))</formula>
    </cfRule>
    <cfRule type="containsText" dxfId="619" priority="183" operator="containsText" text="H">
      <formula>NOT(ISERROR(SEARCH("H",Z79)))</formula>
    </cfRule>
  </conditionalFormatting>
  <conditionalFormatting sqref="Z79:Z99">
    <cfRule type="containsText" dxfId="618" priority="180" operator="containsText" text="M">
      <formula>NOT(ISERROR(SEARCH("M",Z79)))</formula>
    </cfRule>
    <cfRule type="containsText" dxfId="617" priority="181" operator="containsText" text="H">
      <formula>NOT(ISERROR(SEARCH("H",Z79)))</formula>
    </cfRule>
  </conditionalFormatting>
  <conditionalFormatting sqref="Z101:Z113">
    <cfRule type="colorScale" priority="179">
      <colorScale>
        <cfvo type="min"/>
        <cfvo type="percentile" val="50"/>
        <cfvo type="max"/>
        <color rgb="FF63BE7B"/>
        <color rgb="FFFFEB84"/>
        <color rgb="FFF8696B"/>
      </colorScale>
    </cfRule>
  </conditionalFormatting>
  <conditionalFormatting sqref="Z101:Z113">
    <cfRule type="containsText" dxfId="616" priority="177" operator="containsText" text="M">
      <formula>NOT(ISERROR(SEARCH("M",Z101)))</formula>
    </cfRule>
    <cfRule type="containsText" dxfId="615" priority="178" operator="containsText" text="H">
      <formula>NOT(ISERROR(SEARCH("H",Z101)))</formula>
    </cfRule>
  </conditionalFormatting>
  <conditionalFormatting sqref="Z101:Z113">
    <cfRule type="containsText" dxfId="614" priority="175" operator="containsText" text="M">
      <formula>NOT(ISERROR(SEARCH("M",Z101)))</formula>
    </cfRule>
    <cfRule type="containsText" dxfId="613" priority="176" operator="containsText" text="H">
      <formula>NOT(ISERROR(SEARCH("H",Z101)))</formula>
    </cfRule>
  </conditionalFormatting>
  <conditionalFormatting sqref="Z120:Z124">
    <cfRule type="colorScale" priority="174">
      <colorScale>
        <cfvo type="min"/>
        <cfvo type="percentile" val="50"/>
        <cfvo type="max"/>
        <color rgb="FF63BE7B"/>
        <color rgb="FFFFEB84"/>
        <color rgb="FFF8696B"/>
      </colorScale>
    </cfRule>
  </conditionalFormatting>
  <conditionalFormatting sqref="Z120:Z124">
    <cfRule type="containsText" dxfId="612" priority="172" operator="containsText" text="M">
      <formula>NOT(ISERROR(SEARCH("M",Z120)))</formula>
    </cfRule>
    <cfRule type="containsText" dxfId="611" priority="173" operator="containsText" text="H">
      <formula>NOT(ISERROR(SEARCH("H",Z120)))</formula>
    </cfRule>
  </conditionalFormatting>
  <conditionalFormatting sqref="Z120:Z124">
    <cfRule type="containsText" dxfId="610" priority="170" operator="containsText" text="M">
      <formula>NOT(ISERROR(SEARCH("M",Z120)))</formula>
    </cfRule>
    <cfRule type="containsText" dxfId="609" priority="171" operator="containsText" text="H">
      <formula>NOT(ISERROR(SEARCH("H",Z120)))</formula>
    </cfRule>
  </conditionalFormatting>
  <conditionalFormatting sqref="Y140">
    <cfRule type="colorScale" priority="169">
      <colorScale>
        <cfvo type="min"/>
        <cfvo type="percentile" val="50"/>
        <cfvo type="max"/>
        <color rgb="FF63BE7B"/>
        <color rgb="FFFFEB84"/>
        <color rgb="FFF8696B"/>
      </colorScale>
    </cfRule>
  </conditionalFormatting>
  <conditionalFormatting sqref="Y169">
    <cfRule type="colorScale" priority="168">
      <colorScale>
        <cfvo type="min"/>
        <cfvo type="percentile" val="50"/>
        <cfvo type="max"/>
        <color rgb="FF63BE7B"/>
        <color rgb="FFFFEB84"/>
        <color rgb="FFF8696B"/>
      </colorScale>
    </cfRule>
  </conditionalFormatting>
  <conditionalFormatting sqref="Y169">
    <cfRule type="containsText" dxfId="608" priority="166" operator="containsText" text="M">
      <formula>NOT(ISERROR(SEARCH("M",Y169)))</formula>
    </cfRule>
    <cfRule type="containsText" dxfId="607" priority="167" operator="containsText" text="H">
      <formula>NOT(ISERROR(SEARCH("H",Y169)))</formula>
    </cfRule>
  </conditionalFormatting>
  <conditionalFormatting sqref="Y169">
    <cfRule type="containsText" dxfId="606" priority="164" operator="containsText" text="M">
      <formula>NOT(ISERROR(SEARCH("M",Y169)))</formula>
    </cfRule>
    <cfRule type="containsText" dxfId="605" priority="165" operator="containsText" text="H">
      <formula>NOT(ISERROR(SEARCH("H",Y169)))</formula>
    </cfRule>
  </conditionalFormatting>
  <conditionalFormatting sqref="Y177">
    <cfRule type="colorScale" priority="163">
      <colorScale>
        <cfvo type="min"/>
        <cfvo type="percentile" val="50"/>
        <cfvo type="max"/>
        <color rgb="FF63BE7B"/>
        <color rgb="FFFFEB84"/>
        <color rgb="FFF8696B"/>
      </colorScale>
    </cfRule>
  </conditionalFormatting>
  <conditionalFormatting sqref="U16:U43">
    <cfRule type="colorScale" priority="162">
      <colorScale>
        <cfvo type="min"/>
        <cfvo type="percentile" val="50"/>
        <cfvo type="max"/>
        <color rgb="FF63BE7B"/>
        <color rgb="FFFFEB84"/>
        <color rgb="FFF8696B"/>
      </colorScale>
    </cfRule>
  </conditionalFormatting>
  <conditionalFormatting sqref="U16:U43">
    <cfRule type="containsText" dxfId="604" priority="160" operator="containsText" text="M">
      <formula>NOT(ISERROR(SEARCH("M",U16)))</formula>
    </cfRule>
    <cfRule type="containsText" dxfId="603" priority="161" operator="containsText" text="H">
      <formula>NOT(ISERROR(SEARCH("H",U16)))</formula>
    </cfRule>
  </conditionalFormatting>
  <conditionalFormatting sqref="U49:X49">
    <cfRule type="colorScale" priority="159">
      <colorScale>
        <cfvo type="min"/>
        <cfvo type="percentile" val="50"/>
        <cfvo type="max"/>
        <color rgb="FF63BE7B"/>
        <color rgb="FFFFEB84"/>
        <color rgb="FFF8696B"/>
      </colorScale>
    </cfRule>
  </conditionalFormatting>
  <conditionalFormatting sqref="U49:X49">
    <cfRule type="containsText" dxfId="602" priority="157" operator="containsText" text="M">
      <formula>NOT(ISERROR(SEARCH("M",U49)))</formula>
    </cfRule>
    <cfRule type="containsText" dxfId="601" priority="158" operator="containsText" text="H">
      <formula>NOT(ISERROR(SEARCH("H",U49)))</formula>
    </cfRule>
  </conditionalFormatting>
  <conditionalFormatting sqref="U49:X49">
    <cfRule type="containsText" dxfId="600" priority="155" operator="containsText" text="M">
      <formula>NOT(ISERROR(SEARCH("M",U49)))</formula>
    </cfRule>
    <cfRule type="containsText" dxfId="599" priority="156" operator="containsText" text="H">
      <formula>NOT(ISERROR(SEARCH("H",U49)))</formula>
    </cfRule>
  </conditionalFormatting>
  <conditionalFormatting sqref="U57:U77">
    <cfRule type="colorScale" priority="154">
      <colorScale>
        <cfvo type="min"/>
        <cfvo type="percentile" val="50"/>
        <cfvo type="max"/>
        <color rgb="FF63BE7B"/>
        <color rgb="FFFFEB84"/>
        <color rgb="FFF8696B"/>
      </colorScale>
    </cfRule>
  </conditionalFormatting>
  <conditionalFormatting sqref="U57:U77">
    <cfRule type="containsText" dxfId="598" priority="152" operator="containsText" text="M">
      <formula>NOT(ISERROR(SEARCH("M",U57)))</formula>
    </cfRule>
    <cfRule type="containsText" dxfId="597" priority="153" operator="containsText" text="H">
      <formula>NOT(ISERROR(SEARCH("H",U57)))</formula>
    </cfRule>
  </conditionalFormatting>
  <conditionalFormatting sqref="U57:U77">
    <cfRule type="containsText" dxfId="596" priority="150" operator="containsText" text="M">
      <formula>NOT(ISERROR(SEARCH("M",U57)))</formula>
    </cfRule>
    <cfRule type="containsText" dxfId="595" priority="151" operator="containsText" text="H">
      <formula>NOT(ISERROR(SEARCH("H",U57)))</formula>
    </cfRule>
  </conditionalFormatting>
  <conditionalFormatting sqref="U79:U99">
    <cfRule type="colorScale" priority="149">
      <colorScale>
        <cfvo type="min"/>
        <cfvo type="percentile" val="50"/>
        <cfvo type="max"/>
        <color rgb="FF63BE7B"/>
        <color rgb="FFFFEB84"/>
        <color rgb="FFF8696B"/>
      </colorScale>
    </cfRule>
  </conditionalFormatting>
  <conditionalFormatting sqref="U79:U99">
    <cfRule type="containsText" dxfId="594" priority="147" operator="containsText" text="M">
      <formula>NOT(ISERROR(SEARCH("M",U79)))</formula>
    </cfRule>
    <cfRule type="containsText" dxfId="593" priority="148" operator="containsText" text="H">
      <formula>NOT(ISERROR(SEARCH("H",U79)))</formula>
    </cfRule>
  </conditionalFormatting>
  <conditionalFormatting sqref="U79:U99">
    <cfRule type="containsText" dxfId="592" priority="145" operator="containsText" text="M">
      <formula>NOT(ISERROR(SEARCH("M",U79)))</formula>
    </cfRule>
    <cfRule type="containsText" dxfId="591" priority="146" operator="containsText" text="H">
      <formula>NOT(ISERROR(SEARCH("H",U79)))</formula>
    </cfRule>
  </conditionalFormatting>
  <conditionalFormatting sqref="U101:U113">
    <cfRule type="colorScale" priority="144">
      <colorScale>
        <cfvo type="min"/>
        <cfvo type="percentile" val="50"/>
        <cfvo type="max"/>
        <color rgb="FF63BE7B"/>
        <color rgb="FFFFEB84"/>
        <color rgb="FFF8696B"/>
      </colorScale>
    </cfRule>
  </conditionalFormatting>
  <conditionalFormatting sqref="U101:U113">
    <cfRule type="containsText" dxfId="590" priority="142" operator="containsText" text="M">
      <formula>NOT(ISERROR(SEARCH("M",U101)))</formula>
    </cfRule>
    <cfRule type="containsText" dxfId="589" priority="143" operator="containsText" text="H">
      <formula>NOT(ISERROR(SEARCH("H",U101)))</formula>
    </cfRule>
  </conditionalFormatting>
  <conditionalFormatting sqref="U101:U113">
    <cfRule type="containsText" dxfId="588" priority="140" operator="containsText" text="M">
      <formula>NOT(ISERROR(SEARCH("M",U101)))</formula>
    </cfRule>
    <cfRule type="containsText" dxfId="587" priority="141" operator="containsText" text="H">
      <formula>NOT(ISERROR(SEARCH("H",U101)))</formula>
    </cfRule>
  </conditionalFormatting>
  <conditionalFormatting sqref="U120:U124">
    <cfRule type="colorScale" priority="139">
      <colorScale>
        <cfvo type="min"/>
        <cfvo type="percentile" val="50"/>
        <cfvo type="max"/>
        <color rgb="FF63BE7B"/>
        <color rgb="FFFFEB84"/>
        <color rgb="FFF8696B"/>
      </colorScale>
    </cfRule>
  </conditionalFormatting>
  <conditionalFormatting sqref="U120:U124">
    <cfRule type="containsText" dxfId="586" priority="137" operator="containsText" text="M">
      <formula>NOT(ISERROR(SEARCH("M",U120)))</formula>
    </cfRule>
    <cfRule type="containsText" dxfId="585" priority="138" operator="containsText" text="H">
      <formula>NOT(ISERROR(SEARCH("H",U120)))</formula>
    </cfRule>
  </conditionalFormatting>
  <conditionalFormatting sqref="U120:U124">
    <cfRule type="containsText" dxfId="584" priority="135" operator="containsText" text="M">
      <formula>NOT(ISERROR(SEARCH("M",U120)))</formula>
    </cfRule>
    <cfRule type="containsText" dxfId="583" priority="136" operator="containsText" text="H">
      <formula>NOT(ISERROR(SEARCH("H",U120)))</formula>
    </cfRule>
  </conditionalFormatting>
  <conditionalFormatting sqref="Z149:Z157">
    <cfRule type="colorScale" priority="134">
      <colorScale>
        <cfvo type="min"/>
        <cfvo type="percentile" val="50"/>
        <cfvo type="max"/>
        <color rgb="FF63BE7B"/>
        <color rgb="FFFFEB84"/>
        <color rgb="FFF8696B"/>
      </colorScale>
    </cfRule>
  </conditionalFormatting>
  <conditionalFormatting sqref="Z149:Z157">
    <cfRule type="containsText" dxfId="582" priority="132" operator="containsText" text="M">
      <formula>NOT(ISERROR(SEARCH("M",Z149)))</formula>
    </cfRule>
    <cfRule type="containsText" dxfId="581" priority="133" operator="containsText" text="H">
      <formula>NOT(ISERROR(SEARCH("H",Z149)))</formula>
    </cfRule>
  </conditionalFormatting>
  <conditionalFormatting sqref="U149:X157">
    <cfRule type="colorScale" priority="131">
      <colorScale>
        <cfvo type="min"/>
        <cfvo type="percentile" val="50"/>
        <cfvo type="max"/>
        <color rgb="FF63BE7B"/>
        <color rgb="FFFFEB84"/>
        <color rgb="FFF8696B"/>
      </colorScale>
    </cfRule>
  </conditionalFormatting>
  <conditionalFormatting sqref="U149:X157">
    <cfRule type="containsText" dxfId="580" priority="129" operator="containsText" text="M">
      <formula>NOT(ISERROR(SEARCH("M",U149)))</formula>
    </cfRule>
    <cfRule type="containsText" dxfId="579" priority="130" operator="containsText" text="H">
      <formula>NOT(ISERROR(SEARCH("H",U149)))</formula>
    </cfRule>
  </conditionalFormatting>
  <conditionalFormatting sqref="U161:X161">
    <cfRule type="colorScale" priority="128">
      <colorScale>
        <cfvo type="min"/>
        <cfvo type="percentile" val="50"/>
        <cfvo type="max"/>
        <color rgb="FF63BE7B"/>
        <color rgb="FFFFEB84"/>
        <color rgb="FFF8696B"/>
      </colorScale>
    </cfRule>
  </conditionalFormatting>
  <conditionalFormatting sqref="U161:X161">
    <cfRule type="containsText" dxfId="578" priority="126" operator="containsText" text="M">
      <formula>NOT(ISERROR(SEARCH("M",U161)))</formula>
    </cfRule>
    <cfRule type="containsText" dxfId="577" priority="127" operator="containsText" text="H">
      <formula>NOT(ISERROR(SEARCH("H",U161)))</formula>
    </cfRule>
  </conditionalFormatting>
  <conditionalFormatting sqref="Y178">
    <cfRule type="containsText" dxfId="576" priority="124" operator="containsText" text="M">
      <formula>NOT(ISERROR(SEARCH("M",Y178)))</formula>
    </cfRule>
    <cfRule type="containsText" dxfId="575" priority="125" operator="containsText" text="H">
      <formula>NOT(ISERROR(SEARCH("H",Y178)))</formula>
    </cfRule>
  </conditionalFormatting>
  <conditionalFormatting sqref="Y178">
    <cfRule type="colorScale" priority="123">
      <colorScale>
        <cfvo type="min"/>
        <cfvo type="percentile" val="50"/>
        <cfvo type="max"/>
        <color rgb="FF63BE7B"/>
        <color rgb="FFFFEB84"/>
        <color rgb="FFF8696B"/>
      </colorScale>
    </cfRule>
  </conditionalFormatting>
  <conditionalFormatting sqref="Z161">
    <cfRule type="colorScale" priority="122">
      <colorScale>
        <cfvo type="min"/>
        <cfvo type="percentile" val="50"/>
        <cfvo type="max"/>
        <color rgb="FF63BE7B"/>
        <color rgb="FFFFEB84"/>
        <color rgb="FFF8696B"/>
      </colorScale>
    </cfRule>
  </conditionalFormatting>
  <conditionalFormatting sqref="Z161">
    <cfRule type="containsText" dxfId="574" priority="120" operator="containsText" text="M">
      <formula>NOT(ISERROR(SEARCH("M",Z161)))</formula>
    </cfRule>
    <cfRule type="containsText" dxfId="573" priority="121" operator="containsText" text="H">
      <formula>NOT(ISERROR(SEARCH("H",Z161)))</formula>
    </cfRule>
  </conditionalFormatting>
  <conditionalFormatting sqref="BA15">
    <cfRule type="colorScale" priority="119">
      <colorScale>
        <cfvo type="min"/>
        <cfvo type="percentile" val="50"/>
        <cfvo type="max"/>
        <color rgb="FF63BE7B"/>
        <color rgb="FFFFEB84"/>
        <color rgb="FFF8696B"/>
      </colorScale>
    </cfRule>
  </conditionalFormatting>
  <conditionalFormatting sqref="BA16:BA20">
    <cfRule type="colorScale" priority="118">
      <colorScale>
        <cfvo type="min"/>
        <cfvo type="percentile" val="50"/>
        <cfvo type="max"/>
        <color rgb="FF63BE7B"/>
        <color rgb="FFFFEB84"/>
        <color rgb="FFF8696B"/>
      </colorScale>
    </cfRule>
  </conditionalFormatting>
  <conditionalFormatting sqref="BA16:BA20">
    <cfRule type="containsText" dxfId="572" priority="116" operator="containsText" text="M">
      <formula>NOT(ISERROR(SEARCH("M",BA16)))</formula>
    </cfRule>
    <cfRule type="containsText" dxfId="571" priority="117" operator="containsText" text="H">
      <formula>NOT(ISERROR(SEARCH("H",BA16)))</formula>
    </cfRule>
  </conditionalFormatting>
  <conditionalFormatting sqref="AV16:AV20">
    <cfRule type="colorScale" priority="115">
      <colorScale>
        <cfvo type="min"/>
        <cfvo type="percentile" val="50"/>
        <cfvo type="max"/>
        <color rgb="FF63BE7B"/>
        <color rgb="FFFFEB84"/>
        <color rgb="FFF8696B"/>
      </colorScale>
    </cfRule>
  </conditionalFormatting>
  <conditionalFormatting sqref="AV16:AV20">
    <cfRule type="containsText" dxfId="570" priority="113" operator="containsText" text="M">
      <formula>NOT(ISERROR(SEARCH("M",AV16)))</formula>
    </cfRule>
    <cfRule type="containsText" dxfId="569" priority="114" operator="containsText" text="H">
      <formula>NOT(ISERROR(SEARCH("H",AV16)))</formula>
    </cfRule>
  </conditionalFormatting>
  <conditionalFormatting sqref="BA49">
    <cfRule type="colorScale" priority="112">
      <colorScale>
        <cfvo type="min"/>
        <cfvo type="percentile" val="50"/>
        <cfvo type="max"/>
        <color rgb="FF63BE7B"/>
        <color rgb="FFFFEB84"/>
        <color rgb="FFF8696B"/>
      </colorScale>
    </cfRule>
  </conditionalFormatting>
  <conditionalFormatting sqref="BA49">
    <cfRule type="containsText" dxfId="568" priority="110" operator="containsText" text="M">
      <formula>NOT(ISERROR(SEARCH("M",BA49)))</formula>
    </cfRule>
    <cfRule type="containsText" dxfId="567" priority="111" operator="containsText" text="H">
      <formula>NOT(ISERROR(SEARCH("H",BA49)))</formula>
    </cfRule>
  </conditionalFormatting>
  <conditionalFormatting sqref="AV49:AY49">
    <cfRule type="colorScale" priority="109">
      <colorScale>
        <cfvo type="min"/>
        <cfvo type="percentile" val="50"/>
        <cfvo type="max"/>
        <color rgb="FF63BE7B"/>
        <color rgb="FFFFEB84"/>
        <color rgb="FFF8696B"/>
      </colorScale>
    </cfRule>
  </conditionalFormatting>
  <conditionalFormatting sqref="AV49:AY49">
    <cfRule type="containsText" dxfId="566" priority="107" operator="containsText" text="M">
      <formula>NOT(ISERROR(SEARCH("M",AV49)))</formula>
    </cfRule>
    <cfRule type="containsText" dxfId="565" priority="108" operator="containsText" text="H">
      <formula>NOT(ISERROR(SEARCH("H",AV49)))</formula>
    </cfRule>
  </conditionalFormatting>
  <conditionalFormatting sqref="AZ140:AZ144">
    <cfRule type="containsText" dxfId="564" priority="105" operator="containsText" text="M">
      <formula>NOT(ISERROR(SEARCH("M",AZ140)))</formula>
    </cfRule>
    <cfRule type="containsText" dxfId="563" priority="106" operator="containsText" text="H">
      <formula>NOT(ISERROR(SEARCH("H",AZ140)))</formula>
    </cfRule>
  </conditionalFormatting>
  <conditionalFormatting sqref="AZ140:AZ144">
    <cfRule type="colorScale" priority="104">
      <colorScale>
        <cfvo type="min"/>
        <cfvo type="percentile" val="50"/>
        <cfvo type="max"/>
        <color rgb="FF63BE7B"/>
        <color rgb="FFFFEB84"/>
        <color rgb="FFF8696B"/>
      </colorScale>
    </cfRule>
  </conditionalFormatting>
  <conditionalFormatting sqref="AV149:AY162">
    <cfRule type="colorScale" priority="103">
      <colorScale>
        <cfvo type="min"/>
        <cfvo type="percentile" val="50"/>
        <cfvo type="max"/>
        <color rgb="FF63BE7B"/>
        <color rgb="FFFFEB84"/>
        <color rgb="FFF8696B"/>
      </colorScale>
    </cfRule>
  </conditionalFormatting>
  <conditionalFormatting sqref="AV149:AY162">
    <cfRule type="containsText" dxfId="562" priority="101" operator="containsText" text="M">
      <formula>NOT(ISERROR(SEARCH("M",AV149)))</formula>
    </cfRule>
    <cfRule type="containsText" dxfId="561" priority="102" operator="containsText" text="H">
      <formula>NOT(ISERROR(SEARCH("H",AV149)))</formula>
    </cfRule>
  </conditionalFormatting>
  <conditionalFormatting sqref="BA149:BA162">
    <cfRule type="colorScale" priority="100">
      <colorScale>
        <cfvo type="min"/>
        <cfvo type="percentile" val="50"/>
        <cfvo type="max"/>
        <color rgb="FF63BE7B"/>
        <color rgb="FFFFEB84"/>
        <color rgb="FFF8696B"/>
      </colorScale>
    </cfRule>
  </conditionalFormatting>
  <conditionalFormatting sqref="BA149:BA162">
    <cfRule type="containsText" dxfId="560" priority="98" operator="containsText" text="M">
      <formula>NOT(ISERROR(SEARCH("M",BA149)))</formula>
    </cfRule>
    <cfRule type="containsText" dxfId="559" priority="99" operator="containsText" text="H">
      <formula>NOT(ISERROR(SEARCH("H",BA149)))</formula>
    </cfRule>
  </conditionalFormatting>
  <conditionalFormatting sqref="N56:N72">
    <cfRule type="expression" dxfId="558" priority="308" stopIfTrue="1">
      <formula>R56="OK"</formula>
    </cfRule>
    <cfRule type="notContainsBlanks" dxfId="557" priority="309">
      <formula>LEN(TRIM(N56))&gt;0</formula>
    </cfRule>
  </conditionalFormatting>
  <conditionalFormatting sqref="L127:L131">
    <cfRule type="expression" dxfId="556" priority="96" stopIfTrue="1">
      <formula>N127="OK"</formula>
    </cfRule>
    <cfRule type="notContainsBlanks" dxfId="555" priority="97">
      <formula>LEN(TRIM(L127))&gt;0</formula>
    </cfRule>
  </conditionalFormatting>
  <conditionalFormatting sqref="K127:K131">
    <cfRule type="expression" dxfId="554" priority="95">
      <formula>J127=""</formula>
    </cfRule>
  </conditionalFormatting>
  <conditionalFormatting sqref="AA127:AA131">
    <cfRule type="expression" dxfId="553" priority="94">
      <formula>Z127=""</formula>
    </cfRule>
  </conditionalFormatting>
  <conditionalFormatting sqref="J127:J131">
    <cfRule type="expression" dxfId="552" priority="92" stopIfTrue="1">
      <formula>K127="OK"</formula>
    </cfRule>
    <cfRule type="containsText" dxfId="551" priority="93" operator="containsText" text="g">
      <formula>NOT(ISERROR(SEARCH("g",J127)))</formula>
    </cfRule>
  </conditionalFormatting>
  <conditionalFormatting sqref="Z127:Z131">
    <cfRule type="colorScale" priority="91">
      <colorScale>
        <cfvo type="min"/>
        <cfvo type="percentile" val="50"/>
        <cfvo type="max"/>
        <color rgb="FF63BE7B"/>
        <color rgb="FFFFEB84"/>
        <color rgb="FFF8696B"/>
      </colorScale>
    </cfRule>
  </conditionalFormatting>
  <conditionalFormatting sqref="Z127:Z131">
    <cfRule type="containsText" dxfId="550" priority="89" operator="containsText" text="M">
      <formula>NOT(ISERROR(SEARCH("M",Z127)))</formula>
    </cfRule>
    <cfRule type="containsText" dxfId="549" priority="90" operator="containsText" text="H">
      <formula>NOT(ISERROR(SEARCH("H",Z127)))</formula>
    </cfRule>
  </conditionalFormatting>
  <conditionalFormatting sqref="Z127:Z131">
    <cfRule type="containsText" dxfId="548" priority="87" operator="containsText" text="M">
      <formula>NOT(ISERROR(SEARCH("M",Z127)))</formula>
    </cfRule>
    <cfRule type="containsText" dxfId="547" priority="88" operator="containsText" text="H">
      <formula>NOT(ISERROR(SEARCH("H",Z127)))</formula>
    </cfRule>
  </conditionalFormatting>
  <conditionalFormatting sqref="U127:U131">
    <cfRule type="colorScale" priority="86">
      <colorScale>
        <cfvo type="min"/>
        <cfvo type="percentile" val="50"/>
        <cfvo type="max"/>
        <color rgb="FF63BE7B"/>
        <color rgb="FFFFEB84"/>
        <color rgb="FFF8696B"/>
      </colorScale>
    </cfRule>
  </conditionalFormatting>
  <conditionalFormatting sqref="U127:U131">
    <cfRule type="containsText" dxfId="546" priority="84" operator="containsText" text="M">
      <formula>NOT(ISERROR(SEARCH("M",U127)))</formula>
    </cfRule>
    <cfRule type="containsText" dxfId="545" priority="85" operator="containsText" text="H">
      <formula>NOT(ISERROR(SEARCH("H",U127)))</formula>
    </cfRule>
  </conditionalFormatting>
  <conditionalFormatting sqref="U127:U131">
    <cfRule type="containsText" dxfId="544" priority="82" operator="containsText" text="M">
      <formula>NOT(ISERROR(SEARCH("M",U127)))</formula>
    </cfRule>
    <cfRule type="containsText" dxfId="543" priority="83" operator="containsText" text="H">
      <formula>NOT(ISERROR(SEARCH("H",U127)))</formula>
    </cfRule>
  </conditionalFormatting>
  <conditionalFormatting sqref="L125">
    <cfRule type="expression" dxfId="542" priority="80" stopIfTrue="1">
      <formula>N125="OK"</formula>
    </cfRule>
    <cfRule type="notContainsBlanks" dxfId="541" priority="81">
      <formula>LEN(TRIM(L125))&gt;0</formula>
    </cfRule>
  </conditionalFormatting>
  <conditionalFormatting sqref="K125">
    <cfRule type="expression" dxfId="540" priority="79">
      <formula>J125=""</formula>
    </cfRule>
  </conditionalFormatting>
  <conditionalFormatting sqref="AA125:AA126">
    <cfRule type="expression" dxfId="539" priority="78">
      <formula>Z125=""</formula>
    </cfRule>
  </conditionalFormatting>
  <conditionalFormatting sqref="J125">
    <cfRule type="expression" dxfId="538" priority="76" stopIfTrue="1">
      <formula>K125="OK"</formula>
    </cfRule>
    <cfRule type="containsText" dxfId="537" priority="77" operator="containsText" text="g">
      <formula>NOT(ISERROR(SEARCH("g",J125)))</formula>
    </cfRule>
  </conditionalFormatting>
  <conditionalFormatting sqref="Z125">
    <cfRule type="colorScale" priority="75">
      <colorScale>
        <cfvo type="min"/>
        <cfvo type="percentile" val="50"/>
        <cfvo type="max"/>
        <color rgb="FF63BE7B"/>
        <color rgb="FFFFEB84"/>
        <color rgb="FFF8696B"/>
      </colorScale>
    </cfRule>
  </conditionalFormatting>
  <conditionalFormatting sqref="Z125">
    <cfRule type="containsText" dxfId="536" priority="73" operator="containsText" text="M">
      <formula>NOT(ISERROR(SEARCH("M",Z125)))</formula>
    </cfRule>
    <cfRule type="containsText" dxfId="535" priority="74" operator="containsText" text="H">
      <formula>NOT(ISERROR(SEARCH("H",Z125)))</formula>
    </cfRule>
  </conditionalFormatting>
  <conditionalFormatting sqref="Z125:Z126">
    <cfRule type="containsText" dxfId="534" priority="71" operator="containsText" text="M">
      <formula>NOT(ISERROR(SEARCH("M",Z125)))</formula>
    </cfRule>
    <cfRule type="containsText" dxfId="533" priority="72" operator="containsText" text="H">
      <formula>NOT(ISERROR(SEARCH("H",Z125)))</formula>
    </cfRule>
  </conditionalFormatting>
  <conditionalFormatting sqref="U125">
    <cfRule type="colorScale" priority="70">
      <colorScale>
        <cfvo type="min"/>
        <cfvo type="percentile" val="50"/>
        <cfvo type="max"/>
        <color rgb="FF63BE7B"/>
        <color rgb="FFFFEB84"/>
        <color rgb="FFF8696B"/>
      </colorScale>
    </cfRule>
  </conditionalFormatting>
  <conditionalFormatting sqref="U125">
    <cfRule type="containsText" dxfId="532" priority="68" operator="containsText" text="M">
      <formula>NOT(ISERROR(SEARCH("M",U125)))</formula>
    </cfRule>
    <cfRule type="containsText" dxfId="531" priority="69" operator="containsText" text="H">
      <formula>NOT(ISERROR(SEARCH("H",U125)))</formula>
    </cfRule>
  </conditionalFormatting>
  <conditionalFormatting sqref="U125:U126">
    <cfRule type="containsText" dxfId="530" priority="66" operator="containsText" text="M">
      <formula>NOT(ISERROR(SEARCH("M",U125)))</formula>
    </cfRule>
    <cfRule type="containsText" dxfId="529" priority="67" operator="containsText" text="H">
      <formula>NOT(ISERROR(SEARCH("H",U125)))</formula>
    </cfRule>
  </conditionalFormatting>
  <conditionalFormatting sqref="L126">
    <cfRule type="expression" dxfId="528" priority="64" stopIfTrue="1">
      <formula>N126="OK"</formula>
    </cfRule>
    <cfRule type="notContainsBlanks" dxfId="527" priority="65">
      <formula>LEN(TRIM(L126))&gt;0</formula>
    </cfRule>
  </conditionalFormatting>
  <conditionalFormatting sqref="K126">
    <cfRule type="expression" dxfId="526" priority="63">
      <formula>J126=""</formula>
    </cfRule>
  </conditionalFormatting>
  <conditionalFormatting sqref="AA126">
    <cfRule type="expression" dxfId="525" priority="62">
      <formula>Z126=""</formula>
    </cfRule>
  </conditionalFormatting>
  <conditionalFormatting sqref="J126">
    <cfRule type="expression" dxfId="524" priority="60" stopIfTrue="1">
      <formula>K126="OK"</formula>
    </cfRule>
    <cfRule type="containsText" dxfId="523" priority="61" operator="containsText" text="g">
      <formula>NOT(ISERROR(SEARCH("g",J126)))</formula>
    </cfRule>
  </conditionalFormatting>
  <conditionalFormatting sqref="Z126">
    <cfRule type="colorScale" priority="59">
      <colorScale>
        <cfvo type="min"/>
        <cfvo type="percentile" val="50"/>
        <cfvo type="max"/>
        <color rgb="FF63BE7B"/>
        <color rgb="FFFFEB84"/>
        <color rgb="FFF8696B"/>
      </colorScale>
    </cfRule>
  </conditionalFormatting>
  <conditionalFormatting sqref="Z126">
    <cfRule type="containsText" dxfId="522" priority="57" operator="containsText" text="M">
      <formula>NOT(ISERROR(SEARCH("M",Z126)))</formula>
    </cfRule>
    <cfRule type="containsText" dxfId="521" priority="58" operator="containsText" text="H">
      <formula>NOT(ISERROR(SEARCH("H",Z126)))</formula>
    </cfRule>
  </conditionalFormatting>
  <conditionalFormatting sqref="Z126">
    <cfRule type="containsText" dxfId="520" priority="55" operator="containsText" text="M">
      <formula>NOT(ISERROR(SEARCH("M",Z126)))</formula>
    </cfRule>
    <cfRule type="containsText" dxfId="519" priority="56" operator="containsText" text="H">
      <formula>NOT(ISERROR(SEARCH("H",Z126)))</formula>
    </cfRule>
  </conditionalFormatting>
  <conditionalFormatting sqref="U126">
    <cfRule type="colorScale" priority="54">
      <colorScale>
        <cfvo type="min"/>
        <cfvo type="percentile" val="50"/>
        <cfvo type="max"/>
        <color rgb="FF63BE7B"/>
        <color rgb="FFFFEB84"/>
        <color rgb="FFF8696B"/>
      </colorScale>
    </cfRule>
  </conditionalFormatting>
  <conditionalFormatting sqref="U126">
    <cfRule type="containsText" dxfId="518" priority="52" operator="containsText" text="M">
      <formula>NOT(ISERROR(SEARCH("M",U126)))</formula>
    </cfRule>
    <cfRule type="containsText" dxfId="517" priority="53" operator="containsText" text="H">
      <formula>NOT(ISERROR(SEARCH("H",U126)))</formula>
    </cfRule>
  </conditionalFormatting>
  <conditionalFormatting sqref="U126">
    <cfRule type="containsText" dxfId="516" priority="50" operator="containsText" text="M">
      <formula>NOT(ISERROR(SEARCH("M",U126)))</formula>
    </cfRule>
    <cfRule type="containsText" dxfId="515" priority="51" operator="containsText" text="H">
      <formula>NOT(ISERROR(SEARCH("H",U126)))</formula>
    </cfRule>
  </conditionalFormatting>
  <conditionalFormatting sqref="L132">
    <cfRule type="expression" dxfId="514" priority="32" stopIfTrue="1">
      <formula>N132="OK"</formula>
    </cfRule>
    <cfRule type="notContainsBlanks" dxfId="513" priority="33">
      <formula>LEN(TRIM(L132))&gt;0</formula>
    </cfRule>
  </conditionalFormatting>
  <conditionalFormatting sqref="K132">
    <cfRule type="expression" dxfId="512" priority="31">
      <formula>J132=""</formula>
    </cfRule>
  </conditionalFormatting>
  <conditionalFormatting sqref="AA132:AA133">
    <cfRule type="expression" dxfId="511" priority="30">
      <formula>Z132=""</formula>
    </cfRule>
  </conditionalFormatting>
  <conditionalFormatting sqref="J132">
    <cfRule type="expression" dxfId="510" priority="28" stopIfTrue="1">
      <formula>K132="OK"</formula>
    </cfRule>
    <cfRule type="containsText" dxfId="509" priority="29" operator="containsText" text="g">
      <formula>NOT(ISERROR(SEARCH("g",J132)))</formula>
    </cfRule>
  </conditionalFormatting>
  <conditionalFormatting sqref="Z132">
    <cfRule type="containsText" dxfId="508" priority="25" operator="containsText" text="M">
      <formula>NOT(ISERROR(SEARCH("M",Z132)))</formula>
    </cfRule>
    <cfRule type="containsText" dxfId="507" priority="26" operator="containsText" text="H">
      <formula>NOT(ISERROR(SEARCH("H",Z132)))</formula>
    </cfRule>
  </conditionalFormatting>
  <conditionalFormatting sqref="Z132:Z133">
    <cfRule type="containsText" dxfId="506" priority="23" operator="containsText" text="M">
      <formula>NOT(ISERROR(SEARCH("M",Z132)))</formula>
    </cfRule>
    <cfRule type="containsText" dxfId="505" priority="24" operator="containsText" text="H">
      <formula>NOT(ISERROR(SEARCH("H",Z132)))</formula>
    </cfRule>
  </conditionalFormatting>
  <conditionalFormatting sqref="U132:U133">
    <cfRule type="containsText" dxfId="504" priority="20" operator="containsText" text="M">
      <formula>NOT(ISERROR(SEARCH("M",U132)))</formula>
    </cfRule>
    <cfRule type="containsText" dxfId="503" priority="21" operator="containsText" text="H">
      <formula>NOT(ISERROR(SEARCH("H",U132)))</formula>
    </cfRule>
  </conditionalFormatting>
  <conditionalFormatting sqref="U132:U133">
    <cfRule type="containsText" dxfId="502" priority="18" operator="containsText" text="M">
      <formula>NOT(ISERROR(SEARCH("M",U132)))</formula>
    </cfRule>
    <cfRule type="containsText" dxfId="501" priority="19" operator="containsText" text="H">
      <formula>NOT(ISERROR(SEARCH("H",U132)))</formula>
    </cfRule>
  </conditionalFormatting>
  <conditionalFormatting sqref="L133">
    <cfRule type="expression" dxfId="500" priority="48" stopIfTrue="1">
      <formula>N133="OK"</formula>
    </cfRule>
    <cfRule type="notContainsBlanks" dxfId="499" priority="49">
      <formula>LEN(TRIM(L133))&gt;0</formula>
    </cfRule>
  </conditionalFormatting>
  <conditionalFormatting sqref="K133">
    <cfRule type="expression" dxfId="498" priority="47">
      <formula>J133=""</formula>
    </cfRule>
  </conditionalFormatting>
  <conditionalFormatting sqref="AA133">
    <cfRule type="expression" dxfId="497" priority="46">
      <formula>Z133=""</formula>
    </cfRule>
  </conditionalFormatting>
  <conditionalFormatting sqref="J133">
    <cfRule type="expression" dxfId="496" priority="44" stopIfTrue="1">
      <formula>K133="OK"</formula>
    </cfRule>
    <cfRule type="containsText" dxfId="495" priority="45" operator="containsText" text="g">
      <formula>NOT(ISERROR(SEARCH("g",J133)))</formula>
    </cfRule>
  </conditionalFormatting>
  <conditionalFormatting sqref="Z133">
    <cfRule type="colorScale" priority="43">
      <colorScale>
        <cfvo type="min"/>
        <cfvo type="percentile" val="50"/>
        <cfvo type="max"/>
        <color rgb="FF63BE7B"/>
        <color rgb="FFFFEB84"/>
        <color rgb="FFF8696B"/>
      </colorScale>
    </cfRule>
  </conditionalFormatting>
  <conditionalFormatting sqref="Z133">
    <cfRule type="containsText" dxfId="494" priority="41" operator="containsText" text="M">
      <formula>NOT(ISERROR(SEARCH("M",Z133)))</formula>
    </cfRule>
    <cfRule type="containsText" dxfId="493" priority="42" operator="containsText" text="H">
      <formula>NOT(ISERROR(SEARCH("H",Z133)))</formula>
    </cfRule>
  </conditionalFormatting>
  <conditionalFormatting sqref="Z133">
    <cfRule type="containsText" dxfId="492" priority="39" operator="containsText" text="M">
      <formula>NOT(ISERROR(SEARCH("M",Z133)))</formula>
    </cfRule>
    <cfRule type="containsText" dxfId="491" priority="40" operator="containsText" text="H">
      <formula>NOT(ISERROR(SEARCH("H",Z133)))</formula>
    </cfRule>
  </conditionalFormatting>
  <conditionalFormatting sqref="U133">
    <cfRule type="colorScale" priority="38">
      <colorScale>
        <cfvo type="min"/>
        <cfvo type="percentile" val="50"/>
        <cfvo type="max"/>
        <color rgb="FF63BE7B"/>
        <color rgb="FFFFEB84"/>
        <color rgb="FFF8696B"/>
      </colorScale>
    </cfRule>
  </conditionalFormatting>
  <conditionalFormatting sqref="U133">
    <cfRule type="containsText" dxfId="490" priority="36" operator="containsText" text="M">
      <formula>NOT(ISERROR(SEARCH("M",U133)))</formula>
    </cfRule>
    <cfRule type="containsText" dxfId="489" priority="37" operator="containsText" text="H">
      <formula>NOT(ISERROR(SEARCH("H",U133)))</formula>
    </cfRule>
  </conditionalFormatting>
  <conditionalFormatting sqref="U133">
    <cfRule type="containsText" dxfId="488" priority="34" operator="containsText" text="M">
      <formula>NOT(ISERROR(SEARCH("M",U133)))</formula>
    </cfRule>
    <cfRule type="containsText" dxfId="487" priority="35" operator="containsText" text="H">
      <formula>NOT(ISERROR(SEARCH("H",U133)))</formula>
    </cfRule>
  </conditionalFormatting>
  <conditionalFormatting sqref="Z132">
    <cfRule type="colorScale" priority="27">
      <colorScale>
        <cfvo type="min"/>
        <cfvo type="percentile" val="50"/>
        <cfvo type="max"/>
        <color rgb="FF63BE7B"/>
        <color rgb="FFFFEB84"/>
        <color rgb="FFF8696B"/>
      </colorScale>
    </cfRule>
  </conditionalFormatting>
  <conditionalFormatting sqref="U132">
    <cfRule type="colorScale" priority="22">
      <colorScale>
        <cfvo type="min"/>
        <cfvo type="percentile" val="50"/>
        <cfvo type="max"/>
        <color rgb="FF63BE7B"/>
        <color rgb="FFFFEB84"/>
        <color rgb="FFF8696B"/>
      </colorScale>
    </cfRule>
  </conditionalFormatting>
  <conditionalFormatting sqref="AK21:AK43">
    <cfRule type="expression" dxfId="486" priority="15" stopIfTrue="1">
      <formula>AL21="OK"</formula>
    </cfRule>
    <cfRule type="containsText" dxfId="485" priority="16" operator="containsText" text="g">
      <formula>NOT(ISERROR(SEARCH("g",AK21)))</formula>
    </cfRule>
  </conditionalFormatting>
  <conditionalFormatting sqref="AM21:AM37">
    <cfRule type="expression" dxfId="484" priority="14" stopIfTrue="1">
      <formula>AO21="OK"</formula>
    </cfRule>
    <cfRule type="notContainsBlanks" dxfId="483" priority="17">
      <formula>LEN(TRIM(AM21))&gt;0</formula>
    </cfRule>
  </conditionalFormatting>
  <conditionalFormatting sqref="AL21:AL43">
    <cfRule type="expression" dxfId="482" priority="11">
      <formula>AK21=""</formula>
    </cfRule>
  </conditionalFormatting>
  <conditionalFormatting sqref="AM38:AM43">
    <cfRule type="expression" dxfId="481" priority="12" stopIfTrue="1">
      <formula>AO38="OK"</formula>
    </cfRule>
    <cfRule type="notContainsBlanks" dxfId="480" priority="13">
      <formula>LEN(TRIM(AM38))&gt;0</formula>
    </cfRule>
  </conditionalFormatting>
  <conditionalFormatting sqref="AO24:AO43">
    <cfRule type="expression" dxfId="479" priority="10">
      <formula>AN24=""</formula>
    </cfRule>
  </conditionalFormatting>
  <conditionalFormatting sqref="BB21:BB43">
    <cfRule type="expression" dxfId="478" priority="9">
      <formula>BA21=""</formula>
    </cfRule>
  </conditionalFormatting>
  <conditionalFormatting sqref="BA21:BA43">
    <cfRule type="colorScale" priority="8">
      <colorScale>
        <cfvo type="min"/>
        <cfvo type="percentile" val="50"/>
        <cfvo type="max"/>
        <color rgb="FF63BE7B"/>
        <color rgb="FFFFEB84"/>
        <color rgb="FFF8696B"/>
      </colorScale>
    </cfRule>
  </conditionalFormatting>
  <conditionalFormatting sqref="BA21:BA43">
    <cfRule type="containsText" dxfId="477" priority="6" operator="containsText" text="M">
      <formula>NOT(ISERROR(SEARCH("M",BA21)))</formula>
    </cfRule>
    <cfRule type="containsText" dxfId="476" priority="7" operator="containsText" text="H">
      <formula>NOT(ISERROR(SEARCH("H",BA21)))</formula>
    </cfRule>
  </conditionalFormatting>
  <conditionalFormatting sqref="BA21:BA43">
    <cfRule type="containsText" dxfId="475" priority="4" operator="containsText" text="M">
      <formula>NOT(ISERROR(SEARCH("M",BA21)))</formula>
    </cfRule>
    <cfRule type="containsText" dxfId="474" priority="5" operator="containsText" text="H">
      <formula>NOT(ISERROR(SEARCH("H",BA21)))</formula>
    </cfRule>
  </conditionalFormatting>
  <conditionalFormatting sqref="AV21:AV43">
    <cfRule type="colorScale" priority="3">
      <colorScale>
        <cfvo type="min"/>
        <cfvo type="percentile" val="50"/>
        <cfvo type="max"/>
        <color rgb="FF63BE7B"/>
        <color rgb="FFFFEB84"/>
        <color rgb="FFF8696B"/>
      </colorScale>
    </cfRule>
  </conditionalFormatting>
  <conditionalFormatting sqref="AV21:AV43">
    <cfRule type="containsText" dxfId="473" priority="1" operator="containsText" text="M">
      <formula>NOT(ISERROR(SEARCH("M",AV21)))</formula>
    </cfRule>
    <cfRule type="containsText" dxfId="472" priority="2" operator="containsText" text="H">
      <formula>NOT(ISERROR(SEARCH("H",AV21)))</formula>
    </cfRule>
  </conditionalFormatting>
  <dataValidations count="2">
    <dataValidation type="list" allowBlank="1" showInputMessage="1" sqref="AL161 AO142:AO144 AL140:AL144 BB49 N178 AA149:AA157 AA161 K149:K157 AL149:AL157 AL49 AA57:AA77 BB140:BB144 BB161 K101:K113 AA79:AA99 K49 K177:K178 AK15 K79:K99 BB149:BB157 AA169 AA140 AA177:AA178 K161 AA101:AA113 N15:N43 AA49 K169 N53 N49:N51 K140 N120:N133 K120:K133 AA120:AA133 AA16:AA43 K16:K43 K57:K77 N73:N115 BB16:BB43 AO24:AO43 AL15:AL43">
      <formula1>#REF!</formula1>
    </dataValidation>
    <dataValidation allowBlank="1" showInputMessage="1" sqref="A167:A168 A175:A176 AZ6:AZ11 AB149:AB161 AK120:AN125 AD118:AN119 BB15 D5:I6 Z6:AB6 AC163:AC166 L167:L168 L175:L178 N116:S116 O117:S117 K114:K117 BB158:BB160 AA100 L118:L126 BJ13:XFD27 BG11:BG12 L147:L148 T163:AA163 A78:A79 H32:H46 B33:B46 AO52:AO134 K48 P48:S48 C177:I178 N52:Z52 J138:J144 AA14:AA15 AA139 O167:O168 P55:S55 N176:N177 N56:S56 AA114:AB116 AA50:AA52 O49:S51 N57:N72 K50:K52 K119 P119:S119 C10:I11 M119:M126 P54:Q54 AB118 O147:O148 D134:H137 K139 P139:S139 P118:Q118 C118:F118 AC135:BC135 J147:J157 AB163:AB167 K168 P168:S168 M168 J161 P147:Q147 AD149:AK149 AA168 AE163:AL166 K148 P148:S148 M148 P138:Q138 D138:F138 AC167:BC178 AA55:AA56 AA78 AA170:AA171 AD6:AJ10 K176 P176:S176 AO15:AO23 P167:Q167 BA6:BB8 L149:S166 O177:S178 C175:F175 M141:X144 AD11:AS11 BA162:BB162 AK47:AK49 AL14 AB13:AG13 D167:F167 AO49 A100:A101 K44:K46 K55:K56 K100 AF138:AG138 O54:O55 AM147:AM148 AA148 BC147 AL148 AN148 AK147:AK148 AP47:AR49 G1:I4 AC147:AG147 AK13:AK14 AK161:AK162 AD150:AD166 AL162 AM149:AO166 AA162:AC162 AC148:AC161 AU126:BB130 AB169:AB175 L169:S169 B145:S146 AK6:AL6 N44:N46 M6:X6 AD12:AY12 AK150:AK157 A170:M172 O118:O119 O138:O139 K78 L140:L144 O31:O48 N170:S174 J158:K160 J162:K166 BB148 A44:A47 D79:F113 C49:F54 A114:F116 P175:Q175 A15:A16 B134:C138 A13 C13 B141:B144 O140:S140 V55:Y55 AA176 C147:F147 J167:J169 C56:C113 C12:T12 O175:O176 AB47:AB52 BC149:BC162 K14:K15 AA158:AA160 AB177:AB178 BC136:BC138 AB140:AB147 AZ48:BB48 J175:J178 AD50:BC51 D168:I169 BH6:XFD12 AP147:AR162 AC48:AC51 BC47 AS48:AT49 AC47:AD47 AL48 AP138:AR144 AD49:AJ49 AC136:BB137 AN48:AN49 AC45:BC46 BC49 AM47:AM49 BB139 AC139:AC144 AS139:AT144 AC138:AD138 AL139 AF47:AG47 BC140:BC144 AN140:AO140 AM140:AM144 AK138:AK144 AU134:BB134 K141:K144 AA141:AA146 Z7:AA8 N8:Q8 AK158:AL160 AS148:AT162 AB7:AB12 B4:F4 A4:A6 A173:J174 I133:I137 AA119 K1 B5:B6 AC6:AC12 O10:S10 A1:F3 N11:R11 O7:O9 K6 AC145:BC146 AA48 Z141:Z145 AK44:BC44 BA1:BC5 AF139:AH139 AP163:BC166 U7:X8 R44:AB46 AM2:AZ5 U101:X113 Z171 T170:Z170 T11 Y171:Y174 U171:X171 Y164:Y166 T146:Z146 T164 J134:AA137 Y176:Y178 T145:X145 U49 T171:T172 U161:Z161 Y168:Y169 T158:T160 T162 Y162 Z149:Z157 U149:X157 Y148:Y160 AZ14:BB14 AZ15 BA149:BA161 AU158:AU160 AV149:AY161 AV16:AZ43 AZ139:AZ144 AZ131:AZ133 AU131 AZ148:AZ162 AU162:AY162 C140:I144 C33:F47 C167:C169 AE47:AE48 AE138:AE139 AI139:AJ144 AF48:AJ48 AV6:AY8 AU6:AU9 Y6:Y8 BC6:BC13 AP6:AT10 C120:H133 O120:S133 Y14:Y43 L127:M133 AP126:AT134 BC126:BC134 AC126:AN134 A134:A147 Y139:Y145 A49:A54 B50:B53 O53:S53 J53:K53 M48:M53 P31:Q47 AP52:BC116 AC52:AN116 Y53:AB53 B16:B31 C15:C31 L6:L10 D13:F31 O13:Q30 R14:S43 AB15:AB43 M14:M46 J13:J52 U16:X43 V14:X14 I14:I46 H56:I116 B57:B77 U57:X77 A56:A57 B79:B99 J54:J133 M55:M116 AB54:AB113 U120:Z133 L13:L116 O57:S115 G49:I53 B101:B113 D56:G78 I126 AB120:AB138 AN14:AN43 AK16:AK43 BC15:BC43 AM13:AM43 AS14:AT43 AP13:AR43 AV49:BA49 Y56:Z117 J1:J7 I7:I9 A149:I166 G14:H31 G33:G46 A32:G32 G79:G116 V48:X49 Z49:Z51 L1:Z4 U79:X99 V119:Y119 Y48:Y51 AM6:AM10 Z15:Z43 L5:AG5 AK2:AK5 AC1:AZ1 AC2:AG4 AN10 AK7 AN6:AO9 BA15:BA43 AC14:AC44 AD140:AH144 AD15:AJ44 AE150:AJ162"/>
  </dataValidation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4151ED"/>
  </sheetPr>
  <dimension ref="A1:AD208"/>
  <sheetViews>
    <sheetView topLeftCell="A103" zoomScaleNormal="100" workbookViewId="0"/>
  </sheetViews>
  <sheetFormatPr defaultColWidth="9.109375" defaultRowHeight="13.8" x14ac:dyDescent="0.3"/>
  <cols>
    <col min="1" max="1" width="10.33203125" style="592" customWidth="1"/>
    <col min="2" max="2" width="12.6640625" style="362" customWidth="1"/>
    <col min="3" max="3" width="44.109375" style="362" bestFit="1" customWidth="1"/>
    <col min="4" max="4" width="16.33203125" style="362" customWidth="1"/>
    <col min="5" max="8" width="14" style="362" customWidth="1"/>
    <col min="9" max="9" width="13.109375" style="362" customWidth="1"/>
    <col min="10" max="10" width="12.33203125" style="590" customWidth="1"/>
    <col min="11" max="11" width="14.33203125" style="591" customWidth="1"/>
    <col min="12" max="12" width="29.77734375" style="362" customWidth="1"/>
    <col min="13" max="13" width="25.77734375" style="362" customWidth="1"/>
    <col min="14" max="14" width="11.77734375" style="362" customWidth="1"/>
    <col min="15" max="15" width="11" style="362" customWidth="1"/>
    <col min="16" max="16" width="19.109375" style="362" customWidth="1"/>
    <col min="17" max="17" width="11" style="362" customWidth="1"/>
    <col min="18" max="18" width="14" style="362" customWidth="1"/>
    <col min="19" max="20" width="9.109375" style="362"/>
    <col min="21" max="21" width="9.109375" style="362" customWidth="1"/>
    <col min="22" max="22" width="15.77734375" style="362" customWidth="1"/>
    <col min="23" max="23" width="9.109375" style="362" customWidth="1"/>
    <col min="24" max="24" width="13.77734375" style="362" customWidth="1"/>
    <col min="25" max="25" width="9.109375" style="362"/>
    <col min="26" max="26" width="22.77734375" style="362" customWidth="1"/>
    <col min="27" max="16384" width="9.109375" style="362"/>
  </cols>
  <sheetData>
    <row r="1" spans="1:30" ht="23.4" x14ac:dyDescent="0.45">
      <c r="A1" s="312" t="s">
        <v>575</v>
      </c>
      <c r="B1" s="313"/>
      <c r="C1" s="49"/>
      <c r="D1" s="49"/>
      <c r="E1" s="49"/>
      <c r="F1" s="49"/>
      <c r="G1" s="49"/>
      <c r="H1" s="49"/>
      <c r="I1" s="49"/>
      <c r="J1" s="314"/>
      <c r="K1" s="315"/>
      <c r="L1" s="49"/>
      <c r="M1" s="49"/>
      <c r="N1" s="49"/>
      <c r="O1" s="49"/>
      <c r="P1" s="49"/>
      <c r="Q1" s="49"/>
      <c r="R1" s="49"/>
      <c r="S1" s="49"/>
      <c r="T1" s="49"/>
      <c r="U1" s="49"/>
      <c r="V1" s="49"/>
      <c r="W1" s="49"/>
      <c r="X1" s="49"/>
      <c r="Y1" s="49"/>
      <c r="Z1" s="49"/>
      <c r="AA1" s="49"/>
      <c r="AB1" s="49"/>
      <c r="AC1" s="49"/>
      <c r="AD1" s="49"/>
    </row>
    <row r="2" spans="1:30" x14ac:dyDescent="0.3">
      <c r="A2" s="465"/>
      <c r="B2" s="466"/>
      <c r="C2" s="466"/>
      <c r="D2" s="466"/>
      <c r="E2" s="466"/>
      <c r="F2" s="466"/>
      <c r="G2" s="466"/>
      <c r="H2" s="466"/>
      <c r="I2" s="466"/>
      <c r="J2" s="467"/>
      <c r="K2" s="468"/>
      <c r="L2" s="468"/>
      <c r="M2" s="468"/>
      <c r="N2" s="468"/>
      <c r="O2" s="466"/>
      <c r="P2" s="466"/>
      <c r="Q2" s="466"/>
      <c r="R2" s="466"/>
      <c r="S2" s="466"/>
      <c r="T2" s="466"/>
      <c r="U2" s="466"/>
      <c r="V2" s="466"/>
      <c r="W2" s="466"/>
      <c r="X2" s="466"/>
      <c r="Y2" s="466"/>
      <c r="Z2" s="466"/>
      <c r="AA2" s="466"/>
      <c r="AB2" s="466"/>
      <c r="AC2" s="466"/>
      <c r="AD2" s="466"/>
    </row>
    <row r="3" spans="1:30" x14ac:dyDescent="0.3">
      <c r="A3" s="320"/>
      <c r="B3" s="49"/>
      <c r="C3" s="49"/>
      <c r="D3" s="49"/>
      <c r="E3" s="49"/>
      <c r="F3" s="49"/>
      <c r="G3" s="49"/>
      <c r="H3" s="49"/>
      <c r="I3" s="49"/>
      <c r="J3" s="314"/>
      <c r="K3" s="321"/>
      <c r="L3" s="49"/>
      <c r="M3" s="49"/>
      <c r="N3" s="49"/>
      <c r="O3" s="49"/>
      <c r="P3" s="49"/>
      <c r="Q3" s="49"/>
      <c r="R3" s="49"/>
      <c r="S3" s="49"/>
      <c r="T3" s="49"/>
      <c r="U3" s="49"/>
      <c r="V3" s="49"/>
      <c r="W3" s="49"/>
      <c r="X3" s="49"/>
      <c r="Y3" s="49"/>
      <c r="Z3" s="49"/>
      <c r="AA3" s="49"/>
      <c r="AB3" s="49"/>
      <c r="AC3" s="49"/>
      <c r="AD3" s="49"/>
    </row>
    <row r="4" spans="1:30" s="593" customFormat="1" ht="21" x14ac:dyDescent="0.3">
      <c r="A4" s="469" t="s">
        <v>20</v>
      </c>
      <c r="B4" s="470" t="str">
        <f>+Performance!C2</f>
        <v>MINISTRY OF JUSTICE (MoJ)</v>
      </c>
      <c r="C4" s="470"/>
      <c r="D4" s="470"/>
      <c r="E4" s="470"/>
      <c r="F4" s="470"/>
      <c r="G4" s="470"/>
      <c r="H4" s="470"/>
      <c r="I4" s="470"/>
      <c r="J4" s="470"/>
      <c r="K4" s="470"/>
      <c r="L4" s="470"/>
      <c r="M4" s="470"/>
      <c r="N4" s="470"/>
      <c r="O4" s="470"/>
      <c r="P4" s="470"/>
      <c r="Q4" s="470"/>
      <c r="R4" s="470"/>
      <c r="S4" s="470"/>
      <c r="T4" s="470"/>
      <c r="U4" s="470"/>
      <c r="V4" s="470"/>
      <c r="W4" s="470"/>
      <c r="X4" s="470"/>
      <c r="Y4" s="470"/>
      <c r="Z4" s="470"/>
      <c r="AA4" s="470"/>
      <c r="AB4" s="470"/>
      <c r="AC4" s="470"/>
      <c r="AD4" s="470"/>
    </row>
    <row r="5" spans="1:30" ht="21" x14ac:dyDescent="0.3">
      <c r="A5" s="320"/>
      <c r="B5" s="324"/>
      <c r="C5" s="324"/>
      <c r="D5" s="324"/>
      <c r="E5" s="324"/>
      <c r="F5" s="324"/>
      <c r="G5" s="324"/>
      <c r="H5" s="324"/>
      <c r="I5" s="324"/>
      <c r="J5" s="324"/>
      <c r="K5" s="325"/>
      <c r="L5" s="325"/>
      <c r="M5" s="325"/>
      <c r="N5" s="325"/>
      <c r="O5" s="49"/>
      <c r="P5" s="49"/>
      <c r="Q5" s="49"/>
      <c r="R5" s="49"/>
      <c r="S5" s="49"/>
      <c r="T5" s="49"/>
      <c r="U5" s="49"/>
      <c r="V5" s="49"/>
      <c r="W5" s="49"/>
      <c r="X5" s="49"/>
      <c r="Y5" s="49"/>
      <c r="Z5" s="49"/>
      <c r="AA5" s="49"/>
      <c r="AB5" s="49"/>
      <c r="AC5" s="49"/>
      <c r="AD5" s="49"/>
    </row>
    <row r="6" spans="1:30" ht="23.4" x14ac:dyDescent="0.3">
      <c r="A6" s="1209">
        <v>1</v>
      </c>
      <c r="B6" s="471" t="s">
        <v>476</v>
      </c>
      <c r="C6" s="472"/>
      <c r="D6" s="2090" t="str">
        <f>+$A$1</f>
        <v>Quarter 4 - 2019-2020</v>
      </c>
      <c r="E6" s="2090"/>
      <c r="F6" s="2090"/>
      <c r="G6" s="2090"/>
      <c r="H6" s="2090"/>
      <c r="I6" s="2090"/>
      <c r="J6" s="2090"/>
      <c r="K6" s="473"/>
      <c r="L6" s="473"/>
      <c r="M6" s="473"/>
      <c r="N6" s="466"/>
      <c r="O6" s="466"/>
      <c r="P6" s="474"/>
      <c r="Q6" s="474"/>
      <c r="R6" s="466"/>
      <c r="S6" s="466"/>
      <c r="T6" s="466"/>
      <c r="U6" s="466"/>
      <c r="V6" s="466"/>
      <c r="W6" s="466"/>
      <c r="X6" s="466"/>
      <c r="Y6" s="466"/>
      <c r="Z6" s="466"/>
      <c r="AA6" s="466"/>
      <c r="AB6" s="466"/>
      <c r="AC6" s="466"/>
      <c r="AD6" s="466"/>
    </row>
    <row r="7" spans="1:30" ht="14.4" thickBot="1" x14ac:dyDescent="0.35">
      <c r="A7" s="320"/>
      <c r="B7" s="43"/>
      <c r="C7" s="337"/>
      <c r="D7" s="337"/>
      <c r="E7" s="337"/>
      <c r="F7" s="337"/>
      <c r="G7" s="337"/>
      <c r="H7" s="337"/>
      <c r="I7" s="337"/>
      <c r="J7" s="337"/>
      <c r="K7" s="337"/>
      <c r="L7" s="337"/>
      <c r="M7" s="337"/>
      <c r="N7" s="337"/>
      <c r="O7" s="337"/>
      <c r="P7" s="337"/>
      <c r="Q7" s="337"/>
      <c r="R7" s="337"/>
      <c r="S7" s="337"/>
      <c r="T7" s="337"/>
      <c r="U7" s="337"/>
      <c r="V7" s="337"/>
      <c r="W7" s="337"/>
      <c r="X7" s="337"/>
      <c r="Y7" s="49"/>
      <c r="Z7" s="49"/>
      <c r="AA7" s="49"/>
      <c r="AB7" s="49"/>
      <c r="AC7" s="49"/>
      <c r="AD7" s="49"/>
    </row>
    <row r="8" spans="1:30" ht="14.4" thickBot="1" x14ac:dyDescent="0.35">
      <c r="A8" s="320"/>
      <c r="B8" s="49"/>
      <c r="C8" s="43"/>
      <c r="D8" s="428" t="s">
        <v>23</v>
      </c>
      <c r="E8" s="1083" t="s">
        <v>144</v>
      </c>
      <c r="F8" s="1849" t="s">
        <v>24</v>
      </c>
      <c r="G8" s="1850"/>
      <c r="H8" s="1851"/>
      <c r="I8" s="2086" t="s">
        <v>461</v>
      </c>
      <c r="J8" s="2087"/>
      <c r="K8" s="337"/>
      <c r="L8" s="337"/>
      <c r="M8" s="337"/>
      <c r="N8" s="337"/>
      <c r="O8" s="337"/>
      <c r="P8" s="337"/>
      <c r="Q8" s="337"/>
      <c r="R8" s="337"/>
      <c r="S8" s="337"/>
      <c r="T8" s="337"/>
      <c r="U8" s="337"/>
      <c r="V8" s="337"/>
      <c r="W8" s="337"/>
      <c r="X8" s="337"/>
      <c r="Y8" s="49"/>
      <c r="Z8" s="49"/>
      <c r="AA8" s="337"/>
      <c r="AB8" s="337"/>
      <c r="AC8" s="337"/>
      <c r="AD8" s="337"/>
    </row>
    <row r="9" spans="1:30" ht="14.4" thickBot="1" x14ac:dyDescent="0.35">
      <c r="A9" s="320"/>
      <c r="B9" s="359"/>
      <c r="C9" s="49"/>
      <c r="D9" s="490" t="s">
        <v>477</v>
      </c>
      <c r="E9" s="432" t="s">
        <v>477</v>
      </c>
      <c r="F9" s="1852"/>
      <c r="G9" s="1853"/>
      <c r="H9" s="1854"/>
      <c r="I9" s="2088"/>
      <c r="J9" s="2089"/>
      <c r="K9" s="337"/>
      <c r="L9" s="337"/>
      <c r="M9" s="337"/>
      <c r="N9" s="337"/>
      <c r="O9" s="337"/>
      <c r="P9" s="337"/>
      <c r="Q9" s="337"/>
      <c r="R9" s="337"/>
      <c r="S9" s="337"/>
      <c r="T9" s="337"/>
      <c r="U9" s="337"/>
      <c r="V9" s="337"/>
      <c r="W9" s="337"/>
      <c r="X9" s="337"/>
      <c r="Y9" s="49"/>
      <c r="Z9" s="49"/>
      <c r="AA9" s="337"/>
      <c r="AB9" s="337"/>
      <c r="AC9" s="337"/>
      <c r="AD9" s="337"/>
    </row>
    <row r="10" spans="1:30" ht="14.4" thickBot="1" x14ac:dyDescent="0.35">
      <c r="A10" s="320"/>
      <c r="B10" s="1855" t="s">
        <v>478</v>
      </c>
      <c r="C10" s="1856"/>
      <c r="D10" s="1042"/>
      <c r="E10" s="1043"/>
      <c r="F10" s="1857"/>
      <c r="G10" s="1858"/>
      <c r="H10" s="1859"/>
      <c r="I10" s="2129" t="str">
        <f>IF(OR(D10&lt;0,E10&lt;0),"Error - Negative number",IF(E10&gt;D10,"Offices only&gt;Total Estate",""))</f>
        <v/>
      </c>
      <c r="J10" s="2130"/>
      <c r="K10" s="337"/>
      <c r="L10" s="337"/>
      <c r="M10" s="337"/>
      <c r="N10" s="337"/>
      <c r="O10" s="337"/>
      <c r="P10" s="337"/>
      <c r="Q10" s="337"/>
      <c r="R10" s="337"/>
      <c r="S10" s="337"/>
      <c r="T10" s="337"/>
      <c r="U10" s="337"/>
      <c r="V10" s="337"/>
      <c r="W10" s="337"/>
      <c r="X10" s="337"/>
      <c r="Y10" s="49"/>
      <c r="Z10" s="49"/>
      <c r="AA10" s="337"/>
      <c r="AB10" s="337"/>
      <c r="AC10" s="337"/>
      <c r="AD10" s="337"/>
    </row>
    <row r="11" spans="1:30" x14ac:dyDescent="0.3">
      <c r="A11" s="320"/>
      <c r="B11" s="337"/>
      <c r="C11" s="337"/>
      <c r="D11" s="337"/>
      <c r="E11" s="337"/>
      <c r="F11" s="337"/>
      <c r="G11" s="337"/>
      <c r="H11" s="337"/>
      <c r="I11" s="337"/>
      <c r="J11" s="386"/>
      <c r="K11" s="425"/>
      <c r="L11" s="337"/>
      <c r="M11" s="337"/>
      <c r="N11" s="49"/>
      <c r="O11" s="49"/>
      <c r="P11" s="49"/>
      <c r="Q11" s="49"/>
      <c r="R11" s="49"/>
      <c r="S11" s="49"/>
      <c r="T11" s="49"/>
      <c r="U11" s="49"/>
      <c r="V11" s="49"/>
      <c r="W11" s="49"/>
      <c r="X11" s="49"/>
      <c r="Y11" s="49"/>
      <c r="Z11" s="49"/>
      <c r="AA11" s="49"/>
      <c r="AB11" s="49"/>
      <c r="AC11" s="49"/>
      <c r="AD11" s="49"/>
    </row>
    <row r="12" spans="1:30" x14ac:dyDescent="0.3">
      <c r="A12" s="320"/>
      <c r="B12" s="337"/>
      <c r="C12" s="337"/>
      <c r="D12" s="337"/>
      <c r="E12" s="337"/>
      <c r="F12" s="337"/>
      <c r="G12" s="337"/>
      <c r="H12" s="337"/>
      <c r="I12" s="337"/>
      <c r="J12" s="386"/>
      <c r="K12" s="425"/>
      <c r="L12" s="337"/>
      <c r="M12" s="337"/>
      <c r="N12" s="49"/>
      <c r="O12" s="49"/>
      <c r="P12" s="49"/>
      <c r="Q12" s="49"/>
      <c r="R12" s="49"/>
      <c r="S12" s="49"/>
      <c r="T12" s="49"/>
      <c r="U12" s="49"/>
      <c r="V12" s="49"/>
      <c r="W12" s="49"/>
      <c r="X12" s="49"/>
      <c r="Y12" s="49"/>
      <c r="Z12" s="49"/>
      <c r="AA12" s="49"/>
      <c r="AB12" s="49"/>
      <c r="AC12" s="49"/>
      <c r="AD12" s="49"/>
    </row>
    <row r="13" spans="1:30" ht="27.75" customHeight="1" x14ac:dyDescent="0.3">
      <c r="A13" s="1209">
        <v>2</v>
      </c>
      <c r="B13" s="471" t="s">
        <v>21</v>
      </c>
      <c r="C13" s="472"/>
      <c r="D13" s="2090" t="str">
        <f>+$A$1</f>
        <v>Quarter 4 - 2019-2020</v>
      </c>
      <c r="E13" s="2090"/>
      <c r="F13" s="2090"/>
      <c r="G13" s="2090"/>
      <c r="H13" s="2090"/>
      <c r="I13" s="2090"/>
      <c r="J13" s="2090"/>
      <c r="K13" s="473"/>
      <c r="L13" s="473"/>
      <c r="M13" s="473"/>
      <c r="N13" s="473"/>
      <c r="O13" s="466"/>
      <c r="P13" s="474"/>
      <c r="Q13" s="474"/>
      <c r="R13" s="466"/>
      <c r="S13" s="466"/>
      <c r="T13" s="466"/>
      <c r="U13" s="466"/>
      <c r="V13" s="466"/>
      <c r="W13" s="466"/>
      <c r="X13" s="466"/>
      <c r="Y13" s="466"/>
      <c r="Z13" s="466"/>
      <c r="AA13" s="466"/>
      <c r="AB13" s="466"/>
      <c r="AC13" s="466"/>
      <c r="AD13" s="466"/>
    </row>
    <row r="14" spans="1:30" s="594" customFormat="1" ht="23.4" x14ac:dyDescent="0.3">
      <c r="A14" s="1210" t="s">
        <v>505</v>
      </c>
      <c r="B14" s="475" t="s">
        <v>22</v>
      </c>
      <c r="C14" s="476"/>
      <c r="D14" s="2090"/>
      <c r="E14" s="2090"/>
      <c r="F14" s="2090"/>
      <c r="G14" s="2090"/>
      <c r="H14" s="2090"/>
      <c r="I14" s="2090"/>
      <c r="J14" s="2090"/>
      <c r="K14" s="477"/>
      <c r="L14" s="477"/>
      <c r="M14" s="477"/>
      <c r="N14" s="477"/>
      <c r="O14" s="477"/>
      <c r="P14" s="477"/>
      <c r="Q14" s="477"/>
      <c r="R14" s="477"/>
      <c r="S14" s="477"/>
      <c r="T14" s="477"/>
      <c r="U14" s="477"/>
      <c r="V14" s="477"/>
      <c r="W14" s="477"/>
      <c r="X14" s="477"/>
      <c r="Y14" s="478"/>
      <c r="Z14" s="478"/>
      <c r="AA14" s="478"/>
      <c r="AB14" s="478"/>
      <c r="AC14" s="478"/>
      <c r="AD14" s="478"/>
    </row>
    <row r="15" spans="1:30" ht="15.75" customHeight="1" thickBot="1" x14ac:dyDescent="0.35">
      <c r="A15" s="320"/>
      <c r="B15" s="43"/>
      <c r="C15" s="30"/>
      <c r="D15" s="43"/>
      <c r="E15" s="336"/>
      <c r="F15" s="336"/>
      <c r="G15" s="336"/>
      <c r="H15" s="336"/>
      <c r="I15" s="336"/>
      <c r="J15" s="336"/>
      <c r="K15" s="336"/>
      <c r="L15" s="49"/>
      <c r="M15" s="49"/>
      <c r="N15" s="49"/>
      <c r="O15" s="49"/>
      <c r="P15" s="49"/>
      <c r="Q15" s="49"/>
      <c r="R15" s="49"/>
      <c r="S15" s="49"/>
      <c r="T15" s="49"/>
      <c r="U15" s="49"/>
      <c r="V15" s="49"/>
      <c r="W15" s="49"/>
      <c r="X15" s="49"/>
      <c r="Y15" s="49"/>
      <c r="Z15" s="49"/>
      <c r="AA15" s="49"/>
      <c r="AB15" s="49"/>
      <c r="AC15" s="49"/>
      <c r="AD15" s="49"/>
    </row>
    <row r="16" spans="1:30" ht="15.75" customHeight="1" thickBot="1" x14ac:dyDescent="0.35">
      <c r="A16" s="320"/>
      <c r="B16" s="337"/>
      <c r="C16" s="337"/>
      <c r="D16" s="337"/>
      <c r="E16" s="337"/>
      <c r="F16" s="337"/>
      <c r="G16" s="337"/>
      <c r="H16" s="337"/>
      <c r="I16" s="337"/>
      <c r="J16" s="337"/>
      <c r="K16" s="337"/>
      <c r="L16" s="49"/>
      <c r="M16" s="49"/>
      <c r="N16" s="49"/>
      <c r="O16" s="1963" t="s">
        <v>23</v>
      </c>
      <c r="P16" s="2091"/>
      <c r="Q16" s="2091"/>
      <c r="R16" s="1964"/>
      <c r="S16" s="49"/>
      <c r="T16" s="49"/>
      <c r="U16" s="2092" t="s">
        <v>144</v>
      </c>
      <c r="V16" s="2093"/>
      <c r="W16" s="2093"/>
      <c r="X16" s="2094"/>
      <c r="Y16" s="49"/>
      <c r="Z16" s="49"/>
      <c r="AA16" s="49"/>
      <c r="AB16" s="49"/>
      <c r="AC16" s="49"/>
      <c r="AD16" s="49"/>
    </row>
    <row r="17" spans="1:30" ht="28.2" customHeight="1" thickBot="1" x14ac:dyDescent="0.35">
      <c r="A17" s="320"/>
      <c r="B17" s="337"/>
      <c r="C17" s="337"/>
      <c r="D17" s="1866" t="s">
        <v>23</v>
      </c>
      <c r="E17" s="1867"/>
      <c r="F17" s="1868"/>
      <c r="G17" s="1869" t="s">
        <v>144</v>
      </c>
      <c r="H17" s="1870"/>
      <c r="I17" s="1849" t="s">
        <v>24</v>
      </c>
      <c r="J17" s="1850"/>
      <c r="K17" s="1851"/>
      <c r="L17" s="1909" t="s">
        <v>461</v>
      </c>
      <c r="M17" s="49"/>
      <c r="N17" s="49"/>
      <c r="O17" s="1963" t="s">
        <v>25</v>
      </c>
      <c r="P17" s="2091"/>
      <c r="Q17" s="2091"/>
      <c r="R17" s="1964"/>
      <c r="S17" s="49"/>
      <c r="T17" s="49"/>
      <c r="U17" s="2092" t="s">
        <v>25</v>
      </c>
      <c r="V17" s="2093"/>
      <c r="W17" s="2093"/>
      <c r="X17" s="2094"/>
      <c r="Y17" s="49"/>
      <c r="Z17" s="49"/>
      <c r="AA17" s="49"/>
      <c r="AB17" s="49"/>
      <c r="AC17" s="49"/>
      <c r="AD17" s="49"/>
    </row>
    <row r="18" spans="1:30" ht="15.75" customHeight="1" thickBot="1" x14ac:dyDescent="0.35">
      <c r="A18" s="320"/>
      <c r="B18" s="337"/>
      <c r="C18" s="337"/>
      <c r="D18" s="338" t="s">
        <v>26</v>
      </c>
      <c r="E18" s="1087" t="s">
        <v>27</v>
      </c>
      <c r="F18" s="339" t="s">
        <v>28</v>
      </c>
      <c r="G18" s="433" t="s">
        <v>29</v>
      </c>
      <c r="H18" s="433" t="s">
        <v>28</v>
      </c>
      <c r="I18" s="1852"/>
      <c r="J18" s="1853"/>
      <c r="K18" s="1854"/>
      <c r="L18" s="1911"/>
      <c r="M18" s="49"/>
      <c r="N18" s="49"/>
      <c r="O18" s="2095" t="s">
        <v>30</v>
      </c>
      <c r="P18" s="2096"/>
      <c r="Q18" s="2095" t="s">
        <v>31</v>
      </c>
      <c r="R18" s="2096"/>
      <c r="S18" s="49"/>
      <c r="T18" s="49"/>
      <c r="U18" s="1869" t="s">
        <v>30</v>
      </c>
      <c r="V18" s="1870"/>
      <c r="W18" s="1869" t="s">
        <v>31</v>
      </c>
      <c r="X18" s="1870"/>
      <c r="Y18" s="49"/>
      <c r="Z18" s="49"/>
      <c r="AA18" s="49"/>
      <c r="AB18" s="49"/>
      <c r="AC18" s="49"/>
      <c r="AD18" s="49"/>
    </row>
    <row r="19" spans="1:30" ht="28.95" customHeight="1" thickBot="1" x14ac:dyDescent="0.35">
      <c r="A19" s="320"/>
      <c r="B19" s="1881" t="s">
        <v>32</v>
      </c>
      <c r="C19" s="1882"/>
      <c r="D19" s="340">
        <f>SUM(D20:D47)</f>
        <v>0</v>
      </c>
      <c r="E19" s="1107" t="str">
        <f>IF(D19&lt;&gt;0,F19*1000/D19,"")</f>
        <v/>
      </c>
      <c r="F19" s="342">
        <f>SUM(F20:F47)</f>
        <v>0</v>
      </c>
      <c r="G19" s="343">
        <f>SUM(G20:G47)</f>
        <v>0</v>
      </c>
      <c r="H19" s="343">
        <f>SUM(H20:H47)</f>
        <v>0</v>
      </c>
      <c r="I19" s="1871"/>
      <c r="J19" s="1872"/>
      <c r="K19" s="1873"/>
      <c r="L19" s="1119" t="str">
        <f>IF(OR(D19&lt;0,G19&lt;0),"Error - negative number",IF(G19&gt;D19,"Offices only &gt; Total Estate",IF(AND(D19&gt;0,E19=""),"Please enter CO2e factor","")))</f>
        <v/>
      </c>
      <c r="M19" s="49"/>
      <c r="N19" s="49"/>
      <c r="O19" s="1218" t="s">
        <v>33</v>
      </c>
      <c r="P19" s="1233" t="s">
        <v>34</v>
      </c>
      <c r="Q19" s="1218" t="s">
        <v>35</v>
      </c>
      <c r="R19" s="1233" t="s">
        <v>34</v>
      </c>
      <c r="S19" s="31"/>
      <c r="T19" s="49"/>
      <c r="U19" s="1234" t="s">
        <v>33</v>
      </c>
      <c r="V19" s="1235" t="s">
        <v>34</v>
      </c>
      <c r="W19" s="1234" t="s">
        <v>35</v>
      </c>
      <c r="X19" s="1235" t="s">
        <v>34</v>
      </c>
      <c r="Y19" s="49"/>
      <c r="Z19" s="49"/>
      <c r="AA19" s="49"/>
      <c r="AB19" s="49"/>
      <c r="AC19" s="49"/>
      <c r="AD19" s="49"/>
    </row>
    <row r="20" spans="1:30" ht="15" customHeight="1" thickBot="1" x14ac:dyDescent="0.35">
      <c r="A20" s="320" t="s">
        <v>372</v>
      </c>
      <c r="B20" s="1883" t="s">
        <v>36</v>
      </c>
      <c r="C20" s="649" t="s">
        <v>37</v>
      </c>
      <c r="D20" s="1039"/>
      <c r="E20" s="151">
        <f>+O20+Q20</f>
        <v>0.27729999999999999</v>
      </c>
      <c r="F20" s="349">
        <f>P20+R20</f>
        <v>0</v>
      </c>
      <c r="G20" s="1048"/>
      <c r="H20" s="561">
        <f>IF(Performance!$L$2="y",F20,E20*G20/1000)</f>
        <v>0</v>
      </c>
      <c r="I20" s="2025"/>
      <c r="J20" s="2026"/>
      <c r="K20" s="2027"/>
      <c r="L20" s="1120" t="str">
        <f t="shared" ref="L20:L47" si="0">IF(OR(D20&lt;0,G20&lt;0),"Error - negative number",IF(G20&gt;D20,"Offices only &gt; Total Estate",IF(AND(D20&gt;0,E20=""),"Please enter CO2e factor","")))</f>
        <v/>
      </c>
      <c r="M20" s="49"/>
      <c r="N20" s="49"/>
      <c r="O20" s="62">
        <f>+'Emission Factors'!K7</f>
        <v>0.25559999999999999</v>
      </c>
      <c r="P20" s="32">
        <f>(D20*O20)/1000</f>
        <v>0</v>
      </c>
      <c r="Q20" s="63">
        <f>+'Emission Factors'!K8</f>
        <v>2.1700000000000001E-2</v>
      </c>
      <c r="R20" s="32">
        <f>(D20*Q20)/1000</f>
        <v>0</v>
      </c>
      <c r="S20" s="31"/>
      <c r="T20" s="49"/>
      <c r="U20" s="64">
        <f>+O20</f>
        <v>0.25559999999999999</v>
      </c>
      <c r="V20" s="82">
        <f>IF(Performance!$L$2="y",P20,$G20*U20/1000)</f>
        <v>0</v>
      </c>
      <c r="W20" s="64">
        <f>+Q20</f>
        <v>2.1700000000000001E-2</v>
      </c>
      <c r="X20" s="33">
        <f>IF(Performance!$L$2="y",R20,$G20*W20/1000)</f>
        <v>0</v>
      </c>
      <c r="Y20" s="49"/>
      <c r="Z20" s="49"/>
      <c r="AA20" s="49"/>
      <c r="AB20" s="49"/>
      <c r="AC20" s="49"/>
      <c r="AD20" s="49"/>
    </row>
    <row r="21" spans="1:30" ht="15" customHeight="1" x14ac:dyDescent="0.3">
      <c r="A21" s="320" t="s">
        <v>372</v>
      </c>
      <c r="B21" s="1884"/>
      <c r="C21" s="649" t="s">
        <v>38</v>
      </c>
      <c r="D21" s="1039"/>
      <c r="E21" s="61">
        <f>+O21+Q21</f>
        <v>0.27729999999999999</v>
      </c>
      <c r="F21" s="349">
        <f>P21+R21</f>
        <v>0</v>
      </c>
      <c r="G21" s="1048"/>
      <c r="H21" s="1171">
        <f>IF(Performance!$L$2="y",F21,E21*G21/1000)</f>
        <v>0</v>
      </c>
      <c r="I21" s="2025"/>
      <c r="J21" s="2026"/>
      <c r="K21" s="2027"/>
      <c r="L21" s="1056" t="str">
        <f t="shared" si="0"/>
        <v/>
      </c>
      <c r="M21" s="49"/>
      <c r="N21" s="49"/>
      <c r="O21" s="62">
        <f>+O20</f>
        <v>0.25559999999999999</v>
      </c>
      <c r="P21" s="32">
        <f>(D21*O21)/1000</f>
        <v>0</v>
      </c>
      <c r="Q21" s="63">
        <f>+Q20</f>
        <v>2.1700000000000001E-2</v>
      </c>
      <c r="R21" s="32">
        <f>(D21*Q21)/1000</f>
        <v>0</v>
      </c>
      <c r="S21" s="31"/>
      <c r="T21" s="49"/>
      <c r="U21" s="65">
        <f>+O21</f>
        <v>0.25559999999999999</v>
      </c>
      <c r="V21" s="83">
        <f>IF(Performance!$L$2="y",P21,$G21*U21/1000)</f>
        <v>0</v>
      </c>
      <c r="W21" s="65">
        <f>+Q21</f>
        <v>2.1700000000000001E-2</v>
      </c>
      <c r="X21" s="34">
        <f>IF(Performance!$L$2="y",R21,$G21*W21/1000)</f>
        <v>0</v>
      </c>
      <c r="Y21" s="49"/>
      <c r="Z21" s="49"/>
      <c r="AA21" s="49"/>
      <c r="AB21" s="49"/>
      <c r="AC21" s="49"/>
      <c r="AD21" s="49"/>
    </row>
    <row r="22" spans="1:30" ht="17.25" customHeight="1" x14ac:dyDescent="0.3">
      <c r="A22" s="320" t="s">
        <v>372</v>
      </c>
      <c r="B22" s="1884"/>
      <c r="C22" s="649" t="s">
        <v>39</v>
      </c>
      <c r="D22" s="1039"/>
      <c r="E22" s="61">
        <f>+O22+Q22</f>
        <v>0.27729999999999999</v>
      </c>
      <c r="F22" s="349">
        <f>P22+R22</f>
        <v>0</v>
      </c>
      <c r="G22" s="1048"/>
      <c r="H22" s="1171">
        <f>IF(Performance!$L$2="y",F22,E22*G22/1000)</f>
        <v>0</v>
      </c>
      <c r="I22" s="2098"/>
      <c r="J22" s="2099"/>
      <c r="K22" s="2100"/>
      <c r="L22" s="1056" t="str">
        <f t="shared" si="0"/>
        <v/>
      </c>
      <c r="M22" s="49"/>
      <c r="N22" s="49"/>
      <c r="O22" s="62">
        <f>+O21</f>
        <v>0.25559999999999999</v>
      </c>
      <c r="P22" s="32">
        <f>(D22*O22)/1000</f>
        <v>0</v>
      </c>
      <c r="Q22" s="63">
        <f>+Q21</f>
        <v>2.1700000000000001E-2</v>
      </c>
      <c r="R22" s="32">
        <f>(D22*Q22)/1000</f>
        <v>0</v>
      </c>
      <c r="S22" s="31"/>
      <c r="T22" s="49"/>
      <c r="U22" s="65">
        <f>+O22</f>
        <v>0.25559999999999999</v>
      </c>
      <c r="V22" s="83">
        <f>IF(Performance!$L$2="y",P22,$G22*U22/1000)</f>
        <v>0</v>
      </c>
      <c r="W22" s="65">
        <f>+Q22</f>
        <v>2.1700000000000001E-2</v>
      </c>
      <c r="X22" s="34">
        <f>IF(Performance!$L$2="y",R22,$G22*W22/1000)</f>
        <v>0</v>
      </c>
      <c r="Y22" s="49"/>
      <c r="Z22" s="49"/>
      <c r="AA22" s="49"/>
      <c r="AB22" s="49"/>
      <c r="AC22" s="49"/>
      <c r="AD22" s="49"/>
    </row>
    <row r="23" spans="1:30" ht="17.25" customHeight="1" thickBot="1" x14ac:dyDescent="0.35">
      <c r="A23" s="320" t="s">
        <v>372</v>
      </c>
      <c r="B23" s="1884"/>
      <c r="C23" s="649" t="s">
        <v>40</v>
      </c>
      <c r="D23" s="1039"/>
      <c r="E23" s="61">
        <f>+O23+Q23</f>
        <v>0.27729999999999999</v>
      </c>
      <c r="F23" s="349">
        <f>P23+R23</f>
        <v>0</v>
      </c>
      <c r="G23" s="1048"/>
      <c r="H23" s="1171">
        <f>IF(Performance!$L$2="y",F23,E23*G23/1000)</f>
        <v>0</v>
      </c>
      <c r="I23" s="2098"/>
      <c r="J23" s="2099"/>
      <c r="K23" s="2100"/>
      <c r="L23" s="1056" t="str">
        <f t="shared" si="0"/>
        <v/>
      </c>
      <c r="M23" s="49"/>
      <c r="N23" s="49"/>
      <c r="O23" s="66">
        <f>+O22</f>
        <v>0.25559999999999999</v>
      </c>
      <c r="P23" s="35">
        <f>(D23*O23)/1000</f>
        <v>0</v>
      </c>
      <c r="Q23" s="67">
        <f>+Q22</f>
        <v>2.1700000000000001E-2</v>
      </c>
      <c r="R23" s="35">
        <f>(D23*Q23)/1000</f>
        <v>0</v>
      </c>
      <c r="S23" s="31"/>
      <c r="T23" s="49"/>
      <c r="U23" s="68">
        <f>+O23</f>
        <v>0.25559999999999999</v>
      </c>
      <c r="V23" s="84">
        <f>IF(Performance!$L$2="y",P23,$G23*U23/1000)</f>
        <v>0</v>
      </c>
      <c r="W23" s="68">
        <f>+Q23</f>
        <v>2.1700000000000001E-2</v>
      </c>
      <c r="X23" s="36">
        <f>IF(Performance!$L$2="y",R23,$G23*W23/1000)</f>
        <v>0</v>
      </c>
      <c r="Y23" s="49"/>
      <c r="Z23" s="49"/>
      <c r="AA23" s="49"/>
      <c r="AB23" s="49"/>
      <c r="AC23" s="49"/>
      <c r="AD23" s="49"/>
    </row>
    <row r="24" spans="1:30" ht="15.75" customHeight="1" thickBot="1" x14ac:dyDescent="0.35">
      <c r="A24" s="320" t="s">
        <v>370</v>
      </c>
      <c r="B24" s="1884"/>
      <c r="C24" s="37" t="s">
        <v>41</v>
      </c>
      <c r="D24" s="1039"/>
      <c r="E24" s="69">
        <f>+'Emission Factors'!K11</f>
        <v>0.18385000000000001</v>
      </c>
      <c r="F24" s="349">
        <f>(D24*E24)/1000</f>
        <v>0</v>
      </c>
      <c r="G24" s="1048"/>
      <c r="H24" s="1171">
        <f>IF(Performance!$L$2="y",F24,E24*G24/1000)</f>
        <v>0</v>
      </c>
      <c r="I24" s="2098"/>
      <c r="J24" s="2099"/>
      <c r="K24" s="2100"/>
      <c r="L24" s="1056" t="str">
        <f t="shared" si="0"/>
        <v/>
      </c>
      <c r="M24" s="49"/>
      <c r="N24" s="49"/>
      <c r="O24" s="1860" t="s">
        <v>23</v>
      </c>
      <c r="P24" s="1861"/>
      <c r="Q24" s="1861"/>
      <c r="R24" s="1862"/>
      <c r="S24" s="49"/>
      <c r="T24" s="49"/>
      <c r="U24" s="2097" t="s">
        <v>144</v>
      </c>
      <c r="V24" s="1864"/>
      <c r="W24" s="1864"/>
      <c r="X24" s="1865"/>
      <c r="Y24" s="49"/>
      <c r="Z24" s="49"/>
      <c r="AA24" s="49"/>
      <c r="AB24" s="49"/>
      <c r="AC24" s="49"/>
      <c r="AD24" s="49"/>
    </row>
    <row r="25" spans="1:30" ht="15.75" customHeight="1" thickBot="1" x14ac:dyDescent="0.35">
      <c r="A25" s="320" t="s">
        <v>370</v>
      </c>
      <c r="B25" s="1884"/>
      <c r="C25" s="37" t="s">
        <v>42</v>
      </c>
      <c r="D25" s="1039"/>
      <c r="E25" s="69">
        <f>+'Emission Factors'!K12</f>
        <v>0.25675999999999999</v>
      </c>
      <c r="F25" s="349">
        <f t="shared" ref="F25:F47" si="1">(D25*E25)/1000</f>
        <v>0</v>
      </c>
      <c r="G25" s="1048"/>
      <c r="H25" s="1171">
        <f>IF(Performance!$L$2="y",F25,E25*G25/1000)</f>
        <v>0</v>
      </c>
      <c r="I25" s="2098"/>
      <c r="J25" s="2099"/>
      <c r="K25" s="2100"/>
      <c r="L25" s="1056" t="str">
        <f t="shared" si="0"/>
        <v/>
      </c>
      <c r="M25" s="49"/>
      <c r="N25" s="49"/>
      <c r="O25" s="49"/>
      <c r="P25" s="49"/>
      <c r="Q25" s="49"/>
      <c r="R25" s="49"/>
      <c r="S25" s="49"/>
      <c r="T25" s="49"/>
      <c r="U25" s="49"/>
      <c r="V25" s="49"/>
      <c r="W25" s="49"/>
      <c r="X25" s="49"/>
      <c r="Y25" s="49"/>
      <c r="Z25" s="49"/>
      <c r="AA25" s="49"/>
      <c r="AB25" s="49"/>
      <c r="AC25" s="49"/>
      <c r="AD25" s="49"/>
    </row>
    <row r="26" spans="1:30" ht="13.5" customHeight="1" thickBot="1" x14ac:dyDescent="0.35">
      <c r="A26" s="320" t="s">
        <v>370</v>
      </c>
      <c r="B26" s="1884"/>
      <c r="C26" s="37" t="s">
        <v>43</v>
      </c>
      <c r="D26" s="1039"/>
      <c r="E26" s="69">
        <f>+'Emission Factors'!K13</f>
        <v>0.21446999999999999</v>
      </c>
      <c r="F26" s="349">
        <f t="shared" si="1"/>
        <v>0</v>
      </c>
      <c r="G26" s="1048"/>
      <c r="H26" s="1171">
        <f>IF(Performance!$L$2="y",F26,E26*G26/1000)</f>
        <v>0</v>
      </c>
      <c r="I26" s="2098"/>
      <c r="J26" s="2099"/>
      <c r="K26" s="2100"/>
      <c r="L26" s="1056" t="str">
        <f t="shared" si="0"/>
        <v/>
      </c>
      <c r="M26" s="49"/>
      <c r="N26" s="49"/>
      <c r="O26" s="2095" t="s">
        <v>44</v>
      </c>
      <c r="P26" s="2096"/>
      <c r="Q26" s="2095" t="s">
        <v>45</v>
      </c>
      <c r="R26" s="2096"/>
      <c r="S26" s="49"/>
      <c r="T26" s="49"/>
      <c r="U26" s="1869" t="s">
        <v>44</v>
      </c>
      <c r="V26" s="1870"/>
      <c r="W26" s="1869" t="s">
        <v>45</v>
      </c>
      <c r="X26" s="1870"/>
      <c r="Y26" s="49"/>
      <c r="Z26" s="49"/>
      <c r="AA26" s="49"/>
      <c r="AB26" s="49"/>
      <c r="AC26" s="49"/>
      <c r="AD26" s="49"/>
    </row>
    <row r="27" spans="1:30" ht="15.75" customHeight="1" x14ac:dyDescent="0.3">
      <c r="A27" s="320" t="s">
        <v>370</v>
      </c>
      <c r="B27" s="1884"/>
      <c r="C27" s="37" t="s">
        <v>46</v>
      </c>
      <c r="D27" s="1039"/>
      <c r="E27" s="69">
        <f>+'Emission Factors'!K14</f>
        <v>0.34472999999999998</v>
      </c>
      <c r="F27" s="349">
        <f t="shared" si="1"/>
        <v>0</v>
      </c>
      <c r="G27" s="1048"/>
      <c r="H27" s="1171">
        <f>IF(Performance!$L$2="y",F27,E27*G27/1000)</f>
        <v>0</v>
      </c>
      <c r="I27" s="2098"/>
      <c r="J27" s="2099"/>
      <c r="K27" s="2100"/>
      <c r="L27" s="1056" t="str">
        <f t="shared" si="0"/>
        <v/>
      </c>
      <c r="M27" s="49"/>
      <c r="N27" s="49"/>
      <c r="O27" s="2105" t="s">
        <v>33</v>
      </c>
      <c r="P27" s="2107" t="s">
        <v>34</v>
      </c>
      <c r="Q27" s="2105" t="s">
        <v>35</v>
      </c>
      <c r="R27" s="2107" t="s">
        <v>34</v>
      </c>
      <c r="S27" s="49"/>
      <c r="T27" s="49"/>
      <c r="U27" s="2103" t="s">
        <v>33</v>
      </c>
      <c r="V27" s="2101" t="s">
        <v>34</v>
      </c>
      <c r="W27" s="2103" t="s">
        <v>35</v>
      </c>
      <c r="X27" s="2101" t="s">
        <v>34</v>
      </c>
      <c r="Y27" s="49"/>
      <c r="Z27" s="49"/>
      <c r="AA27" s="49"/>
      <c r="AB27" s="49"/>
      <c r="AC27" s="49"/>
      <c r="AD27" s="49"/>
    </row>
    <row r="28" spans="1:30" ht="15.75" customHeight="1" thickBot="1" x14ac:dyDescent="0.35">
      <c r="A28" s="320" t="s">
        <v>370</v>
      </c>
      <c r="B28" s="1884"/>
      <c r="C28" s="37" t="s">
        <v>47</v>
      </c>
      <c r="D28" s="1039"/>
      <c r="E28" s="69">
        <f>+'Emission Factors'!K15</f>
        <v>1.5630000000000002E-2</v>
      </c>
      <c r="F28" s="349">
        <f t="shared" si="1"/>
        <v>0</v>
      </c>
      <c r="G28" s="1048"/>
      <c r="H28" s="1171">
        <f>IF(Performance!$L$2="y",F28,E28*G28/1000)</f>
        <v>0</v>
      </c>
      <c r="I28" s="2098"/>
      <c r="J28" s="2099"/>
      <c r="K28" s="2100"/>
      <c r="L28" s="1056" t="str">
        <f t="shared" si="0"/>
        <v/>
      </c>
      <c r="M28" s="49"/>
      <c r="N28" s="49"/>
      <c r="O28" s="2106"/>
      <c r="P28" s="2108"/>
      <c r="Q28" s="2106"/>
      <c r="R28" s="2108"/>
      <c r="S28" s="49"/>
      <c r="T28" s="49"/>
      <c r="U28" s="2104"/>
      <c r="V28" s="2102"/>
      <c r="W28" s="2104"/>
      <c r="X28" s="2102"/>
      <c r="Y28" s="49"/>
      <c r="Z28" s="49"/>
      <c r="AA28" s="49"/>
      <c r="AB28" s="49"/>
      <c r="AC28" s="49"/>
      <c r="AD28" s="49"/>
    </row>
    <row r="29" spans="1:30" ht="15.75" customHeight="1" thickBot="1" x14ac:dyDescent="0.35">
      <c r="A29" s="320" t="s">
        <v>372</v>
      </c>
      <c r="B29" s="1884"/>
      <c r="C29" s="649" t="s">
        <v>48</v>
      </c>
      <c r="D29" s="1039"/>
      <c r="E29" s="69">
        <f>+O29+Q29</f>
        <v>0.18532999999999999</v>
      </c>
      <c r="F29" s="349">
        <f>P29+R29</f>
        <v>0</v>
      </c>
      <c r="G29" s="1048"/>
      <c r="H29" s="1171">
        <f>IF(Performance!$L$2="y",F29,E29*G29/1000)</f>
        <v>0</v>
      </c>
      <c r="I29" s="2098"/>
      <c r="J29" s="2099"/>
      <c r="K29" s="2100"/>
      <c r="L29" s="1056" t="str">
        <f t="shared" si="0"/>
        <v/>
      </c>
      <c r="M29" s="49"/>
      <c r="N29" s="49"/>
      <c r="O29" s="70">
        <f>+'Emission Factors'!K33</f>
        <v>0.17605999999999999</v>
      </c>
      <c r="P29" s="38">
        <f>(D29*O29)/1000</f>
        <v>0</v>
      </c>
      <c r="Q29" s="71">
        <f>+'Emission Factors'!K34</f>
        <v>9.2700000000000005E-3</v>
      </c>
      <c r="R29" s="38">
        <f>(D29*Q29)/1000</f>
        <v>0</v>
      </c>
      <c r="S29" s="49"/>
      <c r="T29" s="49"/>
      <c r="U29" s="72">
        <f>+O29</f>
        <v>0.17605999999999999</v>
      </c>
      <c r="V29" s="39">
        <f>IF(Performance!$L$2="y",P29,$G29*U29/1000)</f>
        <v>0</v>
      </c>
      <c r="W29" s="73">
        <f>+Q29</f>
        <v>9.2700000000000005E-3</v>
      </c>
      <c r="X29" s="39">
        <f>IF(Performance!$L$2="y",R29,$G29*W29/1000)</f>
        <v>0</v>
      </c>
      <c r="Y29" s="49"/>
      <c r="Z29" s="49"/>
      <c r="AA29" s="49"/>
      <c r="AB29" s="49"/>
      <c r="AC29" s="49"/>
      <c r="AD29" s="49"/>
    </row>
    <row r="30" spans="1:30" ht="15.75" customHeight="1" thickBot="1" x14ac:dyDescent="0.35">
      <c r="A30" s="320" t="s">
        <v>372</v>
      </c>
      <c r="B30" s="1884"/>
      <c r="C30" s="37" t="s">
        <v>49</v>
      </c>
      <c r="D30" s="1039"/>
      <c r="E30" s="69">
        <f>+'Emission Factors'!K17</f>
        <v>0</v>
      </c>
      <c r="F30" s="349">
        <f>(D30*E30)/1000</f>
        <v>0</v>
      </c>
      <c r="G30" s="1048"/>
      <c r="H30" s="1171">
        <f>IF(Performance!$L$2="y",F30,E30*G30/1000)</f>
        <v>0</v>
      </c>
      <c r="I30" s="2098"/>
      <c r="J30" s="2099"/>
      <c r="K30" s="2100"/>
      <c r="L30" s="1056" t="str">
        <f t="shared" si="0"/>
        <v/>
      </c>
      <c r="M30" s="49"/>
      <c r="N30" s="49"/>
      <c r="O30" s="49"/>
      <c r="P30" s="49"/>
      <c r="Q30" s="49"/>
      <c r="R30" s="49"/>
      <c r="S30" s="49"/>
      <c r="T30" s="49"/>
      <c r="U30" s="49"/>
      <c r="V30" s="49"/>
      <c r="W30" s="49"/>
      <c r="X30" s="49"/>
      <c r="Y30" s="49"/>
      <c r="Z30" s="49"/>
      <c r="AA30" s="49"/>
      <c r="AB30" s="49"/>
      <c r="AC30" s="49"/>
      <c r="AD30" s="49"/>
    </row>
    <row r="31" spans="1:30" ht="23.25" customHeight="1" thickBot="1" x14ac:dyDescent="0.35">
      <c r="A31" s="320" t="s">
        <v>372</v>
      </c>
      <c r="B31" s="1884"/>
      <c r="C31" s="37" t="s">
        <v>50</v>
      </c>
      <c r="D31" s="1039"/>
      <c r="E31" s="1031"/>
      <c r="F31" s="349">
        <f t="shared" si="1"/>
        <v>0</v>
      </c>
      <c r="G31" s="1048"/>
      <c r="H31" s="1171">
        <f>IF(Performance!$L$2="y",F31,E31*G31/1000)</f>
        <v>0</v>
      </c>
      <c r="I31" s="2098"/>
      <c r="J31" s="2099"/>
      <c r="K31" s="2100"/>
      <c r="L31" s="1056" t="str">
        <f>IF(OR(D31&lt;0,G31&lt;0),"Error - negative number",IF(G31&gt;D31,"Offices only &gt; Total Estate",IF(AND(D31&gt;0,E31=""),"Please enter CO2e factor","")))</f>
        <v/>
      </c>
      <c r="M31" s="49"/>
      <c r="N31" s="49"/>
      <c r="O31" s="2095" t="s">
        <v>511</v>
      </c>
      <c r="P31" s="2096"/>
      <c r="Q31" s="2095" t="s">
        <v>512</v>
      </c>
      <c r="R31" s="2096"/>
      <c r="S31" s="49"/>
      <c r="T31" s="49"/>
      <c r="U31" s="1869" t="s">
        <v>511</v>
      </c>
      <c r="V31" s="1870"/>
      <c r="W31" s="1869" t="s">
        <v>512</v>
      </c>
      <c r="X31" s="1870"/>
      <c r="Y31" s="49"/>
      <c r="Z31" s="49"/>
      <c r="AA31" s="49"/>
      <c r="AB31" s="49"/>
      <c r="AC31" s="49"/>
      <c r="AD31" s="49"/>
    </row>
    <row r="32" spans="1:30" ht="15" customHeight="1" thickBot="1" x14ac:dyDescent="0.35">
      <c r="A32" s="320" t="s">
        <v>372</v>
      </c>
      <c r="B32" s="1884"/>
      <c r="C32" s="37" t="s">
        <v>369</v>
      </c>
      <c r="D32" s="1039"/>
      <c r="E32" s="69">
        <f>+O32+Q32</f>
        <v>0.26563604119443424</v>
      </c>
      <c r="F32" s="349">
        <f>P32+R32</f>
        <v>0</v>
      </c>
      <c r="G32" s="1048"/>
      <c r="H32" s="1171">
        <f>IF(Performance!$L$2="y",F32,E32*G32/1000)</f>
        <v>0</v>
      </c>
      <c r="I32" s="2098"/>
      <c r="J32" s="2099"/>
      <c r="K32" s="2100"/>
      <c r="L32" s="1056" t="str">
        <f t="shared" si="0"/>
        <v/>
      </c>
      <c r="M32" s="49"/>
      <c r="N32" s="49"/>
      <c r="O32" s="70">
        <f>+'Emission Factors'!K31</f>
        <v>0.26563604119443424</v>
      </c>
      <c r="P32" s="38">
        <f>(D32*O32)/1000</f>
        <v>0</v>
      </c>
      <c r="Q32" s="71">
        <f>+'Emission Factors'!K32</f>
        <v>0</v>
      </c>
      <c r="R32" s="38">
        <f>(D32*Q32)/1000</f>
        <v>0</v>
      </c>
      <c r="S32" s="49"/>
      <c r="T32" s="49"/>
      <c r="U32" s="72">
        <f>+O32</f>
        <v>0.26563604119443424</v>
      </c>
      <c r="V32" s="39">
        <f>IF(Performance!$L$2="y",P32,$G32*U32/1000)</f>
        <v>0</v>
      </c>
      <c r="W32" s="73">
        <f>+Q32</f>
        <v>0</v>
      </c>
      <c r="X32" s="39">
        <f>IF(Performance!$L$2="y",R32,$G32*W32/1000)</f>
        <v>0</v>
      </c>
      <c r="Y32" s="49"/>
      <c r="Z32" s="49"/>
      <c r="AA32" s="49"/>
      <c r="AB32" s="49"/>
      <c r="AC32" s="49"/>
      <c r="AD32" s="49"/>
    </row>
    <row r="33" spans="1:30" ht="15.75" customHeight="1" x14ac:dyDescent="0.3">
      <c r="A33" s="320" t="s">
        <v>370</v>
      </c>
      <c r="B33" s="1884"/>
      <c r="C33" s="37" t="s">
        <v>514</v>
      </c>
      <c r="D33" s="1039"/>
      <c r="E33" s="1039"/>
      <c r="F33" s="349">
        <f>(D33*E33)/1000</f>
        <v>0</v>
      </c>
      <c r="G33" s="1048"/>
      <c r="H33" s="1171">
        <f>IF(Performance!$L$2="y",F33,E33*G33/1000)</f>
        <v>0</v>
      </c>
      <c r="I33" s="1226"/>
      <c r="J33" s="2112"/>
      <c r="K33" s="1880"/>
      <c r="L33" s="1056" t="str">
        <f t="shared" si="0"/>
        <v/>
      </c>
      <c r="M33" s="49"/>
      <c r="N33" s="49"/>
      <c r="O33" s="49"/>
      <c r="P33" s="49"/>
      <c r="Q33" s="49"/>
      <c r="R33" s="49"/>
      <c r="S33" s="49"/>
      <c r="T33" s="49"/>
      <c r="U33" s="49"/>
      <c r="V33" s="49"/>
      <c r="W33" s="49"/>
      <c r="X33" s="49"/>
      <c r="Y33" s="49"/>
      <c r="Z33" s="49"/>
      <c r="AA33" s="49"/>
      <c r="AB33" s="49"/>
      <c r="AC33" s="49"/>
      <c r="AD33" s="49"/>
    </row>
    <row r="34" spans="1:30" ht="15.75" customHeight="1" x14ac:dyDescent="0.3">
      <c r="A34" s="320"/>
      <c r="B34" s="1884"/>
      <c r="C34" s="37" t="s">
        <v>515</v>
      </c>
      <c r="D34" s="1039"/>
      <c r="E34" s="1039"/>
      <c r="F34" s="349">
        <f t="shared" ref="F34:F35" si="2">(D34*E34)/1000</f>
        <v>0</v>
      </c>
      <c r="G34" s="1048"/>
      <c r="H34" s="1171">
        <f>IF(Performance!$L$2="y",F34,E34*G34/1000)</f>
        <v>0</v>
      </c>
      <c r="I34" s="1226"/>
      <c r="J34" s="1879"/>
      <c r="K34" s="1880"/>
      <c r="L34" s="1056" t="str">
        <f t="shared" si="0"/>
        <v/>
      </c>
      <c r="M34" s="49"/>
      <c r="N34" s="49"/>
      <c r="O34" s="49"/>
      <c r="P34" s="49"/>
      <c r="Q34" s="49"/>
      <c r="R34" s="49"/>
      <c r="S34" s="49"/>
      <c r="T34" s="49"/>
      <c r="U34" s="49"/>
      <c r="V34" s="49"/>
      <c r="W34" s="49"/>
      <c r="X34" s="49"/>
      <c r="Y34" s="49"/>
      <c r="Z34" s="49"/>
      <c r="AA34" s="49"/>
      <c r="AB34" s="49"/>
      <c r="AC34" s="49"/>
      <c r="AD34" s="49"/>
    </row>
    <row r="35" spans="1:30" ht="15.75" customHeight="1" thickBot="1" x14ac:dyDescent="0.35">
      <c r="A35" s="320"/>
      <c r="B35" s="1885"/>
      <c r="C35" s="649" t="s">
        <v>516</v>
      </c>
      <c r="D35" s="1039"/>
      <c r="E35" s="1039"/>
      <c r="F35" s="349">
        <f t="shared" si="2"/>
        <v>0</v>
      </c>
      <c r="G35" s="1048"/>
      <c r="H35" s="1171">
        <f>IF(Performance!$L$2="y",F35,E35*G35/1000)</f>
        <v>0</v>
      </c>
      <c r="I35" s="1227"/>
      <c r="J35" s="1896"/>
      <c r="K35" s="1897"/>
      <c r="L35" s="1056" t="str">
        <f t="shared" si="0"/>
        <v/>
      </c>
      <c r="M35" s="49"/>
      <c r="N35" s="49"/>
      <c r="O35" s="49"/>
      <c r="P35" s="49"/>
      <c r="Q35" s="49"/>
      <c r="R35" s="49"/>
      <c r="S35" s="49"/>
      <c r="T35" s="49"/>
      <c r="U35" s="49"/>
      <c r="V35" s="49"/>
      <c r="W35" s="49"/>
      <c r="X35" s="49"/>
      <c r="Y35" s="49"/>
      <c r="Z35" s="49"/>
      <c r="AA35" s="49"/>
      <c r="AB35" s="49"/>
      <c r="AC35" s="49"/>
      <c r="AD35" s="49"/>
    </row>
    <row r="36" spans="1:30" ht="15" customHeight="1" x14ac:dyDescent="0.3">
      <c r="A36" s="320" t="s">
        <v>370</v>
      </c>
      <c r="B36" s="1883" t="s">
        <v>53</v>
      </c>
      <c r="C36" s="184" t="s">
        <v>54</v>
      </c>
      <c r="D36" s="1037"/>
      <c r="E36" s="151">
        <f>+'Emission Factors'!K21</f>
        <v>0</v>
      </c>
      <c r="F36" s="356">
        <f t="shared" si="1"/>
        <v>0</v>
      </c>
      <c r="G36" s="1114"/>
      <c r="H36" s="561">
        <f>IF(Performance!$L$2="y",F36,E36*G36/1000)</f>
        <v>0</v>
      </c>
      <c r="I36" s="2025"/>
      <c r="J36" s="2026"/>
      <c r="K36" s="2027"/>
      <c r="L36" s="1121" t="str">
        <f t="shared" si="0"/>
        <v/>
      </c>
      <c r="M36" s="49"/>
      <c r="N36" s="49"/>
      <c r="O36" s="49"/>
      <c r="P36" s="49"/>
      <c r="Q36" s="49"/>
      <c r="R36" s="49"/>
      <c r="S36" s="49"/>
      <c r="T36" s="49"/>
      <c r="U36" s="49"/>
      <c r="V36" s="49"/>
      <c r="W36" s="49"/>
      <c r="X36" s="49"/>
      <c r="Y36" s="49"/>
      <c r="Z36" s="49"/>
      <c r="AA36" s="49"/>
      <c r="AB36" s="49"/>
      <c r="AC36" s="49"/>
      <c r="AD36" s="49"/>
    </row>
    <row r="37" spans="1:30" ht="15" customHeight="1" x14ac:dyDescent="0.3">
      <c r="A37" s="320" t="s">
        <v>370</v>
      </c>
      <c r="B37" s="1884"/>
      <c r="C37" s="37" t="s">
        <v>55</v>
      </c>
      <c r="D37" s="1038"/>
      <c r="E37" s="69">
        <f>+'Emission Factors'!K22</f>
        <v>0</v>
      </c>
      <c r="F37" s="85">
        <f t="shared" si="1"/>
        <v>0</v>
      </c>
      <c r="G37" s="1115"/>
      <c r="H37" s="1171">
        <f>IF(Performance!$L$2="y",F37,E37*G37/1000)</f>
        <v>0</v>
      </c>
      <c r="I37" s="2098"/>
      <c r="J37" s="2099"/>
      <c r="K37" s="2100"/>
      <c r="L37" s="1056" t="str">
        <f t="shared" si="0"/>
        <v/>
      </c>
      <c r="M37" s="49"/>
      <c r="N37" s="49"/>
      <c r="O37" s="49"/>
      <c r="P37" s="49"/>
      <c r="Q37" s="49"/>
      <c r="R37" s="49"/>
      <c r="S37" s="49"/>
      <c r="T37" s="49"/>
      <c r="U37" s="49"/>
      <c r="V37" s="49"/>
      <c r="W37" s="49"/>
      <c r="X37" s="49"/>
      <c r="Y37" s="49"/>
      <c r="Z37" s="49"/>
      <c r="AA37" s="49"/>
      <c r="AB37" s="49"/>
      <c r="AC37" s="49"/>
      <c r="AD37" s="49"/>
    </row>
    <row r="38" spans="1:30" ht="15" customHeight="1" x14ac:dyDescent="0.3">
      <c r="A38" s="320" t="s">
        <v>370</v>
      </c>
      <c r="B38" s="1884"/>
      <c r="C38" s="37" t="s">
        <v>56</v>
      </c>
      <c r="D38" s="1038"/>
      <c r="E38" s="69">
        <f>+'Emission Factors'!K23</f>
        <v>0</v>
      </c>
      <c r="F38" s="85">
        <f t="shared" si="1"/>
        <v>0</v>
      </c>
      <c r="G38" s="1115"/>
      <c r="H38" s="1171">
        <f>IF(Performance!$L$2="y",F38,E38*G38/1000)</f>
        <v>0</v>
      </c>
      <c r="I38" s="2098"/>
      <c r="J38" s="2099"/>
      <c r="K38" s="2100"/>
      <c r="L38" s="1056" t="str">
        <f t="shared" si="0"/>
        <v/>
      </c>
      <c r="M38" s="49"/>
      <c r="N38" s="49"/>
      <c r="O38" s="49"/>
      <c r="P38" s="49"/>
      <c r="Q38" s="49"/>
      <c r="R38" s="49"/>
      <c r="S38" s="49"/>
      <c r="T38" s="49"/>
      <c r="U38" s="49"/>
      <c r="V38" s="49"/>
      <c r="W38" s="49"/>
      <c r="X38" s="49"/>
      <c r="Y38" s="49"/>
      <c r="Z38" s="49"/>
      <c r="AA38" s="49"/>
      <c r="AB38" s="49"/>
      <c r="AC38" s="49"/>
      <c r="AD38" s="49"/>
    </row>
    <row r="39" spans="1:30" ht="15" customHeight="1" x14ac:dyDescent="0.3">
      <c r="A39" s="320" t="s">
        <v>370</v>
      </c>
      <c r="B39" s="1884"/>
      <c r="C39" s="37" t="s">
        <v>410</v>
      </c>
      <c r="D39" s="1038"/>
      <c r="E39" s="74"/>
      <c r="F39" s="85">
        <f t="shared" si="1"/>
        <v>0</v>
      </c>
      <c r="G39" s="1115"/>
      <c r="H39" s="1171">
        <f>IF(Performance!$L$2="y",F39,E39*G39/1000)</f>
        <v>0</v>
      </c>
      <c r="I39" s="2098"/>
      <c r="J39" s="2099"/>
      <c r="K39" s="2100"/>
      <c r="L39" s="1056" t="str">
        <f t="shared" si="0"/>
        <v/>
      </c>
      <c r="M39" s="49"/>
      <c r="N39" s="49"/>
      <c r="O39" s="49"/>
      <c r="P39" s="49"/>
      <c r="Q39" s="49"/>
      <c r="R39" s="49"/>
      <c r="S39" s="49"/>
      <c r="T39" s="49"/>
      <c r="U39" s="49"/>
      <c r="V39" s="49"/>
      <c r="W39" s="49"/>
      <c r="X39" s="49"/>
      <c r="Y39" s="49"/>
      <c r="Z39" s="49"/>
      <c r="AA39" s="49"/>
      <c r="AB39" s="49"/>
      <c r="AC39" s="49"/>
      <c r="AD39" s="49"/>
    </row>
    <row r="40" spans="1:30" ht="15" customHeight="1" x14ac:dyDescent="0.3">
      <c r="A40" s="320"/>
      <c r="B40" s="1884"/>
      <c r="C40" s="37" t="s">
        <v>411</v>
      </c>
      <c r="D40" s="1038"/>
      <c r="E40" s="74"/>
      <c r="F40" s="85">
        <f t="shared" si="1"/>
        <v>0</v>
      </c>
      <c r="G40" s="1115"/>
      <c r="H40" s="1171">
        <f>IF(Performance!$L$2="y",F40,E40*G40/1000)</f>
        <v>0</v>
      </c>
      <c r="I40" s="2098"/>
      <c r="J40" s="2099"/>
      <c r="K40" s="2100"/>
      <c r="L40" s="1056"/>
      <c r="M40" s="49"/>
      <c r="N40" s="49"/>
      <c r="O40" s="49"/>
      <c r="P40" s="49"/>
      <c r="Q40" s="49"/>
      <c r="R40" s="49"/>
      <c r="S40" s="49"/>
      <c r="T40" s="49"/>
      <c r="U40" s="49"/>
      <c r="V40" s="49"/>
      <c r="W40" s="49"/>
      <c r="X40" s="49"/>
      <c r="Y40" s="49"/>
      <c r="Z40" s="49"/>
      <c r="AA40" s="49"/>
      <c r="AB40" s="49"/>
      <c r="AC40" s="49"/>
      <c r="AD40" s="49"/>
    </row>
    <row r="41" spans="1:30" ht="15" customHeight="1" x14ac:dyDescent="0.3">
      <c r="A41" s="320"/>
      <c r="B41" s="1884"/>
      <c r="C41" s="37" t="s">
        <v>412</v>
      </c>
      <c r="D41" s="1038"/>
      <c r="E41" s="74"/>
      <c r="F41" s="85">
        <f t="shared" si="1"/>
        <v>0</v>
      </c>
      <c r="G41" s="1115"/>
      <c r="H41" s="1171">
        <f>IF(Performance!$L$2="y",F41,E41*G41/1000)</f>
        <v>0</v>
      </c>
      <c r="I41" s="2098"/>
      <c r="J41" s="2099"/>
      <c r="K41" s="2100"/>
      <c r="L41" s="1056"/>
      <c r="M41" s="49"/>
      <c r="N41" s="49"/>
      <c r="O41" s="49"/>
      <c r="P41" s="49"/>
      <c r="Q41" s="49"/>
      <c r="R41" s="49"/>
      <c r="S41" s="49"/>
      <c r="T41" s="49"/>
      <c r="U41" s="49"/>
      <c r="V41" s="49"/>
      <c r="W41" s="49"/>
      <c r="X41" s="49"/>
      <c r="Y41" s="49"/>
      <c r="Z41" s="49"/>
      <c r="AA41" s="49"/>
      <c r="AB41" s="49"/>
      <c r="AC41" s="49"/>
      <c r="AD41" s="49"/>
    </row>
    <row r="42" spans="1:30" ht="15" customHeight="1" x14ac:dyDescent="0.3">
      <c r="A42" s="320" t="s">
        <v>370</v>
      </c>
      <c r="B42" s="1884"/>
      <c r="C42" s="357" t="s">
        <v>57</v>
      </c>
      <c r="D42" s="40">
        <f>+CHP!AU22</f>
        <v>0</v>
      </c>
      <c r="E42" s="69">
        <f>+CHP!AY17</f>
        <v>0</v>
      </c>
      <c r="F42" s="85">
        <f>(D42*E42)/1000</f>
        <v>0</v>
      </c>
      <c r="G42" s="1115"/>
      <c r="H42" s="652">
        <f>IF(Performance!$L$2="y",F42,E42*G42/1000)</f>
        <v>0</v>
      </c>
      <c r="I42" s="2098"/>
      <c r="J42" s="2099"/>
      <c r="K42" s="2100"/>
      <c r="L42" s="1056" t="str">
        <f t="shared" si="0"/>
        <v/>
      </c>
      <c r="M42" s="49"/>
      <c r="N42" s="49"/>
      <c r="O42" s="49"/>
      <c r="P42" s="49"/>
      <c r="Q42" s="49"/>
      <c r="R42" s="49"/>
      <c r="S42" s="49"/>
      <c r="T42" s="49"/>
      <c r="U42" s="49"/>
      <c r="V42" s="49"/>
      <c r="W42" s="49"/>
      <c r="X42" s="49"/>
      <c r="Y42" s="49"/>
      <c r="Z42" s="49"/>
      <c r="AA42" s="49"/>
      <c r="AB42" s="49"/>
      <c r="AC42" s="49"/>
      <c r="AD42" s="49"/>
    </row>
    <row r="43" spans="1:30" ht="15" customHeight="1" x14ac:dyDescent="0.3">
      <c r="A43" s="320" t="s">
        <v>370</v>
      </c>
      <c r="B43" s="1884"/>
      <c r="C43" s="357" t="s">
        <v>58</v>
      </c>
      <c r="D43" s="40">
        <f>+CHP!AU23</f>
        <v>0</v>
      </c>
      <c r="E43" s="69">
        <f>+CHP!AY18</f>
        <v>0</v>
      </c>
      <c r="F43" s="85">
        <f t="shared" si="1"/>
        <v>0</v>
      </c>
      <c r="G43" s="1115"/>
      <c r="H43" s="652">
        <f>IF(Performance!$L$2="y",F43,E43*G43/1000)</f>
        <v>0</v>
      </c>
      <c r="I43" s="2098"/>
      <c r="J43" s="2099"/>
      <c r="K43" s="2100"/>
      <c r="L43" s="1056" t="str">
        <f t="shared" si="0"/>
        <v/>
      </c>
      <c r="M43" s="49"/>
      <c r="N43" s="49"/>
      <c r="O43" s="49"/>
      <c r="P43" s="49"/>
      <c r="Q43" s="49"/>
      <c r="R43" s="49"/>
      <c r="S43" s="49"/>
      <c r="T43" s="49"/>
      <c r="U43" s="49"/>
      <c r="V43" s="49"/>
      <c r="W43" s="49"/>
      <c r="X43" s="49"/>
      <c r="Y43" s="49"/>
      <c r="Z43" s="49"/>
      <c r="AA43" s="49"/>
      <c r="AB43" s="49"/>
      <c r="AC43" s="49"/>
      <c r="AD43" s="49"/>
    </row>
    <row r="44" spans="1:30" ht="15" customHeight="1" x14ac:dyDescent="0.3">
      <c r="A44" s="320" t="s">
        <v>370</v>
      </c>
      <c r="B44" s="1884"/>
      <c r="C44" s="357" t="s">
        <v>59</v>
      </c>
      <c r="D44" s="40">
        <f>+CHP!AU49</f>
        <v>0</v>
      </c>
      <c r="E44" s="69">
        <f>+CHP!AY44</f>
        <v>0</v>
      </c>
      <c r="F44" s="85">
        <f t="shared" si="1"/>
        <v>0</v>
      </c>
      <c r="G44" s="1115"/>
      <c r="H44" s="652">
        <f>IF(Performance!$L$2="y",F44,E44*G44/1000)</f>
        <v>0</v>
      </c>
      <c r="I44" s="2098"/>
      <c r="J44" s="2099"/>
      <c r="K44" s="2100"/>
      <c r="L44" s="1056" t="str">
        <f t="shared" si="0"/>
        <v/>
      </c>
      <c r="M44" s="49"/>
      <c r="N44" s="49"/>
      <c r="O44" s="49"/>
      <c r="P44" s="49"/>
      <c r="Q44" s="49"/>
      <c r="R44" s="49"/>
      <c r="S44" s="49"/>
      <c r="T44" s="49"/>
      <c r="U44" s="49"/>
      <c r="V44" s="49"/>
      <c r="W44" s="49"/>
      <c r="X44" s="49"/>
      <c r="Y44" s="49"/>
      <c r="Z44" s="49"/>
      <c r="AA44" s="49"/>
      <c r="AB44" s="49"/>
      <c r="AC44" s="49"/>
      <c r="AD44" s="49"/>
    </row>
    <row r="45" spans="1:30" ht="15" customHeight="1" x14ac:dyDescent="0.3">
      <c r="A45" s="320" t="s">
        <v>370</v>
      </c>
      <c r="B45" s="1884"/>
      <c r="C45" s="357" t="s">
        <v>60</v>
      </c>
      <c r="D45" s="40">
        <f>+CHP!AU50</f>
        <v>0</v>
      </c>
      <c r="E45" s="69">
        <f>+CHP!AY45</f>
        <v>0</v>
      </c>
      <c r="F45" s="85">
        <f t="shared" si="1"/>
        <v>0</v>
      </c>
      <c r="G45" s="1115"/>
      <c r="H45" s="652">
        <f>IF(Performance!$L$2="y",F45,E45*G45/1000)</f>
        <v>0</v>
      </c>
      <c r="I45" s="2098"/>
      <c r="J45" s="2099"/>
      <c r="K45" s="2100"/>
      <c r="L45" s="1056" t="str">
        <f t="shared" si="0"/>
        <v/>
      </c>
      <c r="M45" s="49"/>
      <c r="N45" s="49"/>
      <c r="O45" s="49"/>
      <c r="P45" s="49"/>
      <c r="Q45" s="49"/>
      <c r="R45" s="49"/>
      <c r="S45" s="49"/>
      <c r="T45" s="49"/>
      <c r="U45" s="49"/>
      <c r="V45" s="49"/>
      <c r="W45" s="49"/>
      <c r="X45" s="49"/>
      <c r="Y45" s="49"/>
      <c r="Z45" s="49"/>
      <c r="AA45" s="49"/>
      <c r="AB45" s="49"/>
      <c r="AC45" s="49"/>
      <c r="AD45" s="49"/>
    </row>
    <row r="46" spans="1:30" ht="15" customHeight="1" x14ac:dyDescent="0.3">
      <c r="A46" s="320" t="s">
        <v>370</v>
      </c>
      <c r="B46" s="1884"/>
      <c r="C46" s="357" t="s">
        <v>61</v>
      </c>
      <c r="D46" s="40">
        <f>+CHP!AU76</f>
        <v>0</v>
      </c>
      <c r="E46" s="69">
        <f>+CHP!AY71</f>
        <v>0</v>
      </c>
      <c r="F46" s="85">
        <f t="shared" si="1"/>
        <v>0</v>
      </c>
      <c r="G46" s="1115"/>
      <c r="H46" s="652">
        <f>IF(Performance!$L$2="y",F46,E46*G46/1000)</f>
        <v>0</v>
      </c>
      <c r="I46" s="2098"/>
      <c r="J46" s="2099"/>
      <c r="K46" s="2100"/>
      <c r="L46" s="1056" t="str">
        <f t="shared" si="0"/>
        <v/>
      </c>
      <c r="M46" s="49"/>
      <c r="N46" s="49"/>
      <c r="O46" s="49"/>
      <c r="P46" s="49"/>
      <c r="Q46" s="49"/>
      <c r="R46" s="49"/>
      <c r="S46" s="49"/>
      <c r="T46" s="49"/>
      <c r="U46" s="49"/>
      <c r="V46" s="49"/>
      <c r="W46" s="49"/>
      <c r="X46" s="49"/>
      <c r="Y46" s="49"/>
      <c r="Z46" s="49"/>
      <c r="AA46" s="49"/>
      <c r="AB46" s="49"/>
      <c r="AC46" s="49"/>
      <c r="AD46" s="49"/>
    </row>
    <row r="47" spans="1:30" ht="15.75" customHeight="1" thickBot="1" x14ac:dyDescent="0.35">
      <c r="A47" s="320" t="s">
        <v>370</v>
      </c>
      <c r="B47" s="1885"/>
      <c r="C47" s="358" t="s">
        <v>62</v>
      </c>
      <c r="D47" s="190">
        <f>+CHP!AU77</f>
        <v>0</v>
      </c>
      <c r="E47" s="172">
        <f>+CHP!AY72</f>
        <v>0</v>
      </c>
      <c r="F47" s="86">
        <f t="shared" si="1"/>
        <v>0</v>
      </c>
      <c r="G47" s="1116"/>
      <c r="H47" s="355">
        <f>IF(Performance!$L$2="y",F47,E47*G47/1000)</f>
        <v>0</v>
      </c>
      <c r="I47" s="2113"/>
      <c r="J47" s="2114"/>
      <c r="K47" s="2115"/>
      <c r="L47" s="1122" t="str">
        <f t="shared" si="0"/>
        <v/>
      </c>
      <c r="M47" s="49"/>
      <c r="N47" s="49"/>
      <c r="O47" s="49"/>
      <c r="P47" s="49"/>
      <c r="Q47" s="49"/>
      <c r="R47" s="49"/>
      <c r="S47" s="49"/>
      <c r="T47" s="49"/>
      <c r="U47" s="49"/>
      <c r="V47" s="49"/>
      <c r="W47" s="49"/>
      <c r="X47" s="49"/>
      <c r="Y47" s="49"/>
      <c r="Z47" s="49"/>
      <c r="AA47" s="49"/>
      <c r="AB47" s="49"/>
      <c r="AC47" s="49"/>
      <c r="AD47" s="49"/>
    </row>
    <row r="48" spans="1:30" x14ac:dyDescent="0.3">
      <c r="A48" s="320"/>
      <c r="B48" s="49" t="s">
        <v>63</v>
      </c>
      <c r="C48" s="337"/>
      <c r="D48" s="337"/>
      <c r="E48" s="337"/>
      <c r="F48" s="337"/>
      <c r="G48" s="337"/>
      <c r="H48" s="337"/>
      <c r="I48" s="337"/>
      <c r="J48" s="337"/>
      <c r="K48" s="337"/>
      <c r="L48" s="49"/>
      <c r="M48" s="49"/>
      <c r="N48" s="49"/>
      <c r="O48" s="49"/>
      <c r="P48" s="49"/>
      <c r="Q48" s="49"/>
      <c r="R48" s="49"/>
      <c r="S48" s="49"/>
      <c r="T48" s="49"/>
      <c r="U48" s="49"/>
      <c r="V48" s="49"/>
      <c r="W48" s="49"/>
      <c r="X48" s="49"/>
      <c r="Y48" s="49"/>
      <c r="Z48" s="49"/>
      <c r="AA48" s="49"/>
      <c r="AB48" s="49"/>
      <c r="AC48" s="49"/>
      <c r="AD48" s="49"/>
    </row>
    <row r="49" spans="1:30" s="594" customFormat="1" ht="23.4" x14ac:dyDescent="0.3">
      <c r="A49" s="1210" t="s">
        <v>506</v>
      </c>
      <c r="B49" s="475" t="s">
        <v>65</v>
      </c>
      <c r="C49" s="476"/>
      <c r="D49" s="2090" t="str">
        <f>+$A$1</f>
        <v>Quarter 4 - 2019-2020</v>
      </c>
      <c r="E49" s="2090"/>
      <c r="F49" s="2090"/>
      <c r="G49" s="2090"/>
      <c r="H49" s="2090"/>
      <c r="I49" s="2090"/>
      <c r="J49" s="2090"/>
      <c r="K49" s="477"/>
      <c r="L49" s="477"/>
      <c r="M49" s="477"/>
      <c r="N49" s="477"/>
      <c r="O49" s="477"/>
      <c r="P49" s="477"/>
      <c r="Q49" s="477"/>
      <c r="R49" s="477"/>
      <c r="S49" s="477"/>
      <c r="T49" s="477"/>
      <c r="U49" s="477"/>
      <c r="V49" s="477"/>
      <c r="W49" s="477"/>
      <c r="X49" s="477"/>
      <c r="Y49" s="478"/>
      <c r="Z49" s="478"/>
      <c r="AA49" s="478"/>
      <c r="AB49" s="478"/>
      <c r="AC49" s="478"/>
      <c r="AD49" s="478"/>
    </row>
    <row r="50" spans="1:30" ht="14.4" thickBot="1" x14ac:dyDescent="0.35">
      <c r="A50" s="320"/>
      <c r="B50" s="43" t="s">
        <v>66</v>
      </c>
      <c r="C50" s="359"/>
      <c r="D50" s="337"/>
      <c r="E50" s="337"/>
      <c r="F50" s="337"/>
      <c r="G50" s="337"/>
      <c r="H50" s="337"/>
      <c r="I50" s="337"/>
      <c r="J50" s="337"/>
      <c r="K50" s="337"/>
      <c r="L50" s="49"/>
      <c r="M50" s="49"/>
      <c r="N50" s="49"/>
      <c r="O50" s="49"/>
      <c r="P50" s="49"/>
      <c r="Q50" s="49"/>
      <c r="R50" s="49"/>
      <c r="S50" s="49"/>
      <c r="T50" s="49"/>
      <c r="U50" s="49"/>
      <c r="V50" s="49"/>
      <c r="W50" s="49"/>
      <c r="X50" s="49"/>
      <c r="Y50" s="49"/>
      <c r="Z50" s="49"/>
      <c r="AA50" s="49"/>
      <c r="AB50" s="49"/>
      <c r="AC50" s="49"/>
      <c r="AD50" s="49"/>
    </row>
    <row r="51" spans="1:30" ht="30" customHeight="1" thickBot="1" x14ac:dyDescent="0.35">
      <c r="A51" s="320"/>
      <c r="B51" s="49"/>
      <c r="C51" s="49"/>
      <c r="D51" s="1898" t="s">
        <v>23</v>
      </c>
      <c r="E51" s="1899"/>
      <c r="F51" s="1900"/>
      <c r="G51" s="1901" t="s">
        <v>144</v>
      </c>
      <c r="H51" s="1902"/>
      <c r="I51" s="1903" t="s">
        <v>24</v>
      </c>
      <c r="J51" s="1904"/>
      <c r="K51" s="1905"/>
      <c r="L51" s="1909" t="s">
        <v>461</v>
      </c>
      <c r="M51" s="49"/>
      <c r="N51" s="49"/>
      <c r="O51" s="49"/>
      <c r="P51" s="49"/>
      <c r="Q51" s="49"/>
      <c r="R51" s="49"/>
      <c r="S51" s="49"/>
      <c r="T51" s="49"/>
      <c r="U51" s="49"/>
      <c r="V51" s="49"/>
      <c r="W51" s="49"/>
      <c r="X51" s="49"/>
      <c r="Y51" s="49"/>
      <c r="Z51" s="49"/>
      <c r="AA51" s="49"/>
      <c r="AB51" s="49"/>
      <c r="AC51" s="49"/>
      <c r="AD51" s="49"/>
    </row>
    <row r="52" spans="1:30" ht="39" customHeight="1" thickBot="1" x14ac:dyDescent="0.35">
      <c r="A52" s="320"/>
      <c r="B52" s="360"/>
      <c r="C52" s="359"/>
      <c r="D52" s="51" t="s">
        <v>67</v>
      </c>
      <c r="E52" s="41" t="s">
        <v>68</v>
      </c>
      <c r="F52" s="361" t="s">
        <v>28</v>
      </c>
      <c r="G52" s="433" t="s">
        <v>67</v>
      </c>
      <c r="H52" s="433" t="s">
        <v>28</v>
      </c>
      <c r="I52" s="1906"/>
      <c r="J52" s="1907"/>
      <c r="K52" s="1908"/>
      <c r="L52" s="1911"/>
      <c r="M52" s="49"/>
      <c r="N52" s="49"/>
      <c r="O52" s="49"/>
      <c r="P52" s="49"/>
      <c r="Q52" s="49"/>
      <c r="R52" s="49"/>
      <c r="S52" s="49"/>
      <c r="T52" s="49"/>
      <c r="U52" s="49"/>
      <c r="V52" s="49"/>
      <c r="W52" s="49"/>
      <c r="X52" s="49"/>
      <c r="Y52" s="49"/>
      <c r="Z52" s="49"/>
      <c r="AA52" s="49"/>
      <c r="AB52" s="49"/>
      <c r="AC52" s="49"/>
      <c r="AD52" s="49"/>
    </row>
    <row r="53" spans="1:30" ht="13.5" customHeight="1" thickBot="1" x14ac:dyDescent="0.35">
      <c r="A53" s="320" t="s">
        <v>370</v>
      </c>
      <c r="B53" s="1924" t="s">
        <v>69</v>
      </c>
      <c r="C53" s="1925"/>
      <c r="D53" s="1049"/>
      <c r="E53" s="1035"/>
      <c r="F53" s="42">
        <f>D53/1000</f>
        <v>0</v>
      </c>
      <c r="G53" s="1108"/>
      <c r="H53" s="651">
        <f>IF(Performance!L2="y",F53,G53/1000)</f>
        <v>0</v>
      </c>
      <c r="I53" s="1926"/>
      <c r="J53" s="1927"/>
      <c r="K53" s="1928"/>
      <c r="L53" s="1119" t="str">
        <f>IF(OR(D53&lt;0,G53&lt;0),"Error - negative number",IF(G53&gt;D53,"Offices only &gt; Total Estate",IF(AND(D53&gt;0,E53=""),"Please enter method used","")))</f>
        <v/>
      </c>
      <c r="M53" s="49"/>
      <c r="N53" s="49"/>
      <c r="O53" s="49"/>
      <c r="P53" s="49"/>
      <c r="Q53" s="49"/>
      <c r="R53" s="49"/>
      <c r="S53" s="49"/>
      <c r="T53" s="49"/>
      <c r="U53" s="49"/>
      <c r="V53" s="49"/>
      <c r="W53" s="49"/>
      <c r="X53" s="49"/>
      <c r="Y53" s="49"/>
      <c r="Z53" s="49"/>
      <c r="AA53" s="49"/>
      <c r="AB53" s="49"/>
      <c r="AC53" s="49"/>
      <c r="AD53" s="49"/>
    </row>
    <row r="54" spans="1:30" x14ac:dyDescent="0.3">
      <c r="A54" s="365"/>
      <c r="B54" s="337"/>
      <c r="C54" s="337"/>
      <c r="D54" s="337"/>
      <c r="E54" s="337"/>
      <c r="F54" s="366"/>
      <c r="G54" s="337"/>
      <c r="H54" s="337"/>
      <c r="I54" s="337"/>
      <c r="J54" s="337"/>
      <c r="K54" s="337"/>
      <c r="L54" s="49"/>
      <c r="M54" s="49"/>
      <c r="N54" s="49"/>
      <c r="O54" s="49"/>
      <c r="P54" s="49"/>
      <c r="Q54" s="49"/>
      <c r="R54" s="49"/>
      <c r="S54" s="49"/>
      <c r="T54" s="49"/>
      <c r="U54" s="49"/>
      <c r="V54" s="49"/>
      <c r="W54" s="49"/>
      <c r="X54" s="49"/>
      <c r="Y54" s="49"/>
      <c r="Z54" s="49"/>
      <c r="AA54" s="49"/>
      <c r="AB54" s="49"/>
      <c r="AC54" s="49"/>
      <c r="AD54" s="49"/>
    </row>
    <row r="55" spans="1:30" s="594" customFormat="1" ht="23.4" x14ac:dyDescent="0.3">
      <c r="A55" s="1210" t="s">
        <v>507</v>
      </c>
      <c r="B55" s="475" t="s">
        <v>71</v>
      </c>
      <c r="C55" s="476"/>
      <c r="D55" s="2090" t="str">
        <f>+$A$1</f>
        <v>Quarter 4 - 2019-2020</v>
      </c>
      <c r="E55" s="2090"/>
      <c r="F55" s="2090"/>
      <c r="G55" s="2090"/>
      <c r="H55" s="2090"/>
      <c r="I55" s="2090"/>
      <c r="J55" s="2090"/>
      <c r="K55" s="477"/>
      <c r="L55" s="477"/>
      <c r="M55" s="477"/>
      <c r="N55" s="477"/>
      <c r="O55" s="477"/>
      <c r="P55" s="477"/>
      <c r="Q55" s="477"/>
      <c r="R55" s="477"/>
      <c r="S55" s="477"/>
      <c r="T55" s="477"/>
      <c r="U55" s="477"/>
      <c r="V55" s="477"/>
      <c r="W55" s="477"/>
      <c r="X55" s="477"/>
      <c r="Y55" s="478"/>
      <c r="Z55" s="478"/>
      <c r="AA55" s="478"/>
      <c r="AB55" s="478"/>
      <c r="AC55" s="478"/>
      <c r="AD55" s="478"/>
    </row>
    <row r="56" spans="1:30" x14ac:dyDescent="0.3">
      <c r="A56" s="320"/>
      <c r="B56" s="43" t="s">
        <v>72</v>
      </c>
      <c r="C56" s="359"/>
      <c r="D56" s="337"/>
      <c r="E56" s="337"/>
      <c r="F56" s="337"/>
      <c r="G56" s="337"/>
      <c r="H56" s="337"/>
      <c r="I56" s="337"/>
      <c r="J56" s="337"/>
      <c r="K56" s="337"/>
      <c r="L56" s="49"/>
      <c r="M56" s="49"/>
      <c r="N56" s="49"/>
      <c r="O56" s="49"/>
      <c r="P56" s="49"/>
      <c r="Q56" s="49"/>
      <c r="R56" s="49"/>
      <c r="S56" s="49"/>
      <c r="T56" s="49"/>
      <c r="U56" s="49"/>
      <c r="V56" s="49"/>
      <c r="W56" s="49"/>
      <c r="X56" s="49"/>
      <c r="Y56" s="49"/>
      <c r="Z56" s="49"/>
      <c r="AA56" s="49"/>
      <c r="AB56" s="49"/>
      <c r="AC56" s="49"/>
      <c r="AD56" s="49"/>
    </row>
    <row r="57" spans="1:30" x14ac:dyDescent="0.3">
      <c r="A57" s="320"/>
      <c r="B57" s="43" t="s">
        <v>73</v>
      </c>
      <c r="C57" s="359"/>
      <c r="D57" s="337"/>
      <c r="E57" s="337"/>
      <c r="F57" s="337"/>
      <c r="G57" s="337"/>
      <c r="H57" s="337"/>
      <c r="I57" s="337"/>
      <c r="J57" s="337"/>
      <c r="K57" s="337"/>
      <c r="L57" s="49"/>
      <c r="M57" s="49"/>
      <c r="N57" s="49"/>
      <c r="O57" s="49"/>
      <c r="P57" s="49"/>
      <c r="Q57" s="49"/>
      <c r="R57" s="49"/>
      <c r="S57" s="49"/>
      <c r="T57" s="49"/>
      <c r="U57" s="49"/>
      <c r="V57" s="49"/>
      <c r="W57" s="49"/>
      <c r="X57" s="49"/>
      <c r="Y57" s="49"/>
      <c r="Z57" s="49"/>
      <c r="AA57" s="49"/>
      <c r="AB57" s="49"/>
      <c r="AC57" s="49"/>
      <c r="AD57" s="49"/>
    </row>
    <row r="58" spans="1:30" x14ac:dyDescent="0.3">
      <c r="A58" s="320"/>
      <c r="B58" s="43" t="s">
        <v>528</v>
      </c>
      <c r="C58" s="359"/>
      <c r="D58" s="337"/>
      <c r="E58" s="337"/>
      <c r="F58" s="337"/>
      <c r="G58" s="337"/>
      <c r="H58" s="337"/>
      <c r="I58" s="337"/>
      <c r="J58" s="337"/>
      <c r="K58" s="337"/>
      <c r="L58" s="49"/>
      <c r="M58" s="49"/>
      <c r="N58" s="49"/>
      <c r="O58" s="49"/>
      <c r="P58" s="49"/>
      <c r="Q58" s="49"/>
      <c r="R58" s="49"/>
      <c r="S58" s="49"/>
      <c r="T58" s="49"/>
      <c r="U58" s="49"/>
      <c r="V58" s="49"/>
      <c r="W58" s="49"/>
      <c r="X58" s="49"/>
      <c r="Y58" s="49"/>
      <c r="Z58" s="49"/>
      <c r="AA58" s="49"/>
      <c r="AB58" s="49"/>
      <c r="AC58" s="49"/>
      <c r="AD58" s="49"/>
    </row>
    <row r="59" spans="1:30" x14ac:dyDescent="0.3">
      <c r="A59" s="320"/>
      <c r="B59" s="43" t="s">
        <v>76</v>
      </c>
      <c r="C59" s="359"/>
      <c r="D59" s="337"/>
      <c r="E59" s="337"/>
      <c r="F59" s="337"/>
      <c r="G59" s="337"/>
      <c r="H59" s="337"/>
      <c r="I59" s="337"/>
      <c r="J59" s="337"/>
      <c r="K59" s="337"/>
      <c r="L59" s="49"/>
      <c r="M59" s="49"/>
      <c r="N59" s="49"/>
      <c r="O59" s="49"/>
      <c r="P59" s="49"/>
      <c r="Q59" s="49"/>
      <c r="R59" s="49"/>
      <c r="S59" s="49"/>
      <c r="T59" s="49"/>
      <c r="U59" s="49"/>
      <c r="V59" s="49"/>
      <c r="W59" s="49"/>
      <c r="X59" s="49"/>
      <c r="Y59" s="49"/>
      <c r="Z59" s="49"/>
      <c r="AA59" s="49"/>
      <c r="AB59" s="49"/>
      <c r="AC59" s="49"/>
      <c r="AD59" s="49"/>
    </row>
    <row r="60" spans="1:30" ht="13.5" customHeight="1" x14ac:dyDescent="0.3">
      <c r="A60" s="320"/>
      <c r="B60" s="143" t="s">
        <v>363</v>
      </c>
      <c r="C60" s="359"/>
      <c r="D60" s="337"/>
      <c r="E60" s="337"/>
      <c r="F60" s="337"/>
      <c r="G60" s="337"/>
      <c r="H60" s="337"/>
      <c r="I60" s="337"/>
      <c r="J60" s="337"/>
      <c r="K60" s="337"/>
      <c r="L60" s="49"/>
      <c r="M60" s="49"/>
      <c r="N60" s="49"/>
      <c r="O60" s="49"/>
      <c r="P60" s="49"/>
      <c r="Q60" s="49"/>
      <c r="R60" s="49"/>
      <c r="S60" s="49"/>
      <c r="T60" s="49"/>
      <c r="U60" s="49"/>
      <c r="V60" s="49"/>
      <c r="W60" s="49"/>
      <c r="X60" s="49"/>
      <c r="Y60" s="49"/>
      <c r="Z60" s="49"/>
      <c r="AA60" s="49"/>
      <c r="AB60" s="49"/>
      <c r="AC60" s="49"/>
      <c r="AD60" s="49"/>
    </row>
    <row r="61" spans="1:30" ht="15.75" customHeight="1" thickBot="1" x14ac:dyDescent="0.35">
      <c r="A61" s="320" t="s">
        <v>370</v>
      </c>
      <c r="B61" s="43"/>
      <c r="C61" s="359"/>
      <c r="D61" s="337"/>
      <c r="E61" s="337"/>
      <c r="F61" s="367"/>
      <c r="G61" s="337"/>
      <c r="H61" s="337"/>
      <c r="I61" s="337"/>
      <c r="J61" s="337"/>
      <c r="K61" s="49"/>
      <c r="L61" s="49"/>
      <c r="M61" s="49"/>
      <c r="N61" s="49"/>
      <c r="O61" s="49"/>
      <c r="P61" s="49"/>
      <c r="Q61" s="49"/>
      <c r="R61" s="49"/>
      <c r="S61" s="49"/>
      <c r="T61" s="49"/>
      <c r="U61" s="49"/>
      <c r="V61" s="49"/>
      <c r="W61" s="49"/>
      <c r="X61" s="49"/>
      <c r="Y61" s="49"/>
      <c r="Z61" s="49"/>
      <c r="AA61" s="49"/>
      <c r="AB61" s="49"/>
      <c r="AC61" s="49"/>
      <c r="AD61" s="49"/>
    </row>
    <row r="62" spans="1:30" ht="26.25" customHeight="1" thickBot="1" x14ac:dyDescent="0.35">
      <c r="A62" s="320"/>
      <c r="B62" s="1929" t="s">
        <v>79</v>
      </c>
      <c r="C62" s="1930"/>
      <c r="D62" s="1933" t="s">
        <v>23</v>
      </c>
      <c r="E62" s="1934"/>
      <c r="F62" s="1935"/>
      <c r="G62" s="148"/>
      <c r="H62" s="148"/>
      <c r="I62" s="1849" t="s">
        <v>24</v>
      </c>
      <c r="J62" s="1850"/>
      <c r="K62" s="1851"/>
      <c r="L62" s="1909" t="s">
        <v>461</v>
      </c>
      <c r="M62" s="49"/>
      <c r="N62" s="49"/>
      <c r="O62" s="49"/>
      <c r="P62" s="49"/>
      <c r="Q62" s="49"/>
      <c r="R62" s="49"/>
      <c r="S62" s="49"/>
      <c r="T62" s="49"/>
      <c r="U62" s="49"/>
      <c r="V62" s="49"/>
      <c r="W62" s="49"/>
      <c r="X62" s="49"/>
      <c r="Y62" s="49"/>
      <c r="Z62" s="49"/>
      <c r="AA62" s="49"/>
      <c r="AB62" s="49"/>
      <c r="AC62" s="49"/>
      <c r="AD62" s="49"/>
    </row>
    <row r="63" spans="1:30" ht="15.75" customHeight="1" thickBot="1" x14ac:dyDescent="0.35">
      <c r="A63" s="320"/>
      <c r="B63" s="1931"/>
      <c r="C63" s="1932"/>
      <c r="D63" s="368" t="s">
        <v>81</v>
      </c>
      <c r="E63" s="369" t="s">
        <v>27</v>
      </c>
      <c r="F63" s="370" t="s">
        <v>28</v>
      </c>
      <c r="G63" s="148"/>
      <c r="H63" s="148"/>
      <c r="I63" s="1852"/>
      <c r="J63" s="1853"/>
      <c r="K63" s="1854"/>
      <c r="L63" s="1911"/>
      <c r="M63" s="49"/>
      <c r="N63" s="49"/>
      <c r="O63" s="49"/>
      <c r="P63" s="49"/>
      <c r="Q63" s="49"/>
      <c r="R63" s="49"/>
      <c r="S63" s="49"/>
      <c r="T63" s="49"/>
      <c r="U63" s="49"/>
      <c r="V63" s="49"/>
      <c r="W63" s="49"/>
      <c r="X63" s="49"/>
      <c r="Y63" s="49"/>
      <c r="Z63" s="49"/>
      <c r="AA63" s="49"/>
      <c r="AB63" s="49"/>
      <c r="AC63" s="49"/>
      <c r="AD63" s="49"/>
    </row>
    <row r="64" spans="1:30" ht="31.5" customHeight="1" thickBot="1" x14ac:dyDescent="0.35">
      <c r="A64" s="320"/>
      <c r="B64" s="1955" t="s">
        <v>77</v>
      </c>
      <c r="C64" s="1956"/>
      <c r="D64" s="44">
        <f>SUM(D65:D85)</f>
        <v>0</v>
      </c>
      <c r="E64" s="1107" t="str">
        <f>IF(D64&lt;&gt;0,F64*1000/D64,"")</f>
        <v/>
      </c>
      <c r="F64" s="171">
        <f>SUM(F65:F85)</f>
        <v>0</v>
      </c>
      <c r="G64" s="148"/>
      <c r="H64" s="148"/>
      <c r="I64" s="1957"/>
      <c r="J64" s="1958"/>
      <c r="K64" s="1959"/>
      <c r="L64" s="1119" t="str">
        <f t="shared" ref="L64:L122" si="3">IF(OR(D64&lt;0,G64&lt;0),"Error - negative number",IF(G64&gt;D64,"Offices only &gt; Total Estate",IF(AND(D64&gt;0,E64=""),"Please enter CO2e factor","")))</f>
        <v/>
      </c>
      <c r="M64" s="49"/>
      <c r="N64" s="49"/>
      <c r="O64" s="1960" t="str">
        <f>B64</f>
        <v>TOTAL DOMESTIC FROM FLEET (i.e. vehicles owned or leased by the department) (Scope 1)</v>
      </c>
      <c r="P64" s="1961"/>
      <c r="Q64" s="1961"/>
      <c r="R64" s="1961"/>
      <c r="S64" s="1961"/>
      <c r="T64" s="1961"/>
      <c r="U64" s="1961"/>
      <c r="V64" s="1961"/>
      <c r="W64" s="1962"/>
      <c r="X64" s="1963" t="s">
        <v>381</v>
      </c>
      <c r="Y64" s="1964"/>
      <c r="Z64" s="1909" t="s">
        <v>461</v>
      </c>
      <c r="AA64" s="49"/>
      <c r="AB64" s="49"/>
      <c r="AC64" s="49"/>
      <c r="AD64" s="49"/>
    </row>
    <row r="65" spans="1:30" ht="15" customHeight="1" x14ac:dyDescent="0.3">
      <c r="A65" s="320" t="s">
        <v>370</v>
      </c>
      <c r="B65" s="1912" t="s">
        <v>84</v>
      </c>
      <c r="C65" s="46" t="s">
        <v>85</v>
      </c>
      <c r="D65" s="1039"/>
      <c r="E65" s="382">
        <f>+'Emission Factors'!K48</f>
        <v>0.15371000000000001</v>
      </c>
      <c r="F65" s="356">
        <f>(D65*E65)/1000</f>
        <v>0</v>
      </c>
      <c r="G65" s="148"/>
      <c r="H65" s="148"/>
      <c r="I65" s="1915"/>
      <c r="J65" s="1916"/>
      <c r="K65" s="1917"/>
      <c r="L65" s="1120" t="str">
        <f t="shared" si="3"/>
        <v/>
      </c>
      <c r="M65" s="49"/>
      <c r="N65" s="49"/>
      <c r="O65" s="479"/>
      <c r="P65" s="480"/>
      <c r="Q65" s="1918" t="s">
        <v>78</v>
      </c>
      <c r="R65" s="1918" t="s">
        <v>80</v>
      </c>
      <c r="S65" s="1921" t="s">
        <v>27</v>
      </c>
      <c r="T65" s="1936" t="s">
        <v>374</v>
      </c>
      <c r="U65" s="1938" t="s">
        <v>24</v>
      </c>
      <c r="V65" s="1939"/>
      <c r="W65" s="1940"/>
      <c r="X65" s="1947" t="s">
        <v>27</v>
      </c>
      <c r="Y65" s="1950" t="s">
        <v>374</v>
      </c>
      <c r="Z65" s="1910"/>
      <c r="AA65" s="49"/>
      <c r="AB65" s="49"/>
      <c r="AC65" s="49"/>
      <c r="AD65" s="49"/>
    </row>
    <row r="66" spans="1:30" ht="15" customHeight="1" thickBot="1" x14ac:dyDescent="0.35">
      <c r="A66" s="320" t="s">
        <v>370</v>
      </c>
      <c r="B66" s="1913"/>
      <c r="C66" s="648" t="s">
        <v>87</v>
      </c>
      <c r="D66" s="1039"/>
      <c r="E66" s="382">
        <f>+'Emission Factors'!K49</f>
        <v>0.19228000000000001</v>
      </c>
      <c r="F66" s="85">
        <f t="shared" ref="F66:F85" si="4">(D66*E66)/1000</f>
        <v>0</v>
      </c>
      <c r="G66" s="148"/>
      <c r="H66" s="148"/>
      <c r="I66" s="1952"/>
      <c r="J66" s="1953"/>
      <c r="K66" s="1954"/>
      <c r="L66" s="1056" t="str">
        <f t="shared" si="3"/>
        <v/>
      </c>
      <c r="M66" s="49"/>
      <c r="N66" s="49"/>
      <c r="O66" s="1101"/>
      <c r="P66" s="1102"/>
      <c r="Q66" s="1919"/>
      <c r="R66" s="1919"/>
      <c r="S66" s="1922"/>
      <c r="T66" s="1937"/>
      <c r="U66" s="1941"/>
      <c r="V66" s="1942"/>
      <c r="W66" s="1943"/>
      <c r="X66" s="1948"/>
      <c r="Y66" s="1951"/>
      <c r="Z66" s="1910"/>
      <c r="AA66" s="49"/>
      <c r="AB66" s="49"/>
      <c r="AC66" s="49"/>
      <c r="AD66" s="49"/>
    </row>
    <row r="67" spans="1:30" ht="15" customHeight="1" thickBot="1" x14ac:dyDescent="0.35">
      <c r="A67" s="320" t="s">
        <v>370</v>
      </c>
      <c r="B67" s="1913"/>
      <c r="C67" s="648" t="s">
        <v>89</v>
      </c>
      <c r="D67" s="1039"/>
      <c r="E67" s="382">
        <f>+'Emission Factors'!K50</f>
        <v>0.28294999999999998</v>
      </c>
      <c r="F67" s="85">
        <f t="shared" si="4"/>
        <v>0</v>
      </c>
      <c r="G67" s="148"/>
      <c r="H67" s="148"/>
      <c r="I67" s="1952"/>
      <c r="J67" s="1953"/>
      <c r="K67" s="1954"/>
      <c r="L67" s="1056" t="str">
        <f t="shared" si="3"/>
        <v/>
      </c>
      <c r="M67" s="49"/>
      <c r="N67" s="49"/>
      <c r="O67" s="1103"/>
      <c r="P67" s="1104"/>
      <c r="Q67" s="1920"/>
      <c r="R67" s="1920"/>
      <c r="S67" s="1923"/>
      <c r="T67" s="171">
        <f>SUM(T68:T74)</f>
        <v>0</v>
      </c>
      <c r="U67" s="1944"/>
      <c r="V67" s="1945"/>
      <c r="W67" s="1946"/>
      <c r="X67" s="1949"/>
      <c r="Y67" s="171">
        <f>SUM(Y68:Y74)</f>
        <v>0</v>
      </c>
      <c r="Z67" s="1911"/>
      <c r="AA67" s="49"/>
      <c r="AB67" s="49"/>
      <c r="AC67" s="49"/>
      <c r="AD67" s="49"/>
    </row>
    <row r="68" spans="1:30" ht="15" customHeight="1" x14ac:dyDescent="0.3">
      <c r="A68" s="320" t="s">
        <v>370</v>
      </c>
      <c r="B68" s="1913"/>
      <c r="C68" s="648" t="s">
        <v>91</v>
      </c>
      <c r="D68" s="1039"/>
      <c r="E68" s="382">
        <f>+'Emission Factors'!K51</f>
        <v>0.18084</v>
      </c>
      <c r="F68" s="85">
        <f t="shared" si="4"/>
        <v>0</v>
      </c>
      <c r="G68" s="148"/>
      <c r="H68" s="148"/>
      <c r="I68" s="1952"/>
      <c r="J68" s="1953"/>
      <c r="K68" s="1954"/>
      <c r="L68" s="1056" t="str">
        <f t="shared" si="3"/>
        <v/>
      </c>
      <c r="M68" s="49"/>
      <c r="N68" s="49"/>
      <c r="O68" s="1289" t="s">
        <v>82</v>
      </c>
      <c r="P68" s="1290"/>
      <c r="Q68" s="1231" t="s">
        <v>83</v>
      </c>
      <c r="R68" s="168"/>
      <c r="S68" s="166">
        <f>+'Emission Factors'!K36</f>
        <v>2.2090399999999999</v>
      </c>
      <c r="T68" s="145">
        <f t="shared" ref="T68:T74" si="5">(R68*S68)/1000</f>
        <v>0</v>
      </c>
      <c r="U68" s="1972"/>
      <c r="V68" s="1973"/>
      <c r="W68" s="1974"/>
      <c r="X68" s="185">
        <f>+'Emission Factors'!K42</f>
        <v>7.0099999999999996E-2</v>
      </c>
      <c r="Y68" s="76">
        <f t="shared" ref="Y68:Y74" si="6">+X68*R68</f>
        <v>0</v>
      </c>
      <c r="Z68" s="1121" t="str">
        <f t="shared" ref="Z68:Z73" si="7">IF(R68&lt;0,"Error - negative number",IF(AND(R68&gt;0,S68=""),"Please enter CO2e factor",""))</f>
        <v/>
      </c>
      <c r="AA68" s="49"/>
      <c r="AB68" s="49"/>
      <c r="AC68" s="49"/>
      <c r="AD68" s="49"/>
    </row>
    <row r="69" spans="1:30" ht="15" customHeight="1" thickBot="1" x14ac:dyDescent="0.35">
      <c r="A69" s="320" t="s">
        <v>370</v>
      </c>
      <c r="B69" s="1913"/>
      <c r="C69" s="648" t="s">
        <v>94</v>
      </c>
      <c r="D69" s="1039"/>
      <c r="E69" s="382">
        <f>+'Emission Factors'!K52</f>
        <v>0.14208000000000001</v>
      </c>
      <c r="F69" s="85">
        <f t="shared" si="4"/>
        <v>0</v>
      </c>
      <c r="G69" s="148"/>
      <c r="H69" s="148"/>
      <c r="I69" s="1952"/>
      <c r="J69" s="1953"/>
      <c r="K69" s="1954"/>
      <c r="L69" s="1056" t="str">
        <f t="shared" si="3"/>
        <v/>
      </c>
      <c r="M69" s="49"/>
      <c r="N69" s="49"/>
      <c r="O69" s="1287" t="s">
        <v>86</v>
      </c>
      <c r="P69" s="1288"/>
      <c r="Q69" s="1232" t="s">
        <v>83</v>
      </c>
      <c r="R69" s="169"/>
      <c r="S69" s="167">
        <f>+'Emission Factors'!K37</f>
        <v>2.3149500000000001</v>
      </c>
      <c r="T69" s="146">
        <f t="shared" si="5"/>
        <v>0</v>
      </c>
      <c r="U69" s="1975"/>
      <c r="V69" s="1976"/>
      <c r="W69" s="1977"/>
      <c r="X69" s="167">
        <f>+'Emission Factors'!K43</f>
        <v>0</v>
      </c>
      <c r="Y69" s="77">
        <f t="shared" si="6"/>
        <v>0</v>
      </c>
      <c r="Z69" s="1056" t="str">
        <f t="shared" si="7"/>
        <v/>
      </c>
      <c r="AA69" s="49"/>
      <c r="AB69" s="49"/>
      <c r="AC69" s="49"/>
      <c r="AD69" s="49"/>
    </row>
    <row r="70" spans="1:30" ht="15" customHeight="1" x14ac:dyDescent="0.3">
      <c r="A70" s="320" t="s">
        <v>370</v>
      </c>
      <c r="B70" s="1913"/>
      <c r="C70" s="648" t="s">
        <v>96</v>
      </c>
      <c r="D70" s="1039"/>
      <c r="E70" s="382">
        <f>+'Emission Factors'!K53</f>
        <v>0.17061000000000001</v>
      </c>
      <c r="F70" s="85">
        <f t="shared" si="4"/>
        <v>0</v>
      </c>
      <c r="G70" s="148"/>
      <c r="H70" s="148"/>
      <c r="I70" s="1952"/>
      <c r="J70" s="1953"/>
      <c r="K70" s="1954"/>
      <c r="L70" s="1056" t="str">
        <f t="shared" si="3"/>
        <v/>
      </c>
      <c r="M70" s="49"/>
      <c r="N70" s="49"/>
      <c r="O70" s="1287" t="s">
        <v>88</v>
      </c>
      <c r="P70" s="1288"/>
      <c r="Q70" s="1232" t="s">
        <v>83</v>
      </c>
      <c r="R70" s="169"/>
      <c r="S70" s="167">
        <f>+'Emission Factors'!K38</f>
        <v>2.5941100000000001</v>
      </c>
      <c r="T70" s="146">
        <f t="shared" si="5"/>
        <v>0</v>
      </c>
      <c r="U70" s="1972"/>
      <c r="V70" s="1973"/>
      <c r="W70" s="1974"/>
      <c r="X70" s="167">
        <f>+'Emission Factors'!K44</f>
        <v>8.72E-2</v>
      </c>
      <c r="Y70" s="77">
        <f t="shared" si="6"/>
        <v>0</v>
      </c>
      <c r="Z70" s="1056" t="str">
        <f t="shared" si="7"/>
        <v/>
      </c>
      <c r="AA70" s="49"/>
      <c r="AB70" s="49"/>
      <c r="AC70" s="49"/>
      <c r="AD70" s="49"/>
    </row>
    <row r="71" spans="1:30" ht="15" customHeight="1" x14ac:dyDescent="0.3">
      <c r="A71" s="320" t="s">
        <v>370</v>
      </c>
      <c r="B71" s="1913"/>
      <c r="C71" s="648" t="s">
        <v>97</v>
      </c>
      <c r="D71" s="1039"/>
      <c r="E71" s="382">
        <f>+'Emission Factors'!K54</f>
        <v>0.20946999999999999</v>
      </c>
      <c r="F71" s="85">
        <f t="shared" si="4"/>
        <v>0</v>
      </c>
      <c r="G71" s="148"/>
      <c r="H71" s="148"/>
      <c r="I71" s="1952"/>
      <c r="J71" s="1953"/>
      <c r="K71" s="1954"/>
      <c r="L71" s="1056" t="str">
        <f t="shared" si="3"/>
        <v/>
      </c>
      <c r="M71" s="49"/>
      <c r="N71" s="49"/>
      <c r="O71" s="1287" t="s">
        <v>90</v>
      </c>
      <c r="P71" s="1288"/>
      <c r="Q71" s="1232" t="s">
        <v>83</v>
      </c>
      <c r="R71" s="169"/>
      <c r="S71" s="167">
        <f>+'Emission Factors'!K39</f>
        <v>2.6869700000000001</v>
      </c>
      <c r="T71" s="146">
        <f t="shared" si="5"/>
        <v>0</v>
      </c>
      <c r="U71" s="1969"/>
      <c r="V71" s="1970"/>
      <c r="W71" s="1971"/>
      <c r="X71" s="167">
        <f>+'Emission Factors'!K45</f>
        <v>0</v>
      </c>
      <c r="Y71" s="77">
        <f t="shared" si="6"/>
        <v>0</v>
      </c>
      <c r="Z71" s="1056" t="str">
        <f t="shared" si="7"/>
        <v/>
      </c>
      <c r="AA71" s="49"/>
      <c r="AB71" s="49"/>
      <c r="AC71" s="49"/>
      <c r="AD71" s="49"/>
    </row>
    <row r="72" spans="1:30" ht="15" customHeight="1" x14ac:dyDescent="0.3">
      <c r="A72" s="320" t="s">
        <v>370</v>
      </c>
      <c r="B72" s="1913"/>
      <c r="C72" s="648" t="s">
        <v>98</v>
      </c>
      <c r="D72" s="1039"/>
      <c r="E72" s="382">
        <f>+'Emission Factors'!K55</f>
        <v>0.17335999999999999</v>
      </c>
      <c r="F72" s="85">
        <f t="shared" si="4"/>
        <v>0</v>
      </c>
      <c r="G72" s="148"/>
      <c r="H72" s="148"/>
      <c r="I72" s="1952"/>
      <c r="J72" s="1953"/>
      <c r="K72" s="1954"/>
      <c r="L72" s="1056" t="str">
        <f t="shared" si="3"/>
        <v/>
      </c>
      <c r="M72" s="49"/>
      <c r="N72" s="49"/>
      <c r="O72" s="1287" t="s">
        <v>92</v>
      </c>
      <c r="P72" s="1288"/>
      <c r="Q72" s="1232" t="s">
        <v>93</v>
      </c>
      <c r="R72" s="169"/>
      <c r="S72" s="167">
        <f>+'Emission Factors'!K40</f>
        <v>2.5420400000000001</v>
      </c>
      <c r="T72" s="146">
        <f t="shared" si="5"/>
        <v>0</v>
      </c>
      <c r="U72" s="1969"/>
      <c r="V72" s="1970"/>
      <c r="W72" s="1971"/>
      <c r="X72" s="167">
        <f>+'Emission Factors'!K46</f>
        <v>0</v>
      </c>
      <c r="Y72" s="77">
        <f t="shared" si="6"/>
        <v>0</v>
      </c>
      <c r="Z72" s="1056" t="str">
        <f t="shared" si="7"/>
        <v/>
      </c>
      <c r="AA72" s="49"/>
      <c r="AB72" s="49"/>
      <c r="AC72" s="49"/>
      <c r="AD72" s="49"/>
    </row>
    <row r="73" spans="1:30" ht="15" customHeight="1" x14ac:dyDescent="0.3">
      <c r="A73" s="320" t="s">
        <v>370</v>
      </c>
      <c r="B73" s="1913"/>
      <c r="C73" s="648" t="s">
        <v>99</v>
      </c>
      <c r="D73" s="1039"/>
      <c r="E73" s="382">
        <f>+'Emission Factors'!K56</f>
        <v>0.10895000000000001</v>
      </c>
      <c r="F73" s="85">
        <f t="shared" si="4"/>
        <v>0</v>
      </c>
      <c r="G73" s="148"/>
      <c r="H73" s="148"/>
      <c r="I73" s="1952"/>
      <c r="J73" s="1953"/>
      <c r="K73" s="1954"/>
      <c r="L73" s="1056" t="str">
        <f t="shared" si="3"/>
        <v/>
      </c>
      <c r="M73" s="49"/>
      <c r="N73" s="49"/>
      <c r="O73" s="1287" t="s">
        <v>95</v>
      </c>
      <c r="P73" s="1288"/>
      <c r="Q73" s="1232" t="s">
        <v>83</v>
      </c>
      <c r="R73" s="169"/>
      <c r="S73" s="167">
        <f>+'Emission Factors'!K41</f>
        <v>1.5226</v>
      </c>
      <c r="T73" s="146">
        <f t="shared" si="5"/>
        <v>0</v>
      </c>
      <c r="U73" s="1969"/>
      <c r="V73" s="1970"/>
      <c r="W73" s="1971"/>
      <c r="X73" s="167">
        <f>+'Emission Factors'!K47</f>
        <v>0</v>
      </c>
      <c r="Y73" s="77">
        <f t="shared" si="6"/>
        <v>0</v>
      </c>
      <c r="Z73" s="1056" t="str">
        <f t="shared" si="7"/>
        <v/>
      </c>
      <c r="AA73" s="49"/>
      <c r="AB73" s="49"/>
      <c r="AC73" s="49"/>
      <c r="AD73" s="49"/>
    </row>
    <row r="74" spans="1:30" ht="15" customHeight="1" thickBot="1" x14ac:dyDescent="0.35">
      <c r="A74" s="320" t="s">
        <v>370</v>
      </c>
      <c r="B74" s="1913"/>
      <c r="C74" s="648" t="s">
        <v>100</v>
      </c>
      <c r="D74" s="1039"/>
      <c r="E74" s="382">
        <f>+'Emission Factors'!K57</f>
        <v>0.13177</v>
      </c>
      <c r="F74" s="85">
        <f t="shared" si="4"/>
        <v>0</v>
      </c>
      <c r="G74" s="148"/>
      <c r="H74" s="148"/>
      <c r="I74" s="1952"/>
      <c r="J74" s="1953"/>
      <c r="K74" s="1954"/>
      <c r="L74" s="1056" t="str">
        <f t="shared" si="3"/>
        <v/>
      </c>
      <c r="M74" s="49"/>
      <c r="N74" s="49"/>
      <c r="O74" s="1284" t="s">
        <v>409</v>
      </c>
      <c r="P74" s="1285"/>
      <c r="Q74" s="1286"/>
      <c r="R74" s="170"/>
      <c r="S74" s="1488"/>
      <c r="T74" s="147">
        <f t="shared" si="5"/>
        <v>0</v>
      </c>
      <c r="U74" s="1975"/>
      <c r="V74" s="1976"/>
      <c r="W74" s="1977"/>
      <c r="X74" s="1488"/>
      <c r="Y74" s="80">
        <f t="shared" si="6"/>
        <v>0</v>
      </c>
      <c r="Z74" s="1122" t="str">
        <f>IF(R74&lt;0,"Error - negative number",IF(AND(R74&gt;0,S74=""),"Please enter CO2e factor",""))</f>
        <v/>
      </c>
      <c r="AA74" s="49"/>
      <c r="AB74" s="49"/>
      <c r="AC74" s="49"/>
      <c r="AD74" s="49"/>
    </row>
    <row r="75" spans="1:30" ht="15" customHeight="1" x14ac:dyDescent="0.3">
      <c r="A75" s="320" t="s">
        <v>370</v>
      </c>
      <c r="B75" s="1913"/>
      <c r="C75" s="648" t="s">
        <v>529</v>
      </c>
      <c r="D75" s="1039"/>
      <c r="E75" s="382">
        <f>+'Emission Factors'!K58</f>
        <v>0.19900999999999999</v>
      </c>
      <c r="F75" s="85">
        <f t="shared" si="4"/>
        <v>0</v>
      </c>
      <c r="G75" s="148"/>
      <c r="H75" s="148"/>
      <c r="I75" s="1952"/>
      <c r="J75" s="1953"/>
      <c r="K75" s="1954"/>
      <c r="L75" s="1056" t="str">
        <f t="shared" si="3"/>
        <v/>
      </c>
      <c r="M75" s="49"/>
      <c r="N75" s="49"/>
      <c r="O75" s="1965" t="s">
        <v>367</v>
      </c>
      <c r="P75" s="1965"/>
      <c r="Q75" s="1965"/>
      <c r="R75" s="1965"/>
      <c r="S75" s="1965"/>
      <c r="T75" s="1965"/>
      <c r="U75" s="1965"/>
      <c r="V75" s="1965"/>
      <c r="W75" s="1965"/>
      <c r="X75" s="49"/>
      <c r="Y75" s="49"/>
      <c r="Z75" s="49"/>
      <c r="AA75" s="49"/>
      <c r="AB75" s="49"/>
      <c r="AC75" s="49"/>
      <c r="AD75" s="49"/>
    </row>
    <row r="76" spans="1:30" ht="15" customHeight="1" x14ac:dyDescent="0.3">
      <c r="A76" s="320" t="s">
        <v>370</v>
      </c>
      <c r="B76" s="1913"/>
      <c r="C76" s="648" t="s">
        <v>102</v>
      </c>
      <c r="D76" s="1039"/>
      <c r="E76" s="382">
        <f>+'Emission Factors'!K59</f>
        <v>0.17710000000000001</v>
      </c>
      <c r="F76" s="85">
        <f t="shared" si="4"/>
        <v>0</v>
      </c>
      <c r="G76" s="148"/>
      <c r="H76" s="148"/>
      <c r="I76" s="1952"/>
      <c r="J76" s="1953"/>
      <c r="K76" s="1954"/>
      <c r="L76" s="1056" t="str">
        <f t="shared" si="3"/>
        <v/>
      </c>
      <c r="M76" s="49"/>
      <c r="N76" s="49"/>
      <c r="O76" s="1966"/>
      <c r="P76" s="1966"/>
      <c r="Q76" s="1966"/>
      <c r="R76" s="1966"/>
      <c r="S76" s="1966"/>
      <c r="T76" s="1966"/>
      <c r="U76" s="1966"/>
      <c r="V76" s="1966"/>
      <c r="W76" s="1966"/>
      <c r="X76" s="49"/>
      <c r="Y76" s="49"/>
      <c r="Z76" s="49"/>
      <c r="AA76" s="49"/>
      <c r="AB76" s="49"/>
      <c r="AC76" s="49"/>
      <c r="AD76" s="49"/>
    </row>
    <row r="77" spans="1:30" ht="15" customHeight="1" x14ac:dyDescent="0.3">
      <c r="A77" s="320" t="s">
        <v>370</v>
      </c>
      <c r="B77" s="1913"/>
      <c r="C77" s="648" t="s">
        <v>103</v>
      </c>
      <c r="D77" s="1039"/>
      <c r="E77" s="382">
        <f>+'Emission Factors'!K60</f>
        <v>8.4449999999999997E-2</v>
      </c>
      <c r="F77" s="85">
        <f t="shared" si="4"/>
        <v>0</v>
      </c>
      <c r="G77" s="148"/>
      <c r="H77" s="148"/>
      <c r="I77" s="1952"/>
      <c r="J77" s="1953"/>
      <c r="K77" s="1954"/>
      <c r="L77" s="1056" t="str">
        <f t="shared" si="3"/>
        <v/>
      </c>
      <c r="M77" s="49"/>
      <c r="N77" s="49"/>
      <c r="O77" s="1966"/>
      <c r="P77" s="1966"/>
      <c r="Q77" s="1966"/>
      <c r="R77" s="1966"/>
      <c r="S77" s="1966"/>
      <c r="T77" s="1966"/>
      <c r="U77" s="1966"/>
      <c r="V77" s="1966"/>
      <c r="W77" s="1966"/>
      <c r="X77" s="49"/>
      <c r="Y77" s="49"/>
      <c r="Z77" s="49"/>
      <c r="AA77" s="49"/>
      <c r="AB77" s="49"/>
      <c r="AC77" s="49"/>
      <c r="AD77" s="49"/>
    </row>
    <row r="78" spans="1:30" ht="15" customHeight="1" x14ac:dyDescent="0.3">
      <c r="A78" s="320" t="s">
        <v>370</v>
      </c>
      <c r="B78" s="1913"/>
      <c r="C78" s="648" t="s">
        <v>104</v>
      </c>
      <c r="D78" s="1039"/>
      <c r="E78" s="382">
        <f>+'Emission Factors'!K61</f>
        <v>0.10289</v>
      </c>
      <c r="F78" s="85">
        <f t="shared" si="4"/>
        <v>0</v>
      </c>
      <c r="G78" s="148"/>
      <c r="H78" s="148"/>
      <c r="I78" s="1952"/>
      <c r="J78" s="1953"/>
      <c r="K78" s="1954"/>
      <c r="L78" s="1056" t="str">
        <f t="shared" si="3"/>
        <v/>
      </c>
      <c r="M78" s="49"/>
      <c r="N78" s="49"/>
      <c r="O78" s="1966"/>
      <c r="P78" s="1966"/>
      <c r="Q78" s="1966"/>
      <c r="R78" s="1966"/>
      <c r="S78" s="1966"/>
      <c r="T78" s="1966"/>
      <c r="U78" s="1966"/>
      <c r="V78" s="1966"/>
      <c r="W78" s="1966"/>
      <c r="X78" s="49"/>
      <c r="Y78" s="49"/>
      <c r="Z78" s="49"/>
      <c r="AA78" s="49"/>
      <c r="AB78" s="49"/>
      <c r="AC78" s="49"/>
      <c r="AD78" s="49"/>
    </row>
    <row r="79" spans="1:30" ht="15" customHeight="1" x14ac:dyDescent="0.3">
      <c r="A79" s="320" t="s">
        <v>370</v>
      </c>
      <c r="B79" s="1913"/>
      <c r="C79" s="648" t="s">
        <v>105</v>
      </c>
      <c r="D79" s="1039"/>
      <c r="E79" s="382">
        <f>+'Emission Factors'!K62</f>
        <v>0.13500999999999999</v>
      </c>
      <c r="F79" s="85">
        <f t="shared" si="4"/>
        <v>0</v>
      </c>
      <c r="G79" s="148"/>
      <c r="H79" s="148"/>
      <c r="I79" s="1952"/>
      <c r="J79" s="1953"/>
      <c r="K79" s="1954"/>
      <c r="L79" s="1056" t="str">
        <f t="shared" si="3"/>
        <v/>
      </c>
      <c r="M79" s="49"/>
      <c r="N79" s="49"/>
      <c r="O79" s="49"/>
      <c r="P79" s="49"/>
      <c r="Q79" s="49"/>
      <c r="R79" s="49"/>
      <c r="S79" s="49"/>
      <c r="T79" s="49"/>
      <c r="U79" s="49"/>
      <c r="V79" s="49"/>
      <c r="W79" s="49"/>
      <c r="X79" s="49"/>
      <c r="Y79" s="49"/>
      <c r="Z79" s="49"/>
      <c r="AA79" s="49"/>
      <c r="AB79" s="49"/>
      <c r="AC79" s="49"/>
      <c r="AD79" s="49"/>
    </row>
    <row r="80" spans="1:30" ht="15" customHeight="1" x14ac:dyDescent="0.3">
      <c r="A80" s="320" t="s">
        <v>370</v>
      </c>
      <c r="B80" s="1913"/>
      <c r="C80" s="648" t="s">
        <v>106</v>
      </c>
      <c r="D80" s="1039"/>
      <c r="E80" s="382">
        <f>+'Emission Factors'!K63</f>
        <v>0.11551</v>
      </c>
      <c r="F80" s="85">
        <f t="shared" si="4"/>
        <v>0</v>
      </c>
      <c r="G80" s="148"/>
      <c r="H80" s="148"/>
      <c r="I80" s="1952"/>
      <c r="J80" s="1953"/>
      <c r="K80" s="1954"/>
      <c r="L80" s="1056" t="str">
        <f t="shared" si="3"/>
        <v/>
      </c>
      <c r="M80" s="49"/>
      <c r="N80" s="49"/>
      <c r="O80" s="49"/>
      <c r="P80" s="49"/>
      <c r="Q80" s="49"/>
      <c r="R80" s="49"/>
      <c r="S80" s="49"/>
      <c r="T80" s="49"/>
      <c r="U80" s="49"/>
      <c r="V80" s="49"/>
      <c r="W80" s="49"/>
      <c r="X80" s="49"/>
      <c r="Y80" s="49"/>
      <c r="Z80" s="49"/>
      <c r="AA80" s="49"/>
      <c r="AB80" s="49"/>
      <c r="AC80" s="49"/>
      <c r="AD80" s="49"/>
    </row>
    <row r="81" spans="1:30" ht="15" customHeight="1" x14ac:dyDescent="0.3">
      <c r="A81" s="320" t="s">
        <v>370</v>
      </c>
      <c r="B81" s="1913"/>
      <c r="C81" s="649" t="s">
        <v>410</v>
      </c>
      <c r="D81" s="1039"/>
      <c r="E81" s="1036"/>
      <c r="F81" s="85">
        <f t="shared" si="4"/>
        <v>0</v>
      </c>
      <c r="G81" s="148"/>
      <c r="H81" s="148"/>
      <c r="I81" s="1952"/>
      <c r="J81" s="1953"/>
      <c r="K81" s="1954"/>
      <c r="L81" s="1056" t="str">
        <f t="shared" si="3"/>
        <v/>
      </c>
      <c r="M81" s="49"/>
      <c r="N81" s="49"/>
      <c r="O81" s="49"/>
      <c r="P81" s="49"/>
      <c r="Q81" s="49"/>
      <c r="R81" s="49"/>
      <c r="S81" s="49"/>
      <c r="T81" s="49"/>
      <c r="U81" s="49"/>
      <c r="V81" s="49"/>
      <c r="W81" s="49"/>
      <c r="X81" s="49"/>
      <c r="Y81" s="49"/>
      <c r="Z81" s="49"/>
      <c r="AA81" s="49"/>
      <c r="AB81" s="49"/>
      <c r="AC81" s="49"/>
      <c r="AD81" s="49"/>
    </row>
    <row r="82" spans="1:30" ht="15" customHeight="1" x14ac:dyDescent="0.3">
      <c r="A82" s="320" t="s">
        <v>370</v>
      </c>
      <c r="B82" s="1913"/>
      <c r="C82" s="649" t="s">
        <v>411</v>
      </c>
      <c r="D82" s="1039"/>
      <c r="E82" s="1036"/>
      <c r="F82" s="85">
        <f t="shared" si="4"/>
        <v>0</v>
      </c>
      <c r="G82" s="148"/>
      <c r="H82" s="148"/>
      <c r="I82" s="1952"/>
      <c r="J82" s="1953"/>
      <c r="K82" s="1954"/>
      <c r="L82" s="1056" t="str">
        <f>IF(OR(D82&lt;0,G82&lt;0),"Error - negative number",IF(G82&gt;D82,"Offices only &gt; Total Estate",IF(AND(D82&gt;0,E82=""),"Please enter CO2e factor","")))</f>
        <v/>
      </c>
      <c r="M82" s="49"/>
      <c r="N82" s="49"/>
      <c r="O82" s="49"/>
      <c r="P82" s="49"/>
      <c r="Q82" s="49"/>
      <c r="R82" s="49"/>
      <c r="S82" s="49"/>
      <c r="T82" s="49"/>
      <c r="U82" s="49"/>
      <c r="V82" s="49"/>
      <c r="W82" s="49"/>
      <c r="X82" s="49"/>
      <c r="Y82" s="49"/>
      <c r="Z82" s="49"/>
      <c r="AA82" s="49"/>
      <c r="AB82" s="49"/>
      <c r="AC82" s="49"/>
      <c r="AD82" s="49"/>
    </row>
    <row r="83" spans="1:30" ht="15" customHeight="1" x14ac:dyDescent="0.3">
      <c r="A83" s="320" t="s">
        <v>370</v>
      </c>
      <c r="B83" s="1913"/>
      <c r="C83" s="649" t="s">
        <v>412</v>
      </c>
      <c r="D83" s="1039"/>
      <c r="E83" s="1036"/>
      <c r="F83" s="85">
        <f t="shared" si="4"/>
        <v>0</v>
      </c>
      <c r="G83" s="148"/>
      <c r="H83" s="148"/>
      <c r="I83" s="1952"/>
      <c r="J83" s="1953"/>
      <c r="K83" s="1954"/>
      <c r="L83" s="1056" t="str">
        <f t="shared" si="3"/>
        <v/>
      </c>
      <c r="M83" s="49"/>
      <c r="N83" s="49"/>
      <c r="O83" s="49"/>
      <c r="P83" s="49"/>
      <c r="Q83" s="49"/>
      <c r="R83" s="49"/>
      <c r="S83" s="49"/>
      <c r="T83" s="49"/>
      <c r="U83" s="49"/>
      <c r="V83" s="49"/>
      <c r="W83" s="49"/>
      <c r="X83" s="49"/>
      <c r="Y83" s="49"/>
      <c r="Z83" s="49"/>
      <c r="AA83" s="49"/>
      <c r="AB83" s="49"/>
      <c r="AC83" s="49"/>
      <c r="AD83" s="49"/>
    </row>
    <row r="84" spans="1:30" ht="15" customHeight="1" x14ac:dyDescent="0.3">
      <c r="A84" s="320"/>
      <c r="B84" s="1913"/>
      <c r="C84" s="649" t="s">
        <v>509</v>
      </c>
      <c r="D84" s="1039"/>
      <c r="E84" s="1036"/>
      <c r="F84" s="85">
        <f t="shared" si="4"/>
        <v>0</v>
      </c>
      <c r="G84" s="148"/>
      <c r="H84" s="148"/>
      <c r="I84" s="1952"/>
      <c r="J84" s="1953"/>
      <c r="K84" s="1954"/>
      <c r="L84" s="1056" t="str">
        <f t="shared" si="3"/>
        <v/>
      </c>
      <c r="M84" s="49"/>
      <c r="N84" s="49"/>
      <c r="O84" s="49"/>
      <c r="P84" s="49"/>
      <c r="Q84" s="49"/>
      <c r="R84" s="49"/>
      <c r="S84" s="49"/>
      <c r="T84" s="49"/>
      <c r="U84" s="49"/>
      <c r="V84" s="49"/>
      <c r="W84" s="49"/>
      <c r="X84" s="49"/>
      <c r="Y84" s="49"/>
      <c r="Z84" s="49"/>
      <c r="AA84" s="49"/>
      <c r="AB84" s="49"/>
      <c r="AC84" s="49"/>
      <c r="AD84" s="49"/>
    </row>
    <row r="85" spans="1:30" ht="15" customHeight="1" thickBot="1" x14ac:dyDescent="0.35">
      <c r="A85" s="320"/>
      <c r="B85" s="1914"/>
      <c r="C85" s="649" t="s">
        <v>510</v>
      </c>
      <c r="D85" s="1039"/>
      <c r="E85" s="81"/>
      <c r="F85" s="85">
        <f t="shared" si="4"/>
        <v>0</v>
      </c>
      <c r="G85" s="148"/>
      <c r="H85" s="148"/>
      <c r="I85" s="1952"/>
      <c r="J85" s="1953"/>
      <c r="K85" s="1954"/>
      <c r="L85" s="1056" t="str">
        <f t="shared" si="3"/>
        <v/>
      </c>
      <c r="M85" s="49"/>
      <c r="N85" s="49"/>
      <c r="O85" s="49"/>
      <c r="P85" s="49"/>
      <c r="Q85" s="49"/>
      <c r="R85" s="49"/>
      <c r="S85" s="49"/>
      <c r="T85" s="49"/>
      <c r="U85" s="49"/>
      <c r="V85" s="49"/>
      <c r="W85" s="49"/>
      <c r="X85" s="49"/>
      <c r="Y85" s="49"/>
      <c r="Z85" s="49"/>
      <c r="AA85" s="49"/>
      <c r="AB85" s="49"/>
      <c r="AC85" s="49"/>
      <c r="AD85" s="49"/>
    </row>
    <row r="86" spans="1:30" ht="29.25" customHeight="1" thickBot="1" x14ac:dyDescent="0.35">
      <c r="A86" s="320"/>
      <c r="B86" s="1955" t="s">
        <v>110</v>
      </c>
      <c r="C86" s="1956"/>
      <c r="D86" s="44">
        <f>SUM(D87:D107)</f>
        <v>0</v>
      </c>
      <c r="E86" s="481" t="str">
        <f>IF(D86&lt;&gt;0,F86*1000/D86,"")</f>
        <v/>
      </c>
      <c r="F86" s="171">
        <f>SUM(F87:F107)</f>
        <v>0</v>
      </c>
      <c r="G86" s="148"/>
      <c r="H86" s="148"/>
      <c r="I86" s="1957"/>
      <c r="J86" s="1958"/>
      <c r="K86" s="1959"/>
      <c r="L86" s="1119" t="str">
        <f t="shared" si="3"/>
        <v/>
      </c>
      <c r="M86" s="49"/>
      <c r="N86" s="49"/>
      <c r="O86" s="1960" t="str">
        <f>B86</f>
        <v>TOTAL DOMESTIC FROM GREY FLEET/HIRE (i.e. employee owned or hire vehicles) (Scope 3)</v>
      </c>
      <c r="P86" s="1961"/>
      <c r="Q86" s="1961"/>
      <c r="R86" s="1961"/>
      <c r="S86" s="1961"/>
      <c r="T86" s="1961"/>
      <c r="U86" s="1961"/>
      <c r="V86" s="1961"/>
      <c r="W86" s="1962"/>
      <c r="X86" s="1963" t="s">
        <v>381</v>
      </c>
      <c r="Y86" s="1964"/>
      <c r="Z86" s="1909" t="s">
        <v>461</v>
      </c>
      <c r="AA86" s="49"/>
      <c r="AB86" s="49"/>
      <c r="AC86" s="49"/>
      <c r="AD86" s="49"/>
    </row>
    <row r="87" spans="1:30" ht="15" customHeight="1" x14ac:dyDescent="0.3">
      <c r="A87" s="320" t="s">
        <v>371</v>
      </c>
      <c r="B87" s="1912" t="s">
        <v>111</v>
      </c>
      <c r="C87" s="46" t="s">
        <v>85</v>
      </c>
      <c r="D87" s="1039"/>
      <c r="E87" s="382">
        <f t="shared" ref="E87:E102" si="8">+E65</f>
        <v>0.15371000000000001</v>
      </c>
      <c r="F87" s="356">
        <f>(D87*E87)/1000</f>
        <v>0</v>
      </c>
      <c r="G87" s="148"/>
      <c r="H87" s="148"/>
      <c r="I87" s="1915"/>
      <c r="J87" s="1916"/>
      <c r="K87" s="1917"/>
      <c r="L87" s="1120" t="str">
        <f t="shared" si="3"/>
        <v/>
      </c>
      <c r="M87" s="49"/>
      <c r="N87" s="49"/>
      <c r="O87" s="479"/>
      <c r="P87" s="480"/>
      <c r="Q87" s="1918" t="s">
        <v>78</v>
      </c>
      <c r="R87" s="1918" t="s">
        <v>80</v>
      </c>
      <c r="S87" s="1921" t="s">
        <v>27</v>
      </c>
      <c r="T87" s="1936" t="s">
        <v>374</v>
      </c>
      <c r="U87" s="1938" t="s">
        <v>24</v>
      </c>
      <c r="V87" s="1939"/>
      <c r="W87" s="1940"/>
      <c r="X87" s="1947" t="s">
        <v>27</v>
      </c>
      <c r="Y87" s="1967" t="s">
        <v>374</v>
      </c>
      <c r="Z87" s="1910"/>
      <c r="AA87" s="49"/>
      <c r="AB87" s="49"/>
      <c r="AC87" s="49"/>
      <c r="AD87" s="49"/>
    </row>
    <row r="88" spans="1:30" ht="15" customHeight="1" thickBot="1" x14ac:dyDescent="0.35">
      <c r="A88" s="320" t="s">
        <v>371</v>
      </c>
      <c r="B88" s="1913"/>
      <c r="C88" s="648" t="s">
        <v>87</v>
      </c>
      <c r="D88" s="1039"/>
      <c r="E88" s="382">
        <f t="shared" si="8"/>
        <v>0.19228000000000001</v>
      </c>
      <c r="F88" s="85">
        <f t="shared" ref="F88:F107" si="9">(D88*E88)/1000</f>
        <v>0</v>
      </c>
      <c r="G88" s="148"/>
      <c r="H88" s="148"/>
      <c r="I88" s="1952"/>
      <c r="J88" s="1953"/>
      <c r="K88" s="1954"/>
      <c r="L88" s="1056" t="str">
        <f t="shared" si="3"/>
        <v/>
      </c>
      <c r="M88" s="49"/>
      <c r="N88" s="49"/>
      <c r="O88" s="1101"/>
      <c r="P88" s="1102"/>
      <c r="Q88" s="1919"/>
      <c r="R88" s="1919"/>
      <c r="S88" s="1922"/>
      <c r="T88" s="1937"/>
      <c r="U88" s="1941"/>
      <c r="V88" s="1942"/>
      <c r="W88" s="1943"/>
      <c r="X88" s="1948"/>
      <c r="Y88" s="1968"/>
      <c r="Z88" s="1910"/>
      <c r="AA88" s="49"/>
      <c r="AB88" s="49"/>
      <c r="AC88" s="49"/>
      <c r="AD88" s="49"/>
    </row>
    <row r="89" spans="1:30" ht="15" customHeight="1" thickBot="1" x14ac:dyDescent="0.35">
      <c r="A89" s="320" t="s">
        <v>371</v>
      </c>
      <c r="B89" s="1913"/>
      <c r="C89" s="648" t="s">
        <v>89</v>
      </c>
      <c r="D89" s="1039"/>
      <c r="E89" s="382">
        <f t="shared" si="8"/>
        <v>0.28294999999999998</v>
      </c>
      <c r="F89" s="85">
        <f t="shared" si="9"/>
        <v>0</v>
      </c>
      <c r="G89" s="148"/>
      <c r="H89" s="148"/>
      <c r="I89" s="1952"/>
      <c r="J89" s="1953"/>
      <c r="K89" s="1954"/>
      <c r="L89" s="1056" t="str">
        <f t="shared" si="3"/>
        <v/>
      </c>
      <c r="M89" s="49"/>
      <c r="N89" s="49"/>
      <c r="O89" s="1103"/>
      <c r="P89" s="1104"/>
      <c r="Q89" s="1920"/>
      <c r="R89" s="1920"/>
      <c r="S89" s="1923"/>
      <c r="T89" s="171">
        <f>SUM(T90:T96)</f>
        <v>0</v>
      </c>
      <c r="U89" s="1944"/>
      <c r="V89" s="1945"/>
      <c r="W89" s="1946"/>
      <c r="X89" s="1949"/>
      <c r="Y89" s="171">
        <f>SUM(Y90:Y96)</f>
        <v>0</v>
      </c>
      <c r="Z89" s="1911"/>
      <c r="AA89" s="49"/>
      <c r="AB89" s="49"/>
      <c r="AC89" s="49"/>
      <c r="AD89" s="49"/>
    </row>
    <row r="90" spans="1:30" ht="15" customHeight="1" x14ac:dyDescent="0.3">
      <c r="A90" s="320" t="s">
        <v>371</v>
      </c>
      <c r="B90" s="1913"/>
      <c r="C90" s="648" t="s">
        <v>91</v>
      </c>
      <c r="D90" s="1039"/>
      <c r="E90" s="382">
        <f t="shared" si="8"/>
        <v>0.18084</v>
      </c>
      <c r="F90" s="85">
        <f t="shared" si="9"/>
        <v>0</v>
      </c>
      <c r="G90" s="148"/>
      <c r="H90" s="148"/>
      <c r="I90" s="1952"/>
      <c r="J90" s="1953"/>
      <c r="K90" s="1954"/>
      <c r="L90" s="1056" t="str">
        <f t="shared" si="3"/>
        <v/>
      </c>
      <c r="M90" s="49"/>
      <c r="N90" s="49"/>
      <c r="O90" s="1289" t="s">
        <v>82</v>
      </c>
      <c r="P90" s="1290"/>
      <c r="Q90" s="1231" t="s">
        <v>83</v>
      </c>
      <c r="R90" s="168"/>
      <c r="S90" s="166">
        <f>+'Emission Factors'!K36</f>
        <v>2.2090399999999999</v>
      </c>
      <c r="T90" s="145">
        <f t="shared" ref="T90:T96" si="10">(R90*S90)/1000</f>
        <v>0</v>
      </c>
      <c r="U90" s="1972"/>
      <c r="V90" s="1973"/>
      <c r="W90" s="1974"/>
      <c r="X90" s="185">
        <f>+'Emission Factors'!K42</f>
        <v>7.0099999999999996E-2</v>
      </c>
      <c r="Y90" s="76">
        <f t="shared" ref="Y90:Y96" si="11">+X90*R90</f>
        <v>0</v>
      </c>
      <c r="Z90" s="1121" t="str">
        <f t="shared" ref="Z90:Z95" si="12">IF(R90&lt;0,"Error - negative number",IF(AND(R90&gt;0,S90=""),"Please enter CO2e factor",""))</f>
        <v/>
      </c>
      <c r="AA90" s="49"/>
      <c r="AB90" s="49"/>
      <c r="AC90" s="49"/>
      <c r="AD90" s="49"/>
    </row>
    <row r="91" spans="1:30" ht="15" customHeight="1" x14ac:dyDescent="0.3">
      <c r="A91" s="320" t="s">
        <v>371</v>
      </c>
      <c r="B91" s="1913"/>
      <c r="C91" s="648" t="s">
        <v>94</v>
      </c>
      <c r="D91" s="1039"/>
      <c r="E91" s="382">
        <f t="shared" si="8"/>
        <v>0.14208000000000001</v>
      </c>
      <c r="F91" s="85">
        <f t="shared" si="9"/>
        <v>0</v>
      </c>
      <c r="G91" s="148"/>
      <c r="H91" s="148"/>
      <c r="I91" s="1952"/>
      <c r="J91" s="1953"/>
      <c r="K91" s="1954"/>
      <c r="L91" s="1056" t="str">
        <f t="shared" si="3"/>
        <v/>
      </c>
      <c r="M91" s="49"/>
      <c r="N91" s="49"/>
      <c r="O91" s="1287" t="s">
        <v>86</v>
      </c>
      <c r="P91" s="1288"/>
      <c r="Q91" s="1232" t="s">
        <v>83</v>
      </c>
      <c r="R91" s="169"/>
      <c r="S91" s="167">
        <f>+'Emission Factors'!K37</f>
        <v>2.3149500000000001</v>
      </c>
      <c r="T91" s="146">
        <f t="shared" si="10"/>
        <v>0</v>
      </c>
      <c r="U91" s="1969"/>
      <c r="V91" s="1970"/>
      <c r="W91" s="1971"/>
      <c r="X91" s="185">
        <f>+'Emission Factors'!K43</f>
        <v>0</v>
      </c>
      <c r="Y91" s="77">
        <f t="shared" si="11"/>
        <v>0</v>
      </c>
      <c r="Z91" s="1056" t="str">
        <f t="shared" si="12"/>
        <v/>
      </c>
      <c r="AA91" s="49"/>
      <c r="AB91" s="49"/>
      <c r="AC91" s="49"/>
      <c r="AD91" s="49"/>
    </row>
    <row r="92" spans="1:30" ht="15" customHeight="1" x14ac:dyDescent="0.3">
      <c r="A92" s="320" t="s">
        <v>371</v>
      </c>
      <c r="B92" s="1913"/>
      <c r="C92" s="648" t="s">
        <v>96</v>
      </c>
      <c r="D92" s="1039"/>
      <c r="E92" s="382">
        <f t="shared" si="8"/>
        <v>0.17061000000000001</v>
      </c>
      <c r="F92" s="85">
        <f t="shared" si="9"/>
        <v>0</v>
      </c>
      <c r="G92" s="148"/>
      <c r="H92" s="148"/>
      <c r="I92" s="1952"/>
      <c r="J92" s="1953"/>
      <c r="K92" s="1954"/>
      <c r="L92" s="1056" t="str">
        <f t="shared" si="3"/>
        <v/>
      </c>
      <c r="M92" s="49"/>
      <c r="N92" s="49"/>
      <c r="O92" s="1287" t="s">
        <v>88</v>
      </c>
      <c r="P92" s="1288"/>
      <c r="Q92" s="1232" t="s">
        <v>83</v>
      </c>
      <c r="R92" s="169"/>
      <c r="S92" s="167">
        <f>+'Emission Factors'!K38</f>
        <v>2.5941100000000001</v>
      </c>
      <c r="T92" s="146">
        <f t="shared" si="10"/>
        <v>0</v>
      </c>
      <c r="U92" s="1969"/>
      <c r="V92" s="1970"/>
      <c r="W92" s="1971"/>
      <c r="X92" s="185">
        <f>+'Emission Factors'!K44</f>
        <v>8.72E-2</v>
      </c>
      <c r="Y92" s="77">
        <f t="shared" si="11"/>
        <v>0</v>
      </c>
      <c r="Z92" s="1056" t="str">
        <f t="shared" si="12"/>
        <v/>
      </c>
      <c r="AA92" s="49"/>
      <c r="AB92" s="49"/>
      <c r="AC92" s="49"/>
      <c r="AD92" s="49"/>
    </row>
    <row r="93" spans="1:30" ht="15" customHeight="1" x14ac:dyDescent="0.3">
      <c r="A93" s="320" t="s">
        <v>371</v>
      </c>
      <c r="B93" s="1913"/>
      <c r="C93" s="648" t="s">
        <v>97</v>
      </c>
      <c r="D93" s="1039"/>
      <c r="E93" s="382">
        <f t="shared" si="8"/>
        <v>0.20946999999999999</v>
      </c>
      <c r="F93" s="85">
        <f t="shared" si="9"/>
        <v>0</v>
      </c>
      <c r="G93" s="148"/>
      <c r="H93" s="148"/>
      <c r="I93" s="1952"/>
      <c r="J93" s="1953"/>
      <c r="K93" s="1954"/>
      <c r="L93" s="1056" t="str">
        <f t="shared" si="3"/>
        <v/>
      </c>
      <c r="M93" s="49"/>
      <c r="N93" s="49"/>
      <c r="O93" s="1287" t="s">
        <v>90</v>
      </c>
      <c r="P93" s="1288"/>
      <c r="Q93" s="1232" t="s">
        <v>83</v>
      </c>
      <c r="R93" s="169"/>
      <c r="S93" s="167">
        <f>+'Emission Factors'!K39</f>
        <v>2.6869700000000001</v>
      </c>
      <c r="T93" s="146">
        <f t="shared" si="10"/>
        <v>0</v>
      </c>
      <c r="U93" s="1969"/>
      <c r="V93" s="1970"/>
      <c r="W93" s="1971"/>
      <c r="X93" s="185">
        <f>+'Emission Factors'!K45</f>
        <v>0</v>
      </c>
      <c r="Y93" s="77">
        <f t="shared" si="11"/>
        <v>0</v>
      </c>
      <c r="Z93" s="1056" t="str">
        <f t="shared" si="12"/>
        <v/>
      </c>
      <c r="AA93" s="49"/>
      <c r="AB93" s="49"/>
      <c r="AC93" s="49"/>
      <c r="AD93" s="49"/>
    </row>
    <row r="94" spans="1:30" ht="15" customHeight="1" x14ac:dyDescent="0.3">
      <c r="A94" s="320" t="s">
        <v>371</v>
      </c>
      <c r="B94" s="1913"/>
      <c r="C94" s="648" t="s">
        <v>98</v>
      </c>
      <c r="D94" s="1039"/>
      <c r="E94" s="382">
        <f t="shared" si="8"/>
        <v>0.17335999999999999</v>
      </c>
      <c r="F94" s="85">
        <f t="shared" si="9"/>
        <v>0</v>
      </c>
      <c r="G94" s="148"/>
      <c r="H94" s="148"/>
      <c r="I94" s="1952"/>
      <c r="J94" s="1953"/>
      <c r="K94" s="1954"/>
      <c r="L94" s="1056" t="str">
        <f t="shared" si="3"/>
        <v/>
      </c>
      <c r="M94" s="49"/>
      <c r="N94" s="49"/>
      <c r="O94" s="1287" t="s">
        <v>92</v>
      </c>
      <c r="P94" s="1288"/>
      <c r="Q94" s="1232" t="s">
        <v>93</v>
      </c>
      <c r="R94" s="169"/>
      <c r="S94" s="167">
        <f>+'Emission Factors'!K40</f>
        <v>2.5420400000000001</v>
      </c>
      <c r="T94" s="146">
        <f t="shared" si="10"/>
        <v>0</v>
      </c>
      <c r="U94" s="1969"/>
      <c r="V94" s="1970"/>
      <c r="W94" s="1971"/>
      <c r="X94" s="185">
        <f>+'Emission Factors'!K46</f>
        <v>0</v>
      </c>
      <c r="Y94" s="77">
        <f t="shared" si="11"/>
        <v>0</v>
      </c>
      <c r="Z94" s="1056" t="str">
        <f t="shared" si="12"/>
        <v/>
      </c>
      <c r="AA94" s="49"/>
      <c r="AB94" s="49"/>
      <c r="AC94" s="49"/>
      <c r="AD94" s="49"/>
    </row>
    <row r="95" spans="1:30" ht="15" customHeight="1" x14ac:dyDescent="0.3">
      <c r="A95" s="320" t="s">
        <v>371</v>
      </c>
      <c r="B95" s="1913"/>
      <c r="C95" s="648" t="s">
        <v>99</v>
      </c>
      <c r="D95" s="1039"/>
      <c r="E95" s="382">
        <f t="shared" si="8"/>
        <v>0.10895000000000001</v>
      </c>
      <c r="F95" s="85">
        <f t="shared" si="9"/>
        <v>0</v>
      </c>
      <c r="G95" s="148"/>
      <c r="H95" s="148"/>
      <c r="I95" s="1952"/>
      <c r="J95" s="1953"/>
      <c r="K95" s="1954"/>
      <c r="L95" s="1056" t="str">
        <f t="shared" si="3"/>
        <v/>
      </c>
      <c r="M95" s="49"/>
      <c r="N95" s="49"/>
      <c r="O95" s="1287" t="s">
        <v>95</v>
      </c>
      <c r="P95" s="1288"/>
      <c r="Q95" s="1232" t="s">
        <v>83</v>
      </c>
      <c r="R95" s="169"/>
      <c r="S95" s="167">
        <f>+'Emission Factors'!K41</f>
        <v>1.5226</v>
      </c>
      <c r="T95" s="146">
        <f t="shared" si="10"/>
        <v>0</v>
      </c>
      <c r="U95" s="1969"/>
      <c r="V95" s="1970"/>
      <c r="W95" s="1971"/>
      <c r="X95" s="185">
        <f>+'Emission Factors'!K47</f>
        <v>0</v>
      </c>
      <c r="Y95" s="77">
        <f t="shared" si="11"/>
        <v>0</v>
      </c>
      <c r="Z95" s="1056" t="str">
        <f t="shared" si="12"/>
        <v/>
      </c>
      <c r="AA95" s="49"/>
      <c r="AB95" s="49"/>
      <c r="AC95" s="49"/>
      <c r="AD95" s="49"/>
    </row>
    <row r="96" spans="1:30" ht="15" customHeight="1" thickBot="1" x14ac:dyDescent="0.35">
      <c r="A96" s="320" t="s">
        <v>371</v>
      </c>
      <c r="B96" s="1913"/>
      <c r="C96" s="648" t="s">
        <v>100</v>
      </c>
      <c r="D96" s="1039"/>
      <c r="E96" s="382">
        <f t="shared" si="8"/>
        <v>0.13177</v>
      </c>
      <c r="F96" s="85">
        <f t="shared" si="9"/>
        <v>0</v>
      </c>
      <c r="G96" s="148"/>
      <c r="H96" s="148"/>
      <c r="I96" s="1952"/>
      <c r="J96" s="1953"/>
      <c r="K96" s="1954"/>
      <c r="L96" s="1056" t="str">
        <f t="shared" si="3"/>
        <v/>
      </c>
      <c r="M96" s="49"/>
      <c r="N96" s="49"/>
      <c r="O96" s="1284" t="s">
        <v>409</v>
      </c>
      <c r="P96" s="1285"/>
      <c r="Q96" s="1286"/>
      <c r="R96" s="170"/>
      <c r="S96" s="1488"/>
      <c r="T96" s="147">
        <f t="shared" si="10"/>
        <v>0</v>
      </c>
      <c r="U96" s="1975"/>
      <c r="V96" s="1976"/>
      <c r="W96" s="1977"/>
      <c r="X96" s="1488"/>
      <c r="Y96" s="80">
        <f t="shared" si="11"/>
        <v>0</v>
      </c>
      <c r="Z96" s="1122" t="str">
        <f>IF(R96&lt;0,"Error - negative number",IF(AND(R96&gt;0,S96=""),"Please enter CO2e factor",""))</f>
        <v/>
      </c>
      <c r="AA96" s="49"/>
      <c r="AB96" s="49"/>
      <c r="AC96" s="49"/>
      <c r="AD96" s="49"/>
    </row>
    <row r="97" spans="1:30" ht="15" customHeight="1" x14ac:dyDescent="0.3">
      <c r="A97" s="320" t="s">
        <v>371</v>
      </c>
      <c r="B97" s="1913"/>
      <c r="C97" s="648" t="s">
        <v>529</v>
      </c>
      <c r="D97" s="1039"/>
      <c r="E97" s="382">
        <f t="shared" si="8"/>
        <v>0.19900999999999999</v>
      </c>
      <c r="F97" s="85">
        <f t="shared" si="9"/>
        <v>0</v>
      </c>
      <c r="G97" s="148"/>
      <c r="H97" s="148"/>
      <c r="I97" s="1952"/>
      <c r="J97" s="1953"/>
      <c r="K97" s="1954"/>
      <c r="L97" s="1056" t="str">
        <f t="shared" si="3"/>
        <v/>
      </c>
      <c r="M97" s="49"/>
      <c r="N97" s="49"/>
      <c r="O97" s="1965" t="s">
        <v>367</v>
      </c>
      <c r="P97" s="1965"/>
      <c r="Q97" s="1965"/>
      <c r="R97" s="1965"/>
      <c r="S97" s="1965"/>
      <c r="T97" s="1965"/>
      <c r="U97" s="1965"/>
      <c r="V97" s="1965"/>
      <c r="W97" s="1965"/>
      <c r="X97" s="49"/>
      <c r="Y97" s="49"/>
      <c r="Z97" s="49"/>
      <c r="AA97" s="49"/>
      <c r="AB97" s="49"/>
      <c r="AC97" s="49"/>
      <c r="AD97" s="49"/>
    </row>
    <row r="98" spans="1:30" ht="15" customHeight="1" x14ac:dyDescent="0.3">
      <c r="A98" s="320" t="s">
        <v>371</v>
      </c>
      <c r="B98" s="1913"/>
      <c r="C98" s="648" t="s">
        <v>102</v>
      </c>
      <c r="D98" s="1039"/>
      <c r="E98" s="382">
        <f t="shared" si="8"/>
        <v>0.17710000000000001</v>
      </c>
      <c r="F98" s="85">
        <f t="shared" si="9"/>
        <v>0</v>
      </c>
      <c r="G98" s="148"/>
      <c r="H98" s="148"/>
      <c r="I98" s="1952"/>
      <c r="J98" s="1953"/>
      <c r="K98" s="1954"/>
      <c r="L98" s="1056" t="str">
        <f t="shared" si="3"/>
        <v/>
      </c>
      <c r="M98" s="49"/>
      <c r="N98" s="49"/>
      <c r="O98" s="1966"/>
      <c r="P98" s="1966"/>
      <c r="Q98" s="1966"/>
      <c r="R98" s="1966"/>
      <c r="S98" s="1966"/>
      <c r="T98" s="1966"/>
      <c r="U98" s="1966"/>
      <c r="V98" s="1966"/>
      <c r="W98" s="1966"/>
      <c r="X98" s="49"/>
      <c r="Y98" s="49"/>
      <c r="Z98" s="49"/>
      <c r="AA98" s="49"/>
      <c r="AB98" s="49"/>
      <c r="AC98" s="49"/>
      <c r="AD98" s="49"/>
    </row>
    <row r="99" spans="1:30" ht="15" customHeight="1" x14ac:dyDescent="0.3">
      <c r="A99" s="320" t="s">
        <v>371</v>
      </c>
      <c r="B99" s="1913"/>
      <c r="C99" s="648" t="s">
        <v>103</v>
      </c>
      <c r="D99" s="1039"/>
      <c r="E99" s="382">
        <f t="shared" si="8"/>
        <v>8.4449999999999997E-2</v>
      </c>
      <c r="F99" s="85">
        <f t="shared" si="9"/>
        <v>0</v>
      </c>
      <c r="G99" s="148"/>
      <c r="H99" s="148"/>
      <c r="I99" s="1952"/>
      <c r="J99" s="1953"/>
      <c r="K99" s="1954"/>
      <c r="L99" s="1056" t="str">
        <f t="shared" si="3"/>
        <v/>
      </c>
      <c r="M99" s="49"/>
      <c r="N99" s="49"/>
      <c r="O99" s="1966"/>
      <c r="P99" s="1966"/>
      <c r="Q99" s="1966"/>
      <c r="R99" s="1966"/>
      <c r="S99" s="1966"/>
      <c r="T99" s="1966"/>
      <c r="U99" s="1966"/>
      <c r="V99" s="1966"/>
      <c r="W99" s="1966"/>
      <c r="X99" s="49"/>
      <c r="Y99" s="49"/>
      <c r="Z99" s="49"/>
      <c r="AA99" s="49"/>
      <c r="AB99" s="49"/>
      <c r="AC99" s="49"/>
      <c r="AD99" s="49"/>
    </row>
    <row r="100" spans="1:30" ht="15" customHeight="1" x14ac:dyDescent="0.3">
      <c r="A100" s="320" t="s">
        <v>371</v>
      </c>
      <c r="B100" s="1913"/>
      <c r="C100" s="648" t="s">
        <v>104</v>
      </c>
      <c r="D100" s="1039"/>
      <c r="E100" s="382">
        <f t="shared" si="8"/>
        <v>0.10289</v>
      </c>
      <c r="F100" s="85">
        <f t="shared" si="9"/>
        <v>0</v>
      </c>
      <c r="G100" s="148"/>
      <c r="H100" s="148"/>
      <c r="I100" s="1952"/>
      <c r="J100" s="1953"/>
      <c r="K100" s="1954"/>
      <c r="L100" s="1056" t="str">
        <f t="shared" si="3"/>
        <v/>
      </c>
      <c r="M100" s="49"/>
      <c r="N100" s="49"/>
      <c r="O100" s="1966"/>
      <c r="P100" s="1966"/>
      <c r="Q100" s="1966"/>
      <c r="R100" s="1966"/>
      <c r="S100" s="1966"/>
      <c r="T100" s="1966"/>
      <c r="U100" s="1966"/>
      <c r="V100" s="1966"/>
      <c r="W100" s="1966"/>
      <c r="X100" s="49"/>
      <c r="Y100" s="49"/>
      <c r="Z100" s="49"/>
      <c r="AA100" s="49"/>
      <c r="AB100" s="49"/>
      <c r="AC100" s="49"/>
      <c r="AD100" s="49"/>
    </row>
    <row r="101" spans="1:30" ht="15" customHeight="1" x14ac:dyDescent="0.3">
      <c r="A101" s="320" t="s">
        <v>371</v>
      </c>
      <c r="B101" s="1913"/>
      <c r="C101" s="648" t="s">
        <v>105</v>
      </c>
      <c r="D101" s="1039"/>
      <c r="E101" s="382">
        <f t="shared" si="8"/>
        <v>0.13500999999999999</v>
      </c>
      <c r="F101" s="85">
        <f t="shared" si="9"/>
        <v>0</v>
      </c>
      <c r="G101" s="148"/>
      <c r="H101" s="148"/>
      <c r="I101" s="1952"/>
      <c r="J101" s="1953"/>
      <c r="K101" s="1954"/>
      <c r="L101" s="1056" t="str">
        <f t="shared" si="3"/>
        <v/>
      </c>
      <c r="M101" s="49"/>
      <c r="N101" s="49"/>
      <c r="O101" s="49"/>
      <c r="P101" s="49"/>
      <c r="Q101" s="49"/>
      <c r="R101" s="49"/>
      <c r="S101" s="49"/>
      <c r="T101" s="49"/>
      <c r="U101" s="49"/>
      <c r="V101" s="49"/>
      <c r="W101" s="49"/>
      <c r="X101" s="49"/>
      <c r="Y101" s="49"/>
      <c r="Z101" s="49"/>
      <c r="AA101" s="49"/>
      <c r="AB101" s="49"/>
      <c r="AC101" s="49"/>
      <c r="AD101" s="49"/>
    </row>
    <row r="102" spans="1:30" ht="15" customHeight="1" x14ac:dyDescent="0.3">
      <c r="A102" s="320" t="s">
        <v>371</v>
      </c>
      <c r="B102" s="1913"/>
      <c r="C102" s="648" t="s">
        <v>106</v>
      </c>
      <c r="D102" s="1039"/>
      <c r="E102" s="382">
        <f t="shared" si="8"/>
        <v>0.11551</v>
      </c>
      <c r="F102" s="85">
        <f t="shared" si="9"/>
        <v>0</v>
      </c>
      <c r="G102" s="148"/>
      <c r="H102" s="148"/>
      <c r="I102" s="1952"/>
      <c r="J102" s="1953"/>
      <c r="K102" s="1954"/>
      <c r="L102" s="1056" t="str">
        <f t="shared" si="3"/>
        <v/>
      </c>
      <c r="M102" s="49"/>
      <c r="N102" s="49"/>
      <c r="O102" s="49"/>
      <c r="P102" s="49"/>
      <c r="Q102" s="49"/>
      <c r="R102" s="49"/>
      <c r="S102" s="49"/>
      <c r="T102" s="49"/>
      <c r="U102" s="49"/>
      <c r="V102" s="49"/>
      <c r="W102" s="49"/>
      <c r="X102" s="49"/>
      <c r="Y102" s="49"/>
      <c r="Z102" s="49"/>
      <c r="AA102" s="49"/>
      <c r="AB102" s="49"/>
      <c r="AC102" s="49"/>
      <c r="AD102" s="49"/>
    </row>
    <row r="103" spans="1:30" ht="15" customHeight="1" x14ac:dyDescent="0.3">
      <c r="A103" s="320" t="s">
        <v>371</v>
      </c>
      <c r="B103" s="1913"/>
      <c r="C103" s="649" t="s">
        <v>410</v>
      </c>
      <c r="D103" s="1039"/>
      <c r="E103" s="1036"/>
      <c r="F103" s="85">
        <f t="shared" si="9"/>
        <v>0</v>
      </c>
      <c r="G103" s="148"/>
      <c r="H103" s="148"/>
      <c r="I103" s="1952"/>
      <c r="J103" s="1953"/>
      <c r="K103" s="1954"/>
      <c r="L103" s="1056" t="str">
        <f t="shared" si="3"/>
        <v/>
      </c>
      <c r="M103" s="49"/>
      <c r="N103" s="49"/>
      <c r="O103" s="49"/>
      <c r="P103" s="49"/>
      <c r="Q103" s="49"/>
      <c r="R103" s="49"/>
      <c r="S103" s="49"/>
      <c r="T103" s="49"/>
      <c r="U103" s="49"/>
      <c r="V103" s="49"/>
      <c r="W103" s="49"/>
      <c r="X103" s="49"/>
      <c r="Y103" s="49"/>
      <c r="Z103" s="49"/>
      <c r="AA103" s="49"/>
      <c r="AB103" s="49"/>
      <c r="AC103" s="49"/>
      <c r="AD103" s="49"/>
    </row>
    <row r="104" spans="1:30" ht="15" customHeight="1" x14ac:dyDescent="0.3">
      <c r="A104" s="320" t="s">
        <v>371</v>
      </c>
      <c r="B104" s="1913"/>
      <c r="C104" s="649" t="s">
        <v>411</v>
      </c>
      <c r="D104" s="1039"/>
      <c r="E104" s="1036"/>
      <c r="F104" s="85">
        <f t="shared" si="9"/>
        <v>0</v>
      </c>
      <c r="G104" s="148"/>
      <c r="H104" s="148"/>
      <c r="I104" s="1952"/>
      <c r="J104" s="1953"/>
      <c r="K104" s="1954"/>
      <c r="L104" s="1056" t="str">
        <f t="shared" si="3"/>
        <v/>
      </c>
      <c r="M104" s="49"/>
      <c r="N104" s="49"/>
      <c r="O104" s="49"/>
      <c r="P104" s="49"/>
      <c r="Q104" s="49"/>
      <c r="R104" s="49"/>
      <c r="S104" s="49"/>
      <c r="T104" s="49"/>
      <c r="U104" s="49"/>
      <c r="V104" s="49"/>
      <c r="W104" s="49"/>
      <c r="X104" s="49"/>
      <c r="Y104" s="49"/>
      <c r="Z104" s="49"/>
      <c r="AA104" s="49"/>
      <c r="AB104" s="49"/>
      <c r="AC104" s="49"/>
      <c r="AD104" s="49"/>
    </row>
    <row r="105" spans="1:30" ht="15" customHeight="1" x14ac:dyDescent="0.3">
      <c r="A105" s="320" t="s">
        <v>371</v>
      </c>
      <c r="B105" s="1913"/>
      <c r="C105" s="649" t="s">
        <v>412</v>
      </c>
      <c r="D105" s="1039"/>
      <c r="E105" s="1036"/>
      <c r="F105" s="85">
        <f t="shared" si="9"/>
        <v>0</v>
      </c>
      <c r="G105" s="148"/>
      <c r="H105" s="148"/>
      <c r="I105" s="1952"/>
      <c r="J105" s="1953"/>
      <c r="K105" s="1954"/>
      <c r="L105" s="1056" t="str">
        <f t="shared" si="3"/>
        <v/>
      </c>
      <c r="M105" s="49"/>
      <c r="N105" s="49"/>
      <c r="O105" s="49"/>
      <c r="P105" s="49"/>
      <c r="Q105" s="49"/>
      <c r="R105" s="49"/>
      <c r="S105" s="49"/>
      <c r="T105" s="49"/>
      <c r="U105" s="49"/>
      <c r="V105" s="49"/>
      <c r="W105" s="49"/>
      <c r="X105" s="49"/>
      <c r="Y105" s="49"/>
      <c r="Z105" s="49"/>
      <c r="AA105" s="49"/>
      <c r="AB105" s="49"/>
      <c r="AC105" s="49"/>
      <c r="AD105" s="49"/>
    </row>
    <row r="106" spans="1:30" ht="15" customHeight="1" x14ac:dyDescent="0.3">
      <c r="A106" s="320"/>
      <c r="B106" s="1913"/>
      <c r="C106" s="649" t="s">
        <v>509</v>
      </c>
      <c r="D106" s="1039"/>
      <c r="E106" s="1036"/>
      <c r="F106" s="85">
        <f t="shared" si="9"/>
        <v>0</v>
      </c>
      <c r="G106" s="148"/>
      <c r="H106" s="148"/>
      <c r="I106" s="1952"/>
      <c r="J106" s="1953"/>
      <c r="K106" s="1954"/>
      <c r="L106" s="1056" t="str">
        <f t="shared" si="3"/>
        <v/>
      </c>
      <c r="M106" s="49"/>
      <c r="N106" s="49"/>
      <c r="O106" s="49"/>
      <c r="P106" s="49"/>
      <c r="Q106" s="49"/>
      <c r="R106" s="49"/>
      <c r="S106" s="49"/>
      <c r="T106" s="49"/>
      <c r="U106" s="49"/>
      <c r="V106" s="49"/>
      <c r="W106" s="49"/>
      <c r="X106" s="49"/>
      <c r="Y106" s="49"/>
      <c r="Z106" s="49"/>
      <c r="AA106" s="49"/>
      <c r="AB106" s="49"/>
      <c r="AC106" s="49"/>
      <c r="AD106" s="49"/>
    </row>
    <row r="107" spans="1:30" ht="15" customHeight="1" thickBot="1" x14ac:dyDescent="0.35">
      <c r="A107" s="320"/>
      <c r="B107" s="1914"/>
      <c r="C107" s="649" t="s">
        <v>510</v>
      </c>
      <c r="D107" s="1039"/>
      <c r="E107" s="81"/>
      <c r="F107" s="85">
        <f t="shared" si="9"/>
        <v>0</v>
      </c>
      <c r="G107" s="148"/>
      <c r="H107" s="148"/>
      <c r="I107" s="2109"/>
      <c r="J107" s="2110"/>
      <c r="K107" s="2111"/>
      <c r="L107" s="1056" t="str">
        <f t="shared" si="3"/>
        <v/>
      </c>
      <c r="M107" s="49"/>
      <c r="N107" s="49"/>
      <c r="O107" s="49"/>
      <c r="P107" s="49"/>
      <c r="Q107" s="49"/>
      <c r="R107" s="49"/>
      <c r="S107" s="49"/>
      <c r="T107" s="49"/>
      <c r="U107" s="49"/>
      <c r="V107" s="49"/>
      <c r="W107" s="49"/>
      <c r="X107" s="49"/>
      <c r="Y107" s="49"/>
      <c r="Z107" s="49"/>
      <c r="AA107" s="49"/>
      <c r="AB107" s="49"/>
      <c r="AC107" s="49"/>
      <c r="AD107" s="49"/>
    </row>
    <row r="108" spans="1:30" ht="15.75" customHeight="1" thickBot="1" x14ac:dyDescent="0.35">
      <c r="A108" s="320"/>
      <c r="B108" s="1955" t="s">
        <v>112</v>
      </c>
      <c r="C108" s="1956"/>
      <c r="D108" s="44">
        <f>SUM(D109:D121)</f>
        <v>0</v>
      </c>
      <c r="E108" s="379" t="str">
        <f>IF(D108&lt;&gt;0,F108*1000/D108,"")</f>
        <v/>
      </c>
      <c r="F108" s="171">
        <f>SUM(F109:F121)</f>
        <v>0</v>
      </c>
      <c r="G108" s="148"/>
      <c r="H108" s="148"/>
      <c r="I108" s="2083"/>
      <c r="J108" s="2084"/>
      <c r="K108" s="2085"/>
      <c r="L108" s="1119" t="str">
        <f t="shared" si="3"/>
        <v/>
      </c>
      <c r="M108" s="49"/>
      <c r="N108" s="49"/>
      <c r="O108" s="49"/>
      <c r="P108" s="49"/>
      <c r="Q108" s="49"/>
      <c r="R108" s="49"/>
      <c r="S108" s="49"/>
      <c r="T108" s="49"/>
      <c r="U108" s="49"/>
      <c r="V108" s="49"/>
      <c r="W108" s="49"/>
      <c r="X108" s="49"/>
      <c r="Y108" s="49"/>
      <c r="Z108" s="49"/>
      <c r="AA108" s="49"/>
      <c r="AB108" s="49"/>
      <c r="AC108" s="49"/>
      <c r="AD108" s="49"/>
    </row>
    <row r="109" spans="1:30" ht="15" customHeight="1" x14ac:dyDescent="0.3">
      <c r="A109" s="320" t="s">
        <v>371</v>
      </c>
      <c r="B109" s="1883" t="s">
        <v>113</v>
      </c>
      <c r="C109" s="46" t="s">
        <v>114</v>
      </c>
      <c r="D109" s="1037"/>
      <c r="E109" s="381">
        <f>+'Emission Factors'!K88</f>
        <v>0.13483000000000001</v>
      </c>
      <c r="F109" s="385">
        <f t="shared" ref="F109:F121" si="13">(D109*E109)/1000</f>
        <v>0</v>
      </c>
      <c r="G109" s="148"/>
      <c r="H109" s="148"/>
      <c r="I109" s="1915"/>
      <c r="J109" s="1916"/>
      <c r="K109" s="1917"/>
      <c r="L109" s="1120" t="str">
        <f t="shared" si="3"/>
        <v/>
      </c>
      <c r="M109" s="49"/>
      <c r="N109" s="49"/>
      <c r="O109" s="49"/>
      <c r="P109" s="49"/>
      <c r="Q109" s="49"/>
      <c r="R109" s="49"/>
      <c r="S109" s="49"/>
      <c r="T109" s="49"/>
      <c r="U109" s="49"/>
      <c r="V109" s="49"/>
      <c r="W109" s="49"/>
      <c r="X109" s="49"/>
      <c r="Y109" s="49"/>
      <c r="Z109" s="49"/>
      <c r="AA109" s="49"/>
      <c r="AB109" s="49"/>
      <c r="AC109" s="49"/>
      <c r="AD109" s="49"/>
    </row>
    <row r="110" spans="1:30" ht="15" customHeight="1" x14ac:dyDescent="0.3">
      <c r="A110" s="320" t="s">
        <v>371</v>
      </c>
      <c r="B110" s="1884"/>
      <c r="C110" s="648" t="s">
        <v>115</v>
      </c>
      <c r="D110" s="1038"/>
      <c r="E110" s="382">
        <f>+'Emission Factors'!K89</f>
        <v>4.1149999999999999E-2</v>
      </c>
      <c r="F110" s="385">
        <f t="shared" si="13"/>
        <v>0</v>
      </c>
      <c r="G110" s="148"/>
      <c r="H110" s="148"/>
      <c r="I110" s="1952"/>
      <c r="J110" s="1953"/>
      <c r="K110" s="1954"/>
      <c r="L110" s="1056" t="str">
        <f t="shared" si="3"/>
        <v/>
      </c>
      <c r="M110" s="49"/>
      <c r="N110" s="49"/>
      <c r="O110" s="49"/>
      <c r="P110" s="49"/>
      <c r="Q110" s="49"/>
      <c r="R110" s="49"/>
      <c r="S110" s="49"/>
      <c r="T110" s="49"/>
      <c r="U110" s="49"/>
      <c r="V110" s="49"/>
      <c r="W110" s="49"/>
      <c r="X110" s="49"/>
      <c r="Y110" s="49"/>
      <c r="Z110" s="49"/>
      <c r="AA110" s="49"/>
      <c r="AB110" s="49"/>
      <c r="AC110" s="49"/>
      <c r="AD110" s="49"/>
    </row>
    <row r="111" spans="1:30" ht="15" customHeight="1" x14ac:dyDescent="0.3">
      <c r="A111" s="320" t="s">
        <v>371</v>
      </c>
      <c r="B111" s="1884"/>
      <c r="C111" s="648" t="s">
        <v>116</v>
      </c>
      <c r="D111" s="1038"/>
      <c r="E111" s="382">
        <f>+'Emission Factors'!K90</f>
        <v>3.508E-2</v>
      </c>
      <c r="F111" s="385">
        <f t="shared" si="13"/>
        <v>0</v>
      </c>
      <c r="G111" s="148"/>
      <c r="H111" s="148"/>
      <c r="I111" s="1952"/>
      <c r="J111" s="1953"/>
      <c r="K111" s="1954"/>
      <c r="L111" s="1056" t="str">
        <f t="shared" si="3"/>
        <v/>
      </c>
      <c r="M111" s="49"/>
      <c r="N111" s="49"/>
      <c r="O111" s="49"/>
      <c r="P111" s="49"/>
      <c r="Q111" s="49"/>
      <c r="R111" s="49"/>
      <c r="S111" s="49"/>
      <c r="T111" s="49"/>
      <c r="U111" s="49"/>
      <c r="V111" s="49"/>
      <c r="W111" s="49"/>
      <c r="X111" s="49"/>
      <c r="Y111" s="49"/>
      <c r="Z111" s="49"/>
      <c r="AA111" s="49"/>
      <c r="AB111" s="49"/>
      <c r="AC111" s="49"/>
      <c r="AD111" s="49"/>
    </row>
    <row r="112" spans="1:30" ht="15" customHeight="1" x14ac:dyDescent="0.3">
      <c r="A112" s="320" t="s">
        <v>371</v>
      </c>
      <c r="B112" s="1884"/>
      <c r="C112" s="648" t="s">
        <v>117</v>
      </c>
      <c r="D112" s="1038"/>
      <c r="E112" s="382">
        <f>+'Emission Factors'!K91</f>
        <v>3.0839999999999999E-2</v>
      </c>
      <c r="F112" s="385">
        <f t="shared" si="13"/>
        <v>0</v>
      </c>
      <c r="G112" s="148"/>
      <c r="H112" s="148"/>
      <c r="I112" s="1952"/>
      <c r="J112" s="1953"/>
      <c r="K112" s="1954"/>
      <c r="L112" s="1056" t="str">
        <f t="shared" si="3"/>
        <v/>
      </c>
      <c r="M112" s="49"/>
      <c r="N112" s="49"/>
      <c r="O112" s="49"/>
      <c r="P112" s="49"/>
      <c r="Q112" s="49"/>
      <c r="R112" s="49"/>
      <c r="S112" s="49"/>
      <c r="T112" s="49"/>
      <c r="U112" s="49"/>
      <c r="V112" s="49"/>
      <c r="W112" s="49"/>
      <c r="X112" s="49"/>
      <c r="Y112" s="49"/>
      <c r="Z112" s="49"/>
      <c r="AA112" s="49"/>
      <c r="AB112" s="49"/>
      <c r="AC112" s="49"/>
      <c r="AD112" s="49"/>
    </row>
    <row r="113" spans="1:30" ht="15" customHeight="1" x14ac:dyDescent="0.3">
      <c r="A113" s="320" t="s">
        <v>371</v>
      </c>
      <c r="B113" s="1884"/>
      <c r="C113" s="648" t="s">
        <v>118</v>
      </c>
      <c r="D113" s="1038"/>
      <c r="E113" s="382">
        <f>+'Emission Factors'!K92</f>
        <v>0.15018000000000001</v>
      </c>
      <c r="F113" s="385">
        <f t="shared" si="13"/>
        <v>0</v>
      </c>
      <c r="G113" s="148"/>
      <c r="H113" s="148"/>
      <c r="I113" s="1952"/>
      <c r="J113" s="1953"/>
      <c r="K113" s="1954"/>
      <c r="L113" s="1056" t="str">
        <f t="shared" si="3"/>
        <v/>
      </c>
      <c r="M113" s="49"/>
      <c r="N113" s="49"/>
      <c r="O113" s="49"/>
      <c r="P113" s="49"/>
      <c r="Q113" s="49"/>
      <c r="R113" s="49"/>
      <c r="S113" s="49"/>
      <c r="T113" s="49"/>
      <c r="U113" s="49"/>
      <c r="V113" s="49"/>
      <c r="W113" s="49"/>
      <c r="X113" s="49"/>
      <c r="Y113" s="49"/>
      <c r="Z113" s="49"/>
      <c r="AA113" s="49"/>
      <c r="AB113" s="49"/>
      <c r="AC113" s="49"/>
      <c r="AD113" s="49"/>
    </row>
    <row r="114" spans="1:30" ht="15" customHeight="1" x14ac:dyDescent="0.3">
      <c r="A114" s="320" t="s">
        <v>371</v>
      </c>
      <c r="B114" s="1884"/>
      <c r="C114" s="648" t="s">
        <v>119</v>
      </c>
      <c r="D114" s="1038"/>
      <c r="E114" s="382">
        <f>+'Emission Factors'!K93</f>
        <v>0.21176</v>
      </c>
      <c r="F114" s="385">
        <f t="shared" si="13"/>
        <v>0</v>
      </c>
      <c r="G114" s="148"/>
      <c r="H114" s="148"/>
      <c r="I114" s="1952"/>
      <c r="J114" s="1953"/>
      <c r="K114" s="1954"/>
      <c r="L114" s="1056" t="str">
        <f t="shared" si="3"/>
        <v/>
      </c>
      <c r="M114" s="49"/>
      <c r="N114" s="49"/>
      <c r="O114" s="49"/>
      <c r="P114" s="49"/>
      <c r="Q114" s="49"/>
      <c r="R114" s="49"/>
      <c r="S114" s="49"/>
      <c r="T114" s="49"/>
      <c r="U114" s="49"/>
      <c r="V114" s="49"/>
      <c r="W114" s="49"/>
      <c r="X114" s="49"/>
      <c r="Y114" s="49"/>
      <c r="Z114" s="49"/>
      <c r="AA114" s="49"/>
      <c r="AB114" s="49"/>
      <c r="AC114" s="49"/>
      <c r="AD114" s="49"/>
    </row>
    <row r="115" spans="1:30" ht="15" customHeight="1" x14ac:dyDescent="0.3">
      <c r="A115" s="320" t="s">
        <v>371</v>
      </c>
      <c r="B115" s="1884"/>
      <c r="C115" s="648" t="s">
        <v>120</v>
      </c>
      <c r="D115" s="1038"/>
      <c r="E115" s="382">
        <f>+'Emission Factors'!K94</f>
        <v>0.12076000000000001</v>
      </c>
      <c r="F115" s="385">
        <f t="shared" si="13"/>
        <v>0</v>
      </c>
      <c r="G115" s="148"/>
      <c r="H115" s="148"/>
      <c r="I115" s="1952"/>
      <c r="J115" s="1953"/>
      <c r="K115" s="1954"/>
      <c r="L115" s="1056" t="str">
        <f t="shared" si="3"/>
        <v/>
      </c>
      <c r="M115" s="49"/>
      <c r="N115" s="49"/>
      <c r="O115" s="49"/>
      <c r="P115" s="49"/>
      <c r="Q115" s="49"/>
      <c r="R115" s="49"/>
      <c r="S115" s="49"/>
      <c r="T115" s="49"/>
      <c r="U115" s="49"/>
      <c r="V115" s="49"/>
      <c r="W115" s="49"/>
      <c r="X115" s="49"/>
      <c r="Y115" s="49"/>
      <c r="Z115" s="49"/>
      <c r="AA115" s="49"/>
      <c r="AB115" s="49"/>
      <c r="AC115" s="49"/>
      <c r="AD115" s="49"/>
    </row>
    <row r="116" spans="1:30" ht="15" customHeight="1" x14ac:dyDescent="0.3">
      <c r="A116" s="320" t="s">
        <v>371</v>
      </c>
      <c r="B116" s="1884"/>
      <c r="C116" s="648" t="s">
        <v>121</v>
      </c>
      <c r="D116" s="1038"/>
      <c r="E116" s="382">
        <f>+'Emission Factors'!K95</f>
        <v>8.208E-2</v>
      </c>
      <c r="F116" s="385">
        <f t="shared" si="13"/>
        <v>0</v>
      </c>
      <c r="G116" s="148"/>
      <c r="H116" s="148"/>
      <c r="I116" s="1952"/>
      <c r="J116" s="1953"/>
      <c r="K116" s="1954"/>
      <c r="L116" s="1056" t="str">
        <f t="shared" si="3"/>
        <v/>
      </c>
      <c r="M116" s="49"/>
      <c r="N116" s="49"/>
      <c r="O116" s="49"/>
      <c r="P116" s="49"/>
      <c r="Q116" s="49"/>
      <c r="R116" s="49"/>
      <c r="S116" s="49"/>
      <c r="T116" s="49"/>
      <c r="U116" s="49"/>
      <c r="V116" s="49"/>
      <c r="W116" s="49"/>
      <c r="X116" s="49"/>
      <c r="Y116" s="49"/>
      <c r="Z116" s="49"/>
      <c r="AA116" s="49"/>
      <c r="AB116" s="49"/>
      <c r="AC116" s="49"/>
      <c r="AD116" s="49"/>
    </row>
    <row r="117" spans="1:30" ht="15" customHeight="1" x14ac:dyDescent="0.3">
      <c r="A117" s="320" t="s">
        <v>371</v>
      </c>
      <c r="B117" s="1884"/>
      <c r="C117" s="648" t="s">
        <v>122</v>
      </c>
      <c r="D117" s="1038"/>
      <c r="E117" s="382">
        <f>+'Emission Factors'!K96</f>
        <v>0.10471</v>
      </c>
      <c r="F117" s="385">
        <f t="shared" si="13"/>
        <v>0</v>
      </c>
      <c r="G117" s="148"/>
      <c r="H117" s="148"/>
      <c r="I117" s="1952"/>
      <c r="J117" s="1953"/>
      <c r="K117" s="1954"/>
      <c r="L117" s="1056" t="str">
        <f t="shared" si="3"/>
        <v/>
      </c>
      <c r="M117" s="49"/>
      <c r="N117" s="49"/>
      <c r="O117" s="49"/>
      <c r="P117" s="49"/>
      <c r="Q117" s="49"/>
      <c r="R117" s="49"/>
      <c r="S117" s="49"/>
      <c r="T117" s="49"/>
      <c r="U117" s="49"/>
      <c r="V117" s="49"/>
      <c r="W117" s="49"/>
      <c r="X117" s="49"/>
      <c r="Y117" s="49"/>
      <c r="Z117" s="49"/>
      <c r="AA117" s="49"/>
      <c r="AB117" s="49"/>
      <c r="AC117" s="49"/>
      <c r="AD117" s="49"/>
    </row>
    <row r="118" spans="1:30" ht="15" customHeight="1" x14ac:dyDescent="0.3">
      <c r="A118" s="320" t="s">
        <v>371</v>
      </c>
      <c r="B118" s="1884"/>
      <c r="C118" s="648" t="s">
        <v>123</v>
      </c>
      <c r="D118" s="1038"/>
      <c r="E118" s="382">
        <f>+'Emission Factors'!K97</f>
        <v>2.7789999999999999E-2</v>
      </c>
      <c r="F118" s="385">
        <f t="shared" si="13"/>
        <v>0</v>
      </c>
      <c r="G118" s="148"/>
      <c r="H118" s="148"/>
      <c r="I118" s="1952"/>
      <c r="J118" s="1953"/>
      <c r="K118" s="1954"/>
      <c r="L118" s="1056" t="str">
        <f t="shared" si="3"/>
        <v/>
      </c>
      <c r="M118" s="49"/>
      <c r="N118" s="49"/>
      <c r="O118" s="49"/>
      <c r="P118" s="49"/>
      <c r="Q118" s="49"/>
      <c r="R118" s="49"/>
      <c r="S118" s="49"/>
      <c r="T118" s="49"/>
      <c r="U118" s="49"/>
      <c r="V118" s="49"/>
      <c r="W118" s="49"/>
      <c r="X118" s="49"/>
      <c r="Y118" s="49"/>
      <c r="Z118" s="49"/>
      <c r="AA118" s="49"/>
      <c r="AB118" s="49"/>
      <c r="AC118" s="49"/>
      <c r="AD118" s="49"/>
    </row>
    <row r="119" spans="1:30" ht="15" customHeight="1" x14ac:dyDescent="0.3">
      <c r="A119" s="320" t="s">
        <v>371</v>
      </c>
      <c r="B119" s="1884"/>
      <c r="C119" s="649" t="s">
        <v>410</v>
      </c>
      <c r="D119" s="1038"/>
      <c r="E119" s="1036"/>
      <c r="F119" s="385">
        <f t="shared" si="13"/>
        <v>0</v>
      </c>
      <c r="G119" s="148"/>
      <c r="H119" s="148"/>
      <c r="I119" s="1952"/>
      <c r="J119" s="1953"/>
      <c r="K119" s="1954"/>
      <c r="L119" s="1056" t="str">
        <f t="shared" si="3"/>
        <v/>
      </c>
      <c r="M119" s="49"/>
      <c r="N119" s="49"/>
      <c r="O119" s="49"/>
      <c r="P119" s="49"/>
      <c r="Q119" s="49"/>
      <c r="R119" s="49"/>
      <c r="S119" s="49"/>
      <c r="T119" s="49"/>
      <c r="U119" s="49"/>
      <c r="V119" s="49"/>
      <c r="W119" s="49"/>
      <c r="X119" s="49"/>
      <c r="Y119" s="49"/>
      <c r="Z119" s="49"/>
      <c r="AA119" s="49"/>
      <c r="AB119" s="49"/>
      <c r="AC119" s="49"/>
      <c r="AD119" s="49"/>
    </row>
    <row r="120" spans="1:30" ht="15" customHeight="1" x14ac:dyDescent="0.3">
      <c r="A120" s="320" t="s">
        <v>371</v>
      </c>
      <c r="B120" s="1884"/>
      <c r="C120" s="649" t="s">
        <v>411</v>
      </c>
      <c r="D120" s="1038"/>
      <c r="E120" s="1036"/>
      <c r="F120" s="385">
        <f t="shared" si="13"/>
        <v>0</v>
      </c>
      <c r="G120" s="148"/>
      <c r="H120" s="148"/>
      <c r="I120" s="1952"/>
      <c r="J120" s="1953"/>
      <c r="K120" s="1954"/>
      <c r="L120" s="1056" t="str">
        <f t="shared" si="3"/>
        <v/>
      </c>
      <c r="M120" s="49"/>
      <c r="N120" s="49"/>
      <c r="O120" s="49"/>
      <c r="P120" s="49"/>
      <c r="Q120" s="49"/>
      <c r="R120" s="49"/>
      <c r="S120" s="49"/>
      <c r="T120" s="49"/>
      <c r="U120" s="49"/>
      <c r="V120" s="49"/>
      <c r="W120" s="49"/>
      <c r="X120" s="49"/>
      <c r="Y120" s="49"/>
      <c r="Z120" s="49"/>
      <c r="AA120" s="49"/>
      <c r="AB120" s="49"/>
      <c r="AC120" s="49"/>
      <c r="AD120" s="49"/>
    </row>
    <row r="121" spans="1:30" ht="15" customHeight="1" thickBot="1" x14ac:dyDescent="0.35">
      <c r="A121" s="320" t="s">
        <v>371</v>
      </c>
      <c r="B121" s="1884"/>
      <c r="C121" s="649" t="s">
        <v>412</v>
      </c>
      <c r="D121" s="1039"/>
      <c r="E121" s="1036"/>
      <c r="F121" s="85">
        <f t="shared" si="13"/>
        <v>0</v>
      </c>
      <c r="G121" s="148"/>
      <c r="H121" s="148"/>
      <c r="I121" s="1952"/>
      <c r="J121" s="1953"/>
      <c r="K121" s="1954"/>
      <c r="L121" s="1056" t="str">
        <f t="shared" si="3"/>
        <v/>
      </c>
      <c r="M121" s="49"/>
      <c r="N121" s="49"/>
      <c r="O121" s="49"/>
      <c r="P121" s="49"/>
      <c r="Q121" s="49"/>
      <c r="R121" s="49"/>
      <c r="S121" s="49"/>
      <c r="T121" s="49"/>
      <c r="U121" s="49"/>
      <c r="V121" s="49"/>
      <c r="W121" s="49"/>
      <c r="X121" s="49"/>
      <c r="Y121" s="49"/>
      <c r="Z121" s="49"/>
      <c r="AA121" s="49"/>
      <c r="AB121" s="49"/>
      <c r="AC121" s="49"/>
      <c r="AD121" s="49"/>
    </row>
    <row r="122" spans="1:30" ht="14.4" thickBot="1" x14ac:dyDescent="0.35">
      <c r="A122" s="320"/>
      <c r="B122" s="656" t="s">
        <v>406</v>
      </c>
      <c r="C122" s="658" t="s">
        <v>405</v>
      </c>
      <c r="D122" s="1049"/>
      <c r="E122" s="389">
        <v>0</v>
      </c>
      <c r="F122" s="389"/>
      <c r="G122" s="1112"/>
      <c r="H122" s="1113"/>
      <c r="I122" s="1996"/>
      <c r="J122" s="1997"/>
      <c r="K122" s="1998"/>
      <c r="L122" s="1119" t="str">
        <f t="shared" si="3"/>
        <v/>
      </c>
      <c r="M122" s="49"/>
      <c r="N122" s="49"/>
      <c r="O122" s="49"/>
      <c r="P122" s="49"/>
      <c r="Q122" s="49"/>
      <c r="R122" s="49"/>
      <c r="S122" s="49"/>
      <c r="T122" s="49"/>
      <c r="U122" s="49"/>
      <c r="V122" s="49"/>
      <c r="W122" s="49"/>
      <c r="X122" s="49"/>
      <c r="Y122" s="49"/>
      <c r="Z122" s="49"/>
      <c r="AA122" s="49"/>
      <c r="AB122" s="49"/>
      <c r="AC122" s="49"/>
      <c r="AD122" s="49"/>
    </row>
    <row r="123" spans="1:30" ht="13.5" customHeight="1" thickBot="1" x14ac:dyDescent="0.35">
      <c r="A123" s="320"/>
      <c r="B123" s="1093" t="s">
        <v>124</v>
      </c>
      <c r="C123" s="387"/>
      <c r="D123" s="654"/>
      <c r="E123" s="481"/>
      <c r="F123" s="1111">
        <f>+F19+F53+F64+T67+F86+T89+F108</f>
        <v>0</v>
      </c>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row>
    <row r="124" spans="1:30" s="589" customFormat="1" ht="15" thickBot="1" x14ac:dyDescent="0.35">
      <c r="A124" s="391"/>
      <c r="B124" s="392" t="s">
        <v>125</v>
      </c>
      <c r="C124" s="393"/>
      <c r="D124" s="393"/>
      <c r="E124" s="393"/>
      <c r="F124" s="393"/>
      <c r="G124" s="393"/>
      <c r="H124" s="394"/>
      <c r="I124" s="395"/>
      <c r="J124" s="396"/>
      <c r="K124" s="396"/>
      <c r="L124" s="396"/>
      <c r="M124" s="396"/>
      <c r="N124" s="396"/>
      <c r="O124" s="396"/>
      <c r="P124" s="396"/>
      <c r="Q124" s="396"/>
      <c r="R124" s="396"/>
      <c r="S124" s="396"/>
      <c r="T124" s="396"/>
      <c r="U124" s="396"/>
      <c r="V124" s="396"/>
      <c r="W124" s="396"/>
      <c r="X124" s="396"/>
      <c r="Y124" s="396"/>
      <c r="Z124" s="396"/>
      <c r="AA124" s="396"/>
      <c r="AB124" s="396"/>
      <c r="AC124" s="396"/>
      <c r="AD124" s="396"/>
    </row>
    <row r="125" spans="1:30" ht="15.75" customHeight="1" thickBot="1" x14ac:dyDescent="0.35">
      <c r="A125" s="320"/>
      <c r="B125" s="397"/>
      <c r="C125" s="398"/>
      <c r="D125" s="1999" t="s">
        <v>23</v>
      </c>
      <c r="E125" s="2000"/>
      <c r="F125" s="2001"/>
      <c r="G125" s="376"/>
      <c r="H125" s="376"/>
      <c r="I125" s="2002" t="s">
        <v>24</v>
      </c>
      <c r="J125" s="2003"/>
      <c r="K125" s="2004"/>
      <c r="L125" s="361" t="s">
        <v>408</v>
      </c>
      <c r="M125" s="1909" t="s">
        <v>461</v>
      </c>
      <c r="N125" s="49"/>
      <c r="O125" s="49"/>
      <c r="P125" s="49"/>
      <c r="Q125" s="49"/>
      <c r="R125" s="49"/>
      <c r="S125" s="49"/>
      <c r="T125" s="49"/>
      <c r="U125" s="49"/>
      <c r="V125" s="49"/>
      <c r="W125" s="49"/>
      <c r="X125" s="49"/>
      <c r="Y125" s="49"/>
      <c r="Z125" s="49"/>
      <c r="AA125" s="49"/>
      <c r="AB125" s="49"/>
      <c r="AC125" s="49"/>
      <c r="AD125" s="49"/>
    </row>
    <row r="126" spans="1:30" ht="15.75" customHeight="1" thickBot="1" x14ac:dyDescent="0.35">
      <c r="A126" s="320"/>
      <c r="B126" s="397"/>
      <c r="C126" s="398"/>
      <c r="D126" s="399" t="s">
        <v>81</v>
      </c>
      <c r="E126" s="400" t="s">
        <v>171</v>
      </c>
      <c r="F126" s="401" t="s">
        <v>174</v>
      </c>
      <c r="G126" s="148"/>
      <c r="H126" s="148"/>
      <c r="I126" s="2005"/>
      <c r="J126" s="2006"/>
      <c r="K126" s="2007"/>
      <c r="L126" s="663" t="s">
        <v>28</v>
      </c>
      <c r="M126" s="1911"/>
      <c r="N126" s="49"/>
      <c r="O126" s="49"/>
      <c r="P126" s="49"/>
      <c r="Q126" s="49"/>
      <c r="R126" s="49"/>
      <c r="S126" s="49"/>
      <c r="T126" s="49"/>
      <c r="U126" s="49"/>
      <c r="V126" s="49"/>
      <c r="W126" s="49"/>
      <c r="X126" s="49"/>
      <c r="Y126" s="49"/>
      <c r="Z126" s="49"/>
      <c r="AA126" s="49"/>
      <c r="AB126" s="49"/>
      <c r="AC126" s="49"/>
      <c r="AD126" s="49"/>
    </row>
    <row r="127" spans="1:30" ht="13.5" customHeight="1" thickBot="1" x14ac:dyDescent="0.35">
      <c r="A127" s="320"/>
      <c r="B127" s="482" t="s">
        <v>126</v>
      </c>
      <c r="C127" s="483"/>
      <c r="D127" s="484">
        <f>SUM(D128:D136)</f>
        <v>0</v>
      </c>
      <c r="E127" s="405"/>
      <c r="F127" s="485">
        <f>SUM(F128:F136)</f>
        <v>0</v>
      </c>
      <c r="G127" s="148"/>
      <c r="H127" s="148"/>
      <c r="I127" s="2005"/>
      <c r="J127" s="2006"/>
      <c r="K127" s="2007"/>
      <c r="L127" s="660">
        <f>SUM(L128:L136)</f>
        <v>0</v>
      </c>
      <c r="M127" s="1119" t="str">
        <f>IF(D127&lt;0,"Error - Negative number","")</f>
        <v/>
      </c>
      <c r="N127" s="49"/>
      <c r="O127" s="49"/>
      <c r="P127" s="49"/>
      <c r="Q127" s="49"/>
      <c r="R127" s="49"/>
      <c r="S127" s="49"/>
      <c r="T127" s="49"/>
      <c r="U127" s="49"/>
      <c r="V127" s="49"/>
      <c r="W127" s="49"/>
      <c r="X127" s="49"/>
      <c r="Y127" s="49"/>
      <c r="Z127" s="49"/>
      <c r="AA127" s="49"/>
      <c r="AB127" s="49"/>
      <c r="AC127" s="49"/>
      <c r="AD127" s="49"/>
    </row>
    <row r="128" spans="1:30" ht="15" customHeight="1" x14ac:dyDescent="0.3">
      <c r="A128" s="320" t="s">
        <v>373</v>
      </c>
      <c r="B128" s="407" t="s">
        <v>127</v>
      </c>
      <c r="C128" s="408"/>
      <c r="D128" s="1041"/>
      <c r="E128" s="381">
        <f>+'Emission Factors'!K107</f>
        <v>0.15831999999999999</v>
      </c>
      <c r="F128" s="563">
        <f>(D128*E128)/1000</f>
        <v>0</v>
      </c>
      <c r="G128" s="148"/>
      <c r="H128" s="148"/>
      <c r="I128" s="2141"/>
      <c r="J128" s="2142"/>
      <c r="K128" s="2143"/>
      <c r="L128" s="559">
        <f>+F128*2.09</f>
        <v>0</v>
      </c>
      <c r="M128" s="1120" t="str">
        <f t="shared" ref="M128:M136" si="14">IF(D128&lt;0,"Error - Negative number","")</f>
        <v/>
      </c>
      <c r="N128" s="49"/>
      <c r="O128" s="49"/>
      <c r="P128" s="49"/>
      <c r="Q128" s="49"/>
      <c r="R128" s="49"/>
      <c r="S128" s="49"/>
      <c r="T128" s="49"/>
      <c r="U128" s="49"/>
      <c r="V128" s="49"/>
      <c r="W128" s="49"/>
      <c r="X128" s="49"/>
      <c r="Y128" s="49"/>
      <c r="Z128" s="49"/>
      <c r="AA128" s="49"/>
      <c r="AB128" s="49"/>
      <c r="AC128" s="49"/>
      <c r="AD128" s="49"/>
    </row>
    <row r="129" spans="1:30" ht="15.75" customHeight="1" x14ac:dyDescent="0.3">
      <c r="A129" s="320" t="s">
        <v>373</v>
      </c>
      <c r="B129" s="111" t="s">
        <v>128</v>
      </c>
      <c r="C129" s="112"/>
      <c r="D129" s="1040"/>
      <c r="E129" s="382">
        <f>+'Emission Factors'!K108</f>
        <v>0.15573000000000001</v>
      </c>
      <c r="F129" s="564">
        <f t="shared" ref="F129:F136" si="15">(D129*E129)/1000</f>
        <v>0</v>
      </c>
      <c r="G129" s="148"/>
      <c r="H129" s="148"/>
      <c r="I129" s="2116"/>
      <c r="J129" s="2117"/>
      <c r="K129" s="2118"/>
      <c r="L129" s="661">
        <f t="shared" ref="L129:L135" si="16">+F129*2.09</f>
        <v>0</v>
      </c>
      <c r="M129" s="1056" t="str">
        <f t="shared" si="14"/>
        <v/>
      </c>
      <c r="N129" s="49"/>
      <c r="O129" s="49"/>
      <c r="P129" s="49"/>
      <c r="Q129" s="49"/>
      <c r="R129" s="49"/>
      <c r="S129" s="49"/>
      <c r="T129" s="49"/>
      <c r="U129" s="49"/>
      <c r="V129" s="49"/>
      <c r="W129" s="49"/>
      <c r="X129" s="49"/>
      <c r="Y129" s="49"/>
      <c r="Z129" s="49"/>
      <c r="AA129" s="49"/>
      <c r="AB129" s="49"/>
      <c r="AC129" s="49"/>
      <c r="AD129" s="49"/>
    </row>
    <row r="130" spans="1:30" ht="15" customHeight="1" x14ac:dyDescent="0.3">
      <c r="A130" s="320" t="s">
        <v>373</v>
      </c>
      <c r="B130" s="111" t="s">
        <v>129</v>
      </c>
      <c r="C130" s="112"/>
      <c r="D130" s="1040"/>
      <c r="E130" s="382">
        <f>+'Emission Factors'!K109</f>
        <v>0.2336</v>
      </c>
      <c r="F130" s="564">
        <f t="shared" si="15"/>
        <v>0</v>
      </c>
      <c r="G130" s="148"/>
      <c r="H130" s="148"/>
      <c r="I130" s="2116"/>
      <c r="J130" s="2117"/>
      <c r="K130" s="2118"/>
      <c r="L130" s="661">
        <f t="shared" si="16"/>
        <v>0</v>
      </c>
      <c r="M130" s="1056" t="str">
        <f t="shared" si="14"/>
        <v/>
      </c>
      <c r="N130" s="49"/>
      <c r="O130" s="49"/>
      <c r="P130" s="49"/>
      <c r="Q130" s="49"/>
      <c r="R130" s="49"/>
      <c r="S130" s="49"/>
      <c r="T130" s="49"/>
      <c r="U130" s="49"/>
      <c r="V130" s="49"/>
      <c r="W130" s="49"/>
      <c r="X130" s="49"/>
      <c r="Y130" s="49"/>
      <c r="Z130" s="49"/>
      <c r="AA130" s="49"/>
      <c r="AB130" s="49"/>
      <c r="AC130" s="49"/>
      <c r="AD130" s="49"/>
    </row>
    <row r="131" spans="1:30" ht="15.75" customHeight="1" x14ac:dyDescent="0.3">
      <c r="A131" s="320" t="s">
        <v>373</v>
      </c>
      <c r="B131" s="111" t="s">
        <v>130</v>
      </c>
      <c r="C131" s="112"/>
      <c r="D131" s="1040"/>
      <c r="E131" s="382">
        <f>+'Emission Factors'!K110</f>
        <v>0.19561999999999999</v>
      </c>
      <c r="F131" s="564">
        <f t="shared" si="15"/>
        <v>0</v>
      </c>
      <c r="G131" s="148"/>
      <c r="H131" s="148"/>
      <c r="I131" s="2116"/>
      <c r="J131" s="2117"/>
      <c r="K131" s="2118"/>
      <c r="L131" s="661">
        <f t="shared" si="16"/>
        <v>0</v>
      </c>
      <c r="M131" s="1056" t="str">
        <f t="shared" si="14"/>
        <v/>
      </c>
      <c r="N131" s="49"/>
      <c r="O131" s="49"/>
      <c r="P131" s="49"/>
      <c r="Q131" s="49"/>
      <c r="R131" s="49"/>
      <c r="S131" s="49"/>
      <c r="T131" s="49"/>
      <c r="U131" s="49"/>
      <c r="V131" s="49"/>
      <c r="W131" s="49"/>
      <c r="X131" s="49"/>
      <c r="Y131" s="49"/>
      <c r="Z131" s="49"/>
      <c r="AA131" s="49"/>
      <c r="AB131" s="49"/>
      <c r="AC131" s="49"/>
      <c r="AD131" s="49"/>
    </row>
    <row r="132" spans="1:30" ht="15" customHeight="1" x14ac:dyDescent="0.3">
      <c r="A132" s="320" t="s">
        <v>373</v>
      </c>
      <c r="B132" s="111" t="s">
        <v>131</v>
      </c>
      <c r="C132" s="112"/>
      <c r="D132" s="1040"/>
      <c r="E132" s="382">
        <f>+'Emission Factors'!K111</f>
        <v>0.14981</v>
      </c>
      <c r="F132" s="564">
        <f t="shared" si="15"/>
        <v>0</v>
      </c>
      <c r="G132" s="148"/>
      <c r="H132" s="148"/>
      <c r="I132" s="2116"/>
      <c r="J132" s="2117"/>
      <c r="K132" s="2118"/>
      <c r="L132" s="661">
        <f t="shared" si="16"/>
        <v>0</v>
      </c>
      <c r="M132" s="1056" t="str">
        <f t="shared" si="14"/>
        <v/>
      </c>
      <c r="N132" s="49"/>
      <c r="O132" s="49"/>
      <c r="P132" s="49"/>
      <c r="Q132" s="49"/>
      <c r="R132" s="49"/>
      <c r="S132" s="49"/>
      <c r="T132" s="49"/>
      <c r="U132" s="49"/>
      <c r="V132" s="49"/>
      <c r="W132" s="49"/>
      <c r="X132" s="49"/>
      <c r="Y132" s="49"/>
      <c r="Z132" s="49"/>
      <c r="AA132" s="49"/>
      <c r="AB132" s="49"/>
      <c r="AC132" s="49"/>
      <c r="AD132" s="49"/>
    </row>
    <row r="133" spans="1:30" ht="15.75" customHeight="1" x14ac:dyDescent="0.3">
      <c r="A133" s="320" t="s">
        <v>373</v>
      </c>
      <c r="B133" s="111" t="s">
        <v>132</v>
      </c>
      <c r="C133" s="112"/>
      <c r="D133" s="1040"/>
      <c r="E133" s="382">
        <f>+'Emission Factors'!K112</f>
        <v>0.2397</v>
      </c>
      <c r="F133" s="564">
        <f t="shared" si="15"/>
        <v>0</v>
      </c>
      <c r="G133" s="148"/>
      <c r="H133" s="148"/>
      <c r="I133" s="2116"/>
      <c r="J133" s="2117"/>
      <c r="K133" s="2118"/>
      <c r="L133" s="661">
        <f t="shared" si="16"/>
        <v>0</v>
      </c>
      <c r="M133" s="1056" t="str">
        <f t="shared" si="14"/>
        <v/>
      </c>
      <c r="N133" s="49"/>
      <c r="O133" s="49"/>
      <c r="P133" s="49"/>
      <c r="Q133" s="49"/>
      <c r="R133" s="49"/>
      <c r="S133" s="49"/>
      <c r="T133" s="49"/>
      <c r="U133" s="49"/>
      <c r="V133" s="49"/>
      <c r="W133" s="49"/>
      <c r="X133" s="49"/>
      <c r="Y133" s="49"/>
      <c r="Z133" s="49"/>
      <c r="AA133" s="49"/>
      <c r="AB133" s="49"/>
      <c r="AC133" s="49"/>
      <c r="AD133" s="49"/>
    </row>
    <row r="134" spans="1:30" ht="15" customHeight="1" x14ac:dyDescent="0.3">
      <c r="A134" s="320" t="s">
        <v>373</v>
      </c>
      <c r="B134" s="111" t="s">
        <v>133</v>
      </c>
      <c r="C134" s="112"/>
      <c r="D134" s="1040"/>
      <c r="E134" s="382">
        <f>+'Emission Factors'!K113</f>
        <v>0.43446000000000001</v>
      </c>
      <c r="F134" s="564">
        <f t="shared" si="15"/>
        <v>0</v>
      </c>
      <c r="G134" s="148"/>
      <c r="H134" s="148"/>
      <c r="I134" s="2116"/>
      <c r="J134" s="2117"/>
      <c r="K134" s="2118"/>
      <c r="L134" s="661">
        <f t="shared" si="16"/>
        <v>0</v>
      </c>
      <c r="M134" s="1056" t="str">
        <f t="shared" si="14"/>
        <v/>
      </c>
      <c r="N134" s="49"/>
      <c r="O134" s="49"/>
      <c r="P134" s="49"/>
      <c r="Q134" s="49"/>
      <c r="R134" s="49"/>
      <c r="S134" s="49"/>
      <c r="T134" s="49"/>
      <c r="U134" s="49"/>
      <c r="V134" s="49"/>
      <c r="W134" s="49"/>
      <c r="X134" s="49"/>
      <c r="Y134" s="49"/>
      <c r="Z134" s="49"/>
      <c r="AA134" s="49"/>
      <c r="AB134" s="49"/>
      <c r="AC134" s="49"/>
      <c r="AD134" s="49"/>
    </row>
    <row r="135" spans="1:30" ht="15.75" customHeight="1" thickBot="1" x14ac:dyDescent="0.35">
      <c r="A135" s="320" t="s">
        <v>373</v>
      </c>
      <c r="B135" s="111" t="s">
        <v>134</v>
      </c>
      <c r="C135" s="112"/>
      <c r="D135" s="1040"/>
      <c r="E135" s="382">
        <f>+'Emission Factors'!K114</f>
        <v>0.59924999999999995</v>
      </c>
      <c r="F135" s="564">
        <f>(D135*E135)/1000</f>
        <v>0</v>
      </c>
      <c r="G135" s="148"/>
      <c r="H135" s="148"/>
      <c r="I135" s="2116"/>
      <c r="J135" s="2117"/>
      <c r="K135" s="2118"/>
      <c r="L135" s="662">
        <f t="shared" si="16"/>
        <v>0</v>
      </c>
      <c r="M135" s="1056" t="str">
        <f t="shared" si="14"/>
        <v/>
      </c>
      <c r="N135" s="49"/>
      <c r="O135" s="49"/>
      <c r="P135" s="49"/>
      <c r="Q135" s="49"/>
      <c r="R135" s="49"/>
      <c r="S135" s="49"/>
      <c r="T135" s="49"/>
      <c r="U135" s="49"/>
      <c r="V135" s="49"/>
      <c r="W135" s="49"/>
      <c r="X135" s="49"/>
      <c r="Y135" s="49"/>
      <c r="Z135" s="49"/>
      <c r="AA135" s="49"/>
      <c r="AB135" s="49"/>
      <c r="AC135" s="49"/>
      <c r="AD135" s="49"/>
    </row>
    <row r="136" spans="1:30" ht="15" customHeight="1" thickBot="1" x14ac:dyDescent="0.35">
      <c r="A136" s="320" t="s">
        <v>373</v>
      </c>
      <c r="B136" s="409" t="s">
        <v>135</v>
      </c>
      <c r="C136" s="410"/>
      <c r="D136" s="664"/>
      <c r="E136" s="411">
        <f>+'Emission Factors'!K115</f>
        <v>5.9699999999999996E-3</v>
      </c>
      <c r="F136" s="565">
        <f t="shared" si="15"/>
        <v>0</v>
      </c>
      <c r="G136" s="173"/>
      <c r="H136" s="173"/>
      <c r="I136" s="2134"/>
      <c r="J136" s="2135"/>
      <c r="K136" s="2136"/>
      <c r="L136" s="49"/>
      <c r="M136" s="1122" t="str">
        <f t="shared" si="14"/>
        <v/>
      </c>
      <c r="N136" s="49"/>
      <c r="O136" s="49"/>
      <c r="P136" s="49"/>
      <c r="Q136" s="49"/>
      <c r="R136" s="49"/>
      <c r="S136" s="49"/>
      <c r="T136" s="49"/>
      <c r="U136" s="49"/>
      <c r="V136" s="49"/>
      <c r="W136" s="49"/>
      <c r="X136" s="49"/>
      <c r="Y136" s="49"/>
      <c r="Z136" s="49"/>
      <c r="AA136" s="49"/>
      <c r="AB136" s="49"/>
      <c r="AC136" s="49"/>
      <c r="AD136" s="49"/>
    </row>
    <row r="137" spans="1:30" ht="15" customHeight="1" x14ac:dyDescent="0.3">
      <c r="A137" s="49"/>
      <c r="B137" s="659" t="s">
        <v>407</v>
      </c>
      <c r="C137" s="650"/>
      <c r="D137" s="412"/>
      <c r="E137" s="413"/>
      <c r="F137" s="414"/>
      <c r="G137" s="414"/>
      <c r="H137" s="414"/>
      <c r="I137" s="415"/>
      <c r="J137" s="415"/>
      <c r="K137" s="415"/>
      <c r="L137" s="345"/>
      <c r="M137" s="420"/>
      <c r="N137" s="49"/>
      <c r="O137" s="49"/>
      <c r="P137" s="49"/>
      <c r="Q137" s="49"/>
      <c r="R137" s="49"/>
      <c r="S137" s="49"/>
      <c r="T137" s="49"/>
      <c r="U137" s="49"/>
      <c r="V137" s="49"/>
      <c r="W137" s="49"/>
      <c r="X137" s="49"/>
      <c r="Y137" s="49"/>
      <c r="Z137" s="49"/>
      <c r="AA137" s="49"/>
      <c r="AB137" s="49"/>
      <c r="AC137" s="49"/>
      <c r="AD137" s="49"/>
    </row>
    <row r="138" spans="1:30" s="594" customFormat="1" ht="23.4" x14ac:dyDescent="0.3">
      <c r="A138" s="1209"/>
      <c r="B138" s="471" t="s">
        <v>136</v>
      </c>
      <c r="C138" s="476"/>
      <c r="D138" s="2090" t="str">
        <f>+$A$1</f>
        <v>Quarter 4 - 2019-2020</v>
      </c>
      <c r="E138" s="2090"/>
      <c r="F138" s="2090"/>
      <c r="G138" s="2090"/>
      <c r="H138" s="2090"/>
      <c r="I138" s="2090"/>
      <c r="J138" s="2090"/>
      <c r="K138" s="477"/>
      <c r="L138" s="477"/>
      <c r="M138" s="477"/>
      <c r="N138" s="477"/>
      <c r="O138" s="477"/>
      <c r="P138" s="477"/>
      <c r="Q138" s="477"/>
      <c r="R138" s="477"/>
      <c r="S138" s="477"/>
      <c r="T138" s="477"/>
      <c r="U138" s="477"/>
      <c r="V138" s="477"/>
      <c r="W138" s="477"/>
      <c r="X138" s="477"/>
      <c r="Y138" s="478"/>
      <c r="Z138" s="478"/>
      <c r="AA138" s="478"/>
      <c r="AB138" s="478"/>
      <c r="AC138" s="478"/>
      <c r="AD138" s="478"/>
    </row>
    <row r="139" spans="1:30" ht="15" customHeight="1" thickBot="1" x14ac:dyDescent="0.35">
      <c r="A139" s="320"/>
      <c r="B139" s="43" t="s">
        <v>137</v>
      </c>
      <c r="C139" s="650"/>
      <c r="D139" s="412"/>
      <c r="E139" s="413"/>
      <c r="F139" s="414"/>
      <c r="G139" s="414"/>
      <c r="H139" s="414"/>
      <c r="I139" s="415"/>
      <c r="J139" s="415"/>
      <c r="K139" s="415"/>
      <c r="L139" s="49"/>
      <c r="M139" s="49"/>
      <c r="N139" s="49"/>
      <c r="O139" s="49"/>
      <c r="P139" s="49"/>
      <c r="Q139" s="49"/>
      <c r="R139" s="49"/>
      <c r="S139" s="49"/>
      <c r="T139" s="49"/>
      <c r="U139" s="49"/>
      <c r="V139" s="49"/>
      <c r="W139" s="49"/>
      <c r="X139" s="49"/>
      <c r="Y139" s="49"/>
      <c r="Z139" s="49"/>
      <c r="AA139" s="49"/>
      <c r="AB139" s="49"/>
      <c r="AC139" s="49"/>
      <c r="AD139" s="49"/>
    </row>
    <row r="140" spans="1:30" ht="30.75" customHeight="1" thickBot="1" x14ac:dyDescent="0.35">
      <c r="A140" s="320"/>
      <c r="B140" s="49"/>
      <c r="C140" s="49"/>
      <c r="D140" s="416"/>
      <c r="E140" s="650"/>
      <c r="F140" s="417" t="s">
        <v>23</v>
      </c>
      <c r="G140" s="418"/>
      <c r="H140" s="419" t="s">
        <v>144</v>
      </c>
      <c r="I140" s="2031" t="s">
        <v>24</v>
      </c>
      <c r="J140" s="2032"/>
      <c r="K140" s="2033"/>
      <c r="L140" s="49"/>
      <c r="M140" s="49"/>
      <c r="N140" s="49"/>
      <c r="O140" s="415"/>
      <c r="P140" s="49"/>
      <c r="Q140" s="49"/>
      <c r="R140" s="49"/>
      <c r="S140" s="49"/>
      <c r="T140" s="49"/>
      <c r="U140" s="49"/>
      <c r="V140" s="49"/>
      <c r="W140" s="49"/>
      <c r="X140" s="49"/>
      <c r="Y140" s="49"/>
      <c r="Z140" s="49"/>
      <c r="AA140" s="49"/>
      <c r="AB140" s="49"/>
      <c r="AC140" s="49"/>
      <c r="AD140" s="49"/>
    </row>
    <row r="141" spans="1:30" ht="15" customHeight="1" thickBot="1" x14ac:dyDescent="0.35">
      <c r="A141" s="320"/>
      <c r="B141" s="49"/>
      <c r="C141" s="49"/>
      <c r="D141" s="43" t="str">
        <f>IF(D33&gt;0,"Please add F7 to relevant to total for relevant scope","")</f>
        <v/>
      </c>
      <c r="E141" s="650"/>
      <c r="F141" s="51" t="s">
        <v>28</v>
      </c>
      <c r="G141" s="418"/>
      <c r="H141" s="433" t="s">
        <v>28</v>
      </c>
      <c r="I141" s="2034"/>
      <c r="J141" s="2035"/>
      <c r="K141" s="2036"/>
      <c r="L141" s="49"/>
      <c r="M141" s="49"/>
      <c r="N141" s="49"/>
      <c r="O141" s="415"/>
      <c r="P141" s="49"/>
      <c r="Q141" s="49"/>
      <c r="R141" s="49"/>
      <c r="S141" s="49"/>
      <c r="T141" s="49"/>
      <c r="U141" s="49"/>
      <c r="V141" s="49"/>
      <c r="W141" s="49"/>
      <c r="X141" s="49"/>
      <c r="Y141" s="49"/>
      <c r="Z141" s="49"/>
      <c r="AA141" s="49"/>
      <c r="AB141" s="49"/>
      <c r="AC141" s="49"/>
      <c r="AD141" s="49"/>
    </row>
    <row r="142" spans="1:30" ht="15" customHeight="1" thickBot="1" x14ac:dyDescent="0.35">
      <c r="A142" s="420"/>
      <c r="B142" s="49"/>
      <c r="C142" s="486"/>
      <c r="D142" s="1855" t="s">
        <v>513</v>
      </c>
      <c r="E142" s="1856"/>
      <c r="F142" s="42">
        <f>F143+F144+F145</f>
        <v>0</v>
      </c>
      <c r="G142" s="418"/>
      <c r="H142" s="651">
        <f>H143+H144+H145</f>
        <v>0</v>
      </c>
      <c r="I142" s="2037"/>
      <c r="J142" s="2038"/>
      <c r="K142" s="2039"/>
      <c r="L142" s="487"/>
      <c r="M142" s="420"/>
      <c r="N142" s="49"/>
      <c r="O142" s="415"/>
      <c r="P142" s="49"/>
      <c r="Q142" s="49"/>
      <c r="R142" s="49"/>
      <c r="S142" s="49"/>
      <c r="T142" s="49"/>
      <c r="U142" s="49"/>
      <c r="V142" s="49"/>
      <c r="W142" s="49"/>
      <c r="X142" s="49"/>
      <c r="Y142" s="49"/>
      <c r="Z142" s="49"/>
      <c r="AA142" s="49"/>
      <c r="AB142" s="49"/>
      <c r="AC142" s="49"/>
      <c r="AD142" s="49"/>
    </row>
    <row r="143" spans="1:30" ht="15" customHeight="1" x14ac:dyDescent="0.3">
      <c r="A143" s="420"/>
      <c r="B143" s="420"/>
      <c r="C143" s="488"/>
      <c r="D143" s="2081" t="s">
        <v>139</v>
      </c>
      <c r="E143" s="2082"/>
      <c r="F143" s="177">
        <f>F24+F25+F26+F27+F28+IF(I33="Scope 1",F33,0)+IF(I34="Scope 1",F34,0)+IF(I35="Scope 1",F35,0)+F36+F37+F38+F39+F40+F41+F42+F43+F44+F45+F46+F47+F53+T67+F64</f>
        <v>0</v>
      </c>
      <c r="G143" s="421"/>
      <c r="H143" s="652">
        <f>H24+H25+H26+H27+H28+IF(I33="Scope 1",H33,0)+IF(I34="Scope 1",H34,0)+IF(I35="Scope 1",H35,0)+H36+H37+H38+H39+H40+H41+H42+H43+H44+H45+H46+H47+H53</f>
        <v>0</v>
      </c>
      <c r="I143" s="2040"/>
      <c r="J143" s="2041"/>
      <c r="K143" s="2042"/>
      <c r="L143" s="420"/>
      <c r="M143" s="420"/>
      <c r="N143" s="49"/>
      <c r="O143" s="415"/>
      <c r="P143" s="49"/>
      <c r="Q143" s="49"/>
      <c r="R143" s="49"/>
      <c r="S143" s="49"/>
      <c r="T143" s="49"/>
      <c r="U143" s="49"/>
      <c r="V143" s="49"/>
      <c r="W143" s="49"/>
      <c r="X143" s="49"/>
      <c r="Y143" s="49"/>
      <c r="Z143" s="49"/>
      <c r="AA143" s="49"/>
      <c r="AB143" s="49"/>
      <c r="AC143" s="49"/>
      <c r="AD143" s="49"/>
    </row>
    <row r="144" spans="1:30" ht="15" customHeight="1" x14ac:dyDescent="0.3">
      <c r="A144" s="420"/>
      <c r="B144" s="420"/>
      <c r="C144" s="489"/>
      <c r="D144" s="2079" t="s">
        <v>140</v>
      </c>
      <c r="E144" s="2080"/>
      <c r="F144" s="177">
        <f>+P20+P21+P22+P23+P29+F30+F31+P32+IF(I33="Scope 2",F33,0)+IF(I34="Scope 2",F34,0)+IF(I35="Scope 2",F35,0)</f>
        <v>0</v>
      </c>
      <c r="G144" s="422"/>
      <c r="H144" s="652">
        <f>+V20+V21+V22+V23+V29+H30+H31+V32+IF(I33="Scope 2",H33,0)+IF(I34="Scope 2",H34,0)+IF(I35="Scope 2",H35,0)</f>
        <v>0</v>
      </c>
      <c r="I144" s="2043"/>
      <c r="J144" s="2044"/>
      <c r="K144" s="2045"/>
      <c r="L144" s="489"/>
      <c r="M144" s="420"/>
      <c r="N144" s="49"/>
      <c r="O144" s="415"/>
      <c r="P144" s="49"/>
      <c r="Q144" s="49"/>
      <c r="R144" s="49"/>
      <c r="S144" s="49"/>
      <c r="T144" s="49"/>
      <c r="U144" s="49"/>
      <c r="V144" s="49"/>
      <c r="W144" s="49"/>
      <c r="X144" s="49"/>
      <c r="Y144" s="49"/>
      <c r="Z144" s="49"/>
      <c r="AA144" s="49"/>
      <c r="AB144" s="49"/>
      <c r="AC144" s="49"/>
      <c r="AD144" s="49"/>
    </row>
    <row r="145" spans="1:30" ht="15" customHeight="1" thickBot="1" x14ac:dyDescent="0.35">
      <c r="A145" s="420"/>
      <c r="B145" s="420"/>
      <c r="C145" s="489"/>
      <c r="D145" s="2077" t="s">
        <v>141</v>
      </c>
      <c r="E145" s="2078"/>
      <c r="F145" s="178">
        <f>+R20+R21+R22+R23+R29+R32+IF(I33="Scope 3",F33,0)+IF(I34="Scope 3",F34,0)+IF(I35="Scope 3",F35,0)+F86+T89+F108</f>
        <v>0</v>
      </c>
      <c r="G145" s="423"/>
      <c r="H145" s="180">
        <f>+X20+X21+X22+X23+X29+X32+IF(I33="Scope 3",H33,0)+IF(I34="Scope 3",H34,0)+IF(I35="Scope 3",H35,0)</f>
        <v>0</v>
      </c>
      <c r="I145" s="2138"/>
      <c r="J145" s="2139"/>
      <c r="K145" s="2140"/>
      <c r="L145" s="489"/>
      <c r="M145" s="420"/>
      <c r="N145" s="49"/>
      <c r="O145" s="415"/>
      <c r="P145" s="49"/>
      <c r="Q145" s="49"/>
      <c r="R145" s="49"/>
      <c r="S145" s="49"/>
      <c r="T145" s="49"/>
      <c r="U145" s="49"/>
      <c r="V145" s="49"/>
      <c r="W145" s="49"/>
      <c r="X145" s="49"/>
      <c r="Y145" s="49"/>
      <c r="Z145" s="49"/>
      <c r="AA145" s="49"/>
      <c r="AB145" s="49"/>
      <c r="AC145" s="49"/>
      <c r="AD145" s="49"/>
    </row>
    <row r="146" spans="1:30" ht="15" customHeight="1" thickBot="1" x14ac:dyDescent="0.35">
      <c r="A146" s="420"/>
      <c r="B146" s="420"/>
      <c r="C146" s="345"/>
      <c r="D146" s="2017" t="s">
        <v>172</v>
      </c>
      <c r="E146" s="2018"/>
      <c r="F146" s="179">
        <f>+Y67+Y89+F127</f>
        <v>0</v>
      </c>
      <c r="G146" s="424"/>
      <c r="H146" s="1108"/>
      <c r="I146" s="1095"/>
      <c r="J146" s="1096"/>
      <c r="K146" s="1097"/>
      <c r="L146" s="49"/>
      <c r="M146" s="420"/>
      <c r="N146" s="49"/>
      <c r="O146" s="415"/>
      <c r="P146" s="49"/>
      <c r="Q146" s="49"/>
      <c r="R146" s="49"/>
      <c r="S146" s="49"/>
      <c r="T146" s="49"/>
      <c r="U146" s="49"/>
      <c r="V146" s="49"/>
      <c r="W146" s="49"/>
      <c r="X146" s="49"/>
      <c r="Y146" s="49"/>
      <c r="Z146" s="49"/>
      <c r="AA146" s="49"/>
      <c r="AB146" s="49"/>
      <c r="AC146" s="49"/>
      <c r="AD146" s="49"/>
    </row>
    <row r="147" spans="1:30" ht="27.75" customHeight="1" x14ac:dyDescent="0.3">
      <c r="A147" s="320"/>
      <c r="B147" s="2019" t="s">
        <v>142</v>
      </c>
      <c r="C147" s="2019"/>
      <c r="D147" s="2019"/>
      <c r="E147" s="2019"/>
      <c r="F147" s="2019"/>
      <c r="G147" s="2019"/>
      <c r="H147" s="2019"/>
      <c r="I147" s="2019"/>
      <c r="J147" s="2019"/>
      <c r="K147" s="2019"/>
      <c r="L147" s="2019"/>
      <c r="M147" s="49"/>
      <c r="N147" s="49"/>
      <c r="O147" s="49"/>
      <c r="P147" s="49"/>
      <c r="Q147" s="49"/>
      <c r="R147" s="49"/>
      <c r="S147" s="49"/>
      <c r="T147" s="49"/>
      <c r="U147" s="49"/>
      <c r="V147" s="49"/>
      <c r="W147" s="49"/>
      <c r="X147" s="49"/>
      <c r="Y147" s="49"/>
      <c r="Z147" s="49"/>
      <c r="AA147" s="49"/>
      <c r="AB147" s="49"/>
      <c r="AC147" s="49"/>
      <c r="AD147" s="49"/>
    </row>
    <row r="148" spans="1:30" ht="27.75" customHeight="1" x14ac:dyDescent="0.3">
      <c r="A148" s="320"/>
      <c r="B148" s="1088"/>
      <c r="C148" s="1088"/>
      <c r="D148" s="1088"/>
      <c r="E148" s="1088"/>
      <c r="F148" s="1088"/>
      <c r="G148" s="1088"/>
      <c r="H148" s="1088"/>
      <c r="I148" s="1088"/>
      <c r="J148" s="1088"/>
      <c r="K148" s="1088"/>
      <c r="L148" s="1088"/>
      <c r="M148" s="49"/>
      <c r="N148" s="49"/>
      <c r="O148" s="49"/>
      <c r="P148" s="49"/>
      <c r="Q148" s="49"/>
      <c r="R148" s="49"/>
      <c r="S148" s="49"/>
      <c r="T148" s="49"/>
      <c r="U148" s="49"/>
      <c r="V148" s="49"/>
      <c r="W148" s="49"/>
      <c r="X148" s="49"/>
      <c r="Y148" s="49"/>
      <c r="Z148" s="49"/>
      <c r="AA148" s="49"/>
      <c r="AB148" s="49"/>
      <c r="AC148" s="49"/>
      <c r="AD148" s="49"/>
    </row>
    <row r="149" spans="1:30" s="594" customFormat="1" ht="23.4" x14ac:dyDescent="0.3">
      <c r="A149" s="1209"/>
      <c r="B149" s="471" t="s">
        <v>462</v>
      </c>
      <c r="C149" s="476"/>
      <c r="D149" s="2090" t="str">
        <f>+$A$1</f>
        <v>Quarter 4 - 2019-2020</v>
      </c>
      <c r="E149" s="2090"/>
      <c r="F149" s="2090"/>
      <c r="G149" s="2090"/>
      <c r="H149" s="2090"/>
      <c r="I149" s="2090"/>
      <c r="J149" s="2090"/>
      <c r="K149" s="477"/>
      <c r="L149" s="477"/>
      <c r="M149" s="477"/>
      <c r="N149" s="477"/>
      <c r="O149" s="477"/>
      <c r="P149" s="477"/>
      <c r="Q149" s="477"/>
      <c r="R149" s="477"/>
      <c r="S149" s="477"/>
      <c r="T149" s="477"/>
      <c r="U149" s="477"/>
      <c r="V149" s="477"/>
      <c r="W149" s="477"/>
      <c r="X149" s="477"/>
      <c r="Y149" s="478"/>
      <c r="Z149" s="478"/>
      <c r="AA149" s="478"/>
      <c r="AB149" s="478"/>
      <c r="AC149" s="478"/>
      <c r="AD149" s="478"/>
    </row>
    <row r="150" spans="1:30" ht="15" customHeight="1" x14ac:dyDescent="0.3">
      <c r="A150" s="320"/>
      <c r="B150" s="43" t="s">
        <v>480</v>
      </c>
      <c r="C150" s="650"/>
      <c r="D150" s="412"/>
      <c r="E150" s="413"/>
      <c r="F150" s="414"/>
      <c r="G150" s="414"/>
      <c r="H150" s="414"/>
      <c r="I150" s="415"/>
      <c r="J150" s="415"/>
      <c r="K150" s="415"/>
      <c r="L150" s="49"/>
      <c r="M150" s="49"/>
      <c r="N150" s="49"/>
      <c r="O150" s="49"/>
      <c r="P150" s="49"/>
      <c r="Q150" s="49"/>
      <c r="R150" s="49"/>
      <c r="S150" s="49"/>
      <c r="T150" s="49"/>
      <c r="U150" s="49"/>
      <c r="V150" s="49"/>
      <c r="W150" s="49"/>
      <c r="X150" s="49"/>
      <c r="Y150" s="49"/>
      <c r="Z150" s="49"/>
      <c r="AA150" s="49"/>
      <c r="AB150" s="49"/>
      <c r="AC150" s="49"/>
      <c r="AD150" s="49"/>
    </row>
    <row r="151" spans="1:30" ht="15" customHeight="1" thickBot="1" x14ac:dyDescent="0.35">
      <c r="A151" s="320"/>
      <c r="B151" s="49"/>
      <c r="C151" s="49"/>
      <c r="D151" s="416"/>
      <c r="E151" s="650"/>
      <c r="F151" s="650"/>
      <c r="G151" s="650"/>
      <c r="H151" s="650"/>
      <c r="I151" s="650"/>
      <c r="J151" s="650"/>
      <c r="K151" s="650"/>
      <c r="L151" s="49"/>
      <c r="M151" s="49"/>
      <c r="N151" s="49"/>
      <c r="O151" s="415"/>
      <c r="P151" s="49"/>
      <c r="Q151" s="49"/>
      <c r="R151" s="49"/>
      <c r="S151" s="49"/>
      <c r="T151" s="49"/>
      <c r="U151" s="49"/>
      <c r="V151" s="49"/>
      <c r="W151" s="49"/>
      <c r="X151" s="49"/>
      <c r="Y151" s="49"/>
      <c r="Z151" s="49"/>
      <c r="AA151" s="49"/>
      <c r="AB151" s="49"/>
      <c r="AC151" s="49"/>
      <c r="AD151" s="49"/>
    </row>
    <row r="152" spans="1:30" ht="15" customHeight="1" thickBot="1" x14ac:dyDescent="0.35">
      <c r="A152" s="320"/>
      <c r="B152" s="49"/>
      <c r="C152" s="49"/>
      <c r="D152" s="1860" t="s">
        <v>23</v>
      </c>
      <c r="E152" s="1861"/>
      <c r="F152" s="1862"/>
      <c r="G152" s="1860" t="s">
        <v>24</v>
      </c>
      <c r="H152" s="1861"/>
      <c r="I152" s="1862"/>
      <c r="J152" s="650"/>
      <c r="K152" s="650"/>
      <c r="L152" s="49"/>
      <c r="M152" s="49"/>
      <c r="N152" s="49"/>
      <c r="O152" s="415"/>
      <c r="P152" s="49"/>
      <c r="Q152" s="49"/>
      <c r="R152" s="49"/>
      <c r="S152" s="49"/>
      <c r="T152" s="49"/>
      <c r="U152" s="49"/>
      <c r="V152" s="49"/>
      <c r="W152" s="49"/>
      <c r="X152" s="49"/>
      <c r="Y152" s="49"/>
      <c r="Z152" s="49"/>
      <c r="AA152" s="49"/>
      <c r="AB152" s="49"/>
      <c r="AC152" s="49"/>
      <c r="AD152" s="49"/>
    </row>
    <row r="153" spans="1:30" ht="15" customHeight="1" thickBot="1" x14ac:dyDescent="0.35">
      <c r="A153" s="320"/>
      <c r="B153" s="2020" t="s">
        <v>463</v>
      </c>
      <c r="C153" s="2021"/>
      <c r="D153" s="1957"/>
      <c r="E153" s="1958"/>
      <c r="F153" s="1959"/>
      <c r="G153" s="2025"/>
      <c r="H153" s="2026"/>
      <c r="I153" s="2027"/>
      <c r="J153" s="650"/>
      <c r="K153" s="650"/>
      <c r="L153" s="487"/>
      <c r="M153" s="420"/>
      <c r="N153" s="49"/>
      <c r="O153" s="415"/>
      <c r="P153" s="49"/>
      <c r="Q153" s="49"/>
      <c r="R153" s="49"/>
      <c r="S153" s="49"/>
      <c r="T153" s="49"/>
      <c r="U153" s="49"/>
      <c r="V153" s="49"/>
      <c r="W153" s="49"/>
      <c r="X153" s="49"/>
      <c r="Y153" s="49"/>
      <c r="Z153" s="49"/>
      <c r="AA153" s="49"/>
      <c r="AB153" s="49"/>
      <c r="AC153" s="49"/>
      <c r="AD153" s="49"/>
    </row>
    <row r="154" spans="1:30" ht="15" customHeight="1" thickBot="1" x14ac:dyDescent="0.35">
      <c r="A154" s="320"/>
      <c r="B154" s="2020" t="s">
        <v>464</v>
      </c>
      <c r="C154" s="2021"/>
      <c r="D154" s="60" t="s">
        <v>466</v>
      </c>
      <c r="E154" s="2146"/>
      <c r="F154" s="2147"/>
      <c r="G154" s="2025"/>
      <c r="H154" s="2026"/>
      <c r="I154" s="2027"/>
      <c r="J154" s="650"/>
      <c r="K154" s="650"/>
      <c r="L154" s="420"/>
      <c r="M154" s="420"/>
      <c r="N154" s="49"/>
      <c r="O154" s="415"/>
      <c r="P154" s="49"/>
      <c r="Q154" s="49"/>
      <c r="R154" s="49"/>
      <c r="S154" s="49"/>
      <c r="T154" s="49"/>
      <c r="U154" s="49"/>
      <c r="V154" s="49"/>
      <c r="W154" s="49"/>
      <c r="X154" s="49"/>
      <c r="Y154" s="49"/>
      <c r="Z154" s="49"/>
      <c r="AA154" s="49"/>
      <c r="AB154" s="49"/>
      <c r="AC154" s="49"/>
      <c r="AD154" s="49"/>
    </row>
    <row r="155" spans="1:30" ht="45" customHeight="1" thickBot="1" x14ac:dyDescent="0.35">
      <c r="A155" s="320"/>
      <c r="B155" s="2020" t="s">
        <v>465</v>
      </c>
      <c r="C155" s="2021"/>
      <c r="D155" s="1996"/>
      <c r="E155" s="1997"/>
      <c r="F155" s="1998"/>
      <c r="G155" s="1857"/>
      <c r="H155" s="1858"/>
      <c r="I155" s="1859"/>
      <c r="J155" s="650"/>
      <c r="K155" s="650"/>
      <c r="L155" s="489"/>
      <c r="M155" s="420"/>
      <c r="N155" s="49"/>
      <c r="O155" s="415"/>
      <c r="P155" s="49"/>
      <c r="Q155" s="49"/>
      <c r="R155" s="49"/>
      <c r="S155" s="49"/>
      <c r="T155" s="49"/>
      <c r="U155" s="49"/>
      <c r="V155" s="49"/>
      <c r="W155" s="49"/>
      <c r="X155" s="49"/>
      <c r="Y155" s="49"/>
      <c r="Z155" s="49"/>
      <c r="AA155" s="49"/>
      <c r="AB155" s="49"/>
      <c r="AC155" s="49"/>
      <c r="AD155" s="49"/>
    </row>
    <row r="156" spans="1:30" ht="15" customHeight="1" x14ac:dyDescent="0.3">
      <c r="A156" s="320"/>
      <c r="B156" s="1088"/>
      <c r="C156" s="1088"/>
      <c r="D156" s="1088"/>
      <c r="E156" s="1088"/>
      <c r="F156" s="1088"/>
      <c r="G156" s="1088"/>
      <c r="H156" s="1088"/>
      <c r="I156" s="1088"/>
      <c r="J156" s="1088"/>
      <c r="K156" s="1088"/>
      <c r="L156" s="1088"/>
      <c r="M156" s="49"/>
      <c r="N156" s="49"/>
      <c r="O156" s="49"/>
      <c r="P156" s="49"/>
      <c r="Q156" s="49"/>
      <c r="R156" s="49"/>
      <c r="S156" s="49"/>
      <c r="T156" s="49"/>
      <c r="U156" s="49"/>
      <c r="V156" s="49"/>
      <c r="W156" s="49"/>
      <c r="X156" s="49"/>
      <c r="Y156" s="49"/>
      <c r="Z156" s="49"/>
      <c r="AA156" s="49"/>
      <c r="AB156" s="49"/>
      <c r="AC156" s="49"/>
      <c r="AD156" s="49"/>
    </row>
    <row r="157" spans="1:30" ht="27.75" customHeight="1" x14ac:dyDescent="0.3">
      <c r="A157" s="1209">
        <v>3</v>
      </c>
      <c r="B157" s="471" t="s">
        <v>143</v>
      </c>
      <c r="C157" s="472"/>
      <c r="D157" s="2090" t="str">
        <f>+$A$1</f>
        <v>Quarter 4 - 2019-2020</v>
      </c>
      <c r="E157" s="2090"/>
      <c r="F157" s="2090"/>
      <c r="G157" s="2090"/>
      <c r="H157" s="2090"/>
      <c r="I157" s="2090"/>
      <c r="J157" s="2090"/>
      <c r="K157" s="473"/>
      <c r="L157" s="473"/>
      <c r="M157" s="473"/>
      <c r="N157" s="466"/>
      <c r="O157" s="466"/>
      <c r="P157" s="474"/>
      <c r="Q157" s="474"/>
      <c r="R157" s="466"/>
      <c r="S157" s="466"/>
      <c r="T157" s="466"/>
      <c r="U157" s="466"/>
      <c r="V157" s="466"/>
      <c r="W157" s="466"/>
      <c r="X157" s="466"/>
      <c r="Y157" s="466"/>
      <c r="Z157" s="466"/>
      <c r="AA157" s="466"/>
      <c r="AB157" s="466"/>
      <c r="AC157" s="466"/>
      <c r="AD157" s="466"/>
    </row>
    <row r="158" spans="1:30" x14ac:dyDescent="0.3">
      <c r="A158" s="320"/>
      <c r="B158" s="49"/>
      <c r="C158" s="49"/>
      <c r="D158" s="336"/>
      <c r="E158" s="337"/>
      <c r="F158" s="337"/>
      <c r="G158" s="337"/>
      <c r="H158" s="337"/>
      <c r="I158" s="337"/>
      <c r="J158" s="386"/>
      <c r="K158" s="426"/>
      <c r="L158" s="337"/>
      <c r="M158" s="337"/>
      <c r="N158" s="49"/>
      <c r="O158" s="49"/>
      <c r="P158" s="49"/>
      <c r="Q158" s="49"/>
      <c r="R158" s="49"/>
      <c r="S158" s="49"/>
      <c r="T158" s="49"/>
      <c r="U158" s="49"/>
      <c r="V158" s="49"/>
      <c r="W158" s="49"/>
      <c r="X158" s="49"/>
      <c r="Y158" s="49"/>
      <c r="Z158" s="49"/>
      <c r="AA158" s="49"/>
      <c r="AB158" s="49"/>
      <c r="AC158" s="49"/>
      <c r="AD158" s="49"/>
    </row>
    <row r="159" spans="1:30" x14ac:dyDescent="0.3">
      <c r="A159" s="320"/>
      <c r="B159" s="49"/>
      <c r="C159" s="49"/>
      <c r="D159" s="336"/>
      <c r="E159" s="415"/>
      <c r="F159" s="415"/>
      <c r="G159" s="415"/>
      <c r="H159" s="415"/>
      <c r="I159" s="415"/>
      <c r="J159" s="415"/>
      <c r="K159" s="415"/>
      <c r="L159" s="337"/>
      <c r="M159" s="337"/>
      <c r="N159" s="49"/>
      <c r="O159" s="49"/>
      <c r="P159" s="49"/>
      <c r="Q159" s="49"/>
      <c r="R159" s="49"/>
      <c r="S159" s="49"/>
      <c r="T159" s="49"/>
      <c r="U159" s="49"/>
      <c r="V159" s="49"/>
      <c r="W159" s="49"/>
      <c r="X159" s="49"/>
      <c r="Y159" s="49"/>
      <c r="Z159" s="49"/>
      <c r="AA159" s="49"/>
      <c r="AB159" s="49"/>
      <c r="AC159" s="49"/>
      <c r="AD159" s="49"/>
    </row>
    <row r="160" spans="1:30" ht="18.75" customHeight="1" x14ac:dyDescent="0.3">
      <c r="A160" s="320"/>
      <c r="B160" s="43"/>
      <c r="C160" s="30"/>
      <c r="D160" s="43"/>
      <c r="E160" s="415"/>
      <c r="F160" s="415"/>
      <c r="G160" s="415"/>
      <c r="H160" s="415"/>
      <c r="I160" s="415"/>
      <c r="J160" s="415"/>
      <c r="K160" s="415"/>
      <c r="L160" s="415"/>
      <c r="M160" s="415"/>
      <c r="N160" s="415"/>
      <c r="O160" s="415"/>
      <c r="P160" s="415"/>
      <c r="Q160" s="415"/>
      <c r="R160" s="415"/>
      <c r="S160" s="415"/>
      <c r="T160" s="415"/>
      <c r="U160" s="415"/>
      <c r="V160" s="415"/>
      <c r="W160" s="415"/>
      <c r="X160" s="415"/>
      <c r="Y160" s="415"/>
      <c r="Z160" s="415"/>
      <c r="AA160" s="415"/>
      <c r="AB160" s="415"/>
      <c r="AC160" s="415"/>
      <c r="AD160" s="415"/>
    </row>
    <row r="161" spans="1:30" ht="15.75" customHeight="1" thickBot="1" x14ac:dyDescent="0.35">
      <c r="A161" s="320"/>
      <c r="B161" s="49"/>
      <c r="C161" s="49"/>
      <c r="D161" s="43"/>
      <c r="E161" s="49"/>
      <c r="F161" s="336"/>
      <c r="G161" s="336"/>
      <c r="H161" s="336"/>
      <c r="I161" s="415"/>
      <c r="J161" s="415"/>
      <c r="K161" s="415"/>
      <c r="L161" s="415"/>
      <c r="M161" s="415"/>
      <c r="N161" s="415"/>
      <c r="O161" s="415"/>
      <c r="P161" s="415"/>
      <c r="Q161" s="415"/>
      <c r="R161" s="415"/>
      <c r="S161" s="415"/>
      <c r="T161" s="415"/>
      <c r="U161" s="415"/>
      <c r="V161" s="415"/>
      <c r="W161" s="415"/>
      <c r="X161" s="415"/>
      <c r="Y161" s="415"/>
      <c r="Z161" s="415"/>
      <c r="AA161" s="415"/>
      <c r="AB161" s="415"/>
      <c r="AC161" s="415"/>
      <c r="AD161" s="415"/>
    </row>
    <row r="162" spans="1:30" ht="15.75" customHeight="1" thickBot="1" x14ac:dyDescent="0.35">
      <c r="A162" s="320"/>
      <c r="B162" s="49"/>
      <c r="C162" s="43"/>
      <c r="D162" s="428" t="s">
        <v>23</v>
      </c>
      <c r="E162" s="2046" t="s">
        <v>144</v>
      </c>
      <c r="F162" s="2047"/>
      <c r="G162" s="2047"/>
      <c r="H162" s="2048"/>
      <c r="I162" s="1849" t="s">
        <v>24</v>
      </c>
      <c r="J162" s="1850"/>
      <c r="K162" s="1851"/>
      <c r="L162" s="1909" t="s">
        <v>461</v>
      </c>
      <c r="M162" s="415"/>
      <c r="N162" s="415"/>
      <c r="O162" s="415"/>
      <c r="P162" s="415"/>
      <c r="Q162" s="415"/>
      <c r="R162" s="415"/>
      <c r="S162" s="415"/>
      <c r="T162" s="415"/>
      <c r="U162" s="415"/>
      <c r="V162" s="415"/>
      <c r="W162" s="415"/>
      <c r="X162" s="415"/>
      <c r="Y162" s="415"/>
      <c r="Z162" s="415"/>
      <c r="AA162" s="415"/>
      <c r="AB162" s="415"/>
      <c r="AC162" s="415"/>
      <c r="AD162" s="415"/>
    </row>
    <row r="163" spans="1:30" ht="39.75" customHeight="1" thickBot="1" x14ac:dyDescent="0.35">
      <c r="A163" s="320"/>
      <c r="B163" s="359"/>
      <c r="C163" s="49"/>
      <c r="D163" s="490" t="s">
        <v>145</v>
      </c>
      <c r="E163" s="432" t="s">
        <v>173</v>
      </c>
      <c r="F163" s="432" t="s">
        <v>376</v>
      </c>
      <c r="G163" s="433" t="s">
        <v>145</v>
      </c>
      <c r="H163" s="432" t="s">
        <v>469</v>
      </c>
      <c r="I163" s="1852"/>
      <c r="J163" s="1853"/>
      <c r="K163" s="1854"/>
      <c r="L163" s="1911"/>
      <c r="M163" s="415"/>
      <c r="N163" s="415"/>
      <c r="O163" s="415"/>
      <c r="P163" s="415"/>
      <c r="Q163" s="415"/>
      <c r="R163" s="415"/>
      <c r="S163" s="415"/>
      <c r="T163" s="415"/>
      <c r="U163" s="415"/>
      <c r="V163" s="415"/>
      <c r="W163" s="415"/>
      <c r="X163" s="415"/>
      <c r="Y163" s="415"/>
      <c r="Z163" s="415"/>
      <c r="AA163" s="415"/>
      <c r="AB163" s="415"/>
      <c r="AC163" s="415"/>
      <c r="AD163" s="415"/>
    </row>
    <row r="164" spans="1:30" ht="15.75" customHeight="1" thickBot="1" x14ac:dyDescent="0.35">
      <c r="A164" s="320"/>
      <c r="B164" s="1855" t="s">
        <v>146</v>
      </c>
      <c r="C164" s="1856"/>
      <c r="D164" s="1042"/>
      <c r="E164" s="1042"/>
      <c r="F164" s="1043"/>
      <c r="G164" s="491">
        <f>IF(Performance!$L$2="Y",D164,F164)</f>
        <v>0</v>
      </c>
      <c r="H164" s="562" t="str">
        <f>IF(AND(E164&lt;&gt;0,E164&lt;&gt;""),G164/E164,"")</f>
        <v/>
      </c>
      <c r="I164" s="1857"/>
      <c r="J164" s="1858"/>
      <c r="K164" s="1859"/>
      <c r="L164" s="1119" t="str">
        <f>IF(OR(D164&lt;0,E164&lt;0,F164&lt;0),"Error - negative number",IF(F164&gt;D164,"Offices only &gt; Total Estate",IF(AND(H164&lt;'QA config'!D2,H164&lt;&gt;""),CONCATENATE("&lt; ",'QA config'!D2," m3/FTE"),IF(AND(H164&gt;'QA config'!C2,H164&lt;&gt;""),CONCATENATE("&gt; ",'QA config'!C2," m3/FTE"),""))))</f>
        <v/>
      </c>
      <c r="M164" s="415"/>
      <c r="N164" s="415"/>
      <c r="O164" s="415"/>
      <c r="P164" s="415"/>
      <c r="Q164" s="415"/>
      <c r="R164" s="415"/>
      <c r="S164" s="415"/>
      <c r="T164" s="415"/>
      <c r="U164" s="415"/>
      <c r="V164" s="415"/>
      <c r="W164" s="415"/>
      <c r="X164" s="415"/>
      <c r="Y164" s="415"/>
      <c r="Z164" s="415"/>
      <c r="AA164" s="415"/>
      <c r="AB164" s="415"/>
      <c r="AC164" s="415"/>
      <c r="AD164" s="415"/>
    </row>
    <row r="165" spans="1:30" ht="13.5" customHeight="1" x14ac:dyDescent="0.3">
      <c r="A165" s="320"/>
      <c r="B165" s="49" t="s">
        <v>175</v>
      </c>
      <c r="C165" s="49"/>
      <c r="D165" s="49"/>
      <c r="E165" s="49"/>
      <c r="F165" s="49"/>
      <c r="G165" s="49"/>
      <c r="H165" s="49"/>
      <c r="I165" s="415"/>
      <c r="J165" s="415"/>
      <c r="K165" s="415"/>
      <c r="L165" s="415"/>
      <c r="M165" s="415"/>
      <c r="N165" s="415"/>
      <c r="O165" s="415"/>
      <c r="P165" s="415"/>
      <c r="Q165" s="415"/>
      <c r="R165" s="415"/>
      <c r="S165" s="415"/>
      <c r="T165" s="415"/>
      <c r="U165" s="415"/>
      <c r="V165" s="415"/>
      <c r="W165" s="415"/>
      <c r="X165" s="415"/>
      <c r="Y165" s="415"/>
      <c r="Z165" s="415"/>
      <c r="AA165" s="415"/>
      <c r="AB165" s="415"/>
      <c r="AC165" s="415"/>
      <c r="AD165" s="415"/>
    </row>
    <row r="166" spans="1:30" x14ac:dyDescent="0.3">
      <c r="A166" s="320"/>
      <c r="B166" s="49"/>
      <c r="C166" s="49"/>
      <c r="D166" s="360"/>
      <c r="E166" s="337"/>
      <c r="F166" s="337"/>
      <c r="G166" s="337"/>
      <c r="H166" s="337"/>
      <c r="I166" s="337"/>
      <c r="J166" s="415"/>
      <c r="K166" s="415"/>
      <c r="L166" s="337"/>
      <c r="M166" s="337"/>
      <c r="N166" s="437"/>
      <c r="O166" s="337"/>
      <c r="P166" s="49"/>
      <c r="Q166" s="49"/>
      <c r="R166" s="320"/>
      <c r="S166" s="49"/>
      <c r="T166" s="49"/>
      <c r="U166" s="49"/>
      <c r="V166" s="49"/>
      <c r="W166" s="49"/>
      <c r="X166" s="49"/>
      <c r="Y166" s="49"/>
      <c r="Z166" s="49"/>
      <c r="AA166" s="49"/>
      <c r="AB166" s="49"/>
      <c r="AC166" s="49"/>
      <c r="AD166" s="49"/>
    </row>
    <row r="167" spans="1:30" ht="27.75" customHeight="1" x14ac:dyDescent="0.3">
      <c r="A167" s="1209">
        <v>4</v>
      </c>
      <c r="B167" s="471" t="s">
        <v>147</v>
      </c>
      <c r="C167" s="472"/>
      <c r="D167" s="2090" t="str">
        <f>+$A$1</f>
        <v>Quarter 4 - 2019-2020</v>
      </c>
      <c r="E167" s="2090"/>
      <c r="F167" s="2090"/>
      <c r="G167" s="2090"/>
      <c r="H167" s="2090"/>
      <c r="I167" s="2090"/>
      <c r="J167" s="2090"/>
      <c r="K167" s="473"/>
      <c r="L167" s="473"/>
      <c r="M167" s="466"/>
      <c r="N167" s="466"/>
      <c r="O167" s="466"/>
      <c r="P167" s="474"/>
      <c r="Q167" s="466"/>
      <c r="R167" s="466"/>
      <c r="S167" s="466"/>
      <c r="T167" s="466"/>
      <c r="U167" s="466"/>
      <c r="V167" s="466"/>
      <c r="W167" s="466"/>
      <c r="X167" s="466"/>
      <c r="Y167" s="466"/>
      <c r="Z167" s="466"/>
      <c r="AA167" s="466"/>
      <c r="AB167" s="466"/>
      <c r="AC167" s="466"/>
      <c r="AD167" s="466"/>
    </row>
    <row r="168" spans="1:30" ht="15.75" customHeight="1" thickBot="1" x14ac:dyDescent="0.35">
      <c r="A168" s="320"/>
      <c r="B168" s="49"/>
      <c r="C168" s="49"/>
      <c r="D168" s="336"/>
      <c r="E168" s="336"/>
      <c r="F168" s="336"/>
      <c r="G168" s="336"/>
      <c r="H168" s="336"/>
      <c r="I168" s="336"/>
      <c r="J168" s="336"/>
      <c r="K168" s="336"/>
      <c r="L168" s="49"/>
      <c r="M168" s="49"/>
      <c r="N168" s="49"/>
      <c r="O168" s="49"/>
      <c r="P168" s="49"/>
      <c r="Q168" s="49"/>
      <c r="R168" s="49"/>
      <c r="S168" s="49"/>
      <c r="T168" s="49"/>
      <c r="U168" s="49"/>
      <c r="V168" s="49"/>
      <c r="W168" s="49"/>
      <c r="X168" s="49"/>
      <c r="Y168" s="49"/>
      <c r="Z168" s="49"/>
      <c r="AA168" s="49"/>
      <c r="AB168" s="49"/>
      <c r="AC168" s="49"/>
      <c r="AD168" s="49"/>
    </row>
    <row r="169" spans="1:30" ht="13.5" customHeight="1" thickBot="1" x14ac:dyDescent="0.35">
      <c r="A169" s="320"/>
      <c r="B169" s="49"/>
      <c r="C169" s="43"/>
      <c r="D169" s="337"/>
      <c r="E169" s="2060" t="s">
        <v>23</v>
      </c>
      <c r="F169" s="2061"/>
      <c r="G169" s="2062" t="s">
        <v>144</v>
      </c>
      <c r="H169" s="2137"/>
      <c r="I169" s="1849" t="s">
        <v>24</v>
      </c>
      <c r="J169" s="1850"/>
      <c r="K169" s="1851"/>
      <c r="L169" s="1909" t="s">
        <v>461</v>
      </c>
      <c r="M169" s="49"/>
      <c r="N169" s="49"/>
      <c r="O169" s="49"/>
      <c r="P169" s="49"/>
      <c r="Q169" s="49"/>
      <c r="R169" s="49"/>
      <c r="S169" s="49"/>
      <c r="T169" s="49"/>
      <c r="U169" s="49"/>
      <c r="V169" s="49"/>
      <c r="W169" s="49"/>
      <c r="X169" s="49"/>
      <c r="Y169" s="49"/>
      <c r="Z169" s="49"/>
      <c r="AA169" s="49"/>
      <c r="AB169" s="49"/>
      <c r="AC169" s="49"/>
      <c r="AD169" s="49"/>
    </row>
    <row r="170" spans="1:30" ht="16.5" customHeight="1" thickBot="1" x14ac:dyDescent="0.35">
      <c r="A170" s="320"/>
      <c r="B170" s="49"/>
      <c r="C170" s="359"/>
      <c r="D170" s="49"/>
      <c r="E170" s="438" t="s">
        <v>148</v>
      </c>
      <c r="F170" s="439" t="s">
        <v>149</v>
      </c>
      <c r="G170" s="433" t="s">
        <v>148</v>
      </c>
      <c r="H170" s="433" t="s">
        <v>149</v>
      </c>
      <c r="I170" s="1852"/>
      <c r="J170" s="1853"/>
      <c r="K170" s="1854"/>
      <c r="L170" s="1911"/>
      <c r="M170" s="49"/>
      <c r="N170" s="49"/>
      <c r="O170" s="49"/>
      <c r="P170" s="49"/>
      <c r="Q170" s="49"/>
      <c r="R170" s="49"/>
      <c r="S170" s="49"/>
      <c r="T170" s="49"/>
      <c r="U170" s="49"/>
      <c r="V170" s="49"/>
      <c r="W170" s="49"/>
      <c r="X170" s="49"/>
      <c r="Y170" s="49"/>
      <c r="Z170" s="49"/>
      <c r="AA170" s="49"/>
      <c r="AB170" s="49"/>
      <c r="AC170" s="49"/>
      <c r="AD170" s="49"/>
    </row>
    <row r="171" spans="1:30" ht="15.75" customHeight="1" x14ac:dyDescent="0.3">
      <c r="A171" s="320"/>
      <c r="B171" s="1291" t="s">
        <v>150</v>
      </c>
      <c r="C171" s="1310"/>
      <c r="D171" s="1300"/>
      <c r="E171" s="1046"/>
      <c r="F171" s="440" t="str">
        <f>IF($E$184&gt;0,E171/$E$184,"")</f>
        <v/>
      </c>
      <c r="G171" s="1048"/>
      <c r="H171" s="442" t="str">
        <f>IF($G$184&gt;0,G171/$G$184,"")</f>
        <v/>
      </c>
      <c r="I171" s="2025"/>
      <c r="J171" s="2026"/>
      <c r="K171" s="2027"/>
      <c r="L171" s="1121" t="str">
        <f>IF(OR(E171&lt;0,G171&lt;0),"Error - negative number",IF(G171&gt;E171,"Offices only &gt; Total Estate",""))</f>
        <v/>
      </c>
      <c r="M171" s="49"/>
      <c r="N171" s="49"/>
      <c r="O171" s="49"/>
      <c r="P171" s="49"/>
      <c r="Q171" s="49"/>
      <c r="R171" s="49"/>
      <c r="S171" s="49"/>
      <c r="T171" s="49"/>
      <c r="U171" s="49"/>
      <c r="V171" s="49"/>
      <c r="W171" s="49"/>
      <c r="X171" s="49"/>
      <c r="Y171" s="49"/>
      <c r="Z171" s="49"/>
      <c r="AA171" s="49"/>
      <c r="AB171" s="49"/>
      <c r="AC171" s="49"/>
      <c r="AD171" s="49"/>
    </row>
    <row r="172" spans="1:30" ht="15.75" customHeight="1" x14ac:dyDescent="0.3">
      <c r="A172" s="320"/>
      <c r="B172" s="1292" t="s">
        <v>365</v>
      </c>
      <c r="C172" s="1311"/>
      <c r="D172" s="1301"/>
      <c r="E172" s="1046"/>
      <c r="F172" s="443"/>
      <c r="G172" s="1048"/>
      <c r="H172" s="444"/>
      <c r="I172" s="2098"/>
      <c r="J172" s="2099"/>
      <c r="K172" s="2100"/>
      <c r="L172" s="1056" t="str">
        <f t="shared" ref="L172:L185" si="17">IF(OR(E172&lt;0,G172&lt;0),"Error - negative number",IF(G172&gt;E172,"Offices only &gt; Total Estate",""))</f>
        <v/>
      </c>
      <c r="M172" s="49"/>
      <c r="N172" s="49"/>
      <c r="O172" s="49"/>
      <c r="P172" s="49"/>
      <c r="Q172" s="49"/>
      <c r="R172" s="49"/>
      <c r="S172" s="49"/>
      <c r="T172" s="49"/>
      <c r="U172" s="49"/>
      <c r="V172" s="49"/>
      <c r="W172" s="49"/>
      <c r="X172" s="49"/>
      <c r="Y172" s="49"/>
      <c r="Z172" s="49"/>
      <c r="AA172" s="49"/>
      <c r="AB172" s="49"/>
      <c r="AC172" s="49"/>
      <c r="AD172" s="49"/>
    </row>
    <row r="173" spans="1:30" ht="15.75" customHeight="1" x14ac:dyDescent="0.3">
      <c r="A173" s="320"/>
      <c r="B173" s="1293" t="s">
        <v>151</v>
      </c>
      <c r="C173" s="1312"/>
      <c r="D173" s="1302"/>
      <c r="E173" s="1046"/>
      <c r="F173" s="445" t="str">
        <f>IF($E$184&gt;0,E173/$E$184,"")</f>
        <v/>
      </c>
      <c r="G173" s="1048"/>
      <c r="H173" s="446" t="str">
        <f>IF($G$184&gt;0,G173/$G$184,"")</f>
        <v/>
      </c>
      <c r="I173" s="2098"/>
      <c r="J173" s="2099"/>
      <c r="K173" s="2100"/>
      <c r="L173" s="1056" t="str">
        <f t="shared" si="17"/>
        <v/>
      </c>
      <c r="M173" s="49"/>
      <c r="N173" s="49"/>
      <c r="O173" s="49"/>
      <c r="P173" s="49"/>
      <c r="Q173" s="49"/>
      <c r="R173" s="49"/>
      <c r="S173" s="49"/>
      <c r="T173" s="49"/>
      <c r="U173" s="49"/>
      <c r="V173" s="49"/>
      <c r="W173" s="49"/>
      <c r="X173" s="49"/>
      <c r="Y173" s="49"/>
      <c r="Z173" s="49"/>
      <c r="AA173" s="49"/>
      <c r="AB173" s="49"/>
      <c r="AC173" s="49"/>
      <c r="AD173" s="49"/>
    </row>
    <row r="174" spans="1:30" ht="15.75" customHeight="1" x14ac:dyDescent="0.3">
      <c r="A174" s="320"/>
      <c r="B174" s="1293" t="s">
        <v>185</v>
      </c>
      <c r="C174" s="1312"/>
      <c r="D174" s="1302"/>
      <c r="E174" s="1046"/>
      <c r="F174" s="443"/>
      <c r="G174" s="1048"/>
      <c r="H174" s="444"/>
      <c r="I174" s="2098"/>
      <c r="J174" s="2099"/>
      <c r="K174" s="2100"/>
      <c r="L174" s="1056" t="str">
        <f t="shared" si="17"/>
        <v/>
      </c>
      <c r="M174" s="49"/>
      <c r="N174" s="49"/>
      <c r="O174" s="49"/>
      <c r="P174" s="49"/>
      <c r="Q174" s="49"/>
      <c r="R174" s="49"/>
      <c r="S174" s="49"/>
      <c r="T174" s="49"/>
      <c r="U174" s="49"/>
      <c r="V174" s="49"/>
      <c r="W174" s="49"/>
      <c r="X174" s="49"/>
      <c r="Y174" s="49"/>
      <c r="Z174" s="49"/>
      <c r="AA174" s="49"/>
      <c r="AB174" s="49"/>
      <c r="AC174" s="49"/>
      <c r="AD174" s="49"/>
    </row>
    <row r="175" spans="1:30" ht="15.75" customHeight="1" x14ac:dyDescent="0.3">
      <c r="A175" s="320"/>
      <c r="B175" s="1293" t="s">
        <v>152</v>
      </c>
      <c r="C175" s="1312"/>
      <c r="D175" s="1302"/>
      <c r="E175" s="1046"/>
      <c r="F175" s="445" t="str">
        <f>IF($E$184&gt;0,E175/$E$184,"")</f>
        <v/>
      </c>
      <c r="G175" s="1048"/>
      <c r="H175" s="446" t="str">
        <f>IF($G$184&gt;0,G175/$G$184,"")</f>
        <v/>
      </c>
      <c r="I175" s="2098"/>
      <c r="J175" s="2099"/>
      <c r="K175" s="2100"/>
      <c r="L175" s="1056" t="str">
        <f t="shared" si="17"/>
        <v/>
      </c>
      <c r="M175" s="49"/>
      <c r="N175" s="49"/>
      <c r="O175" s="49"/>
      <c r="P175" s="49"/>
      <c r="Q175" s="49"/>
      <c r="R175" s="49"/>
      <c r="S175" s="49"/>
      <c r="T175" s="49"/>
      <c r="U175" s="49"/>
      <c r="V175" s="49"/>
      <c r="W175" s="49"/>
      <c r="X175" s="49"/>
      <c r="Y175" s="49"/>
      <c r="Z175" s="49"/>
      <c r="AA175" s="49"/>
      <c r="AB175" s="49"/>
      <c r="AC175" s="49"/>
      <c r="AD175" s="49"/>
    </row>
    <row r="176" spans="1:30" ht="15.75" customHeight="1" x14ac:dyDescent="0.3">
      <c r="A176" s="320"/>
      <c r="B176" s="1292" t="s">
        <v>153</v>
      </c>
      <c r="C176" s="1311"/>
      <c r="D176" s="1301"/>
      <c r="E176" s="1046"/>
      <c r="F176" s="445" t="str">
        <f>IF($E$184&gt;0,E176/$E$184,"")</f>
        <v/>
      </c>
      <c r="G176" s="1048"/>
      <c r="H176" s="446" t="str">
        <f>IF($G$184&gt;0,G176/$G$184,"")</f>
        <v/>
      </c>
      <c r="I176" s="2098"/>
      <c r="J176" s="2099"/>
      <c r="K176" s="2100"/>
      <c r="L176" s="1056" t="str">
        <f t="shared" si="17"/>
        <v/>
      </c>
      <c r="M176" s="49"/>
      <c r="N176" s="49"/>
      <c r="O176" s="49"/>
      <c r="P176" s="49"/>
      <c r="Q176" s="49"/>
      <c r="R176" s="49"/>
      <c r="S176" s="49"/>
      <c r="T176" s="49"/>
      <c r="U176" s="49"/>
      <c r="V176" s="49"/>
      <c r="W176" s="49"/>
      <c r="X176" s="49"/>
      <c r="Y176" s="49"/>
      <c r="Z176" s="49"/>
      <c r="AA176" s="49"/>
      <c r="AB176" s="49"/>
      <c r="AC176" s="49"/>
      <c r="AD176" s="49"/>
    </row>
    <row r="177" spans="1:30" ht="15.75" customHeight="1" x14ac:dyDescent="0.3">
      <c r="A177" s="320"/>
      <c r="B177" s="1292" t="s">
        <v>154</v>
      </c>
      <c r="C177" s="1311"/>
      <c r="D177" s="1301"/>
      <c r="E177" s="1046"/>
      <c r="F177" s="445" t="str">
        <f>IF($E$184&gt;0,E177/$E$184,"")</f>
        <v/>
      </c>
      <c r="G177" s="1048"/>
      <c r="H177" s="446" t="str">
        <f>IF($G$184&gt;0,G177/$G$184,"")</f>
        <v/>
      </c>
      <c r="I177" s="2098"/>
      <c r="J177" s="2099"/>
      <c r="K177" s="2100"/>
      <c r="L177" s="1056" t="str">
        <f t="shared" si="17"/>
        <v/>
      </c>
      <c r="M177" s="49"/>
      <c r="N177" s="49"/>
      <c r="O177" s="49"/>
      <c r="P177" s="49"/>
      <c r="Q177" s="49"/>
      <c r="R177" s="49"/>
      <c r="S177" s="49"/>
      <c r="T177" s="49"/>
      <c r="U177" s="49"/>
      <c r="V177" s="49"/>
      <c r="W177" s="49"/>
      <c r="X177" s="49"/>
      <c r="Y177" s="49"/>
      <c r="Z177" s="49"/>
      <c r="AA177" s="49"/>
      <c r="AB177" s="49"/>
      <c r="AC177" s="49"/>
      <c r="AD177" s="49"/>
    </row>
    <row r="178" spans="1:30" ht="15.75" customHeight="1" thickBot="1" x14ac:dyDescent="0.35">
      <c r="A178" s="320"/>
      <c r="B178" s="1294" t="s">
        <v>155</v>
      </c>
      <c r="C178" s="1313"/>
      <c r="D178" s="1303"/>
      <c r="E178" s="1045"/>
      <c r="F178" s="492" t="str">
        <f>IF($E$184&gt;0,E178/$E$184,"")</f>
        <v/>
      </c>
      <c r="G178" s="1109"/>
      <c r="H178" s="493" t="str">
        <f>IF($G$184&gt;0,G178/$G$184,"")</f>
        <v/>
      </c>
      <c r="I178" s="2125"/>
      <c r="J178" s="2126"/>
      <c r="K178" s="2127"/>
      <c r="L178" s="1118" t="str">
        <f t="shared" si="17"/>
        <v/>
      </c>
      <c r="M178" s="49"/>
      <c r="N178" s="49"/>
      <c r="O178" s="49"/>
      <c r="P178" s="49"/>
      <c r="Q178" s="49"/>
      <c r="R178" s="49"/>
      <c r="S178" s="49"/>
      <c r="T178" s="49"/>
      <c r="U178" s="49"/>
      <c r="V178" s="49"/>
      <c r="W178" s="49"/>
      <c r="X178" s="49"/>
      <c r="Y178" s="49"/>
      <c r="Z178" s="49"/>
      <c r="AA178" s="49"/>
      <c r="AB178" s="49"/>
      <c r="AC178" s="49"/>
      <c r="AD178" s="49"/>
    </row>
    <row r="179" spans="1:30" ht="15.75" customHeight="1" thickBot="1" x14ac:dyDescent="0.35">
      <c r="A179" s="320"/>
      <c r="B179" s="1295" t="s">
        <v>156</v>
      </c>
      <c r="C179" s="1314"/>
      <c r="D179" s="1304"/>
      <c r="E179" s="1044"/>
      <c r="F179" s="60"/>
      <c r="G179" s="1108"/>
      <c r="H179" s="150"/>
      <c r="I179" s="1857"/>
      <c r="J179" s="1858"/>
      <c r="K179" s="1859"/>
      <c r="L179" s="1119" t="str">
        <f t="shared" si="17"/>
        <v/>
      </c>
      <c r="M179" s="49"/>
      <c r="N179" s="49"/>
      <c r="O179" s="49"/>
      <c r="P179" s="49"/>
      <c r="Q179" s="49"/>
      <c r="R179" s="49"/>
      <c r="S179" s="49"/>
      <c r="T179" s="49"/>
      <c r="U179" s="49"/>
      <c r="V179" s="49"/>
      <c r="W179" s="49"/>
      <c r="X179" s="49"/>
      <c r="Y179" s="49"/>
      <c r="Z179" s="49"/>
      <c r="AA179" s="49"/>
      <c r="AB179" s="49"/>
      <c r="AC179" s="49"/>
      <c r="AD179" s="49"/>
    </row>
    <row r="180" spans="1:30" ht="15.75" customHeight="1" thickBot="1" x14ac:dyDescent="0.35">
      <c r="A180" s="320"/>
      <c r="B180" s="1296" t="s">
        <v>157</v>
      </c>
      <c r="C180" s="1315"/>
      <c r="D180" s="1305"/>
      <c r="E180" s="494">
        <f>+E171+E173+E176</f>
        <v>0</v>
      </c>
      <c r="F180" s="60" t="str">
        <f>IF(E184=0,"",+E180/E184)</f>
        <v/>
      </c>
      <c r="G180" s="495">
        <f>IF(Performance!$L$2="y",E180,G171+G173+G176)</f>
        <v>0</v>
      </c>
      <c r="H180" s="456" t="str">
        <f>IF(G184=0,"",+G180/G184)</f>
        <v/>
      </c>
      <c r="I180" s="2122"/>
      <c r="J180" s="2123"/>
      <c r="K180" s="2124"/>
      <c r="L180" s="1119" t="str">
        <f t="shared" si="17"/>
        <v/>
      </c>
      <c r="M180" s="49"/>
      <c r="N180" s="49"/>
      <c r="O180" s="49"/>
      <c r="P180" s="49"/>
      <c r="Q180" s="49"/>
      <c r="R180" s="49"/>
      <c r="S180" s="49"/>
      <c r="T180" s="49"/>
      <c r="U180" s="49"/>
      <c r="V180" s="49"/>
      <c r="W180" s="49"/>
      <c r="X180" s="49"/>
      <c r="Y180" s="49"/>
      <c r="Z180" s="49"/>
      <c r="AA180" s="49"/>
      <c r="AB180" s="49"/>
      <c r="AC180" s="49"/>
      <c r="AD180" s="49"/>
    </row>
    <row r="181" spans="1:30" ht="15.75" customHeight="1" thickBot="1" x14ac:dyDescent="0.35">
      <c r="A181" s="320"/>
      <c r="B181" s="1297" t="s">
        <v>521</v>
      </c>
      <c r="C181" s="1309"/>
      <c r="D181" s="1306"/>
      <c r="E181" s="165">
        <f>E173+E175</f>
        <v>0</v>
      </c>
      <c r="F181" s="175" t="str">
        <f>IF($E$184&gt;0,E181/$E$184,"")</f>
        <v/>
      </c>
      <c r="G181" s="181">
        <f>IF(Performance!$L$2="y",E181,G173+G175)</f>
        <v>0</v>
      </c>
      <c r="H181" s="176" t="str">
        <f>IF($G$184&gt;0,G181/$G$184,"")</f>
        <v/>
      </c>
      <c r="I181" s="1857"/>
      <c r="J181" s="1858"/>
      <c r="K181" s="1859"/>
      <c r="L181" s="1119" t="str">
        <f t="shared" si="17"/>
        <v/>
      </c>
      <c r="M181" s="49"/>
      <c r="N181" s="49"/>
      <c r="O181" s="49"/>
      <c r="P181" s="49"/>
      <c r="Q181" s="49"/>
      <c r="R181" s="49"/>
      <c r="S181" s="49"/>
      <c r="T181" s="49"/>
      <c r="U181" s="49"/>
      <c r="V181" s="49"/>
      <c r="W181" s="49"/>
      <c r="X181" s="49"/>
      <c r="Y181" s="49"/>
      <c r="Z181" s="49"/>
      <c r="AA181" s="49"/>
      <c r="AB181" s="49"/>
      <c r="AC181" s="49"/>
      <c r="AD181" s="49"/>
    </row>
    <row r="182" spans="1:30" ht="15.75" customHeight="1" thickBot="1" x14ac:dyDescent="0.35">
      <c r="A182" s="320"/>
      <c r="B182" s="1296" t="s">
        <v>522</v>
      </c>
      <c r="C182" s="1315"/>
      <c r="D182" s="1305"/>
      <c r="E182" s="165">
        <f>SUM(E171:E178)-E172-E174</f>
        <v>0</v>
      </c>
      <c r="F182" s="60" t="str">
        <f>IF($E$184&gt;0,E182/$E$184,"")</f>
        <v/>
      </c>
      <c r="G182" s="181">
        <f>IF(Performance!$L$2="y",E182,SUM(G171:G178)-G172-G174)</f>
        <v>0</v>
      </c>
      <c r="H182" s="150" t="str">
        <f>IF($G$184&gt;0,G182/$G$184,"")</f>
        <v/>
      </c>
      <c r="I182" s="1857"/>
      <c r="J182" s="1858"/>
      <c r="K182" s="1859"/>
      <c r="L182" s="1119" t="str">
        <f t="shared" si="17"/>
        <v/>
      </c>
      <c r="M182" s="49"/>
      <c r="N182" s="49"/>
      <c r="O182" s="49"/>
      <c r="P182" s="49"/>
      <c r="Q182" s="49"/>
      <c r="R182" s="49"/>
      <c r="S182" s="49"/>
      <c r="T182" s="49"/>
      <c r="U182" s="49"/>
      <c r="V182" s="49"/>
      <c r="W182" s="49"/>
      <c r="X182" s="49"/>
      <c r="Y182" s="49"/>
      <c r="Z182" s="49"/>
      <c r="AA182" s="49"/>
      <c r="AB182" s="49"/>
      <c r="AC182" s="49"/>
      <c r="AD182" s="49"/>
    </row>
    <row r="183" spans="1:30" ht="15.75" customHeight="1" thickBot="1" x14ac:dyDescent="0.35">
      <c r="A183" s="320"/>
      <c r="B183" s="1297" t="s">
        <v>160</v>
      </c>
      <c r="C183" s="1309"/>
      <c r="D183" s="1306"/>
      <c r="E183" s="1046"/>
      <c r="F183" s="60" t="str">
        <f>IF($E$184&gt;0,E183/$E$184,"")</f>
        <v/>
      </c>
      <c r="G183" s="1048"/>
      <c r="H183" s="150" t="str">
        <f>IF($G$184&gt;0,G183/$G$184,"")</f>
        <v/>
      </c>
      <c r="I183" s="2122"/>
      <c r="J183" s="2123"/>
      <c r="K183" s="2124"/>
      <c r="L183" s="1119" t="str">
        <f t="shared" si="17"/>
        <v/>
      </c>
      <c r="M183" s="49"/>
      <c r="N183" s="49"/>
      <c r="O183" s="49"/>
      <c r="P183" s="49"/>
      <c r="Q183" s="49"/>
      <c r="R183" s="49"/>
      <c r="S183" s="49"/>
      <c r="T183" s="49"/>
      <c r="U183" s="49"/>
      <c r="V183" s="49"/>
      <c r="W183" s="49"/>
      <c r="X183" s="49"/>
      <c r="Y183" s="49"/>
      <c r="Z183" s="49"/>
      <c r="AA183" s="49"/>
      <c r="AB183" s="49"/>
      <c r="AC183" s="49"/>
      <c r="AD183" s="49"/>
    </row>
    <row r="184" spans="1:30" ht="15.75" customHeight="1" thickBot="1" x14ac:dyDescent="0.35">
      <c r="A184" s="320"/>
      <c r="B184" s="1298" t="s">
        <v>523</v>
      </c>
      <c r="C184" s="1316"/>
      <c r="D184" s="1307"/>
      <c r="E184" s="165">
        <f>E183+E182</f>
        <v>0</v>
      </c>
      <c r="F184" s="59"/>
      <c r="G184" s="163">
        <f>IF(Performance!$L$2="y",E184,G183+G182)</f>
        <v>0</v>
      </c>
      <c r="H184" s="149"/>
      <c r="I184" s="1857"/>
      <c r="J184" s="1858"/>
      <c r="K184" s="1859"/>
      <c r="L184" s="1119" t="str">
        <f t="shared" si="17"/>
        <v/>
      </c>
      <c r="M184" s="49"/>
      <c r="N184" s="49"/>
      <c r="O184" s="49"/>
      <c r="P184" s="49"/>
      <c r="Q184" s="49"/>
      <c r="R184" s="49"/>
      <c r="S184" s="49"/>
      <c r="T184" s="49"/>
      <c r="U184" s="49"/>
      <c r="V184" s="49"/>
      <c r="W184" s="49"/>
      <c r="X184" s="49"/>
      <c r="Y184" s="49"/>
      <c r="Z184" s="49"/>
      <c r="AA184" s="49"/>
      <c r="AB184" s="49"/>
      <c r="AC184" s="49"/>
      <c r="AD184" s="49"/>
    </row>
    <row r="185" spans="1:30" ht="17.25" customHeight="1" thickBot="1" x14ac:dyDescent="0.35">
      <c r="A185" s="320"/>
      <c r="B185" s="1299" t="s">
        <v>162</v>
      </c>
      <c r="C185" s="1317"/>
      <c r="D185" s="1308"/>
      <c r="E185" s="1047"/>
      <c r="F185" s="60" t="str">
        <f>IF($E$184&gt;0,E185/$E$184,"")</f>
        <v/>
      </c>
      <c r="G185" s="1108"/>
      <c r="H185" s="150" t="str">
        <f>IF($E$184&gt;0,G185/$E$184,"")</f>
        <v/>
      </c>
      <c r="I185" s="2131"/>
      <c r="J185" s="2132"/>
      <c r="K185" s="2133"/>
      <c r="L185" s="1119" t="str">
        <f t="shared" si="17"/>
        <v/>
      </c>
      <c r="M185" s="49"/>
      <c r="N185" s="49"/>
      <c r="O185" s="49"/>
      <c r="P185" s="49"/>
      <c r="Q185" s="49"/>
      <c r="R185" s="49"/>
      <c r="S185" s="49"/>
      <c r="T185" s="49"/>
      <c r="U185" s="49"/>
      <c r="V185" s="49"/>
      <c r="W185" s="49"/>
      <c r="X185" s="49"/>
      <c r="Y185" s="49"/>
      <c r="Z185" s="49"/>
      <c r="AA185" s="49"/>
      <c r="AB185" s="49"/>
      <c r="AC185" s="49"/>
      <c r="AD185" s="49"/>
    </row>
    <row r="186" spans="1:30" ht="31.5" customHeight="1" x14ac:dyDescent="0.3">
      <c r="A186" s="320"/>
      <c r="B186" s="49"/>
      <c r="C186" s="2076" t="s">
        <v>163</v>
      </c>
      <c r="D186" s="2128"/>
      <c r="E186" s="2128"/>
      <c r="F186" s="2128"/>
      <c r="G186" s="2128"/>
      <c r="H186" s="2128"/>
      <c r="I186" s="2128"/>
      <c r="J186" s="2128"/>
      <c r="K186" s="386"/>
      <c r="L186" s="426"/>
      <c r="M186" s="337"/>
      <c r="N186" s="337"/>
      <c r="O186" s="49"/>
      <c r="P186" s="49"/>
      <c r="Q186" s="49"/>
      <c r="R186" s="49"/>
      <c r="S186" s="49"/>
      <c r="T186" s="49"/>
      <c r="U186" s="49"/>
      <c r="V186" s="49"/>
      <c r="W186" s="49"/>
      <c r="X186" s="49"/>
      <c r="Y186" s="49"/>
      <c r="Z186" s="49"/>
      <c r="AA186" s="49"/>
      <c r="AB186" s="49"/>
      <c r="AC186" s="49"/>
      <c r="AD186" s="49"/>
    </row>
    <row r="187" spans="1:30" ht="27.75" customHeight="1" x14ac:dyDescent="0.3">
      <c r="A187" s="1209">
        <v>5</v>
      </c>
      <c r="B187" s="471" t="s">
        <v>164</v>
      </c>
      <c r="C187" s="472"/>
      <c r="D187" s="2090" t="str">
        <f>+$A$1</f>
        <v>Quarter 4 - 2019-2020</v>
      </c>
      <c r="E187" s="2090"/>
      <c r="F187" s="2090"/>
      <c r="G187" s="2090"/>
      <c r="H187" s="2090"/>
      <c r="I187" s="2090"/>
      <c r="J187" s="2090"/>
      <c r="K187" s="473"/>
      <c r="L187" s="473"/>
      <c r="M187" s="473"/>
      <c r="N187" s="466"/>
      <c r="O187" s="466"/>
      <c r="P187" s="474"/>
      <c r="Q187" s="474"/>
      <c r="R187" s="466"/>
      <c r="S187" s="466"/>
      <c r="T187" s="466"/>
      <c r="U187" s="466"/>
      <c r="V187" s="466"/>
      <c r="W187" s="466"/>
      <c r="X187" s="466"/>
      <c r="Y187" s="466"/>
      <c r="Z187" s="466"/>
      <c r="AA187" s="466"/>
      <c r="AB187" s="466"/>
      <c r="AC187" s="466"/>
      <c r="AD187" s="466"/>
    </row>
    <row r="188" spans="1:30" ht="15.75" customHeight="1" thickBot="1" x14ac:dyDescent="0.35">
      <c r="A188" s="320"/>
      <c r="B188" s="43"/>
      <c r="C188" s="49"/>
      <c r="D188" s="336"/>
      <c r="E188" s="336"/>
      <c r="F188" s="336"/>
      <c r="G188" s="336"/>
      <c r="H188" s="336"/>
      <c r="I188" s="336"/>
      <c r="J188" s="336"/>
      <c r="K188" s="336"/>
      <c r="L188" s="49"/>
      <c r="M188" s="49"/>
      <c r="N188" s="49"/>
      <c r="O188" s="49"/>
      <c r="P188" s="49"/>
      <c r="Q188" s="49"/>
      <c r="R188" s="49"/>
      <c r="S188" s="49"/>
      <c r="T188" s="49"/>
      <c r="U188" s="49"/>
      <c r="V188" s="49"/>
      <c r="W188" s="49"/>
      <c r="X188" s="49"/>
      <c r="Y188" s="49"/>
      <c r="Z188" s="49"/>
      <c r="AA188" s="49"/>
      <c r="AB188" s="49"/>
      <c r="AC188" s="49"/>
      <c r="AD188" s="49"/>
    </row>
    <row r="189" spans="1:30" ht="15.75" customHeight="1" thickBot="1" x14ac:dyDescent="0.35">
      <c r="A189" s="320"/>
      <c r="B189" s="1860" t="s">
        <v>23</v>
      </c>
      <c r="C189" s="1861"/>
      <c r="D189" s="1861"/>
      <c r="E189" s="1862"/>
      <c r="F189" s="1849" t="s">
        <v>24</v>
      </c>
      <c r="G189" s="1850"/>
      <c r="H189" s="1851"/>
      <c r="I189" s="2086" t="s">
        <v>461</v>
      </c>
      <c r="J189" s="2087"/>
      <c r="K189" s="49"/>
      <c r="L189" s="49"/>
      <c r="M189" s="49"/>
      <c r="N189" s="49"/>
      <c r="O189" s="49"/>
      <c r="P189" s="49"/>
      <c r="Q189" s="49"/>
      <c r="R189" s="49"/>
      <c r="S189" s="49"/>
      <c r="T189" s="49"/>
      <c r="U189" s="49"/>
      <c r="V189" s="49"/>
      <c r="W189" s="49"/>
      <c r="X189" s="49"/>
      <c r="Y189" s="49"/>
      <c r="Z189" s="49"/>
      <c r="AA189" s="49"/>
      <c r="AB189" s="49"/>
      <c r="AC189" s="49"/>
      <c r="AD189" s="49"/>
    </row>
    <row r="190" spans="1:30" ht="24.6" thickBot="1" x14ac:dyDescent="0.35">
      <c r="A190" s="320"/>
      <c r="B190" s="1086" t="s">
        <v>165</v>
      </c>
      <c r="C190" s="496" t="s">
        <v>166</v>
      </c>
      <c r="D190" s="1098" t="s">
        <v>167</v>
      </c>
      <c r="E190" s="497" t="s">
        <v>168</v>
      </c>
      <c r="F190" s="1852"/>
      <c r="G190" s="1853"/>
      <c r="H190" s="1854"/>
      <c r="I190" s="2088"/>
      <c r="J190" s="2089"/>
      <c r="K190" s="49"/>
      <c r="L190" s="49"/>
      <c r="M190" s="49"/>
      <c r="N190" s="49"/>
      <c r="O190" s="49"/>
      <c r="P190" s="49"/>
      <c r="Q190" s="49"/>
      <c r="R190" s="49"/>
      <c r="S190" s="49"/>
      <c r="T190" s="49"/>
      <c r="U190" s="49"/>
      <c r="V190" s="49"/>
      <c r="W190" s="49"/>
      <c r="X190" s="49"/>
      <c r="Y190" s="49"/>
      <c r="Z190" s="49"/>
      <c r="AA190" s="49"/>
      <c r="AB190" s="49"/>
      <c r="AC190" s="49"/>
      <c r="AD190" s="49"/>
    </row>
    <row r="191" spans="1:30" ht="14.4" thickBot="1" x14ac:dyDescent="0.35">
      <c r="A191" s="320"/>
      <c r="B191" s="1049"/>
      <c r="C191" s="1049"/>
      <c r="D191" s="1049"/>
      <c r="E191" s="58">
        <f>B191+(C191*2)+(D191/2)</f>
        <v>0</v>
      </c>
      <c r="F191" s="1857"/>
      <c r="G191" s="1858"/>
      <c r="H191" s="1859"/>
      <c r="I191" s="2129" t="str">
        <f>IF(OR(B191&lt;0,C191&lt;0,D191&lt;0),"Error - Negative number","")</f>
        <v/>
      </c>
      <c r="J191" s="2130"/>
      <c r="K191" s="49"/>
      <c r="L191" s="49"/>
      <c r="M191" s="49"/>
      <c r="N191" s="49"/>
      <c r="O191" s="49"/>
      <c r="P191" s="49"/>
      <c r="Q191" s="49"/>
      <c r="R191" s="49"/>
      <c r="S191" s="49"/>
      <c r="T191" s="49"/>
      <c r="U191" s="49"/>
      <c r="V191" s="49"/>
      <c r="W191" s="49"/>
      <c r="X191" s="49"/>
      <c r="Y191" s="49"/>
      <c r="Z191" s="49"/>
      <c r="AA191" s="49"/>
      <c r="AB191" s="49"/>
      <c r="AC191" s="49"/>
      <c r="AD191" s="49"/>
    </row>
    <row r="192" spans="1:30" x14ac:dyDescent="0.3">
      <c r="A192" s="320"/>
      <c r="B192" s="337"/>
      <c r="C192" s="337"/>
      <c r="D192" s="337"/>
      <c r="E192" s="337"/>
      <c r="F192" s="337"/>
      <c r="G192" s="337"/>
      <c r="H192" s="337"/>
      <c r="I192" s="337"/>
      <c r="J192" s="337"/>
      <c r="K192" s="337"/>
      <c r="L192" s="337"/>
      <c r="M192" s="337"/>
      <c r="N192" s="49"/>
      <c r="O192" s="49"/>
      <c r="P192" s="49"/>
      <c r="Q192" s="49"/>
      <c r="R192" s="49"/>
      <c r="S192" s="49"/>
      <c r="T192" s="49"/>
      <c r="U192" s="49"/>
      <c r="V192" s="49"/>
      <c r="W192" s="49"/>
      <c r="X192" s="49"/>
      <c r="Y192" s="49"/>
      <c r="Z192" s="49"/>
      <c r="AA192" s="49"/>
      <c r="AB192" s="49"/>
      <c r="AC192" s="49"/>
      <c r="AD192" s="49"/>
    </row>
    <row r="193" spans="1:30" ht="27.75" customHeight="1" x14ac:dyDescent="0.3">
      <c r="A193" s="1209">
        <v>6</v>
      </c>
      <c r="B193" s="471" t="s">
        <v>169</v>
      </c>
      <c r="C193" s="472"/>
      <c r="D193" s="2090" t="str">
        <f>+$A$1</f>
        <v>Quarter 4 - 2019-2020</v>
      </c>
      <c r="E193" s="2090"/>
      <c r="F193" s="2090"/>
      <c r="G193" s="2090"/>
      <c r="H193" s="2090"/>
      <c r="I193" s="2090"/>
      <c r="J193" s="2090"/>
      <c r="K193" s="473"/>
      <c r="L193" s="473"/>
      <c r="M193" s="473"/>
      <c r="N193" s="466"/>
      <c r="O193" s="466"/>
      <c r="P193" s="474"/>
      <c r="Q193" s="474"/>
      <c r="R193" s="466"/>
      <c r="S193" s="466"/>
      <c r="T193" s="466"/>
      <c r="U193" s="466"/>
      <c r="V193" s="466"/>
      <c r="W193" s="466"/>
      <c r="X193" s="466"/>
      <c r="Y193" s="466"/>
      <c r="Z193" s="466"/>
      <c r="AA193" s="466"/>
      <c r="AB193" s="466"/>
      <c r="AC193" s="466"/>
      <c r="AD193" s="466"/>
    </row>
    <row r="194" spans="1:30" ht="27.75" customHeight="1" x14ac:dyDescent="0.3">
      <c r="A194" s="320"/>
      <c r="B194" s="49"/>
      <c r="C194" s="49"/>
      <c r="D194" s="49"/>
      <c r="E194" s="49"/>
      <c r="F194" s="49"/>
      <c r="G194" s="49"/>
      <c r="H194" s="49"/>
      <c r="I194" s="49"/>
      <c r="J194" s="49"/>
      <c r="K194" s="49"/>
      <c r="L194" s="49"/>
      <c r="M194" s="49"/>
      <c r="N194" s="49"/>
      <c r="O194" s="49"/>
      <c r="P194" s="464"/>
      <c r="Q194" s="464"/>
      <c r="R194" s="49"/>
      <c r="S194" s="49"/>
      <c r="T194" s="49"/>
      <c r="U194" s="49"/>
      <c r="V194" s="49"/>
      <c r="W194" s="49"/>
      <c r="X194" s="49"/>
      <c r="Y194" s="49"/>
      <c r="Z194" s="49"/>
      <c r="AA194" s="49"/>
      <c r="AB194" s="49"/>
      <c r="AC194" s="49"/>
      <c r="AD194" s="49"/>
    </row>
    <row r="195" spans="1:30" ht="14.4" thickBot="1" x14ac:dyDescent="0.35">
      <c r="A195" s="320"/>
      <c r="B195" s="43"/>
      <c r="C195" s="337"/>
      <c r="D195" s="337"/>
      <c r="E195" s="337"/>
      <c r="F195" s="337"/>
      <c r="G195" s="337"/>
      <c r="H195" s="337"/>
      <c r="I195" s="337"/>
      <c r="J195" s="337"/>
      <c r="K195" s="337"/>
      <c r="L195" s="337"/>
      <c r="M195" s="337"/>
      <c r="N195" s="337"/>
      <c r="O195" s="337"/>
      <c r="P195" s="337"/>
      <c r="Q195" s="337"/>
      <c r="R195" s="337"/>
      <c r="S195" s="337"/>
      <c r="T195" s="337"/>
      <c r="U195" s="337"/>
      <c r="V195" s="337"/>
      <c r="W195" s="337"/>
      <c r="X195" s="337"/>
      <c r="Y195" s="49"/>
      <c r="Z195" s="49"/>
      <c r="AA195" s="49"/>
      <c r="AB195" s="49"/>
      <c r="AC195" s="49"/>
      <c r="AD195" s="49"/>
    </row>
    <row r="196" spans="1:30" ht="15.75" customHeight="1" thickBot="1" x14ac:dyDescent="0.35">
      <c r="A196" s="320"/>
      <c r="B196" s="1860" t="s">
        <v>23</v>
      </c>
      <c r="C196" s="1861"/>
      <c r="D196" s="1862"/>
      <c r="E196" s="1860" t="s">
        <v>24</v>
      </c>
      <c r="F196" s="1861"/>
      <c r="G196" s="1862"/>
      <c r="H196" s="1881" t="s">
        <v>461</v>
      </c>
      <c r="I196" s="2145"/>
      <c r="J196" s="1882"/>
      <c r="K196" s="337"/>
      <c r="L196" s="337"/>
      <c r="M196" s="337"/>
      <c r="N196" s="337"/>
      <c r="O196" s="337"/>
      <c r="P196" s="337"/>
      <c r="Q196" s="337"/>
      <c r="R196" s="337"/>
      <c r="S196" s="337"/>
      <c r="T196" s="337"/>
      <c r="U196" s="337"/>
      <c r="V196" s="337"/>
      <c r="W196" s="337"/>
      <c r="X196" s="337"/>
      <c r="Y196" s="49"/>
      <c r="Z196" s="49"/>
      <c r="AA196" s="49"/>
      <c r="AB196" s="49"/>
      <c r="AC196" s="49"/>
      <c r="AD196" s="49"/>
    </row>
    <row r="197" spans="1:30" ht="13.5" customHeight="1" thickBot="1" x14ac:dyDescent="0.35">
      <c r="A197" s="320"/>
      <c r="B197" s="2020" t="s">
        <v>170</v>
      </c>
      <c r="C197" s="2021"/>
      <c r="D197" s="1049"/>
      <c r="E197" s="2025"/>
      <c r="F197" s="2026"/>
      <c r="G197" s="2027"/>
      <c r="H197" s="2129" t="str">
        <f>IF(D197&lt;0,"Error - Negative number","")</f>
        <v/>
      </c>
      <c r="I197" s="2144"/>
      <c r="J197" s="2130"/>
      <c r="K197" s="337"/>
      <c r="L197" s="337"/>
      <c r="M197" s="337"/>
      <c r="N197" s="337"/>
      <c r="O197" s="337"/>
      <c r="P197" s="337"/>
      <c r="Q197" s="337"/>
      <c r="R197" s="337"/>
      <c r="S197" s="337"/>
      <c r="T197" s="337"/>
      <c r="U197" s="337"/>
      <c r="V197" s="337"/>
      <c r="W197" s="337"/>
      <c r="X197" s="337"/>
      <c r="Y197" s="49"/>
      <c r="Z197" s="49"/>
      <c r="AA197" s="49"/>
      <c r="AB197" s="49"/>
      <c r="AC197" s="49"/>
      <c r="AD197" s="49"/>
    </row>
    <row r="198" spans="1:30" ht="13.5" customHeight="1" thickBot="1" x14ac:dyDescent="0.35">
      <c r="A198" s="320"/>
      <c r="B198" s="2020" t="s">
        <v>468</v>
      </c>
      <c r="C198" s="2021"/>
      <c r="D198" s="58" t="str">
        <f>IF(D197=0,"",+D109/D197)</f>
        <v/>
      </c>
      <c r="E198" s="1857"/>
      <c r="F198" s="1858"/>
      <c r="G198" s="1859"/>
      <c r="H198" s="2119" t="str">
        <f>IF(AND(D198&lt;'QA config'!D3,D198&lt;&gt;""),CONCATENATE("Average distance less than ",'QA config'!D3," km"),IF(AND(D198&gt;'QA config'!C3,D198&lt;&gt;""),CONCATENATE("Average distance more than ",'QA config'!C3," km"),""))</f>
        <v/>
      </c>
      <c r="I198" s="2120"/>
      <c r="J198" s="2121"/>
      <c r="K198" s="337"/>
      <c r="L198" s="337"/>
      <c r="M198" s="337"/>
      <c r="N198" s="337"/>
      <c r="O198" s="337"/>
      <c r="P198" s="337"/>
      <c r="Q198" s="337"/>
      <c r="R198" s="337"/>
      <c r="S198" s="337"/>
      <c r="T198" s="337"/>
      <c r="U198" s="337"/>
      <c r="V198" s="337"/>
      <c r="W198" s="337"/>
      <c r="X198" s="337"/>
      <c r="Y198" s="49"/>
      <c r="Z198" s="49"/>
      <c r="AA198" s="49"/>
      <c r="AB198" s="49"/>
      <c r="AC198" s="49"/>
      <c r="AD198" s="49"/>
    </row>
    <row r="199" spans="1:30" x14ac:dyDescent="0.3">
      <c r="A199" s="320"/>
      <c r="B199" s="337"/>
      <c r="C199" s="337"/>
      <c r="D199" s="337"/>
      <c r="E199" s="337"/>
      <c r="F199" s="337"/>
      <c r="G199" s="337"/>
      <c r="H199" s="337"/>
      <c r="I199" s="337"/>
      <c r="J199" s="386"/>
      <c r="K199" s="425"/>
      <c r="L199" s="337"/>
      <c r="M199" s="337"/>
      <c r="N199" s="49"/>
      <c r="O199" s="49"/>
      <c r="P199" s="49"/>
      <c r="Q199" s="49"/>
      <c r="R199" s="49"/>
      <c r="S199" s="49"/>
      <c r="T199" s="49"/>
      <c r="U199" s="49"/>
      <c r="V199" s="49"/>
      <c r="W199" s="49"/>
      <c r="X199" s="49"/>
      <c r="Y199" s="49"/>
      <c r="Z199" s="49"/>
      <c r="AA199" s="49"/>
      <c r="AB199" s="49"/>
      <c r="AC199" s="49"/>
      <c r="AD199" s="49"/>
    </row>
    <row r="200" spans="1:30" ht="27.75" customHeight="1" x14ac:dyDescent="0.3">
      <c r="A200" s="362"/>
      <c r="J200" s="362"/>
      <c r="K200" s="362"/>
    </row>
    <row r="201" spans="1:30" x14ac:dyDescent="0.3">
      <c r="A201" s="362"/>
      <c r="J201" s="362"/>
      <c r="K201" s="362"/>
    </row>
    <row r="202" spans="1:30" ht="15.75" customHeight="1" x14ac:dyDescent="0.3">
      <c r="A202" s="362"/>
      <c r="J202" s="362"/>
      <c r="K202" s="362"/>
    </row>
    <row r="203" spans="1:30" ht="13.5" customHeight="1" x14ac:dyDescent="0.3">
      <c r="A203" s="362"/>
      <c r="J203" s="362"/>
      <c r="K203" s="362"/>
    </row>
    <row r="204" spans="1:30" ht="13.5" customHeight="1" x14ac:dyDescent="0.3">
      <c r="A204" s="362"/>
      <c r="J204" s="362"/>
      <c r="K204" s="362"/>
    </row>
    <row r="205" spans="1:30" x14ac:dyDescent="0.3">
      <c r="A205" s="362"/>
      <c r="J205" s="362"/>
      <c r="K205" s="362"/>
    </row>
    <row r="206" spans="1:30" x14ac:dyDescent="0.3">
      <c r="A206" s="362"/>
      <c r="J206" s="362"/>
      <c r="K206" s="362"/>
    </row>
    <row r="207" spans="1:30" x14ac:dyDescent="0.3">
      <c r="AA207" s="49"/>
      <c r="AB207" s="49"/>
      <c r="AC207" s="49"/>
      <c r="AD207" s="49"/>
    </row>
    <row r="208" spans="1:30" x14ac:dyDescent="0.3">
      <c r="AA208" s="49"/>
      <c r="AB208" s="49"/>
      <c r="AC208" s="49"/>
      <c r="AD208" s="49"/>
    </row>
  </sheetData>
  <sheetProtection algorithmName="SHA-512" hashValue="qNns4SwNu1NTAkdkQlUJythuJORuZYSiCz82FzNlfOpwPK/3odFkB6GAjA2KdDrZqDfeF6UrO6DlpXMCSqFUHQ==" saltValue="TZQYxUbnwkEE6KS48XK+wQ==" spinCount="100000" sheet="1" objects="1" scenarios="1"/>
  <mergeCells count="261">
    <mergeCell ref="I184:K184"/>
    <mergeCell ref="I185:K185"/>
    <mergeCell ref="C186:J186"/>
    <mergeCell ref="D187:J187"/>
    <mergeCell ref="B189:E189"/>
    <mergeCell ref="F189:H190"/>
    <mergeCell ref="I189:J190"/>
    <mergeCell ref="I178:K178"/>
    <mergeCell ref="I179:K179"/>
    <mergeCell ref="I180:K180"/>
    <mergeCell ref="I181:K181"/>
    <mergeCell ref="I182:K182"/>
    <mergeCell ref="I183:K183"/>
    <mergeCell ref="B197:C197"/>
    <mergeCell ref="E197:G197"/>
    <mergeCell ref="H197:J197"/>
    <mergeCell ref="B198:C198"/>
    <mergeCell ref="E198:G198"/>
    <mergeCell ref="H198:J198"/>
    <mergeCell ref="F191:H191"/>
    <mergeCell ref="I191:J191"/>
    <mergeCell ref="D193:J193"/>
    <mergeCell ref="B196:D196"/>
    <mergeCell ref="E196:G196"/>
    <mergeCell ref="H196:J196"/>
    <mergeCell ref="I172:K172"/>
    <mergeCell ref="I173:K173"/>
    <mergeCell ref="I174:K174"/>
    <mergeCell ref="I175:K175"/>
    <mergeCell ref="I176:K176"/>
    <mergeCell ref="I177:K177"/>
    <mergeCell ref="D167:J167"/>
    <mergeCell ref="E169:F169"/>
    <mergeCell ref="G169:H169"/>
    <mergeCell ref="I169:K170"/>
    <mergeCell ref="L169:L170"/>
    <mergeCell ref="I171:K171"/>
    <mergeCell ref="D157:J157"/>
    <mergeCell ref="E162:H162"/>
    <mergeCell ref="I162:K163"/>
    <mergeCell ref="L162:L163"/>
    <mergeCell ref="B164:C164"/>
    <mergeCell ref="I164:K164"/>
    <mergeCell ref="B154:C154"/>
    <mergeCell ref="E154:F154"/>
    <mergeCell ref="G154:I154"/>
    <mergeCell ref="B155:C155"/>
    <mergeCell ref="D155:F155"/>
    <mergeCell ref="G155:I155"/>
    <mergeCell ref="D149:J149"/>
    <mergeCell ref="D152:F152"/>
    <mergeCell ref="G152:I152"/>
    <mergeCell ref="B153:C153"/>
    <mergeCell ref="D153:F153"/>
    <mergeCell ref="G153:I153"/>
    <mergeCell ref="D144:E144"/>
    <mergeCell ref="I144:K144"/>
    <mergeCell ref="D145:E145"/>
    <mergeCell ref="I145:K145"/>
    <mergeCell ref="D146:E146"/>
    <mergeCell ref="B147:L147"/>
    <mergeCell ref="D138:J138"/>
    <mergeCell ref="I140:K141"/>
    <mergeCell ref="D142:E142"/>
    <mergeCell ref="I142:K142"/>
    <mergeCell ref="D143:E143"/>
    <mergeCell ref="I143:K143"/>
    <mergeCell ref="I131:K131"/>
    <mergeCell ref="I132:K132"/>
    <mergeCell ref="I133:K133"/>
    <mergeCell ref="I134:K134"/>
    <mergeCell ref="I135:K135"/>
    <mergeCell ref="I136:K136"/>
    <mergeCell ref="D125:F125"/>
    <mergeCell ref="I125:K127"/>
    <mergeCell ref="M125:M126"/>
    <mergeCell ref="I128:K128"/>
    <mergeCell ref="I129:K129"/>
    <mergeCell ref="I130:K130"/>
    <mergeCell ref="I117:K117"/>
    <mergeCell ref="I118:K118"/>
    <mergeCell ref="I119:K119"/>
    <mergeCell ref="I120:K120"/>
    <mergeCell ref="I121:K121"/>
    <mergeCell ref="I122:K122"/>
    <mergeCell ref="I108:K108"/>
    <mergeCell ref="B109:B121"/>
    <mergeCell ref="I109:K109"/>
    <mergeCell ref="I110:K110"/>
    <mergeCell ref="I111:K111"/>
    <mergeCell ref="I112:K112"/>
    <mergeCell ref="I113:K113"/>
    <mergeCell ref="I114:K114"/>
    <mergeCell ref="I115:K115"/>
    <mergeCell ref="I116:K116"/>
    <mergeCell ref="B108:C108"/>
    <mergeCell ref="U92:W92"/>
    <mergeCell ref="I93:K93"/>
    <mergeCell ref="U93:W93"/>
    <mergeCell ref="I102:K102"/>
    <mergeCell ref="I103:K103"/>
    <mergeCell ref="I104:K104"/>
    <mergeCell ref="I105:K105"/>
    <mergeCell ref="I106:K106"/>
    <mergeCell ref="I107:K107"/>
    <mergeCell ref="I97:K97"/>
    <mergeCell ref="O97:W100"/>
    <mergeCell ref="I98:K98"/>
    <mergeCell ref="I99:K99"/>
    <mergeCell ref="I100:K100"/>
    <mergeCell ref="I101:K101"/>
    <mergeCell ref="X87:X89"/>
    <mergeCell ref="Y87:Y88"/>
    <mergeCell ref="I88:K88"/>
    <mergeCell ref="I89:K89"/>
    <mergeCell ref="I90:K90"/>
    <mergeCell ref="U90:W90"/>
    <mergeCell ref="O86:W86"/>
    <mergeCell ref="X86:Y86"/>
    <mergeCell ref="Z86:Z89"/>
    <mergeCell ref="B87:B107"/>
    <mergeCell ref="I87:K87"/>
    <mergeCell ref="Q87:Q89"/>
    <mergeCell ref="R87:R89"/>
    <mergeCell ref="S87:S89"/>
    <mergeCell ref="T87:T88"/>
    <mergeCell ref="U87:W89"/>
    <mergeCell ref="I81:K81"/>
    <mergeCell ref="I82:K82"/>
    <mergeCell ref="I83:K83"/>
    <mergeCell ref="I84:K84"/>
    <mergeCell ref="I85:K85"/>
    <mergeCell ref="B86:C86"/>
    <mergeCell ref="I86:K86"/>
    <mergeCell ref="B65:B85"/>
    <mergeCell ref="I94:K94"/>
    <mergeCell ref="U94:W94"/>
    <mergeCell ref="I95:K95"/>
    <mergeCell ref="U95:W95"/>
    <mergeCell ref="I96:K96"/>
    <mergeCell ref="U96:W96"/>
    <mergeCell ref="I91:K91"/>
    <mergeCell ref="U91:W91"/>
    <mergeCell ref="I92:K92"/>
    <mergeCell ref="O75:W78"/>
    <mergeCell ref="I76:K76"/>
    <mergeCell ref="I77:K77"/>
    <mergeCell ref="I78:K78"/>
    <mergeCell ref="I79:K79"/>
    <mergeCell ref="I80:K80"/>
    <mergeCell ref="I70:K70"/>
    <mergeCell ref="I71:K71"/>
    <mergeCell ref="I72:K72"/>
    <mergeCell ref="I73:K73"/>
    <mergeCell ref="I74:K74"/>
    <mergeCell ref="I75:K75"/>
    <mergeCell ref="U70:W70"/>
    <mergeCell ref="U71:W71"/>
    <mergeCell ref="U72:W72"/>
    <mergeCell ref="U73:W73"/>
    <mergeCell ref="U74:W74"/>
    <mergeCell ref="X65:X67"/>
    <mergeCell ref="Y65:Y66"/>
    <mergeCell ref="I66:K66"/>
    <mergeCell ref="I67:K67"/>
    <mergeCell ref="I68:K68"/>
    <mergeCell ref="I69:K69"/>
    <mergeCell ref="O64:W64"/>
    <mergeCell ref="X64:Y64"/>
    <mergeCell ref="Z64:Z67"/>
    <mergeCell ref="I65:K65"/>
    <mergeCell ref="Q65:Q67"/>
    <mergeCell ref="R65:R67"/>
    <mergeCell ref="S65:S67"/>
    <mergeCell ref="T65:T66"/>
    <mergeCell ref="U65:W67"/>
    <mergeCell ref="U68:W68"/>
    <mergeCell ref="U69:W69"/>
    <mergeCell ref="J35:K35"/>
    <mergeCell ref="D55:J55"/>
    <mergeCell ref="B62:C63"/>
    <mergeCell ref="D62:F62"/>
    <mergeCell ref="I62:K63"/>
    <mergeCell ref="L62:L63"/>
    <mergeCell ref="B64:C64"/>
    <mergeCell ref="I64:K64"/>
    <mergeCell ref="D49:J49"/>
    <mergeCell ref="D51:F51"/>
    <mergeCell ref="G51:H51"/>
    <mergeCell ref="I51:K52"/>
    <mergeCell ref="L51:L52"/>
    <mergeCell ref="B53:C53"/>
    <mergeCell ref="I53:K53"/>
    <mergeCell ref="I30:K30"/>
    <mergeCell ref="I27:K27"/>
    <mergeCell ref="O27:O28"/>
    <mergeCell ref="P27:P28"/>
    <mergeCell ref="Q27:Q28"/>
    <mergeCell ref="R27:R28"/>
    <mergeCell ref="U27:U28"/>
    <mergeCell ref="B36:B47"/>
    <mergeCell ref="I36:K36"/>
    <mergeCell ref="I37:K37"/>
    <mergeCell ref="I38:K38"/>
    <mergeCell ref="I39:K39"/>
    <mergeCell ref="I40:K40"/>
    <mergeCell ref="I41:K41"/>
    <mergeCell ref="I31:K31"/>
    <mergeCell ref="O31:P31"/>
    <mergeCell ref="I42:K42"/>
    <mergeCell ref="I43:K43"/>
    <mergeCell ref="I44:K44"/>
    <mergeCell ref="I45:K45"/>
    <mergeCell ref="I46:K46"/>
    <mergeCell ref="I47:K47"/>
    <mergeCell ref="J33:K33"/>
    <mergeCell ref="J34:K34"/>
    <mergeCell ref="B19:C19"/>
    <mergeCell ref="B20:B35"/>
    <mergeCell ref="I20:K20"/>
    <mergeCell ref="I21:K21"/>
    <mergeCell ref="I22:K22"/>
    <mergeCell ref="I23:K23"/>
    <mergeCell ref="I24:K24"/>
    <mergeCell ref="O24:R24"/>
    <mergeCell ref="U24:X24"/>
    <mergeCell ref="I25:K25"/>
    <mergeCell ref="I26:K26"/>
    <mergeCell ref="O26:P26"/>
    <mergeCell ref="Q26:R26"/>
    <mergeCell ref="U26:V26"/>
    <mergeCell ref="W26:X26"/>
    <mergeCell ref="Q31:R31"/>
    <mergeCell ref="U31:V31"/>
    <mergeCell ref="W31:X31"/>
    <mergeCell ref="I32:K32"/>
    <mergeCell ref="V27:V28"/>
    <mergeCell ref="W27:W28"/>
    <mergeCell ref="X27:X28"/>
    <mergeCell ref="I28:K28"/>
    <mergeCell ref="I29:K29"/>
    <mergeCell ref="U16:X16"/>
    <mergeCell ref="D17:F17"/>
    <mergeCell ref="G17:H17"/>
    <mergeCell ref="I17:K19"/>
    <mergeCell ref="L17:L18"/>
    <mergeCell ref="O17:R17"/>
    <mergeCell ref="U17:X17"/>
    <mergeCell ref="O18:P18"/>
    <mergeCell ref="Q18:R18"/>
    <mergeCell ref="U18:V18"/>
    <mergeCell ref="W18:X18"/>
    <mergeCell ref="D6:J6"/>
    <mergeCell ref="F8:H9"/>
    <mergeCell ref="I8:J9"/>
    <mergeCell ref="B10:C10"/>
    <mergeCell ref="F10:H10"/>
    <mergeCell ref="I10:J10"/>
    <mergeCell ref="D13:J13"/>
    <mergeCell ref="D14:J14"/>
    <mergeCell ref="O16:R16"/>
  </mergeCells>
  <conditionalFormatting sqref="H17697">
    <cfRule type="expression" dxfId="471" priority="20">
      <formula>$H$197&lt;&gt;""</formula>
    </cfRule>
  </conditionalFormatting>
  <conditionalFormatting sqref="H198 L64:L121">
    <cfRule type="expression" dxfId="470" priority="19">
      <formula>H64&lt;&gt;""</formula>
    </cfRule>
  </conditionalFormatting>
  <conditionalFormatting sqref="H197">
    <cfRule type="expression" dxfId="469" priority="18">
      <formula>H197&lt;&gt;""</formula>
    </cfRule>
  </conditionalFormatting>
  <conditionalFormatting sqref="L171:L185">
    <cfRule type="expression" dxfId="468" priority="17">
      <formula>L171&lt;&gt;""</formula>
    </cfRule>
  </conditionalFormatting>
  <conditionalFormatting sqref="L19:L47">
    <cfRule type="expression" dxfId="467" priority="16">
      <formula>L19&lt;&gt;""</formula>
    </cfRule>
  </conditionalFormatting>
  <conditionalFormatting sqref="L164">
    <cfRule type="expression" dxfId="466" priority="15">
      <formula>L164&lt;&gt;""</formula>
    </cfRule>
  </conditionalFormatting>
  <conditionalFormatting sqref="I191">
    <cfRule type="expression" dxfId="465" priority="13">
      <formula>I191&lt;&gt;""</formula>
    </cfRule>
  </conditionalFormatting>
  <conditionalFormatting sqref="M127:M136">
    <cfRule type="expression" dxfId="464" priority="14">
      <formula>M127&lt;&gt;""</formula>
    </cfRule>
  </conditionalFormatting>
  <conditionalFormatting sqref="I10">
    <cfRule type="expression" dxfId="463" priority="12">
      <formula>I10&lt;&gt;""</formula>
    </cfRule>
  </conditionalFormatting>
  <conditionalFormatting sqref="Z68:Z72">
    <cfRule type="expression" dxfId="462" priority="11">
      <formula>Z68&lt;&gt;""</formula>
    </cfRule>
  </conditionalFormatting>
  <conditionalFormatting sqref="L53">
    <cfRule type="expression" dxfId="461" priority="10">
      <formula>L53&lt;&gt;""</formula>
    </cfRule>
  </conditionalFormatting>
  <conditionalFormatting sqref="Z74">
    <cfRule type="expression" dxfId="460" priority="9">
      <formula>Z74&lt;&gt;""</formula>
    </cfRule>
  </conditionalFormatting>
  <conditionalFormatting sqref="Z73">
    <cfRule type="expression" dxfId="459" priority="8">
      <formula>Z73&lt;&gt;""</formula>
    </cfRule>
  </conditionalFormatting>
  <conditionalFormatting sqref="L122">
    <cfRule type="expression" dxfId="458" priority="4">
      <formula>L122&lt;&gt;""</formula>
    </cfRule>
  </conditionalFormatting>
  <conditionalFormatting sqref="Z90:Z94">
    <cfRule type="expression" dxfId="457" priority="3">
      <formula>Z90&lt;&gt;""</formula>
    </cfRule>
  </conditionalFormatting>
  <conditionalFormatting sqref="Z96">
    <cfRule type="expression" dxfId="456" priority="2">
      <formula>Z96&lt;&gt;""</formula>
    </cfRule>
  </conditionalFormatting>
  <conditionalFormatting sqref="Z95">
    <cfRule type="expression" dxfId="455" priority="1">
      <formula>Z95&lt;&gt;""</formula>
    </cfRule>
  </conditionalFormatting>
  <dataValidations count="6">
    <dataValidation type="decimal" operator="greaterThan" allowBlank="1" showInputMessage="1" showErrorMessage="1" errorTitle="Invalid input" error="Must be a positive number" sqref="E154:F154">
      <formula1>0</formula1>
    </dataValidation>
    <dataValidation type="list" allowBlank="1" showErrorMessage="1" errorTitle="Invalid input" error="Please enter &quot;yes&quot; or &quot;no&quot;." sqref="D153:F153">
      <formula1>"yes,no"</formula1>
    </dataValidation>
    <dataValidation type="list" allowBlank="1" showInputMessage="1" showErrorMessage="1" errorTitle="Invalid data" error="Please enter &quot;Scope 1&quot;, &quot;Scope 2&quot; or &quot;Scope 3&quot;." promptTitle="Reporting scope" prompt="Please enter the reporting scope of the data in this row." sqref="I33:I35">
      <formula1>"Scope 1,Scope 2,Scope 3"</formula1>
    </dataValidation>
    <dataValidation type="decimal" operator="greaterThan" allowBlank="1" showInputMessage="1" showErrorMessage="1" error="Must be a positive number" sqref="D10:E10">
      <formula1>0</formula1>
    </dataValidation>
    <dataValidation allowBlank="1" showInputMessage="1" sqref="L196:L198"/>
    <dataValidation allowBlank="1" sqref="G50:G52 H50 D108:E108 G17:G19 N189:V189 I189 K190:V194 J50 E184 I50:I51 E50:F50 I17 E18:E19 R19 I139:I140 F191:F192 D187:J187 B169:E170 B186:E186 G188:J188 I142:I146 J139 C9:E9 F170:F186 W18 O13:R14 P15:R15 P20:R23 E138:J138 B86:B87 D123:D127 E49:J49 D86:E86 E139:H139 G184 G169:G170 G181:G182 B187:B190 C190:D190 K48:K50 J48 H170 G48 D49:D52 D54:D64 I53:I54 J54 H52:H54 K186:V188 G186:J186 C187:C188 D188:E188 F10 C192:D195 E190:E192 G192:J192 G194:J194 E193:J193 B171:B185 D137 E13:K16 H171:I185 E181:E182 X122:Y122 J124:K124 A147:K148 I62 E55:J60 K54:K60 E61:K61 Q68:Q73 B123:C137 I169 H164:I164 U19:X59 B108:B109 B64:B65 P25:R59 E54:G54 E52:F53 D42:E48 S68:S73 O65:U65 T67:T74 X65:Y65 X64 C64:C122 H18:H48 C20:C61 F18:F48 L19:L51 Y89:Y121 J123:XFD123 F140:G146 E194:F195 L53:L62 B122 I128:I137 K137:K139 G137:H137 J137 F188:F189 G195 E196:E198 M127:M155 M169:V185 L169 G152:G155 E149:J149 K149:K155 E150:I151 J150:J155 B156:XFD156 E140:E141 I191 K195:K198 E126:F137 I195:J195 A166:XFD168 L164:L165 F157:K161 C163:D163 B157:E162 B163:B164 B165:K165 I162 G163:H163 E163:F164 M157:XFD165 L157:L162 I199:L199 D154:D155 G123:H124 L124:L155 N124:XFD155 M124:M125 L171:L185 D199:G199 C197:C199 H195:H199 I8 I10 K8:K10 H140:H145 B8:F8 E63:E85 E87:E107 M195:V199 L195 Z64 B1:AD7 N8:AD10 W169:XFD199 C11:AD12 AE200:XFD206 B192:B199 A169:A199 A207:XFD1048576 B138:D146 A156:A165 P19 Q18:Q19 O68:O75 X68:X86 I20:I32 I36:I48 A149:C155 D149:D152 O79:W85 S90:S95 Q90:Q95 U90:U95 O87:U87 T89:T96 X87:Y87 U96:W96 O86 R74:S74 X90:X121 O64 O15:O59 Y67:Y85 U68:U74 O90:O97 R96:S96 B36:B62 I64:I125 E109:E124 O101:W122 Z68:Z86 L64:L122 F63:F124 A1:A146 AA13:AD122 M13:N122 AE1:XFD122 D13:D19 B9:B20 Y13:Z59 S13:T59 L13:L17 V13:X15 U13:U18 C13:C18 Z90:Z122"/>
  </dataValidations>
  <hyperlinks>
    <hyperlink ref="C42:C47" location="CHP!A1" display="CHP1 Electricity"/>
    <hyperlink ref="B60" location="'conversion factors'!A1" display="If you need to convert from miles to km, go to the Conversions tab or click here"/>
    <hyperlink ref="C42" location="CHP!T4" display="CHP1 Electricity"/>
    <hyperlink ref="C43" location="CHP!T4" display="CHP1 Heat"/>
    <hyperlink ref="C44" location="CHP!T31" display="CHP2 Electricity"/>
    <hyperlink ref="C45" location="CHP!T31" display="CHP2 Heat"/>
    <hyperlink ref="C46" location="CHP!T58" display="CHP3 Electricity"/>
    <hyperlink ref="C47" location="CHP!T58" display="CHP3 Heat"/>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BC178"/>
  <sheetViews>
    <sheetView zoomScale="80" zoomScaleNormal="80" workbookViewId="0">
      <pane xSplit="2" ySplit="14" topLeftCell="C186" activePane="bottomRight" state="frozen"/>
      <selection activeCell="AZ7" sqref="AZ7"/>
      <selection pane="topRight" activeCell="AZ7" sqref="AZ7"/>
      <selection pane="bottomLeft" activeCell="AZ7" sqref="AZ7"/>
      <selection pane="bottomRight"/>
    </sheetView>
  </sheetViews>
  <sheetFormatPr defaultColWidth="9.109375" defaultRowHeight="15" customHeight="1" x14ac:dyDescent="0.3"/>
  <cols>
    <col min="1" max="1" width="12.6640625" customWidth="1"/>
    <col min="2" max="2" width="39.109375" customWidth="1"/>
    <col min="3" max="7" width="12.33203125" customWidth="1"/>
    <col min="8" max="8" width="12.33203125" hidden="1" customWidth="1"/>
    <col min="9" max="9" width="12.33203125" customWidth="1"/>
    <col min="10" max="10" width="14.21875" customWidth="1"/>
    <col min="11" max="11" width="7.109375" customWidth="1"/>
    <col min="12" max="12" width="10.109375" customWidth="1"/>
    <col min="13" max="13" width="20.77734375" customWidth="1"/>
    <col min="14" max="14" width="7.6640625" customWidth="1"/>
    <col min="15" max="17" width="14.6640625" customWidth="1"/>
    <col min="18" max="18" width="12.33203125" customWidth="1"/>
    <col min="19" max="19" width="12.21875" customWidth="1"/>
    <col min="20" max="21" width="8.77734375" customWidth="1"/>
    <col min="22" max="24" width="8.77734375" hidden="1" customWidth="1"/>
    <col min="25" max="25" width="8.77734375" customWidth="1"/>
    <col min="26" max="26" width="9" customWidth="1"/>
    <col min="27" max="27" width="9.33203125" customWidth="1"/>
    <col min="28" max="28" width="66.77734375" customWidth="1"/>
    <col min="29" max="29" width="14.109375" customWidth="1"/>
    <col min="30" max="33" width="16.33203125" customWidth="1"/>
    <col min="34" max="34" width="14" customWidth="1"/>
    <col min="35" max="35" width="14" hidden="1" customWidth="1"/>
    <col min="36" max="36" width="14.21875" customWidth="1"/>
    <col min="37" max="37" width="14.6640625" customWidth="1"/>
    <col min="38" max="38" width="6.77734375" customWidth="1"/>
    <col min="39" max="39" width="12.33203125" customWidth="1"/>
    <col min="40" max="40" width="20.77734375" customWidth="1"/>
    <col min="41" max="41" width="9.6640625" customWidth="1"/>
    <col min="42" max="46" width="10.21875" customWidth="1"/>
    <col min="47" max="48" width="9.21875" customWidth="1"/>
    <col min="49" max="51" width="9.21875" hidden="1" customWidth="1"/>
    <col min="52" max="54" width="9.21875" customWidth="1"/>
    <col min="55" max="55" width="51" customWidth="1"/>
    <col min="56" max="56" width="9.109375" customWidth="1"/>
  </cols>
  <sheetData>
    <row r="1" spans="1:55" thickBot="1" x14ac:dyDescent="0.35">
      <c r="A1" s="668" t="s">
        <v>414</v>
      </c>
      <c r="B1" s="669" t="s">
        <v>415</v>
      </c>
      <c r="C1" s="670" t="s">
        <v>416</v>
      </c>
      <c r="D1" s="671"/>
      <c r="E1" s="671"/>
      <c r="F1" s="671"/>
      <c r="G1" s="671"/>
      <c r="H1" s="671"/>
      <c r="I1" s="671"/>
      <c r="J1" s="88"/>
      <c r="K1" s="88"/>
      <c r="L1" s="672"/>
      <c r="M1" s="672"/>
      <c r="N1" s="673"/>
      <c r="O1" s="88"/>
      <c r="P1" s="674"/>
      <c r="Q1" s="1157"/>
      <c r="R1" s="1157"/>
      <c r="S1" s="1157"/>
      <c r="T1" s="672"/>
      <c r="U1" s="672"/>
      <c r="V1" s="672"/>
      <c r="W1" s="672"/>
      <c r="X1" s="672"/>
      <c r="Y1" s="675"/>
      <c r="Z1" s="672"/>
      <c r="AA1" s="1331"/>
      <c r="AB1" s="1331"/>
      <c r="AC1" s="676" t="s">
        <v>414</v>
      </c>
      <c r="AD1" s="677" t="s">
        <v>415</v>
      </c>
      <c r="AE1" s="678" t="s">
        <v>416</v>
      </c>
      <c r="AF1" s="673"/>
      <c r="AG1" s="88"/>
      <c r="AH1" s="88"/>
      <c r="AI1" s="88"/>
      <c r="AJ1" s="88"/>
      <c r="AK1" s="88"/>
      <c r="AL1" s="88"/>
      <c r="AM1" s="88"/>
      <c r="AN1" s="88"/>
      <c r="AO1" s="673"/>
      <c r="AP1" s="673"/>
      <c r="AQ1" s="673"/>
      <c r="AR1" s="673"/>
      <c r="AS1" s="673"/>
      <c r="AT1" s="673"/>
      <c r="AU1" s="673"/>
      <c r="AV1" s="673"/>
      <c r="AW1" s="673"/>
      <c r="AX1" s="673"/>
      <c r="AY1" s="673"/>
      <c r="AZ1" s="673"/>
      <c r="BA1" s="673"/>
      <c r="BB1" s="362"/>
      <c r="BC1" s="362"/>
    </row>
    <row r="2" spans="1:55" ht="15" customHeight="1" thickBot="1" x14ac:dyDescent="0.35">
      <c r="A2" s="679" t="s">
        <v>417</v>
      </c>
      <c r="B2" s="680" t="str">
        <f ca="1">IF(COUNTBLANK(AB16:AB43)+COUNTBLANK(AB49)+COUNTBLANK(AB57:AB75)+COUNTBLANK(AB79:AB97)+COUNTBLANK(AB101:AB113)+COUNTBLANK(AB120:AB125)-82=0,"YES","NO")</f>
        <v>NO</v>
      </c>
      <c r="C2" s="681">
        <f ca="1">IF((SUM(Y16:Y43,Y49,Y57:Y75,Y79:Y97,Y101:Y113,Y120:Y125)-(SUMIF(AB16:AB43,"",Y16:Y43)+SUMIF(AB49,"",Y49)+SUMIF(AB57:AB75,"",Y57:Y75)+SUMIF(AB79:AB97,"", Y79:Y97)+SUMIF(AB101:AB113,"", Y101:Y113)+SUMIF(AB120:AB125,"",Y120:Y125)))=0,"",SUM(Y16:Y43,Y49,Y57:Y75,Y79:Y97,Y101:Y113,Y120:Y125)-(SUMIF(AB16:AB43,"",Y16:Y43)+SUMIF(AB49,"",Y49)+SUMIF(AB57:AB75,"",Y57:Y75)+SUMIF(AB79:AB97,"",Y79:Y97)+SUMIF(AB101:AB113,"",Y101:Y113)+SUMIF(AB120:AB125,"",Y120:Y125)))</f>
        <v>0.99995986678364657</v>
      </c>
      <c r="D2" s="1157"/>
      <c r="E2" s="1157"/>
      <c r="F2" s="1157"/>
      <c r="G2" s="671"/>
      <c r="H2" s="671"/>
      <c r="I2" s="671"/>
      <c r="J2" s="2269" t="s">
        <v>418</v>
      </c>
      <c r="K2" s="2270"/>
      <c r="L2" s="682" t="s">
        <v>417</v>
      </c>
      <c r="M2" s="682" t="s">
        <v>250</v>
      </c>
      <c r="N2" s="1174" t="s">
        <v>249</v>
      </c>
      <c r="O2" s="683" t="s">
        <v>419</v>
      </c>
      <c r="P2" s="684" t="s">
        <v>420</v>
      </c>
      <c r="Q2" s="1157"/>
      <c r="R2" s="1157"/>
      <c r="S2" s="1157"/>
      <c r="T2" s="1157"/>
      <c r="U2" s="672"/>
      <c r="V2" s="672"/>
      <c r="W2" s="672"/>
      <c r="X2" s="672"/>
      <c r="Y2" s="672"/>
      <c r="Z2" s="672"/>
      <c r="AA2" s="1331"/>
      <c r="AB2" s="1331"/>
      <c r="AC2" s="685" t="s">
        <v>417</v>
      </c>
      <c r="AD2" s="680" t="str">
        <f ca="1">IF(COUNTBLANK(BC16:BC43)+COUNTBLANK(BC49)-25=0,"YES","NO")</f>
        <v>YES</v>
      </c>
      <c r="AE2" s="681" t="e">
        <f ca="1">IF((SUM(BA16:BA43,BA49)-(SUMIF(BC16:BC43,"",BA16:BA43)+SUMIF(BC49,"",BA49)))=0,"",(SUM(BA16:BA43,BA49)-(SUMIF(BC16:BC43,"",BA16:BA43)+SUMIF(BC49,"",BA49))))</f>
        <v>#DIV/0!</v>
      </c>
      <c r="AF2" s="673"/>
      <c r="AG2" s="88"/>
      <c r="AH2" s="1331"/>
      <c r="AI2" s="1331"/>
      <c r="AJ2" s="1331"/>
      <c r="AK2" s="2271" t="s">
        <v>418</v>
      </c>
      <c r="AL2" s="2272"/>
      <c r="AM2" s="686" t="s">
        <v>417</v>
      </c>
      <c r="AN2" s="686" t="s">
        <v>250</v>
      </c>
      <c r="AO2" s="1175" t="s">
        <v>249</v>
      </c>
      <c r="AP2" s="106"/>
      <c r="AQ2" s="106"/>
      <c r="AR2" s="106"/>
      <c r="AS2" s="106"/>
      <c r="AT2" s="106"/>
      <c r="AU2" s="106"/>
      <c r="AV2" s="106"/>
      <c r="AW2" s="106"/>
      <c r="AX2" s="106"/>
      <c r="AY2" s="106"/>
      <c r="AZ2" s="106"/>
      <c r="BA2" s="106"/>
      <c r="BB2" s="362"/>
      <c r="BC2" s="362"/>
    </row>
    <row r="3" spans="1:55" ht="12.75" customHeight="1" x14ac:dyDescent="0.3">
      <c r="A3" s="679" t="s">
        <v>250</v>
      </c>
      <c r="B3" s="687" t="str">
        <f ca="1">IF(COUNTBLANK(AB140:AB142)-3=0,"YES","NO")</f>
        <v>NO</v>
      </c>
      <c r="C3" s="681">
        <f ca="1">IF(AB140="","",T140)</f>
        <v>1</v>
      </c>
      <c r="D3" s="1157"/>
      <c r="E3" s="1157"/>
      <c r="F3" s="1157"/>
      <c r="G3" s="671"/>
      <c r="H3" s="671"/>
      <c r="I3" s="671"/>
      <c r="J3" s="688" t="s">
        <v>395</v>
      </c>
      <c r="K3" s="689" t="s">
        <v>421</v>
      </c>
      <c r="L3" s="1124">
        <f>'QA config'!C6</f>
        <v>0.05</v>
      </c>
      <c r="M3" s="1124">
        <f>'QA config'!D6</f>
        <v>0.25</v>
      </c>
      <c r="N3" s="1124">
        <f>'QA config'!E6</f>
        <v>0.25</v>
      </c>
      <c r="O3" s="1124">
        <f>'QA config'!F6</f>
        <v>0.25</v>
      </c>
      <c r="P3" s="1124">
        <f>'QA config'!G6</f>
        <v>0.25</v>
      </c>
      <c r="Q3" s="1157"/>
      <c r="R3" s="1157"/>
      <c r="S3" s="1157"/>
      <c r="T3" s="1157"/>
      <c r="U3" s="672"/>
      <c r="V3" s="672"/>
      <c r="W3" s="672"/>
      <c r="X3" s="672"/>
      <c r="Y3" s="672"/>
      <c r="Z3" s="672"/>
      <c r="AA3" s="1331"/>
      <c r="AB3" s="1331"/>
      <c r="AC3" s="685" t="s">
        <v>250</v>
      </c>
      <c r="AD3" s="687" t="str">
        <f ca="1">IF(COUNTBLANK(BC140:BC142)-3=0,"YES","NO")</f>
        <v>NO</v>
      </c>
      <c r="AE3" s="681">
        <f ca="1">IF(BC140="","",AU140)</f>
        <v>1</v>
      </c>
      <c r="AF3" s="673"/>
      <c r="AG3" s="88"/>
      <c r="AH3" s="1331"/>
      <c r="AI3" s="1331"/>
      <c r="AJ3" s="1331"/>
      <c r="AK3" s="690" t="s">
        <v>395</v>
      </c>
      <c r="AL3" s="691" t="s">
        <v>421</v>
      </c>
      <c r="AM3" s="692">
        <f t="shared" ref="AM3:AO4" si="0">+L3</f>
        <v>0.05</v>
      </c>
      <c r="AN3" s="692">
        <f t="shared" si="0"/>
        <v>0.25</v>
      </c>
      <c r="AO3" s="693">
        <f t="shared" si="0"/>
        <v>0.25</v>
      </c>
      <c r="AP3" s="106"/>
      <c r="AQ3" s="106"/>
      <c r="AR3" s="106"/>
      <c r="AS3" s="106"/>
      <c r="AT3" s="106"/>
      <c r="AU3" s="106"/>
      <c r="AV3" s="106"/>
      <c r="AW3" s="106"/>
      <c r="AX3" s="106"/>
      <c r="AY3" s="106"/>
      <c r="AZ3" s="106"/>
      <c r="BA3" s="106"/>
      <c r="BB3" s="591"/>
      <c r="BC3" s="362"/>
    </row>
    <row r="4" spans="1:55" thickBot="1" x14ac:dyDescent="0.35">
      <c r="A4" s="694" t="s">
        <v>249</v>
      </c>
      <c r="B4" s="687" t="str">
        <f ca="1">IF(COUNTBLANK(AB149:AB157)+COUNTBLANK(AB161)-10=0,"YES","NO")</f>
        <v>NO</v>
      </c>
      <c r="C4" s="681">
        <f ca="1">IF((SUM(Y149:Y157,Y161)-(SUMIF(AB149:AB157,"",Y149:Y157)+SUMIF(AB161,"",Y161)))=0,"",SUM(Y149:Y157,Y161)-(SUMIF(AB149:AB157,"",Y149:Y157)+SUMIF(AB161,"",Y161)))</f>
        <v>1.0213700344961885</v>
      </c>
      <c r="D4" s="1157"/>
      <c r="E4" s="1157"/>
      <c r="F4" s="1157"/>
      <c r="G4" s="671"/>
      <c r="H4" s="671"/>
      <c r="I4" s="671"/>
      <c r="J4" s="690" t="s">
        <v>394</v>
      </c>
      <c r="K4" s="691"/>
      <c r="L4" s="1124">
        <f>'QA config'!C7</f>
        <v>1E-3</v>
      </c>
      <c r="M4" s="1124">
        <f>'QA config'!D7</f>
        <v>0.05</v>
      </c>
      <c r="N4" s="1124">
        <f>'QA config'!E7</f>
        <v>0.05</v>
      </c>
      <c r="O4" s="1124">
        <f>'QA config'!F7</f>
        <v>0.05</v>
      </c>
      <c r="P4" s="1124">
        <f>'QA config'!G7</f>
        <v>0.05</v>
      </c>
      <c r="Q4" s="1157"/>
      <c r="R4" s="1157"/>
      <c r="S4" s="1157"/>
      <c r="T4" s="1157"/>
      <c r="U4" s="672"/>
      <c r="V4" s="672"/>
      <c r="W4" s="672"/>
      <c r="X4" s="672"/>
      <c r="Y4" s="672"/>
      <c r="Z4" s="672"/>
      <c r="AA4" s="1331"/>
      <c r="AB4" s="1331"/>
      <c r="AC4" s="695" t="s">
        <v>249</v>
      </c>
      <c r="AD4" s="696" t="str">
        <f ca="1">IF(COUNTBLANK(BC149:BC157)+COUNTBLANK(BC161)-10=0,"YES","NO")</f>
        <v>NO</v>
      </c>
      <c r="AE4" s="697" t="e">
        <f ca="1">IF((SUM(AZ149:AZ157,AZ161)-(SUMIF(BC149:BC157,"",AZ149:AZ157)+SUMIF(BC161,"",AZ161)))=0,"",SUM(AZ149:AZ157,AZ161)-(SUMIF(BC149:BC157,"",AZ149:AZ157)+SUMIF(BC161,"",AZ161)))</f>
        <v>#VALUE!</v>
      </c>
      <c r="AF4" s="673"/>
      <c r="AG4" s="88"/>
      <c r="AH4" s="1331"/>
      <c r="AI4" s="1331"/>
      <c r="AJ4" s="1331"/>
      <c r="AK4" s="690" t="s">
        <v>394</v>
      </c>
      <c r="AL4" s="691"/>
      <c r="AM4" s="692">
        <f t="shared" si="0"/>
        <v>1E-3</v>
      </c>
      <c r="AN4" s="692">
        <f t="shared" si="0"/>
        <v>0.05</v>
      </c>
      <c r="AO4" s="693">
        <f t="shared" si="0"/>
        <v>0.05</v>
      </c>
      <c r="AP4" s="106"/>
      <c r="AQ4" s="106"/>
      <c r="AR4" s="106"/>
      <c r="AS4" s="106"/>
      <c r="AT4" s="106"/>
      <c r="AU4" s="106"/>
      <c r="AV4" s="106"/>
      <c r="AW4" s="106"/>
      <c r="AX4" s="106"/>
      <c r="AY4" s="106"/>
      <c r="AZ4" s="106"/>
      <c r="BA4" s="106"/>
      <c r="BB4" s="698"/>
      <c r="BC4" s="362"/>
    </row>
    <row r="5" spans="1:55" thickBot="1" x14ac:dyDescent="0.35">
      <c r="A5" s="694" t="s">
        <v>397</v>
      </c>
      <c r="B5" s="687" t="str">
        <f ca="1">IF(COUNTBLANK(AB169)-1=0,"YES","NO")</f>
        <v>NO</v>
      </c>
      <c r="C5" s="681">
        <f ca="1">IF(AB169="","",+T169)</f>
        <v>1</v>
      </c>
      <c r="D5" s="1157"/>
      <c r="E5" s="1157"/>
      <c r="F5" s="1157"/>
      <c r="G5" s="671"/>
      <c r="H5" s="671"/>
      <c r="I5" s="671"/>
      <c r="J5" s="699" t="s">
        <v>396</v>
      </c>
      <c r="K5" s="700" t="s">
        <v>422</v>
      </c>
      <c r="L5" s="701">
        <f>+L4</f>
        <v>1E-3</v>
      </c>
      <c r="M5" s="701">
        <f>+M4</f>
        <v>0.05</v>
      </c>
      <c r="N5" s="701">
        <f>+N4</f>
        <v>0.05</v>
      </c>
      <c r="O5" s="701">
        <f>+O4</f>
        <v>0.05</v>
      </c>
      <c r="P5" s="702">
        <f>+P4</f>
        <v>0.05</v>
      </c>
      <c r="Q5" s="1157"/>
      <c r="R5" s="1157"/>
      <c r="S5" s="1157"/>
      <c r="T5" s="1157"/>
      <c r="U5" s="672"/>
      <c r="V5" s="672"/>
      <c r="W5" s="672"/>
      <c r="X5" s="672"/>
      <c r="Y5" s="672"/>
      <c r="Z5" s="672"/>
      <c r="AA5" s="672"/>
      <c r="AB5" s="672"/>
      <c r="AC5" s="672"/>
      <c r="AD5" s="672"/>
      <c r="AE5" s="672"/>
      <c r="AF5" s="672"/>
      <c r="AG5" s="88"/>
      <c r="AH5" s="1331"/>
      <c r="AI5" s="1331"/>
      <c r="AJ5" s="1331"/>
      <c r="AK5" s="699" t="s">
        <v>396</v>
      </c>
      <c r="AL5" s="700" t="s">
        <v>422</v>
      </c>
      <c r="AM5" s="701">
        <f>+AM4</f>
        <v>1E-3</v>
      </c>
      <c r="AN5" s="701">
        <f>+AN4</f>
        <v>0.05</v>
      </c>
      <c r="AO5" s="702">
        <f>+AO4</f>
        <v>0.05</v>
      </c>
      <c r="AP5" s="106"/>
      <c r="AQ5" s="106"/>
      <c r="AR5" s="106"/>
      <c r="AS5" s="106"/>
      <c r="AT5" s="106"/>
      <c r="AU5" s="106"/>
      <c r="AV5" s="106"/>
      <c r="AW5" s="106"/>
      <c r="AX5" s="106"/>
      <c r="AY5" s="106"/>
      <c r="AZ5" s="106"/>
      <c r="BA5" s="106"/>
      <c r="BB5" s="703"/>
      <c r="BC5" s="362"/>
    </row>
    <row r="6" spans="1:55" thickBot="1" x14ac:dyDescent="0.35">
      <c r="A6" s="704" t="s">
        <v>420</v>
      </c>
      <c r="B6" s="696" t="str">
        <f ca="1">IF(COUNTBLANK(AB177:AB178)-2=0,"YES","NO")</f>
        <v>NO</v>
      </c>
      <c r="C6" s="697">
        <f ca="1">IF(AB177="","",+T177)</f>
        <v>1</v>
      </c>
      <c r="D6" s="1157"/>
      <c r="E6" s="1157"/>
      <c r="F6" s="1157"/>
      <c r="G6" s="671"/>
      <c r="H6" s="671"/>
      <c r="I6" s="671"/>
      <c r="J6" s="671"/>
      <c r="K6" s="671"/>
      <c r="L6" s="671"/>
      <c r="M6" s="1157"/>
      <c r="N6" s="705"/>
      <c r="O6" s="706"/>
      <c r="P6" s="706"/>
      <c r="Q6" s="706"/>
      <c r="R6" s="706"/>
      <c r="S6" s="1157"/>
      <c r="T6" s="1157"/>
      <c r="U6" s="1157"/>
      <c r="V6" s="1157"/>
      <c r="W6" s="1157"/>
      <c r="X6" s="1157"/>
      <c r="Y6" s="1157"/>
      <c r="Z6" s="672"/>
      <c r="AA6" s="1157"/>
      <c r="AB6" s="1157"/>
      <c r="AC6" s="1157"/>
      <c r="AD6" s="1157"/>
      <c r="AE6" s="1157"/>
      <c r="AF6" s="1157"/>
      <c r="AG6" s="1157"/>
      <c r="AH6" s="1157"/>
      <c r="AI6" s="1157"/>
      <c r="AJ6" s="88"/>
      <c r="AK6" s="88"/>
      <c r="AL6" s="88"/>
      <c r="AM6" s="88"/>
      <c r="AN6" s="88"/>
      <c r="AO6" s="88"/>
      <c r="AP6" s="88"/>
      <c r="AQ6" s="88"/>
      <c r="AR6" s="88"/>
      <c r="AS6" s="106"/>
      <c r="AT6" s="106"/>
      <c r="AU6" s="106"/>
      <c r="AV6" s="106"/>
      <c r="AW6" s="106"/>
      <c r="AX6" s="106"/>
      <c r="AY6" s="106"/>
      <c r="AZ6" s="106"/>
      <c r="BA6" s="106"/>
      <c r="BB6" s="106"/>
      <c r="BC6" s="106"/>
    </row>
    <row r="7" spans="1:55" ht="15.75" customHeight="1" thickBot="1" x14ac:dyDescent="0.35">
      <c r="A7" s="673"/>
      <c r="B7" s="673"/>
      <c r="C7" s="673"/>
      <c r="D7" s="673"/>
      <c r="E7" s="673"/>
      <c r="F7" s="673"/>
      <c r="G7" s="707"/>
      <c r="H7" s="707"/>
      <c r="I7" s="671"/>
      <c r="J7" s="2278" t="s">
        <v>413</v>
      </c>
      <c r="K7" s="1337" t="str">
        <f>C14</f>
        <v>Q4</v>
      </c>
      <c r="L7" s="1332">
        <f ca="1">INDIRECT(CONCATENATE("'",K7,"'!",IF(LEN(K7)=2,"F142","F137")))</f>
        <v>0</v>
      </c>
      <c r="M7" s="673"/>
      <c r="N7" s="673"/>
      <c r="O7" s="708" t="s">
        <v>423</v>
      </c>
      <c r="P7" s="1326" t="s">
        <v>424</v>
      </c>
      <c r="Q7" s="1329"/>
      <c r="R7" s="50"/>
      <c r="S7" s="50"/>
      <c r="T7" s="673"/>
      <c r="U7" s="88"/>
      <c r="V7" s="88"/>
      <c r="W7" s="88"/>
      <c r="X7" s="88"/>
      <c r="Y7" s="88"/>
      <c r="Z7" s="88"/>
      <c r="AA7" s="88"/>
      <c r="AB7" s="88"/>
      <c r="AC7" s="88"/>
      <c r="AD7" s="88"/>
      <c r="AE7" s="88"/>
      <c r="AF7" s="88"/>
      <c r="AG7" s="88"/>
      <c r="AH7" s="88"/>
      <c r="AI7" s="88"/>
      <c r="AJ7" s="88"/>
      <c r="AK7" s="2278" t="s">
        <v>413</v>
      </c>
      <c r="AL7" s="1337" t="str">
        <f>AD14</f>
        <v>Q4</v>
      </c>
      <c r="AM7" s="1362">
        <f ca="1">INDIRECT(CONCATENATE("'",AL7,"'!",IF(LEN(AL7)=2,"H142","H137")))</f>
        <v>0</v>
      </c>
      <c r="AN7" s="88"/>
      <c r="AO7" s="88"/>
      <c r="AP7" s="88"/>
      <c r="AQ7" s="88"/>
      <c r="AR7" s="88"/>
      <c r="AS7" s="106"/>
      <c r="AT7" s="106"/>
      <c r="AU7" s="106"/>
      <c r="AV7" s="106"/>
      <c r="AW7" s="106"/>
      <c r="AX7" s="106"/>
      <c r="AY7" s="106"/>
      <c r="AZ7" s="106"/>
      <c r="BA7" s="106"/>
      <c r="BB7" s="106"/>
      <c r="BC7" s="106"/>
    </row>
    <row r="8" spans="1:55" ht="14.4" x14ac:dyDescent="0.3">
      <c r="A8" s="673"/>
      <c r="B8" s="673"/>
      <c r="C8" s="673"/>
      <c r="D8" s="673"/>
      <c r="E8" s="673"/>
      <c r="F8" s="673"/>
      <c r="G8" s="673"/>
      <c r="H8" s="673"/>
      <c r="I8" s="671"/>
      <c r="J8" s="2279"/>
      <c r="K8" s="1336" t="str">
        <f>D14</f>
        <v>Q3</v>
      </c>
      <c r="L8" s="1333">
        <f ca="1">INDIRECT(CONCATENATE("'",K8,"'!",IF(LEN(K8)=2,"F142","F137")))</f>
        <v>0</v>
      </c>
      <c r="M8" s="673"/>
      <c r="N8" s="671"/>
      <c r="O8" s="712">
        <f>'QA config'!D3</f>
        <v>100</v>
      </c>
      <c r="P8" s="1327" t="s">
        <v>425</v>
      </c>
      <c r="Q8" s="1330"/>
      <c r="R8" s="50"/>
      <c r="S8" s="50"/>
      <c r="T8" s="673"/>
      <c r="U8" s="88"/>
      <c r="V8" s="88"/>
      <c r="W8" s="88"/>
      <c r="X8" s="88"/>
      <c r="Y8" s="88"/>
      <c r="Z8" s="88"/>
      <c r="AA8" s="88"/>
      <c r="AB8" s="88"/>
      <c r="AC8" s="88"/>
      <c r="AD8" s="88"/>
      <c r="AE8" s="88"/>
      <c r="AF8" s="88"/>
      <c r="AG8" s="88"/>
      <c r="AH8" s="88"/>
      <c r="AI8" s="88"/>
      <c r="AJ8" s="88"/>
      <c r="AK8" s="2279"/>
      <c r="AL8" s="1336" t="str">
        <f>AE14</f>
        <v>Q3</v>
      </c>
      <c r="AM8" s="1363">
        <f ca="1">INDIRECT(CONCATENATE("'",AL8,"'!",IF(LEN(AL8)=2,"H142","H137")))</f>
        <v>0</v>
      </c>
      <c r="AN8" s="88"/>
      <c r="AO8" s="88"/>
      <c r="AP8" s="88"/>
      <c r="AQ8" s="88"/>
      <c r="AR8" s="88"/>
      <c r="AS8" s="88"/>
      <c r="AT8" s="88"/>
      <c r="AU8" s="88"/>
      <c r="AV8" s="88"/>
      <c r="AW8" s="88"/>
      <c r="AX8" s="88"/>
      <c r="AY8" s="88"/>
      <c r="AZ8" s="88"/>
      <c r="BA8" s="88"/>
      <c r="BB8" s="88"/>
      <c r="BC8" s="88"/>
    </row>
    <row r="9" spans="1:55" thickBot="1" x14ac:dyDescent="0.35">
      <c r="A9" s="673"/>
      <c r="B9" s="673"/>
      <c r="C9" s="673"/>
      <c r="D9" s="673"/>
      <c r="E9" s="673"/>
      <c r="F9" s="673"/>
      <c r="G9" s="673"/>
      <c r="H9" s="673"/>
      <c r="I9" s="671"/>
      <c r="J9" s="2279"/>
      <c r="K9" s="1335" t="s">
        <v>525</v>
      </c>
      <c r="L9" s="1333">
        <f>'2019-2020'!$F$142</f>
        <v>127140.63081037506</v>
      </c>
      <c r="M9" s="673"/>
      <c r="N9" s="673"/>
      <c r="O9" s="714">
        <f>'QA config'!C3</f>
        <v>800</v>
      </c>
      <c r="P9" s="1328" t="s">
        <v>426</v>
      </c>
      <c r="Q9" s="1330"/>
      <c r="R9" s="50"/>
      <c r="S9" s="50"/>
      <c r="T9" s="673"/>
      <c r="U9" s="673"/>
      <c r="V9" s="673"/>
      <c r="W9" s="673"/>
      <c r="X9" s="673"/>
      <c r="Y9" s="709"/>
      <c r="Z9" s="196"/>
      <c r="AA9" s="196"/>
      <c r="AB9" s="88"/>
      <c r="AC9" s="50"/>
      <c r="AD9" s="88"/>
      <c r="AE9" s="88"/>
      <c r="AF9" s="88"/>
      <c r="AG9" s="88"/>
      <c r="AH9" s="88"/>
      <c r="AI9" s="88"/>
      <c r="AJ9" s="89"/>
      <c r="AK9" s="2279"/>
      <c r="AL9" s="1335" t="s">
        <v>525</v>
      </c>
      <c r="AM9" s="1363">
        <f>'2019-2020'!$H$142</f>
        <v>1670.7065949952803</v>
      </c>
      <c r="AN9" s="88"/>
      <c r="AO9" s="1170"/>
      <c r="AP9" s="88"/>
      <c r="AQ9" s="88"/>
      <c r="AR9" s="88"/>
      <c r="AS9" s="88"/>
      <c r="AT9" s="88"/>
      <c r="AU9" s="2227"/>
      <c r="AV9" s="2227"/>
      <c r="AW9" s="1164"/>
      <c r="AX9" s="1164"/>
      <c r="AY9" s="1164"/>
      <c r="AZ9" s="710"/>
      <c r="BA9" s="711"/>
      <c r="BB9" s="50"/>
      <c r="BC9" s="88"/>
    </row>
    <row r="10" spans="1:55" thickBot="1" x14ac:dyDescent="0.35">
      <c r="A10" s="673"/>
      <c r="B10" s="673"/>
      <c r="C10" s="671"/>
      <c r="D10" s="671"/>
      <c r="E10" s="671"/>
      <c r="F10" s="671"/>
      <c r="G10" s="671"/>
      <c r="H10" s="671"/>
      <c r="I10" s="671"/>
      <c r="J10" s="2280"/>
      <c r="K10" s="1338" t="s">
        <v>524</v>
      </c>
      <c r="L10" s="1334">
        <f>'2018-2019'!$F$142</f>
        <v>336511.49261138501</v>
      </c>
      <c r="M10" s="673"/>
      <c r="N10" s="673"/>
      <c r="O10" s="88"/>
      <c r="P10" s="88"/>
      <c r="Q10" s="88"/>
      <c r="R10" s="88"/>
      <c r="S10" s="88"/>
      <c r="T10" s="196"/>
      <c r="U10" s="196"/>
      <c r="V10" s="196"/>
      <c r="W10" s="196"/>
      <c r="X10" s="196"/>
      <c r="Y10" s="709"/>
      <c r="Z10" s="196"/>
      <c r="AA10" s="196"/>
      <c r="AB10" s="713"/>
      <c r="AC10" s="50"/>
      <c r="AD10" s="88"/>
      <c r="AE10" s="88"/>
      <c r="AF10" s="88"/>
      <c r="AG10" s="88"/>
      <c r="AH10" s="88"/>
      <c r="AI10" s="88"/>
      <c r="AJ10" s="89"/>
      <c r="AK10" s="2280"/>
      <c r="AL10" s="1338" t="s">
        <v>524</v>
      </c>
      <c r="AM10" s="1364">
        <f>'2018-2019'!$H$142</f>
        <v>7606.1139040172638</v>
      </c>
      <c r="AN10" s="88"/>
      <c r="AO10" s="362"/>
      <c r="AP10" s="88"/>
      <c r="AQ10" s="88"/>
      <c r="AR10" s="88"/>
      <c r="AS10" s="88"/>
      <c r="AT10" s="88"/>
      <c r="AU10" s="2227"/>
      <c r="AV10" s="2227"/>
      <c r="AW10" s="1164"/>
      <c r="AX10" s="1164"/>
      <c r="AY10" s="1164"/>
      <c r="AZ10" s="710"/>
      <c r="BA10" s="711"/>
      <c r="BB10" s="50"/>
      <c r="BC10" s="88"/>
    </row>
    <row r="11" spans="1:55" ht="14.4" x14ac:dyDescent="0.3">
      <c r="A11" s="673"/>
      <c r="B11" s="673"/>
      <c r="C11" s="671"/>
      <c r="D11" s="671"/>
      <c r="E11" s="671"/>
      <c r="F11" s="671"/>
      <c r="G11" s="671"/>
      <c r="H11" s="671"/>
      <c r="I11" s="671"/>
      <c r="J11" s="1331"/>
      <c r="K11" s="1331"/>
      <c r="L11" s="1331"/>
      <c r="M11" s="673"/>
      <c r="N11" s="1176"/>
      <c r="O11" s="88"/>
      <c r="P11" s="88"/>
      <c r="Q11" s="88"/>
      <c r="R11" s="88"/>
      <c r="S11" s="673"/>
      <c r="T11" s="1064"/>
      <c r="U11" s="196"/>
      <c r="V11" s="196"/>
      <c r="W11" s="196"/>
      <c r="X11" s="196"/>
      <c r="Y11" s="709"/>
      <c r="Z11" s="196"/>
      <c r="AA11" s="196"/>
      <c r="AB11" s="715"/>
      <c r="AC11" s="50"/>
      <c r="AD11" s="88"/>
      <c r="AE11" s="88"/>
      <c r="AF11" s="88"/>
      <c r="AG11" s="88"/>
      <c r="AH11" s="88"/>
      <c r="AI11" s="88"/>
      <c r="AJ11" s="89"/>
      <c r="AK11" s="88"/>
      <c r="AL11" s="716" t="s">
        <v>427</v>
      </c>
      <c r="AM11" s="665"/>
      <c r="AN11" s="88"/>
      <c r="AO11" s="1176"/>
      <c r="AP11" s="88"/>
      <c r="AQ11" s="88"/>
      <c r="AR11" s="88"/>
      <c r="AS11" s="88"/>
      <c r="AT11" s="673"/>
      <c r="AU11" s="2227"/>
      <c r="AV11" s="2227"/>
      <c r="AW11" s="1164"/>
      <c r="AX11" s="1164"/>
      <c r="AY11" s="1164"/>
      <c r="AZ11" s="710"/>
      <c r="BA11" s="711"/>
      <c r="BB11" s="50"/>
      <c r="BC11" s="665"/>
    </row>
    <row r="12" spans="1:55" ht="15" customHeight="1" thickBot="1" x14ac:dyDescent="0.35">
      <c r="A12" s="673"/>
      <c r="B12" s="673"/>
      <c r="C12" s="717"/>
      <c r="D12" s="717"/>
      <c r="E12" s="717"/>
      <c r="F12" s="717"/>
      <c r="G12" s="1057"/>
      <c r="H12" s="1057"/>
      <c r="I12" s="671"/>
      <c r="J12" s="92"/>
      <c r="K12" s="88"/>
      <c r="L12" s="93"/>
      <c r="M12" s="718"/>
      <c r="N12" s="90"/>
      <c r="O12" s="92"/>
      <c r="P12" s="92"/>
      <c r="Q12" s="1065"/>
      <c r="R12" s="1064"/>
      <c r="S12" s="1064"/>
      <c r="T12" s="1064"/>
      <c r="U12" s="196"/>
      <c r="V12" s="196"/>
      <c r="W12" s="196"/>
      <c r="X12" s="196"/>
      <c r="Y12" s="709"/>
      <c r="Z12" s="196"/>
      <c r="AA12" s="196"/>
      <c r="AB12" s="719"/>
      <c r="AC12" s="50"/>
      <c r="AD12" s="91"/>
      <c r="AE12" s="91"/>
      <c r="AF12" s="91"/>
      <c r="AG12" s="91"/>
      <c r="AH12" s="673"/>
      <c r="AI12" s="673"/>
      <c r="AJ12" s="720"/>
      <c r="AK12" s="92"/>
      <c r="AL12" s="88"/>
      <c r="AM12" s="93"/>
      <c r="AN12" s="718"/>
      <c r="AO12" s="90"/>
      <c r="AP12" s="92"/>
      <c r="AQ12" s="92"/>
      <c r="AR12" s="92"/>
      <c r="AS12" s="93"/>
      <c r="AT12" s="93"/>
      <c r="AU12" s="2273"/>
      <c r="AV12" s="2273"/>
      <c r="AW12" s="2273"/>
      <c r="AX12" s="2273"/>
      <c r="AY12" s="2273"/>
      <c r="AZ12" s="2273"/>
      <c r="BA12" s="2273"/>
      <c r="BB12" s="50"/>
      <c r="BC12" s="93"/>
    </row>
    <row r="13" spans="1:55" ht="28.2" customHeight="1" x14ac:dyDescent="0.3">
      <c r="A13" s="2274" t="str">
        <f>+Performance!C2</f>
        <v>MINISTRY OF JUSTICE (MoJ)</v>
      </c>
      <c r="B13" s="2275"/>
      <c r="C13" s="1244" t="s">
        <v>176</v>
      </c>
      <c r="D13" s="2254" t="s">
        <v>177</v>
      </c>
      <c r="E13" s="2255"/>
      <c r="F13" s="2255"/>
      <c r="G13" s="2256"/>
      <c r="H13" s="2257"/>
      <c r="I13" s="2258"/>
      <c r="J13" s="2168" t="s">
        <v>428</v>
      </c>
      <c r="K13" s="2169"/>
      <c r="L13" s="2173" t="s">
        <v>429</v>
      </c>
      <c r="M13" s="2171"/>
      <c r="N13" s="2174"/>
      <c r="O13" s="2173" t="s">
        <v>430</v>
      </c>
      <c r="P13" s="2170"/>
      <c r="Q13" s="2170"/>
      <c r="R13" s="2171"/>
      <c r="S13" s="2174"/>
      <c r="T13" s="2173" t="s">
        <v>418</v>
      </c>
      <c r="U13" s="2268"/>
      <c r="V13" s="2268"/>
      <c r="W13" s="2268"/>
      <c r="X13" s="2268"/>
      <c r="Y13" s="2171"/>
      <c r="Z13" s="2171"/>
      <c r="AA13" s="2174"/>
      <c r="AB13" s="2152" t="s">
        <v>431</v>
      </c>
      <c r="AC13" s="2266" t="s">
        <v>432</v>
      </c>
      <c r="AD13" s="1320" t="s">
        <v>176</v>
      </c>
      <c r="AE13" s="2217" t="s">
        <v>177</v>
      </c>
      <c r="AF13" s="2219"/>
      <c r="AG13" s="2219"/>
      <c r="AH13" s="2219"/>
      <c r="AI13" s="2219"/>
      <c r="AJ13" s="2221"/>
      <c r="AK13" s="2198" t="s">
        <v>428</v>
      </c>
      <c r="AL13" s="2199"/>
      <c r="AM13" s="2185" t="s">
        <v>429</v>
      </c>
      <c r="AN13" s="2183"/>
      <c r="AO13" s="2186"/>
      <c r="AP13" s="2182" t="s">
        <v>430</v>
      </c>
      <c r="AQ13" s="2182"/>
      <c r="AR13" s="2182"/>
      <c r="AS13" s="2183"/>
      <c r="AT13" s="2184"/>
      <c r="AU13" s="2185" t="s">
        <v>418</v>
      </c>
      <c r="AV13" s="2183"/>
      <c r="AW13" s="2183"/>
      <c r="AX13" s="2183"/>
      <c r="AY13" s="2183"/>
      <c r="AZ13" s="2183"/>
      <c r="BA13" s="2183"/>
      <c r="BB13" s="2186"/>
      <c r="BC13" s="2211" t="s">
        <v>433</v>
      </c>
    </row>
    <row r="14" spans="1:55" ht="55.8" thickBot="1" x14ac:dyDescent="0.35">
      <c r="A14" s="2276"/>
      <c r="B14" s="2277"/>
      <c r="C14" s="1250" t="s">
        <v>203</v>
      </c>
      <c r="D14" s="821" t="s">
        <v>202</v>
      </c>
      <c r="E14" s="1251" t="s">
        <v>201</v>
      </c>
      <c r="F14" s="1251" t="s">
        <v>199</v>
      </c>
      <c r="G14" s="822" t="s">
        <v>561</v>
      </c>
      <c r="H14" s="1339" t="s">
        <v>557</v>
      </c>
      <c r="I14" s="823" t="s">
        <v>178</v>
      </c>
      <c r="J14" s="724" t="s">
        <v>434</v>
      </c>
      <c r="K14" s="725" t="s">
        <v>435</v>
      </c>
      <c r="L14" s="1052" t="s">
        <v>436</v>
      </c>
      <c r="M14" s="726" t="s">
        <v>437</v>
      </c>
      <c r="N14" s="727" t="s">
        <v>435</v>
      </c>
      <c r="O14" s="728" t="s">
        <v>438</v>
      </c>
      <c r="P14" s="925" t="s">
        <v>470</v>
      </c>
      <c r="Q14" s="925" t="s">
        <v>471</v>
      </c>
      <c r="R14" s="1169" t="s">
        <v>439</v>
      </c>
      <c r="S14" s="729" t="s">
        <v>440</v>
      </c>
      <c r="T14" s="2261" t="s">
        <v>441</v>
      </c>
      <c r="U14" s="2262"/>
      <c r="V14" s="829" t="str">
        <f>C14</f>
        <v>Q4</v>
      </c>
      <c r="W14" s="829" t="str">
        <f>D14</f>
        <v>Q3</v>
      </c>
      <c r="X14" s="829" t="str">
        <f>H14</f>
        <v>2018-2019</v>
      </c>
      <c r="Y14" s="2157" t="s">
        <v>442</v>
      </c>
      <c r="Z14" s="2155"/>
      <c r="AA14" s="830" t="s">
        <v>435</v>
      </c>
      <c r="AB14" s="2153"/>
      <c r="AC14" s="2267"/>
      <c r="AD14" s="1386" t="str">
        <f t="shared" ref="AD14:AI14" si="1">C14</f>
        <v>Q4</v>
      </c>
      <c r="AE14" s="832" t="str">
        <f t="shared" si="1"/>
        <v>Q3</v>
      </c>
      <c r="AF14" s="1385" t="str">
        <f t="shared" si="1"/>
        <v>Q2</v>
      </c>
      <c r="AG14" s="1385" t="str">
        <f t="shared" si="1"/>
        <v>Q1</v>
      </c>
      <c r="AH14" s="833" t="str">
        <f t="shared" si="1"/>
        <v>Q4-19</v>
      </c>
      <c r="AI14" s="833" t="str">
        <f t="shared" si="1"/>
        <v>2018-2019</v>
      </c>
      <c r="AJ14" s="834" t="str">
        <f t="shared" ref="AJ14" si="2">I14</f>
        <v>25% of previous year total</v>
      </c>
      <c r="AK14" s="958" t="s">
        <v>434</v>
      </c>
      <c r="AL14" s="959" t="s">
        <v>435</v>
      </c>
      <c r="AM14" s="1167" t="s">
        <v>436</v>
      </c>
      <c r="AN14" s="837" t="s">
        <v>437</v>
      </c>
      <c r="AO14" s="927" t="s">
        <v>435</v>
      </c>
      <c r="AP14" s="928" t="s">
        <v>438</v>
      </c>
      <c r="AQ14" s="730" t="s">
        <v>470</v>
      </c>
      <c r="AR14" s="730" t="s">
        <v>471</v>
      </c>
      <c r="AS14" s="1168" t="s">
        <v>439</v>
      </c>
      <c r="AT14" s="1162" t="s">
        <v>440</v>
      </c>
      <c r="AU14" s="1167" t="s">
        <v>441</v>
      </c>
      <c r="AV14" s="1168" t="s">
        <v>444</v>
      </c>
      <c r="AW14" s="1168" t="str">
        <f>AD14</f>
        <v>Q4</v>
      </c>
      <c r="AX14" s="1168" t="str">
        <f>AE14</f>
        <v>Q3</v>
      </c>
      <c r="AY14" s="1168" t="str">
        <f>AI14</f>
        <v>2018-2019</v>
      </c>
      <c r="AZ14" s="1168" t="s">
        <v>442</v>
      </c>
      <c r="BA14" s="1168" t="s">
        <v>443</v>
      </c>
      <c r="BB14" s="732" t="s">
        <v>435</v>
      </c>
      <c r="BC14" s="2212"/>
    </row>
    <row r="15" spans="1:55" ht="12.75" customHeight="1" thickBot="1" x14ac:dyDescent="0.35">
      <c r="A15" s="2264" t="s">
        <v>32</v>
      </c>
      <c r="B15" s="2265"/>
      <c r="C15" s="1177">
        <f t="shared" ref="C15:H15" ca="1" si="3">INDIRECT(CONCATENATE("'",C$14,"'!$D$19"),TRUE)</f>
        <v>0</v>
      </c>
      <c r="D15" s="733">
        <f t="shared" ca="1" si="3"/>
        <v>0</v>
      </c>
      <c r="E15" s="734">
        <f t="shared" ca="1" si="3"/>
        <v>199681147.51999998</v>
      </c>
      <c r="F15" s="734">
        <f t="shared" ca="1" si="3"/>
        <v>303985370.11227977</v>
      </c>
      <c r="G15" s="734">
        <f t="shared" ca="1" si="3"/>
        <v>482342086.93393362</v>
      </c>
      <c r="H15" s="734">
        <f t="shared" ca="1" si="3"/>
        <v>1373672655.4588969</v>
      </c>
      <c r="I15" s="735">
        <f ca="1">H15/4</f>
        <v>343418163.86472422</v>
      </c>
      <c r="J15" s="1281"/>
      <c r="K15" s="1271"/>
      <c r="L15" s="1272"/>
      <c r="M15" s="1273"/>
      <c r="N15" s="1274"/>
      <c r="O15" s="1275" t="str">
        <f ca="1">IF(OR(+$J15="missing?",+$J15="new category"),"",IF($D15=0,"",IF(SUM($C15:$I15)=0,"",IFERROR((($C15-$D15)/$D15),"N/A"))))</f>
        <v/>
      </c>
      <c r="P15" s="1276">
        <f ca="1">IF(OR(+$J15="missing?",+$J15="new category"),"",IF($E15=0,"",IF(SUM($C15:$I15)=0,"",IFERROR((($C15-$E15)/$E15),"N/A"))))</f>
        <v>-1</v>
      </c>
      <c r="Q15" s="1276">
        <f ca="1">IF(OR(+$J15="missing?",+$J15="new category"),"",IF($F15=0,"",IF(SUM($C15:$I15)=0,"",IFERROR((($C15-$F15)/$F15),"N/A"))))</f>
        <v>-1</v>
      </c>
      <c r="R15" s="1276">
        <f ca="1">IF(OR(+$J15="missing?",+$J15="new category"),"",IF($G15=0,"",IF(SUM($C15:$I15)=0,"",IFERROR((($C15-$G15)/$G15),"N/A"))))</f>
        <v>-1</v>
      </c>
      <c r="S15" s="1277">
        <f ca="1">IF(OR(+$J15="missing?",+$J15="new category"),"",IF($I15=0,"",IF(SUM($C15:$I15)=0,"",IFERROR((($C15-$I15)/$I15),"N/A"))))</f>
        <v>-1</v>
      </c>
      <c r="T15" s="1343"/>
      <c r="U15" s="1344"/>
      <c r="V15" s="1344"/>
      <c r="W15" s="1344"/>
      <c r="X15" s="1344"/>
      <c r="Y15" s="1345"/>
      <c r="Z15" s="1344"/>
      <c r="AA15" s="741"/>
      <c r="AB15" s="1278"/>
      <c r="AC15" s="742" t="str">
        <f ca="1">IF(AD15&gt;C15,"Offices only&gt;Total Estate","")</f>
        <v/>
      </c>
      <c r="AD15" s="1381">
        <f t="shared" ref="AD15:AI15" ca="1" si="4">INDIRECT(CONCATENATE("'",AD$14,"'!$G$19"),TRUE)</f>
        <v>0</v>
      </c>
      <c r="AE15" s="995">
        <f t="shared" ca="1" si="4"/>
        <v>0</v>
      </c>
      <c r="AF15" s="996">
        <f t="shared" ca="1" si="4"/>
        <v>3066005.5300000003</v>
      </c>
      <c r="AG15" s="996">
        <f t="shared" ca="1" si="4"/>
        <v>3408011.6600585929</v>
      </c>
      <c r="AH15" s="996">
        <f t="shared" ca="1" si="4"/>
        <v>5472091.390625</v>
      </c>
      <c r="AI15" s="996">
        <f t="shared" ca="1" si="4"/>
        <v>24322654.292481523</v>
      </c>
      <c r="AJ15" s="997">
        <f ca="1">AI15/4</f>
        <v>6080663.5731203808</v>
      </c>
      <c r="AK15" s="1382"/>
      <c r="AL15" s="1383"/>
      <c r="AM15" s="1389"/>
      <c r="AN15" s="1384"/>
      <c r="AO15" s="1390"/>
      <c r="AP15" s="1387" t="str">
        <f ca="1">IF(OR(+$AK15="missing?",+$AK15="new category"),"",IF($AE15=0,"",IF(SUM($AD15:$AJ15)=0,"",IFERROR((($AD15-$AE15)/$AE15),"N/A"))))</f>
        <v/>
      </c>
      <c r="AQ15" s="745">
        <f ca="1">IF(OR(+$AK15="missing?",+$AK15="new category"),"",IF($AF15=0,"",IF(SUM($AD15:$AJ15)=0,"",IFERROR((($AD15-$AF15)/$AF15),"N/A"))))</f>
        <v>-1</v>
      </c>
      <c r="AR15" s="739">
        <f ca="1">IF(OR(+$AK15="missing?",+$AK15="new category"),"",IF($AG15=0,"",IF(SUM($AD15:$AJ15)=0,"",IFERROR((($AD15-$AG15)/$AG15),"N/A"))))</f>
        <v>-1</v>
      </c>
      <c r="AS15" s="739">
        <f ca="1">IF(OR(+$AK15="missing?",+$AK15="new category"),"",IF($AH15=0,"",IF(SUM($AD15:$AJ15)=0,"",IFERROR((($AD15-$AH15)/$AH15),"N/A"))))</f>
        <v>-1</v>
      </c>
      <c r="AT15" s="1365">
        <f ca="1">IF(OR(+$AK15="missing?",+$AK15="new category"),"",IF($AJ15=0,"",IF(SUM($AD15:$AJ15)=0,"",IFERROR((($AD15-$AJ15)/$AJ15),"N/A"))))</f>
        <v>-1</v>
      </c>
      <c r="AU15" s="1371"/>
      <c r="AV15" s="1372"/>
      <c r="AW15" s="1372"/>
      <c r="AX15" s="1372"/>
      <c r="AY15" s="1372"/>
      <c r="AZ15" s="1372"/>
      <c r="BA15" s="1372"/>
      <c r="BB15" s="1373"/>
      <c r="BC15" s="1368"/>
    </row>
    <row r="16" spans="1:55" ht="12.75" customHeight="1" x14ac:dyDescent="0.3">
      <c r="A16" s="2236" t="s">
        <v>36</v>
      </c>
      <c r="B16" s="1246" t="str">
        <f>'Q1'!C20</f>
        <v>Mains Standard Grid Electricity Consumption (Scope 2+3)*</v>
      </c>
      <c r="C16" s="1262">
        <f t="shared" ref="C16:H25" ca="1" si="5">INDEX(INDIRECT(CONCATENATE("'",C$14,"'!$D$20:$D$35"),TRUE),MATCH($B16,INDIRECT(CONCATENATE("'",C$14,"'!$C$20:$C$35"),TRUE),0))</f>
        <v>0</v>
      </c>
      <c r="D16" s="1263">
        <f t="shared" ca="1" si="5"/>
        <v>0</v>
      </c>
      <c r="E16" s="1264">
        <f t="shared" ca="1" si="5"/>
        <v>82581261</v>
      </c>
      <c r="F16" s="1264">
        <f t="shared" ca="1" si="5"/>
        <v>85866883.833344698</v>
      </c>
      <c r="G16" s="1264">
        <f t="shared" ca="1" si="5"/>
        <v>96807243.177263305</v>
      </c>
      <c r="H16" s="1264">
        <f t="shared" ca="1" si="5"/>
        <v>362017255.85655791</v>
      </c>
      <c r="I16" s="1265">
        <f t="shared" ref="I16:I43" ca="1" si="6">H16/4</f>
        <v>90504313.964139476</v>
      </c>
      <c r="J16" s="800" t="str">
        <f t="shared" ref="J16:J43" ca="1" si="7">IF(AND(C16&gt;0,SUM(D16:I16)&gt;0),"",IF(AND(C16=0,SUM(C16:I16)=0),"",IF(AND(C16=0,D16&gt;0),"Missing value?",IF(AND(C16=0,I16&gt;0),"Missing value?","New category"))))</f>
        <v>Missing value?</v>
      </c>
      <c r="K16" s="801"/>
      <c r="L16" s="895"/>
      <c r="M16" s="763"/>
      <c r="N16" s="896"/>
      <c r="O16" s="802" t="str">
        <f t="shared" ref="O16:O34" ca="1" si="8">IF(OR(+$J16="missing?",+$J16="new category"),"",IF($D16=0,"",IF(SUM($C16:$I16)=0,"",IFERROR((($C16-$D16)/$D16),"N/A"))))</f>
        <v/>
      </c>
      <c r="P16" s="764">
        <f t="shared" ref="P16:P43" ca="1" si="9">IF(OR(+$J16="missing?",+$J16="new category"),"",IF($E16=0,"",IF(SUM($C16:$I16)=0,"",IFERROR((($C16-$E16)/$E16),"N/A"))))</f>
        <v>-1</v>
      </c>
      <c r="Q16" s="764">
        <f t="shared" ref="Q16:Q43" ca="1" si="10">IF(OR(+$J16="missing?",+$J16="new category"),"",IF($F16=0,"",IF(SUM($C16:$I16)=0,"",IFERROR((($C16-$F16)/$F16),"N/A"))))</f>
        <v>-1</v>
      </c>
      <c r="R16" s="764">
        <f t="shared" ref="R16:R81" ca="1" si="11">IF(OR(+$J16="missing?",+$J16="new category"),"",IF($G16=0,"",IF(SUM($C16:$I16)=0,"",IFERROR((($C16-$G16)/$G16),"N/A"))))</f>
        <v>-1</v>
      </c>
      <c r="S16" s="803">
        <f t="shared" ref="S16:S81" ca="1" si="12">IF(OR(+$J16="missing?",+$J16="new category"),"",IF($I16=0,"",IF(SUM($C16:$I16)=0,"",IFERROR((($C16-$I16)/$I16),"N/A"))))</f>
        <v>-1</v>
      </c>
      <c r="T16" s="1243">
        <f ca="1">IF(SUM(C16:I16)=0,"",IF(OR(AND(C16=0,SUM(D16:I16)&gt;0),AND(C16&gt;0,SUM(D16:I16)=0)),1,IF(MAX(IF(O16&lt;0,-O16,O16),IF(P16&lt;0,-P16,P16),IF(Q16&lt;0,-Q16,Q16),IF(R16&lt;0,-R16,R16),IF(S16&lt;0,-S16,S16))=0,"",MAX(IF(O16&lt;0,-O16,O16),IF(P16&lt;0,-P16,P16),IF(Q16&lt;0,-Q16,Q16),IF(R16&lt;0,-R16,R16),IF(S16&lt;0,-S16,S16)))))</f>
        <v>1</v>
      </c>
      <c r="U16" s="1166" t="str">
        <f t="shared" ref="U16:U43" ca="1" si="13">IF(+T16="","",IF(T16&gt;L$3,"H",IF(T16&gt;L$4,"M","")))</f>
        <v>H</v>
      </c>
      <c r="V16" s="1350">
        <f t="shared" ref="V16:X31" ca="1" si="14">INDEX(INDIRECT(CONCATENATE("'",V$14,"'!$F$20:$F$35"),TRUE),MATCH($B16,INDIRECT(CONCATENATE("'",V$14,"'!$C$20:$C$35"),TRUE),0))</f>
        <v>0</v>
      </c>
      <c r="W16" s="1350">
        <f t="shared" ca="1" si="14"/>
        <v>0</v>
      </c>
      <c r="X16" s="1350">
        <f t="shared" ca="1" si="14"/>
        <v>111211.70099913457</v>
      </c>
      <c r="Y16" s="1074">
        <f ca="1">IF(V16=0,IF(W16&gt;0, W16/L$8, IF(X16&gt;0,X16/L$10, "")), IF(T16="", "", V16/L$7*T16))</f>
        <v>0.33048410958007207</v>
      </c>
      <c r="Z16" s="1166" t="str">
        <f t="shared" ref="Z16:Z43" ca="1" si="15">IF(+Y16="","",IF(Y16&gt;L$3,"H",IF(Y16&gt;L$4,"M","")))</f>
        <v>H</v>
      </c>
      <c r="AA16" s="751" t="s">
        <v>552</v>
      </c>
      <c r="AB16" s="1279" t="str">
        <f ca="1">IF(CONCATENATE(IF(K16="OK","",J16),"    ",IF(L16="","",IF(N16="OK","",CONCATENATE(M16," = ",ROUND(L16,3),"kgCO2e/kWh"))),"    ",IF(AND(+AA16="",Z16="M"),"Value change with medium impact",IF(AND(AA16="",Z16="H"),"Value change with high impact",""))," ")="         ","",CONCATENATE(IF(K16="OK","",J16),"    ",IF(L16="","",IF(N16="OK","",CONCATENATE(M16," = ",ROUND(L16,3),"kgCO2e/kWh"))),"    ",IF(AND(+AA16="",Z16="M"),"Value change with medium impact",IF(AND(AA16="",Z16="H"),"Value change with high impact",""))," "))</f>
        <v xml:space="preserve">Missing value?         </v>
      </c>
      <c r="AC16" s="1268" t="str">
        <f t="shared" ref="AC16:AC43" ca="1" si="16">IF(AD16&gt;C16,"Offices only&gt;Total Estate","")</f>
        <v/>
      </c>
      <c r="AD16" s="759">
        <f t="shared" ref="AD16:AI25" ca="1" si="17">INDEX(INDIRECT(CONCATENATE("'",AD$14,"'!$G$20:$G$35"),TRUE),MATCH($B16,INDIRECT(CONCATENATE("'",AD$14,"'!$C$20:$C$35"),TRUE),0))</f>
        <v>0</v>
      </c>
      <c r="AE16" s="760">
        <f t="shared" ca="1" si="17"/>
        <v>0</v>
      </c>
      <c r="AF16" s="761">
        <f t="shared" ca="1" si="17"/>
        <v>475651</v>
      </c>
      <c r="AG16" s="761">
        <f t="shared" ca="1" si="17"/>
        <v>447893.80078125</v>
      </c>
      <c r="AH16" s="761">
        <f t="shared" ca="1" si="17"/>
        <v>668313</v>
      </c>
      <c r="AI16" s="761">
        <f t="shared" ca="1" si="17"/>
        <v>5409992</v>
      </c>
      <c r="AJ16" s="961">
        <f t="shared" ref="AJ16:AJ43" ca="1" si="18">AI16/4</f>
        <v>1352498</v>
      </c>
      <c r="AK16" s="1361" t="str">
        <f t="shared" ref="AK16:AK43" ca="1" si="19">IF(AND(AD16&gt;0,SUM(AE16:AJ16)&gt;0),"",IF(AND(AD16=0,SUM(AD16:AJ16)=0),"",IF(AND(AD16=0,AE16&gt;0),"Missing value?",IF(AND(AD16=0,AJ16&gt;0),"Missing value?","New category"))))</f>
        <v>Missing value?</v>
      </c>
      <c r="AL16" s="801"/>
      <c r="AM16" s="895"/>
      <c r="AN16" s="763"/>
      <c r="AO16" s="1391"/>
      <c r="AP16" s="1388" t="str">
        <f t="shared" ref="AP16:AP43" ca="1" si="20">IF(OR(+$AK16="missing?",+$AK16="new category"),"",IF($AE16=0,"",IF(SUM($AD16:$AJ16)=0,"",IFERROR((($AD16-$AE16)/$AE16),"N/A"))))</f>
        <v/>
      </c>
      <c r="AQ16" s="764">
        <f t="shared" ref="AQ16:AQ43" ca="1" si="21">IF(OR(+$AK16="missing?",+$AK16="new category"),"",IF($AF16=0,"",IF(SUM($AD16:$AJ16)=0,"",IFERROR((($AD16-$AF16)/$AF16),"N/A"))))</f>
        <v>-1</v>
      </c>
      <c r="AR16" s="765">
        <f t="shared" ref="AR16:AR43" ca="1" si="22">IF(OR(+$AK16="missing?",+$AK16="new category"),"",IF($AG16=0,"",IF(SUM($AD16:$AJ16)=0,"",IFERROR((($AD16-$AG16)/$AG16),"N/A"))))</f>
        <v>-1</v>
      </c>
      <c r="AS16" s="765">
        <f t="shared" ref="AS16:AS43" ca="1" si="23">IF(OR(+$AK16="missing?",+$AK16="new category"),"",IF($AH16=0,"",IF(SUM($AD16:$AJ16)=0,"",IFERROR((($AD16-$AH16)/$AH16),"N/A"))))</f>
        <v>-1</v>
      </c>
      <c r="AT16" s="1366">
        <f ca="1">IF(OR(+$AK16="missing?",+$AK16="new category"),"",IF($AJ16=0,"",IF(SUM($AD16:$AJ16)=0,"",IFERROR((($AD16-$AJ16)/$AJ16),"N/A"))))</f>
        <v>-1</v>
      </c>
      <c r="AU16" s="1376">
        <f ca="1">IF(MAX(IF(AP16&lt;0,-AP16,AP16),IF(AS16&lt;0,-AS16,AS16),IF(AT16&lt;0,-AT16,AT16))=0,"",MAX(IF(AP16&lt;0,-AP16,AP16),IF(AQ16&lt;0,-AQ16,AQ16),IF(AR16&lt;0,-AR16,AR16),IF(AS16&lt;0,-AS16,AS16),IF(AT16&lt;0,-AT16,AT16)))</f>
        <v>1</v>
      </c>
      <c r="AV16" s="766" t="str">
        <f t="shared" ref="AV16:AV43" ca="1" si="24">IF(+AU16="","",IF(AU16&gt;L$3,"H",IF(AU16&gt;L$4,"M","")))</f>
        <v>H</v>
      </c>
      <c r="AW16" s="1349">
        <f t="shared" ref="AW16:AY31" ca="1" si="25">INDEX(INDIRECT(CONCATENATE("'",AW$14,"'!$H$20:$H$35"),TRUE),MATCH($B16,INDIRECT(CONCATENATE("'",AW$14,"'!$C$20:$C$35"),TRUE),0))</f>
        <v>0</v>
      </c>
      <c r="AX16" s="1349">
        <f t="shared" ca="1" si="25"/>
        <v>0</v>
      </c>
      <c r="AY16" s="1349">
        <f t="shared" ca="1" si="25"/>
        <v>1661.9495423999999</v>
      </c>
      <c r="AZ16" s="1377">
        <f ca="1">IF(AW16=0,IF(AX16&gt;0, AX16/AM$8, IF(AY16&gt;0,AY16/AM$10, "")), IF(AU16="", "", AW16/AM$7*AU16))</f>
        <v>0.21850179518376928</v>
      </c>
      <c r="BA16" s="766" t="str">
        <f t="shared" ref="BA16:BA43" ca="1" si="26">IF(+AZ16="","",IF(AZ16&gt;L$3,"H",IF(AZ16&gt;L$4,"M","")))</f>
        <v>H</v>
      </c>
      <c r="BB16" s="801"/>
      <c r="BC16" s="1279" t="str">
        <f ca="1">IF(CONCATENATE(AC16, "    ", IF(AL16="OK","",AK16), "    ",IF(AM16="","",IF(AO16="OK","",CONCATENATE(AN16," = ",ROUND(AM16,3),"kgCO2e/kWh"))),"    ",IF(AND(+BB16="",BA16="M"),"Value change with medium impact",IF(AND(BB16="",BA16="H"),"Value change with high impact",""))," ")="            ","",CONCATENATE(AC16, "    ", IF(AL16="OK","",AK16), "    ",IF(AM16="","",IF(AO16="OK","",CONCATENATE(AN16," = ",ROUND(AM16,3),"kgCO2e/kWh"))),"    ",IF(AND(+BB16="",BA16="M"),"Value change with medium impact",IF(AND(BB16="",BA16="H"),"Value change with high impact",""))," "))</f>
        <v xml:space="preserve">    Missing value?        Value change with high impact </v>
      </c>
    </row>
    <row r="17" spans="1:55" ht="12.75" customHeight="1" x14ac:dyDescent="0.3">
      <c r="A17" s="2236"/>
      <c r="B17" s="1246" t="str">
        <f>'Q1'!C21</f>
        <v>Mains Green Tariff  Electricity  Consumption (Scope 2+3)*</v>
      </c>
      <c r="C17" s="1252">
        <f t="shared" ca="1" si="5"/>
        <v>0</v>
      </c>
      <c r="D17" s="1258">
        <f t="shared" ca="1" si="5"/>
        <v>0</v>
      </c>
      <c r="E17" s="1060">
        <f t="shared" ca="1" si="5"/>
        <v>19147624</v>
      </c>
      <c r="F17" s="1060">
        <f t="shared" ca="1" si="5"/>
        <v>20428376</v>
      </c>
      <c r="G17" s="1060">
        <f t="shared" ca="1" si="5"/>
        <v>23655629</v>
      </c>
      <c r="H17" s="1060">
        <f t="shared" ca="1" si="5"/>
        <v>90146951</v>
      </c>
      <c r="I17" s="1266">
        <f t="shared" ca="1" si="6"/>
        <v>22536737.75</v>
      </c>
      <c r="J17" s="771" t="str">
        <f t="shared" ca="1" si="7"/>
        <v>Missing value?</v>
      </c>
      <c r="K17" s="772"/>
      <c r="L17" s="773"/>
      <c r="M17" s="774"/>
      <c r="N17" s="775"/>
      <c r="O17" s="776" t="str">
        <f t="shared" ca="1" si="8"/>
        <v/>
      </c>
      <c r="P17" s="777">
        <f t="shared" ca="1" si="9"/>
        <v>-1</v>
      </c>
      <c r="Q17" s="777">
        <f t="shared" ca="1" si="10"/>
        <v>-1</v>
      </c>
      <c r="R17" s="777">
        <f t="shared" ca="1" si="11"/>
        <v>-1</v>
      </c>
      <c r="S17" s="778">
        <f t="shared" ca="1" si="12"/>
        <v>-1</v>
      </c>
      <c r="T17" s="1066">
        <f t="shared" ref="T17:T43" ca="1" si="27">IF(SUM(C17:I17)=0,"",IF(OR(AND(C17=0,SUM(D17:I17)&gt;0),AND(C17&gt;0,SUM(D17:I17)=0)),1,IF(MAX(IF(O17&lt;0,-O17,O17),IF(P17&lt;0,-P17,P17),IF(Q17&lt;0,-Q17,Q17),IF(R17&lt;0,-R17,R17),IF(S17&lt;0,-S17,S17))=0,"",MAX(IF(O17&lt;0,-O17,O17),IF(P17&lt;0,-P17,P17),IF(Q17&lt;0,-Q17,Q17),IF(R17&lt;0,-R17,R17),IF(S17&lt;0,-S17,S17)))))</f>
        <v>1</v>
      </c>
      <c r="U17" s="1165" t="str">
        <f t="shared" ca="1" si="13"/>
        <v>H</v>
      </c>
      <c r="V17" s="1350">
        <f t="shared" ca="1" si="14"/>
        <v>0</v>
      </c>
      <c r="W17" s="1350">
        <f t="shared" ca="1" si="14"/>
        <v>0</v>
      </c>
      <c r="X17" s="1350">
        <f t="shared" ca="1" si="14"/>
        <v>27693.143347199999</v>
      </c>
      <c r="Y17" s="1067">
        <f t="shared" ref="Y17:Y31" ca="1" si="28">IF(V17=0,IF(W17&gt;0, W17/L$8, IF(X17&gt;0,X17/L$10, "")), IF(T17="", "", V17/L$7*T17))</f>
        <v>8.2294792169790729E-2</v>
      </c>
      <c r="Z17" s="1165" t="str">
        <f t="shared" ca="1" si="15"/>
        <v>H</v>
      </c>
      <c r="AA17" s="772" t="s">
        <v>552</v>
      </c>
      <c r="AB17" s="946" t="str">
        <f t="shared" ref="AB17:AB43" ca="1" si="29">IF(CONCATENATE(IF(K17="OK","",J17),"    ",IF(L17="","",IF(N17="OK","",CONCATENATE(M17," = ",ROUND(L17,3),"kgCO2e/kWh"))),"    ",IF(AND(+AA17="",Z17="M"),"Value change with medium impact",IF(AND(AA17="",Z17="H"),"Value change with high impact",""))," ")="         ","",CONCATENATE(IF(K17="OK","",J17),"    ",IF(L17="","",IF(N17="OK","",CONCATENATE(M17," = ",ROUND(L17,3),"kgCO2e/kWh"))),"    ",IF(AND(+AA17="",Z17="M"),"Value change with medium impact",IF(AND(AA17="",Z17="H"),"Value change with high impact",""))," "))</f>
        <v xml:space="preserve">Missing value?         </v>
      </c>
      <c r="AC17" s="1269" t="str">
        <f t="shared" ca="1" si="16"/>
        <v/>
      </c>
      <c r="AD17" s="780">
        <f t="shared" ca="1" si="17"/>
        <v>0</v>
      </c>
      <c r="AE17" s="781">
        <f t="shared" ca="1" si="17"/>
        <v>0</v>
      </c>
      <c r="AF17" s="769">
        <f t="shared" ca="1" si="17"/>
        <v>1977946</v>
      </c>
      <c r="AG17" s="769">
        <f t="shared" ca="1" si="17"/>
        <v>2221918</v>
      </c>
      <c r="AH17" s="769">
        <f t="shared" ca="1" si="17"/>
        <v>2757691</v>
      </c>
      <c r="AI17" s="769">
        <f t="shared" ca="1" si="17"/>
        <v>14076710</v>
      </c>
      <c r="AJ17" s="967">
        <f t="shared" ca="1" si="18"/>
        <v>3519177.5</v>
      </c>
      <c r="AK17" s="771" t="str">
        <f t="shared" ca="1" si="19"/>
        <v>Missing value?</v>
      </c>
      <c r="AL17" s="772"/>
      <c r="AM17" s="773"/>
      <c r="AN17" s="774"/>
      <c r="AO17" s="1392"/>
      <c r="AP17" s="938" t="str">
        <f t="shared" ca="1" si="20"/>
        <v/>
      </c>
      <c r="AQ17" s="756">
        <f t="shared" ca="1" si="21"/>
        <v>-1</v>
      </c>
      <c r="AR17" s="783">
        <f t="shared" ca="1" si="22"/>
        <v>-1</v>
      </c>
      <c r="AS17" s="783">
        <f t="shared" ca="1" si="23"/>
        <v>-1</v>
      </c>
      <c r="AT17" s="1367">
        <f ca="1">IF(OR(+$AK17="missing?",+$AK17="new category"),"",IF($AJ17=0,"",IF(SUM($AD17:$AJ17)=0,"",IFERROR((($AD17-$AJ17)/$AJ17),"N/A"))))</f>
        <v>-1</v>
      </c>
      <c r="AU17" s="1369">
        <f t="shared" ref="AU17:AU43" ca="1" si="30">IF(MAX(IF(AP17&lt;0,-AP17,AP17),IF(AS17&lt;0,-AS17,AS17),IF(AT17&lt;0,-AT17,AT17))=0,"",MAX(IF(AP17&lt;0,-AP17,AP17),IF(AQ17&lt;0,-AQ17,AQ17),IF(AR17&lt;0,-AR17,AR17),IF(AS17&lt;0,-AS17,AS17),IF(AT17&lt;0,-AT17,AT17)))</f>
        <v>1</v>
      </c>
      <c r="AV17" s="1165" t="str">
        <f t="shared" ca="1" si="24"/>
        <v>H</v>
      </c>
      <c r="AW17" s="1350">
        <f t="shared" ca="1" si="25"/>
        <v>0</v>
      </c>
      <c r="AX17" s="1350">
        <f t="shared" ca="1" si="25"/>
        <v>0</v>
      </c>
      <c r="AY17" s="1350">
        <f t="shared" ca="1" si="25"/>
        <v>4324.3653119999999</v>
      </c>
      <c r="AZ17" s="1357">
        <f t="shared" ref="AZ17:AZ31" ca="1" si="31">IF(AW17=0,IF(AX17&gt;0, AX17/AM$8, IF(AY17&gt;0,AY17/AM$10, "")), IF(AU17="", "", AW17/AM$7*AU17))</f>
        <v>0.56853806905468929</v>
      </c>
      <c r="BA17" s="1165" t="str">
        <f t="shared" ca="1" si="26"/>
        <v>H</v>
      </c>
      <c r="BB17" s="772"/>
      <c r="BC17" s="946" t="str">
        <f t="shared" ref="BC17" ca="1" si="32">IF(CONCATENATE(AC17, "    ", IF(AL17="OK","",AK17), "    ",IF(AM17="","",IF(AO17="OK","",CONCATENATE(AN17," = ",ROUND(AM17,3),"kgCO2e/kWh"))),"    ",IF(AND(+BB17="",BA17="M"),"Value change with medium impact",IF(AND(BB17="",BA17="H"),"Value change with high impact",""))," ")="            ","",CONCATENATE(AC17, "    ", IF(AL17="OK","",AK17), "    ",IF(AM17="","",IF(AO17="OK","",CONCATENATE(AN17," = ",ROUND(AM17,3),"kgCO2e/kWh"))),"    ",IF(AND(+BB17="",BA17="M"),"Value change with medium impact",IF(AND(BB17="",BA17="H"),"Value change with high impact",""))," "))</f>
        <v xml:space="preserve">    Missing value?        Value change with high impact </v>
      </c>
    </row>
    <row r="18" spans="1:55" ht="12.75" customHeight="1" x14ac:dyDescent="0.3">
      <c r="A18" s="2236"/>
      <c r="B18" s="1246" t="str">
        <f>'Q1'!C22</f>
        <v>CHP Bought Electricity (GQ)  Consumption (Scope 2+3)*</v>
      </c>
      <c r="C18" s="1252">
        <f t="shared" ca="1" si="5"/>
        <v>0</v>
      </c>
      <c r="D18" s="1258">
        <f t="shared" ca="1" si="5"/>
        <v>0</v>
      </c>
      <c r="E18" s="1060">
        <f t="shared" ca="1" si="5"/>
        <v>0</v>
      </c>
      <c r="F18" s="1060">
        <f t="shared" ca="1" si="5"/>
        <v>0</v>
      </c>
      <c r="G18" s="1060">
        <f t="shared" ca="1" si="5"/>
        <v>0</v>
      </c>
      <c r="H18" s="1060">
        <f t="shared" ca="1" si="5"/>
        <v>0</v>
      </c>
      <c r="I18" s="1266">
        <f t="shared" ca="1" si="6"/>
        <v>0</v>
      </c>
      <c r="J18" s="771" t="str">
        <f t="shared" ca="1" si="7"/>
        <v/>
      </c>
      <c r="K18" s="772"/>
      <c r="L18" s="773"/>
      <c r="M18" s="774"/>
      <c r="N18" s="775"/>
      <c r="O18" s="776" t="str">
        <f t="shared" ca="1" si="8"/>
        <v/>
      </c>
      <c r="P18" s="777" t="str">
        <f t="shared" ca="1" si="9"/>
        <v/>
      </c>
      <c r="Q18" s="777" t="str">
        <f t="shared" ca="1" si="10"/>
        <v/>
      </c>
      <c r="R18" s="777" t="str">
        <f t="shared" ca="1" si="11"/>
        <v/>
      </c>
      <c r="S18" s="778" t="str">
        <f t="shared" ca="1" si="12"/>
        <v/>
      </c>
      <c r="T18" s="1066" t="str">
        <f t="shared" ca="1" si="27"/>
        <v/>
      </c>
      <c r="U18" s="1165" t="str">
        <f t="shared" ca="1" si="13"/>
        <v/>
      </c>
      <c r="V18" s="1350">
        <f t="shared" ca="1" si="14"/>
        <v>0</v>
      </c>
      <c r="W18" s="1350">
        <f t="shared" ca="1" si="14"/>
        <v>0</v>
      </c>
      <c r="X18" s="1350">
        <f t="shared" ca="1" si="14"/>
        <v>0</v>
      </c>
      <c r="Y18" s="1067" t="str">
        <f t="shared" ca="1" si="28"/>
        <v/>
      </c>
      <c r="Z18" s="1165" t="str">
        <f t="shared" ca="1" si="15"/>
        <v/>
      </c>
      <c r="AA18" s="772"/>
      <c r="AB18" s="946" t="str">
        <f t="shared" ca="1" si="29"/>
        <v/>
      </c>
      <c r="AC18" s="1269" t="str">
        <f t="shared" ca="1" si="16"/>
        <v/>
      </c>
      <c r="AD18" s="780">
        <f t="shared" ca="1" si="17"/>
        <v>0</v>
      </c>
      <c r="AE18" s="781">
        <f t="shared" ca="1" si="17"/>
        <v>0</v>
      </c>
      <c r="AF18" s="769">
        <f t="shared" ca="1" si="17"/>
        <v>0</v>
      </c>
      <c r="AG18" s="769">
        <f t="shared" ca="1" si="17"/>
        <v>0</v>
      </c>
      <c r="AH18" s="769">
        <f t="shared" ca="1" si="17"/>
        <v>0</v>
      </c>
      <c r="AI18" s="769">
        <f t="shared" ca="1" si="17"/>
        <v>0</v>
      </c>
      <c r="AJ18" s="967">
        <f t="shared" ca="1" si="18"/>
        <v>0</v>
      </c>
      <c r="AK18" s="771" t="str">
        <f t="shared" ca="1" si="19"/>
        <v/>
      </c>
      <c r="AL18" s="772"/>
      <c r="AM18" s="773"/>
      <c r="AN18" s="774"/>
      <c r="AO18" s="1392"/>
      <c r="AP18" s="938" t="str">
        <f t="shared" ca="1" si="20"/>
        <v/>
      </c>
      <c r="AQ18" s="756" t="str">
        <f t="shared" ca="1" si="21"/>
        <v/>
      </c>
      <c r="AR18" s="783" t="str">
        <f t="shared" ca="1" si="22"/>
        <v/>
      </c>
      <c r="AS18" s="783" t="str">
        <f t="shared" ca="1" si="23"/>
        <v/>
      </c>
      <c r="AT18" s="1367" t="str">
        <f t="shared" ref="AT18:AT28" ca="1" si="33">IF(OR(+$AK18="missing?",+$AK18="new category"),"",IF($AJ18=0,"",IF(SUM($AD18:$AJ18)=0,"",IFERROR((($AD18-$AJ18)/$AJ18),"N/A"))))</f>
        <v/>
      </c>
      <c r="AU18" s="1369" t="str">
        <f t="shared" ca="1" si="30"/>
        <v/>
      </c>
      <c r="AV18" s="1165" t="str">
        <f t="shared" ca="1" si="24"/>
        <v/>
      </c>
      <c r="AW18" s="1350">
        <f t="shared" ca="1" si="25"/>
        <v>0</v>
      </c>
      <c r="AX18" s="1350">
        <f t="shared" ca="1" si="25"/>
        <v>0</v>
      </c>
      <c r="AY18" s="1350">
        <f t="shared" ca="1" si="25"/>
        <v>0</v>
      </c>
      <c r="AZ18" s="1357" t="str">
        <f t="shared" ca="1" si="31"/>
        <v/>
      </c>
      <c r="BA18" s="1165" t="str">
        <f t="shared" ca="1" si="26"/>
        <v/>
      </c>
      <c r="BB18" s="772"/>
      <c r="BC18" s="946" t="str">
        <f ca="1">IF(CONCATENATE(AC18, "    ", IF(AL18="OK","",AK18), "    ",IF(AM18="","",IF(AO18="OK","",CONCATENATE(AN18," = ",ROUND(AM18,3),"kgCO2e/kWh"))),"    ",IF(AND(+BB18="",BA18="M"),"Value change with medium impact",IF(AND(BB18="",BA18="H"),"Value change with high impact",""))," ")="             ","",CONCATENATE(AC18, "    ", IF(AL18="OK","",AK18), "    ",IF(AM18="","",IF(AO18="OK","",CONCATENATE(AN18," = ",ROUND(AM18,3),"kgCO2e/kWh"))),"    ",IF(AND(+BB18="",BA18="M"),"Value change with medium impact",IF(AND(BB18="",BA18="H"),"Value change with high impact",""))," "))</f>
        <v/>
      </c>
    </row>
    <row r="19" spans="1:55" ht="12.75" customHeight="1" x14ac:dyDescent="0.3">
      <c r="A19" s="2236"/>
      <c r="B19" s="1246" t="str">
        <f>'Q1'!C23</f>
        <v>CHP Bought Electricity (Other) Consumption (Scope 2+3)*</v>
      </c>
      <c r="C19" s="1252">
        <f t="shared" ca="1" si="5"/>
        <v>0</v>
      </c>
      <c r="D19" s="1258">
        <f t="shared" ca="1" si="5"/>
        <v>0</v>
      </c>
      <c r="E19" s="1060">
        <f t="shared" ca="1" si="5"/>
        <v>0</v>
      </c>
      <c r="F19" s="1060">
        <f t="shared" ca="1" si="5"/>
        <v>0</v>
      </c>
      <c r="G19" s="1060">
        <f t="shared" ca="1" si="5"/>
        <v>0</v>
      </c>
      <c r="H19" s="1060">
        <f t="shared" ca="1" si="5"/>
        <v>0</v>
      </c>
      <c r="I19" s="1266">
        <f t="shared" ca="1" si="6"/>
        <v>0</v>
      </c>
      <c r="J19" s="771" t="str">
        <f t="shared" ca="1" si="7"/>
        <v/>
      </c>
      <c r="K19" s="772"/>
      <c r="L19" s="773"/>
      <c r="M19" s="774"/>
      <c r="N19" s="775"/>
      <c r="O19" s="776" t="str">
        <f t="shared" ca="1" si="8"/>
        <v/>
      </c>
      <c r="P19" s="777" t="str">
        <f t="shared" ca="1" si="9"/>
        <v/>
      </c>
      <c r="Q19" s="777" t="str">
        <f t="shared" ca="1" si="10"/>
        <v/>
      </c>
      <c r="R19" s="777" t="str">
        <f t="shared" ca="1" si="11"/>
        <v/>
      </c>
      <c r="S19" s="778" t="str">
        <f t="shared" ca="1" si="12"/>
        <v/>
      </c>
      <c r="T19" s="1066" t="str">
        <f t="shared" ca="1" si="27"/>
        <v/>
      </c>
      <c r="U19" s="1165" t="str">
        <f t="shared" ca="1" si="13"/>
        <v/>
      </c>
      <c r="V19" s="1350">
        <f t="shared" ca="1" si="14"/>
        <v>0</v>
      </c>
      <c r="W19" s="1350">
        <f t="shared" ca="1" si="14"/>
        <v>0</v>
      </c>
      <c r="X19" s="1350">
        <f t="shared" ca="1" si="14"/>
        <v>0</v>
      </c>
      <c r="Y19" s="1067" t="str">
        <f t="shared" ca="1" si="28"/>
        <v/>
      </c>
      <c r="Z19" s="1165" t="str">
        <f t="shared" ca="1" si="15"/>
        <v/>
      </c>
      <c r="AA19" s="772"/>
      <c r="AB19" s="946" t="str">
        <f ca="1">IF(CONCATENATE(IF(K19="OK","",J19),"    ",IF(L19="","",IF(N19="OK","",CONCATENATE(M19," = ",ROUND(L19,3),"kgCO2e/kWh"))),"    ",IF(AND(+AA19="",Z19="M"),"Value change with medium impact",IF(AND(AA19="",Z19="H"),"Value change with high impact",""))," ")="         ","",CONCATENATE(IF(K19="OK","",J19),"    ",IF(L19="","",IF(N19="OK","",CONCATENATE(M19," = ",ROUND(L19,3),"kgCO2e/kWh"))),"    ",IF(AND(+AA19="",Z19="M"),"Value change with medium impact",IF(AND(AA19="",Z19="H"),"Value change with high impact",""))," "))</f>
        <v/>
      </c>
      <c r="AC19" s="1269" t="str">
        <f t="shared" ca="1" si="16"/>
        <v/>
      </c>
      <c r="AD19" s="780">
        <f t="shared" ca="1" si="17"/>
        <v>0</v>
      </c>
      <c r="AE19" s="781">
        <f t="shared" ca="1" si="17"/>
        <v>0</v>
      </c>
      <c r="AF19" s="769">
        <f t="shared" ca="1" si="17"/>
        <v>0</v>
      </c>
      <c r="AG19" s="769">
        <f t="shared" ca="1" si="17"/>
        <v>0</v>
      </c>
      <c r="AH19" s="769">
        <f t="shared" ca="1" si="17"/>
        <v>0</v>
      </c>
      <c r="AI19" s="769">
        <f t="shared" ca="1" si="17"/>
        <v>0</v>
      </c>
      <c r="AJ19" s="967">
        <f t="shared" ca="1" si="18"/>
        <v>0</v>
      </c>
      <c r="AK19" s="771" t="str">
        <f t="shared" ca="1" si="19"/>
        <v/>
      </c>
      <c r="AL19" s="772"/>
      <c r="AM19" s="773"/>
      <c r="AN19" s="774"/>
      <c r="AO19" s="1392"/>
      <c r="AP19" s="938" t="str">
        <f t="shared" ca="1" si="20"/>
        <v/>
      </c>
      <c r="AQ19" s="756" t="str">
        <f t="shared" ca="1" si="21"/>
        <v/>
      </c>
      <c r="AR19" s="783" t="str">
        <f t="shared" ca="1" si="22"/>
        <v/>
      </c>
      <c r="AS19" s="783" t="str">
        <f t="shared" ca="1" si="23"/>
        <v/>
      </c>
      <c r="AT19" s="1367" t="str">
        <f t="shared" ca="1" si="33"/>
        <v/>
      </c>
      <c r="AU19" s="1369" t="str">
        <f t="shared" ca="1" si="30"/>
        <v/>
      </c>
      <c r="AV19" s="1165" t="str">
        <f t="shared" ca="1" si="24"/>
        <v/>
      </c>
      <c r="AW19" s="1350">
        <f t="shared" ca="1" si="25"/>
        <v>0</v>
      </c>
      <c r="AX19" s="1350">
        <f t="shared" ca="1" si="25"/>
        <v>0</v>
      </c>
      <c r="AY19" s="1350">
        <f t="shared" ca="1" si="25"/>
        <v>0</v>
      </c>
      <c r="AZ19" s="1357" t="str">
        <f t="shared" ca="1" si="31"/>
        <v/>
      </c>
      <c r="BA19" s="1165" t="str">
        <f t="shared" ca="1" si="26"/>
        <v/>
      </c>
      <c r="BB19" s="772"/>
      <c r="BC19" s="946" t="str">
        <f t="shared" ref="BC19:BC43" ca="1" si="34">IF(CONCATENATE(AC19, "    ", IF(AL19="OK","",AK19), "    ",IF(AM19="","",IF(AO19="OK","",CONCATENATE(AN19," = ",ROUND(AM19,3),"kgCO2e/kWh"))),"    ",IF(AND(+BB19="",BA19="M"),"Value change with medium impact",IF(AND(BB19="",BA19="H"),"Value change with high impact",""))," ")="             ","",CONCATENATE(AC19, "    ", IF(AL19="OK","",AK19), "    ",IF(AM19="","",IF(AO19="OK","",CONCATENATE(AN19," = ",ROUND(AM19,3),"kgCO2e/kWh"))),"    ",IF(AND(+BB19="",BA19="M"),"Value change with medium impact",IF(AND(BB19="",BA19="H"),"Value change with high impact",""))," "))</f>
        <v/>
      </c>
    </row>
    <row r="20" spans="1:55" ht="12.75" customHeight="1" x14ac:dyDescent="0.3">
      <c r="A20" s="2236"/>
      <c r="B20" s="1246" t="str">
        <f>'Q1'!C24</f>
        <v>Natural Gas (Scope 1)</v>
      </c>
      <c r="C20" s="1252">
        <f t="shared" ca="1" si="5"/>
        <v>0</v>
      </c>
      <c r="D20" s="1258">
        <f t="shared" ca="1" si="5"/>
        <v>0</v>
      </c>
      <c r="E20" s="1060">
        <f t="shared" ca="1" si="5"/>
        <v>93348969.579999998</v>
      </c>
      <c r="F20" s="1060">
        <f t="shared" ca="1" si="5"/>
        <v>187582302.541558</v>
      </c>
      <c r="G20" s="1060">
        <f t="shared" ca="1" si="5"/>
        <v>342734657.59192502</v>
      </c>
      <c r="H20" s="1060">
        <f t="shared" ca="1" si="5"/>
        <v>877312308.58363605</v>
      </c>
      <c r="I20" s="1266">
        <f t="shared" ca="1" si="6"/>
        <v>219328077.14590901</v>
      </c>
      <c r="J20" s="771" t="str">
        <f t="shared" ca="1" si="7"/>
        <v>Missing value?</v>
      </c>
      <c r="K20" s="772"/>
      <c r="L20" s="773"/>
      <c r="M20" s="774"/>
      <c r="N20" s="775"/>
      <c r="O20" s="776" t="str">
        <f t="shared" ca="1" si="8"/>
        <v/>
      </c>
      <c r="P20" s="777">
        <f t="shared" ca="1" si="9"/>
        <v>-1</v>
      </c>
      <c r="Q20" s="777">
        <f t="shared" ca="1" si="10"/>
        <v>-1</v>
      </c>
      <c r="R20" s="777">
        <f t="shared" ca="1" si="11"/>
        <v>-1</v>
      </c>
      <c r="S20" s="778">
        <f t="shared" ca="1" si="12"/>
        <v>-1</v>
      </c>
      <c r="T20" s="1066">
        <f t="shared" ca="1" si="27"/>
        <v>1</v>
      </c>
      <c r="U20" s="1165" t="str">
        <f t="shared" ca="1" si="13"/>
        <v>H</v>
      </c>
      <c r="V20" s="1350">
        <f t="shared" ca="1" si="14"/>
        <v>0</v>
      </c>
      <c r="W20" s="1350">
        <f t="shared" ca="1" si="14"/>
        <v>0</v>
      </c>
      <c r="X20" s="1350">
        <f t="shared" ca="1" si="14"/>
        <v>161390.3722870457</v>
      </c>
      <c r="Y20" s="1067">
        <f t="shared" ca="1" si="28"/>
        <v>0.47959839657965209</v>
      </c>
      <c r="Z20" s="1165" t="str">
        <f t="shared" ca="1" si="15"/>
        <v>H</v>
      </c>
      <c r="AA20" s="772" t="s">
        <v>552</v>
      </c>
      <c r="AB20" s="946" t="str">
        <f t="shared" ca="1" si="29"/>
        <v xml:space="preserve">Missing value?         </v>
      </c>
      <c r="AC20" s="1269" t="str">
        <f t="shared" ca="1" si="16"/>
        <v/>
      </c>
      <c r="AD20" s="780">
        <f t="shared" ca="1" si="17"/>
        <v>0</v>
      </c>
      <c r="AE20" s="781">
        <f t="shared" ca="1" si="17"/>
        <v>0</v>
      </c>
      <c r="AF20" s="769">
        <f t="shared" ca="1" si="17"/>
        <v>589421.53</v>
      </c>
      <c r="AG20" s="769">
        <f t="shared" ca="1" si="17"/>
        <v>738199.85927734303</v>
      </c>
      <c r="AH20" s="769">
        <f t="shared" ca="1" si="17"/>
        <v>2046087.390625</v>
      </c>
      <c r="AI20" s="769">
        <f t="shared" ca="1" si="17"/>
        <v>4812965.292481523</v>
      </c>
      <c r="AJ20" s="967">
        <f t="shared" ca="1" si="18"/>
        <v>1203241.3231203808</v>
      </c>
      <c r="AK20" s="771" t="str">
        <f t="shared" ca="1" si="19"/>
        <v>Missing value?</v>
      </c>
      <c r="AL20" s="772"/>
      <c r="AM20" s="773"/>
      <c r="AN20" s="774"/>
      <c r="AO20" s="1392"/>
      <c r="AP20" s="938" t="str">
        <f t="shared" ca="1" si="20"/>
        <v/>
      </c>
      <c r="AQ20" s="756">
        <f t="shared" ca="1" si="21"/>
        <v>-1</v>
      </c>
      <c r="AR20" s="783">
        <f t="shared" ca="1" si="22"/>
        <v>-1</v>
      </c>
      <c r="AS20" s="783">
        <f t="shared" ca="1" si="23"/>
        <v>-1</v>
      </c>
      <c r="AT20" s="1367">
        <f t="shared" ca="1" si="33"/>
        <v>-1</v>
      </c>
      <c r="AU20" s="1369">
        <f t="shared" ca="1" si="30"/>
        <v>1</v>
      </c>
      <c r="AV20" s="1165" t="str">
        <f t="shared" ca="1" si="24"/>
        <v>H</v>
      </c>
      <c r="AW20" s="1350">
        <f t="shared" ca="1" si="25"/>
        <v>0</v>
      </c>
      <c r="AX20" s="1350">
        <f t="shared" ca="1" si="25"/>
        <v>0</v>
      </c>
      <c r="AY20" s="1350">
        <f t="shared" ca="1" si="25"/>
        <v>885.3930952049011</v>
      </c>
      <c r="AZ20" s="1357">
        <f t="shared" ca="1" si="31"/>
        <v>0.11640544782497535</v>
      </c>
      <c r="BA20" s="1165" t="str">
        <f t="shared" ca="1" si="26"/>
        <v>H</v>
      </c>
      <c r="BB20" s="772" t="s">
        <v>552</v>
      </c>
      <c r="BC20" s="946" t="str">
        <f t="shared" ca="1" si="34"/>
        <v xml:space="preserve">    Missing value?         </v>
      </c>
    </row>
    <row r="21" spans="1:55" ht="12.75" customHeight="1" x14ac:dyDescent="0.3">
      <c r="A21" s="2236"/>
      <c r="B21" s="1246" t="str">
        <f>'Q1'!C25</f>
        <v>Gas Oil (Scope 1)</v>
      </c>
      <c r="C21" s="1252">
        <f t="shared" ca="1" si="5"/>
        <v>0</v>
      </c>
      <c r="D21" s="1258">
        <f t="shared" ca="1" si="5"/>
        <v>0</v>
      </c>
      <c r="E21" s="1060">
        <f t="shared" ca="1" si="5"/>
        <v>4220581.5</v>
      </c>
      <c r="F21" s="1060">
        <f t="shared" ca="1" si="5"/>
        <v>9674252.3800000008</v>
      </c>
      <c r="G21" s="1060">
        <f t="shared" ca="1" si="5"/>
        <v>18334192.238652799</v>
      </c>
      <c r="H21" s="1060">
        <f t="shared" ca="1" si="5"/>
        <v>41638438.00199572</v>
      </c>
      <c r="I21" s="1266">
        <f t="shared" ca="1" si="6"/>
        <v>10409609.50049893</v>
      </c>
      <c r="J21" s="771" t="str">
        <f t="shared" ca="1" si="7"/>
        <v>Missing value?</v>
      </c>
      <c r="K21" s="772"/>
      <c r="L21" s="773"/>
      <c r="M21" s="774"/>
      <c r="N21" s="775"/>
      <c r="O21" s="776" t="str">
        <f t="shared" ca="1" si="8"/>
        <v/>
      </c>
      <c r="P21" s="777">
        <f t="shared" ca="1" si="9"/>
        <v>-1</v>
      </c>
      <c r="Q21" s="777">
        <f t="shared" ca="1" si="10"/>
        <v>-1</v>
      </c>
      <c r="R21" s="777">
        <f t="shared" ca="1" si="11"/>
        <v>-1</v>
      </c>
      <c r="S21" s="778">
        <f t="shared" ca="1" si="12"/>
        <v>-1</v>
      </c>
      <c r="T21" s="1066">
        <f t="shared" ca="1" si="27"/>
        <v>1</v>
      </c>
      <c r="U21" s="1165" t="str">
        <f t="shared" ca="1" si="13"/>
        <v>H</v>
      </c>
      <c r="V21" s="1350">
        <f t="shared" ca="1" si="14"/>
        <v>0</v>
      </c>
      <c r="W21" s="1350">
        <f t="shared" ca="1" si="14"/>
        <v>0</v>
      </c>
      <c r="X21" s="1350">
        <f t="shared" ca="1" si="14"/>
        <v>11513.860876311855</v>
      </c>
      <c r="Y21" s="1067">
        <f t="shared" ca="1" si="28"/>
        <v>3.4215357065407737E-2</v>
      </c>
      <c r="Z21" s="1165" t="str">
        <f t="shared" ca="1" si="15"/>
        <v>M</v>
      </c>
      <c r="AA21" s="772"/>
      <c r="AB21" s="946" t="str">
        <f t="shared" ca="1" si="29"/>
        <v xml:space="preserve">Missing value?        Value change with medium impact </v>
      </c>
      <c r="AC21" s="1269" t="str">
        <f t="shared" ca="1" si="16"/>
        <v/>
      </c>
      <c r="AD21" s="1252">
        <f t="shared" ca="1" si="17"/>
        <v>0</v>
      </c>
      <c r="AE21" s="1258">
        <f t="shared" ca="1" si="17"/>
        <v>0</v>
      </c>
      <c r="AF21" s="1060">
        <f t="shared" ca="1" si="17"/>
        <v>22987</v>
      </c>
      <c r="AG21" s="1060">
        <f t="shared" ca="1" si="17"/>
        <v>0</v>
      </c>
      <c r="AH21" s="1060">
        <f t="shared" ca="1" si="17"/>
        <v>0</v>
      </c>
      <c r="AI21" s="1060">
        <f t="shared" ca="1" si="17"/>
        <v>22987</v>
      </c>
      <c r="AJ21" s="1266">
        <f t="shared" ca="1" si="18"/>
        <v>5746.75</v>
      </c>
      <c r="AK21" s="771" t="str">
        <f t="shared" ca="1" si="19"/>
        <v>Missing value?</v>
      </c>
      <c r="AL21" s="772" t="s">
        <v>552</v>
      </c>
      <c r="AM21" s="773"/>
      <c r="AN21" s="774"/>
      <c r="AO21" s="775"/>
      <c r="AP21" s="944" t="str">
        <f t="shared" ca="1" si="20"/>
        <v/>
      </c>
      <c r="AQ21" s="777">
        <f t="shared" ca="1" si="21"/>
        <v>-1</v>
      </c>
      <c r="AR21" s="777" t="str">
        <f t="shared" ca="1" si="22"/>
        <v/>
      </c>
      <c r="AS21" s="777" t="str">
        <f t="shared" ca="1" si="23"/>
        <v/>
      </c>
      <c r="AT21" s="945">
        <f t="shared" ca="1" si="33"/>
        <v>-1</v>
      </c>
      <c r="AU21" s="1370">
        <f t="shared" ca="1" si="30"/>
        <v>1</v>
      </c>
      <c r="AV21" s="1165" t="str">
        <f t="shared" ca="1" si="24"/>
        <v>H</v>
      </c>
      <c r="AW21" s="1350">
        <f t="shared" ca="1" si="25"/>
        <v>0</v>
      </c>
      <c r="AX21" s="1350">
        <f t="shared" ca="1" si="25"/>
        <v>0</v>
      </c>
      <c r="AY21" s="1350">
        <f t="shared" ca="1" si="25"/>
        <v>6.3563652399999997</v>
      </c>
      <c r="AZ21" s="1357">
        <f t="shared" ca="1" si="31"/>
        <v>8.3569156604962303E-4</v>
      </c>
      <c r="BA21" s="1165" t="str">
        <f t="shared" ca="1" si="26"/>
        <v/>
      </c>
      <c r="BB21" s="772"/>
      <c r="BC21" s="946" t="str">
        <f t="shared" ca="1" si="34"/>
        <v/>
      </c>
    </row>
    <row r="22" spans="1:55" ht="12.75" customHeight="1" x14ac:dyDescent="0.3">
      <c r="A22" s="2236"/>
      <c r="B22" s="1246" t="str">
        <f>'Q1'!C26</f>
        <v>LPG (Scope 1)</v>
      </c>
      <c r="C22" s="1252">
        <f t="shared" ca="1" si="5"/>
        <v>0</v>
      </c>
      <c r="D22" s="1258">
        <f t="shared" ca="1" si="5"/>
        <v>0</v>
      </c>
      <c r="E22" s="1060">
        <f t="shared" ca="1" si="5"/>
        <v>136725.41</v>
      </c>
      <c r="F22" s="1060">
        <f t="shared" ca="1" si="5"/>
        <v>185170.3</v>
      </c>
      <c r="G22" s="1060">
        <f t="shared" ca="1" si="5"/>
        <v>514003.592759119</v>
      </c>
      <c r="H22" s="1060">
        <f t="shared" ca="1" si="5"/>
        <v>1476390.881731621</v>
      </c>
      <c r="I22" s="1266">
        <f t="shared" ca="1" si="6"/>
        <v>369097.72043290525</v>
      </c>
      <c r="J22" s="771" t="str">
        <f t="shared" ca="1" si="7"/>
        <v>Missing value?</v>
      </c>
      <c r="K22" s="772"/>
      <c r="L22" s="773"/>
      <c r="M22" s="774"/>
      <c r="N22" s="775"/>
      <c r="O22" s="776" t="str">
        <f t="shared" ca="1" si="8"/>
        <v/>
      </c>
      <c r="P22" s="777">
        <f t="shared" ca="1" si="9"/>
        <v>-1</v>
      </c>
      <c r="Q22" s="777">
        <f t="shared" ca="1" si="10"/>
        <v>-1</v>
      </c>
      <c r="R22" s="777">
        <f t="shared" ca="1" si="11"/>
        <v>-1</v>
      </c>
      <c r="S22" s="778">
        <f t="shared" ca="1" si="12"/>
        <v>-1</v>
      </c>
      <c r="T22" s="1066">
        <f t="shared" ca="1" si="27"/>
        <v>1</v>
      </c>
      <c r="U22" s="1165" t="str">
        <f t="shared" ca="1" si="13"/>
        <v>H</v>
      </c>
      <c r="V22" s="1350">
        <f t="shared" ca="1" si="14"/>
        <v>0</v>
      </c>
      <c r="W22" s="1350">
        <f t="shared" ca="1" si="14"/>
        <v>0</v>
      </c>
      <c r="X22" s="1350">
        <f t="shared" ca="1" si="14"/>
        <v>316.65631631379807</v>
      </c>
      <c r="Y22" s="1067">
        <f t="shared" ca="1" si="28"/>
        <v>9.4099703358269441E-4</v>
      </c>
      <c r="Z22" s="1165" t="str">
        <f t="shared" ca="1" si="15"/>
        <v/>
      </c>
      <c r="AA22" s="772"/>
      <c r="AB22" s="946" t="str">
        <f t="shared" ca="1" si="29"/>
        <v xml:space="preserve">Missing value?         </v>
      </c>
      <c r="AC22" s="1269" t="str">
        <f t="shared" ca="1" si="16"/>
        <v/>
      </c>
      <c r="AD22" s="1252">
        <f t="shared" ca="1" si="17"/>
        <v>0</v>
      </c>
      <c r="AE22" s="1258">
        <f t="shared" ca="1" si="17"/>
        <v>0</v>
      </c>
      <c r="AF22" s="1060">
        <f t="shared" ca="1" si="17"/>
        <v>0</v>
      </c>
      <c r="AG22" s="1060">
        <f t="shared" ca="1" si="17"/>
        <v>0</v>
      </c>
      <c r="AH22" s="1060">
        <f t="shared" ca="1" si="17"/>
        <v>0</v>
      </c>
      <c r="AI22" s="1060">
        <f t="shared" ca="1" si="17"/>
        <v>0</v>
      </c>
      <c r="AJ22" s="1266">
        <f t="shared" ca="1" si="18"/>
        <v>0</v>
      </c>
      <c r="AK22" s="771" t="str">
        <f t="shared" ca="1" si="19"/>
        <v/>
      </c>
      <c r="AL22" s="772"/>
      <c r="AM22" s="773"/>
      <c r="AN22" s="774"/>
      <c r="AO22" s="775"/>
      <c r="AP22" s="944" t="str">
        <f t="shared" ca="1" si="20"/>
        <v/>
      </c>
      <c r="AQ22" s="777" t="str">
        <f t="shared" ca="1" si="21"/>
        <v/>
      </c>
      <c r="AR22" s="777" t="str">
        <f t="shared" ca="1" si="22"/>
        <v/>
      </c>
      <c r="AS22" s="777" t="str">
        <f t="shared" ca="1" si="23"/>
        <v/>
      </c>
      <c r="AT22" s="945" t="str">
        <f t="shared" ca="1" si="33"/>
        <v/>
      </c>
      <c r="AU22" s="1370" t="str">
        <f t="shared" ca="1" si="30"/>
        <v/>
      </c>
      <c r="AV22" s="1165" t="str">
        <f t="shared" ca="1" si="24"/>
        <v/>
      </c>
      <c r="AW22" s="1350">
        <f t="shared" ca="1" si="25"/>
        <v>0</v>
      </c>
      <c r="AX22" s="1350">
        <f t="shared" ca="1" si="25"/>
        <v>0</v>
      </c>
      <c r="AY22" s="1350">
        <f t="shared" ca="1" si="25"/>
        <v>0</v>
      </c>
      <c r="AZ22" s="1357" t="str">
        <f t="shared" ca="1" si="31"/>
        <v/>
      </c>
      <c r="BA22" s="1165" t="str">
        <f t="shared" ca="1" si="26"/>
        <v/>
      </c>
      <c r="BB22" s="772"/>
      <c r="BC22" s="946" t="str">
        <f t="shared" ca="1" si="34"/>
        <v/>
      </c>
    </row>
    <row r="23" spans="1:55" ht="12.75" customHeight="1" x14ac:dyDescent="0.3">
      <c r="A23" s="2236"/>
      <c r="B23" s="1246" t="str">
        <f>'Q1'!C27</f>
        <v>Solid Fossil Fuels (Scope 1)</v>
      </c>
      <c r="C23" s="1252">
        <f t="shared" ca="1" si="5"/>
        <v>0</v>
      </c>
      <c r="D23" s="1258">
        <f t="shared" ca="1" si="5"/>
        <v>0</v>
      </c>
      <c r="E23" s="1060">
        <f t="shared" ca="1" si="5"/>
        <v>0</v>
      </c>
      <c r="F23" s="1060">
        <f t="shared" ca="1" si="5"/>
        <v>0</v>
      </c>
      <c r="G23" s="1060">
        <f t="shared" ca="1" si="5"/>
        <v>0</v>
      </c>
      <c r="H23" s="1060">
        <f t="shared" ca="1" si="5"/>
        <v>0</v>
      </c>
      <c r="I23" s="1266">
        <f t="shared" ca="1" si="6"/>
        <v>0</v>
      </c>
      <c r="J23" s="771" t="str">
        <f t="shared" ca="1" si="7"/>
        <v/>
      </c>
      <c r="K23" s="772"/>
      <c r="L23" s="773"/>
      <c r="M23" s="774"/>
      <c r="N23" s="775"/>
      <c r="O23" s="776" t="str">
        <f t="shared" ca="1" si="8"/>
        <v/>
      </c>
      <c r="P23" s="777" t="str">
        <f t="shared" ca="1" si="9"/>
        <v/>
      </c>
      <c r="Q23" s="777" t="str">
        <f t="shared" ca="1" si="10"/>
        <v/>
      </c>
      <c r="R23" s="777" t="str">
        <f t="shared" ca="1" si="11"/>
        <v/>
      </c>
      <c r="S23" s="778" t="str">
        <f t="shared" ca="1" si="12"/>
        <v/>
      </c>
      <c r="T23" s="1066" t="str">
        <f t="shared" ca="1" si="27"/>
        <v/>
      </c>
      <c r="U23" s="1165" t="str">
        <f t="shared" ca="1" si="13"/>
        <v/>
      </c>
      <c r="V23" s="1350">
        <f t="shared" ca="1" si="14"/>
        <v>0</v>
      </c>
      <c r="W23" s="1350">
        <f t="shared" ca="1" si="14"/>
        <v>0</v>
      </c>
      <c r="X23" s="1350">
        <f t="shared" ca="1" si="14"/>
        <v>0</v>
      </c>
      <c r="Y23" s="1067" t="str">
        <f t="shared" ca="1" si="28"/>
        <v/>
      </c>
      <c r="Z23" s="1165" t="str">
        <f t="shared" ca="1" si="15"/>
        <v/>
      </c>
      <c r="AA23" s="772"/>
      <c r="AB23" s="946" t="str">
        <f t="shared" ca="1" si="29"/>
        <v/>
      </c>
      <c r="AC23" s="1269" t="str">
        <f t="shared" ca="1" si="16"/>
        <v/>
      </c>
      <c r="AD23" s="1252">
        <f t="shared" ca="1" si="17"/>
        <v>0</v>
      </c>
      <c r="AE23" s="1258">
        <f t="shared" ca="1" si="17"/>
        <v>0</v>
      </c>
      <c r="AF23" s="1060">
        <f t="shared" ca="1" si="17"/>
        <v>0</v>
      </c>
      <c r="AG23" s="1060">
        <f t="shared" ca="1" si="17"/>
        <v>0</v>
      </c>
      <c r="AH23" s="1060">
        <f t="shared" ca="1" si="17"/>
        <v>0</v>
      </c>
      <c r="AI23" s="1060">
        <f t="shared" ca="1" si="17"/>
        <v>0</v>
      </c>
      <c r="AJ23" s="1266">
        <f t="shared" ca="1" si="18"/>
        <v>0</v>
      </c>
      <c r="AK23" s="771" t="str">
        <f t="shared" ca="1" si="19"/>
        <v/>
      </c>
      <c r="AL23" s="772"/>
      <c r="AM23" s="773"/>
      <c r="AN23" s="774"/>
      <c r="AO23" s="775"/>
      <c r="AP23" s="944" t="str">
        <f t="shared" ca="1" si="20"/>
        <v/>
      </c>
      <c r="AQ23" s="777" t="str">
        <f t="shared" ca="1" si="21"/>
        <v/>
      </c>
      <c r="AR23" s="777" t="str">
        <f t="shared" ca="1" si="22"/>
        <v/>
      </c>
      <c r="AS23" s="777" t="str">
        <f t="shared" ca="1" si="23"/>
        <v/>
      </c>
      <c r="AT23" s="945" t="str">
        <f t="shared" ca="1" si="33"/>
        <v/>
      </c>
      <c r="AU23" s="1370" t="str">
        <f t="shared" ca="1" si="30"/>
        <v/>
      </c>
      <c r="AV23" s="1165" t="str">
        <f t="shared" ca="1" si="24"/>
        <v/>
      </c>
      <c r="AW23" s="1350">
        <f t="shared" ca="1" si="25"/>
        <v>0</v>
      </c>
      <c r="AX23" s="1350">
        <f t="shared" ca="1" si="25"/>
        <v>0</v>
      </c>
      <c r="AY23" s="1350">
        <f t="shared" ca="1" si="25"/>
        <v>0</v>
      </c>
      <c r="AZ23" s="1357" t="str">
        <f t="shared" ca="1" si="31"/>
        <v/>
      </c>
      <c r="BA23" s="1165" t="str">
        <f t="shared" ca="1" si="26"/>
        <v/>
      </c>
      <c r="BB23" s="772"/>
      <c r="BC23" s="946" t="str">
        <f t="shared" ca="1" si="34"/>
        <v/>
      </c>
    </row>
    <row r="24" spans="1:55" ht="12.75" customHeight="1" x14ac:dyDescent="0.3">
      <c r="A24" s="2236"/>
      <c r="B24" s="1246" t="str">
        <f>'Q1'!C28</f>
        <v>Solid Fuels (Biomass) (Scope 1)</v>
      </c>
      <c r="C24" s="1252">
        <f t="shared" ca="1" si="5"/>
        <v>0</v>
      </c>
      <c r="D24" s="1258">
        <f t="shared" ca="1" si="5"/>
        <v>0</v>
      </c>
      <c r="E24" s="1060">
        <f t="shared" ca="1" si="5"/>
        <v>227032.26</v>
      </c>
      <c r="F24" s="1060">
        <f t="shared" ca="1" si="5"/>
        <v>229500</v>
      </c>
      <c r="G24" s="1060">
        <f t="shared" ca="1" si="5"/>
        <v>271000</v>
      </c>
      <c r="H24" s="1060">
        <f t="shared" ca="1" si="5"/>
        <v>996410.26557183999</v>
      </c>
      <c r="I24" s="1266">
        <f t="shared" ca="1" si="6"/>
        <v>249102.56639296</v>
      </c>
      <c r="J24" s="771" t="str">
        <f t="shared" ca="1" si="7"/>
        <v>Missing value?</v>
      </c>
      <c r="K24" s="772"/>
      <c r="L24" s="784" t="str">
        <f ca="1">IF(C24&gt;0,'Q4'!E28,"")</f>
        <v/>
      </c>
      <c r="M24" s="785" t="str">
        <f ca="1">IF(L24="","",IF('Q4'!I28=0,"Fuel type not stated",'Q4'!I28))</f>
        <v/>
      </c>
      <c r="N24" s="772" t="s">
        <v>552</v>
      </c>
      <c r="O24" s="776" t="str">
        <f t="shared" ca="1" si="8"/>
        <v/>
      </c>
      <c r="P24" s="777">
        <f t="shared" ca="1" si="9"/>
        <v>-1</v>
      </c>
      <c r="Q24" s="777">
        <f t="shared" ca="1" si="10"/>
        <v>-1</v>
      </c>
      <c r="R24" s="777">
        <f t="shared" ca="1" si="11"/>
        <v>-1</v>
      </c>
      <c r="S24" s="778">
        <f t="shared" ca="1" si="12"/>
        <v>-1</v>
      </c>
      <c r="T24" s="1066">
        <f t="shared" ca="1" si="27"/>
        <v>1</v>
      </c>
      <c r="U24" s="1165" t="str">
        <f t="shared" ca="1" si="13"/>
        <v>H</v>
      </c>
      <c r="V24" s="1350">
        <f t="shared" ca="1" si="14"/>
        <v>0</v>
      </c>
      <c r="W24" s="1350">
        <f t="shared" ca="1" si="14"/>
        <v>0</v>
      </c>
      <c r="X24" s="1350">
        <f t="shared" ca="1" si="14"/>
        <v>15.005938599511911</v>
      </c>
      <c r="Y24" s="1067">
        <f t="shared" ca="1" si="28"/>
        <v>4.4592648182869889E-5</v>
      </c>
      <c r="Z24" s="1165" t="str">
        <f t="shared" ca="1" si="15"/>
        <v/>
      </c>
      <c r="AA24" s="772"/>
      <c r="AB24" s="946" t="str">
        <f t="shared" ca="1" si="29"/>
        <v xml:space="preserve">Missing value?         </v>
      </c>
      <c r="AC24" s="1269" t="str">
        <f t="shared" ca="1" si="16"/>
        <v/>
      </c>
      <c r="AD24" s="1252">
        <f t="shared" ca="1" si="17"/>
        <v>0</v>
      </c>
      <c r="AE24" s="1258">
        <f t="shared" ca="1" si="17"/>
        <v>0</v>
      </c>
      <c r="AF24" s="1060">
        <f t="shared" ca="1" si="17"/>
        <v>0</v>
      </c>
      <c r="AG24" s="1060">
        <f t="shared" ca="1" si="17"/>
        <v>0</v>
      </c>
      <c r="AH24" s="1060">
        <f t="shared" ca="1" si="17"/>
        <v>0</v>
      </c>
      <c r="AI24" s="1060">
        <f t="shared" ca="1" si="17"/>
        <v>0</v>
      </c>
      <c r="AJ24" s="1266">
        <f t="shared" ca="1" si="18"/>
        <v>0</v>
      </c>
      <c r="AK24" s="771" t="str">
        <f t="shared" ca="1" si="19"/>
        <v/>
      </c>
      <c r="AL24" s="772"/>
      <c r="AM24" s="784" t="str">
        <f ca="1">IF(AD24&gt;0,'Q4'!E28,"")</f>
        <v/>
      </c>
      <c r="AN24" s="785" t="str">
        <f ca="1">IF(AM24="","",IF('Q4'!I28=0,"Fuel type not stated",'Q4'!I28))</f>
        <v/>
      </c>
      <c r="AO24" s="772"/>
      <c r="AP24" s="944" t="str">
        <f t="shared" ca="1" si="20"/>
        <v/>
      </c>
      <c r="AQ24" s="777" t="str">
        <f t="shared" ca="1" si="21"/>
        <v/>
      </c>
      <c r="AR24" s="777" t="str">
        <f t="shared" ca="1" si="22"/>
        <v/>
      </c>
      <c r="AS24" s="777" t="str">
        <f t="shared" ca="1" si="23"/>
        <v/>
      </c>
      <c r="AT24" s="945" t="str">
        <f t="shared" ca="1" si="33"/>
        <v/>
      </c>
      <c r="AU24" s="1370" t="str">
        <f t="shared" ca="1" si="30"/>
        <v/>
      </c>
      <c r="AV24" s="1165" t="str">
        <f t="shared" ca="1" si="24"/>
        <v/>
      </c>
      <c r="AW24" s="1350">
        <f t="shared" ca="1" si="25"/>
        <v>0</v>
      </c>
      <c r="AX24" s="1350">
        <f t="shared" ca="1" si="25"/>
        <v>0</v>
      </c>
      <c r="AY24" s="1350">
        <f t="shared" ca="1" si="25"/>
        <v>0</v>
      </c>
      <c r="AZ24" s="1357" t="str">
        <f t="shared" ca="1" si="31"/>
        <v/>
      </c>
      <c r="BA24" s="1165" t="str">
        <f t="shared" ca="1" si="26"/>
        <v/>
      </c>
      <c r="BB24" s="772"/>
      <c r="BC24" s="946" t="str">
        <f t="shared" ca="1" si="34"/>
        <v/>
      </c>
    </row>
    <row r="25" spans="1:55" ht="12.75" customHeight="1" x14ac:dyDescent="0.3">
      <c r="A25" s="2236"/>
      <c r="B25" s="1246" t="str">
        <f>'Q1'!C29</f>
        <v>District Heating (Scope 2+3)*</v>
      </c>
      <c r="C25" s="1252">
        <f t="shared" ca="1" si="5"/>
        <v>0</v>
      </c>
      <c r="D25" s="1258">
        <f t="shared" ca="1" si="5"/>
        <v>0</v>
      </c>
      <c r="E25" s="1060">
        <f t="shared" ca="1" si="5"/>
        <v>0</v>
      </c>
      <c r="F25" s="1060">
        <f t="shared" ca="1" si="5"/>
        <v>0</v>
      </c>
      <c r="G25" s="1060">
        <f t="shared" ca="1" si="5"/>
        <v>0</v>
      </c>
      <c r="H25" s="1060">
        <f t="shared" ca="1" si="5"/>
        <v>0</v>
      </c>
      <c r="I25" s="1266">
        <f t="shared" ca="1" si="6"/>
        <v>0</v>
      </c>
      <c r="J25" s="771" t="str">
        <f t="shared" ca="1" si="7"/>
        <v/>
      </c>
      <c r="K25" s="772" t="s">
        <v>552</v>
      </c>
      <c r="L25" s="784" t="str">
        <f ca="1">IF(C25&gt;0,'Q4'!E29,"")</f>
        <v/>
      </c>
      <c r="M25" s="785" t="str">
        <f ca="1">IF(L25="","",IF('Q4'!I29=0,"Fuel type not stated",'Q4'!I29))</f>
        <v/>
      </c>
      <c r="N25" s="772"/>
      <c r="O25" s="776" t="str">
        <f ca="1">IF(OR(+$J25="missing?",+$J25="new category"),"",IF($D25=0,"",IF(SUM($C25:$I25)=0,"",IFERROR((($C25-$D25)/$D25),"N/A"))))</f>
        <v/>
      </c>
      <c r="P25" s="777" t="str">
        <f t="shared" ca="1" si="9"/>
        <v/>
      </c>
      <c r="Q25" s="777" t="str">
        <f t="shared" ca="1" si="10"/>
        <v/>
      </c>
      <c r="R25" s="777" t="str">
        <f t="shared" ca="1" si="11"/>
        <v/>
      </c>
      <c r="S25" s="778" t="str">
        <f t="shared" ca="1" si="12"/>
        <v/>
      </c>
      <c r="T25" s="1066" t="str">
        <f t="shared" ca="1" si="27"/>
        <v/>
      </c>
      <c r="U25" s="1165" t="str">
        <f t="shared" ca="1" si="13"/>
        <v/>
      </c>
      <c r="V25" s="1350">
        <f t="shared" ca="1" si="14"/>
        <v>0</v>
      </c>
      <c r="W25" s="1350">
        <f t="shared" ca="1" si="14"/>
        <v>0</v>
      </c>
      <c r="X25" s="1350">
        <f t="shared" ca="1" si="14"/>
        <v>0</v>
      </c>
      <c r="Y25" s="1067" t="str">
        <f t="shared" ca="1" si="28"/>
        <v/>
      </c>
      <c r="Z25" s="1165" t="str">
        <f t="shared" ca="1" si="15"/>
        <v/>
      </c>
      <c r="AA25" s="772"/>
      <c r="AB25" s="946" t="str">
        <f t="shared" ca="1" si="29"/>
        <v/>
      </c>
      <c r="AC25" s="1269" t="str">
        <f t="shared" ca="1" si="16"/>
        <v/>
      </c>
      <c r="AD25" s="1252">
        <f t="shared" ca="1" si="17"/>
        <v>0</v>
      </c>
      <c r="AE25" s="1258">
        <f t="shared" ca="1" si="17"/>
        <v>0</v>
      </c>
      <c r="AF25" s="1060">
        <f t="shared" ca="1" si="17"/>
        <v>0</v>
      </c>
      <c r="AG25" s="1060">
        <f t="shared" ca="1" si="17"/>
        <v>0</v>
      </c>
      <c r="AH25" s="1060">
        <f t="shared" ca="1" si="17"/>
        <v>0</v>
      </c>
      <c r="AI25" s="1060">
        <f t="shared" ca="1" si="17"/>
        <v>0</v>
      </c>
      <c r="AJ25" s="1266">
        <f t="shared" ca="1" si="18"/>
        <v>0</v>
      </c>
      <c r="AK25" s="771" t="str">
        <f t="shared" ca="1" si="19"/>
        <v/>
      </c>
      <c r="AL25" s="772"/>
      <c r="AM25" s="784" t="str">
        <f ca="1">IF(AD25&gt;0,'Q4'!E29,"")</f>
        <v/>
      </c>
      <c r="AN25" s="785" t="str">
        <f ca="1">IF(AM25="","",IF('Q4'!I29=0,"Fuel type not stated",'Q4'!I29))</f>
        <v/>
      </c>
      <c r="AO25" s="772"/>
      <c r="AP25" s="944" t="str">
        <f t="shared" ca="1" si="20"/>
        <v/>
      </c>
      <c r="AQ25" s="777" t="str">
        <f t="shared" ca="1" si="21"/>
        <v/>
      </c>
      <c r="AR25" s="777" t="str">
        <f t="shared" ca="1" si="22"/>
        <v/>
      </c>
      <c r="AS25" s="777" t="str">
        <f t="shared" ca="1" si="23"/>
        <v/>
      </c>
      <c r="AT25" s="945" t="str">
        <f t="shared" ca="1" si="33"/>
        <v/>
      </c>
      <c r="AU25" s="1370" t="str">
        <f t="shared" ca="1" si="30"/>
        <v/>
      </c>
      <c r="AV25" s="1165" t="str">
        <f t="shared" ca="1" si="24"/>
        <v/>
      </c>
      <c r="AW25" s="1350">
        <f t="shared" ca="1" si="25"/>
        <v>0</v>
      </c>
      <c r="AX25" s="1350">
        <f t="shared" ca="1" si="25"/>
        <v>0</v>
      </c>
      <c r="AY25" s="1350">
        <f t="shared" ca="1" si="25"/>
        <v>0</v>
      </c>
      <c r="AZ25" s="1357" t="str">
        <f t="shared" ca="1" si="31"/>
        <v/>
      </c>
      <c r="BA25" s="1165" t="str">
        <f t="shared" ca="1" si="26"/>
        <v/>
      </c>
      <c r="BB25" s="772"/>
      <c r="BC25" s="946" t="str">
        <f t="shared" ca="1" si="34"/>
        <v/>
      </c>
    </row>
    <row r="26" spans="1:55" ht="12.75" customHeight="1" x14ac:dyDescent="0.3">
      <c r="A26" s="2236"/>
      <c r="B26" s="1246" t="str">
        <f>'Q1'!C30</f>
        <v>Heat from renewable sources (Scope 2)</v>
      </c>
      <c r="C26" s="1252">
        <f t="shared" ref="C26:H31" ca="1" si="35">INDEX(INDIRECT(CONCATENATE("'",C$14,"'!$D$20:$D$35"),TRUE),MATCH($B26,INDIRECT(CONCATENATE("'",C$14,"'!$C$20:$C$35"),TRUE),0))</f>
        <v>0</v>
      </c>
      <c r="D26" s="1258">
        <f t="shared" ca="1" si="35"/>
        <v>0</v>
      </c>
      <c r="E26" s="1060">
        <f t="shared" ca="1" si="35"/>
        <v>0</v>
      </c>
      <c r="F26" s="1060">
        <f t="shared" ca="1" si="35"/>
        <v>0</v>
      </c>
      <c r="G26" s="1060">
        <f t="shared" ca="1" si="35"/>
        <v>0</v>
      </c>
      <c r="H26" s="1060">
        <f t="shared" ca="1" si="35"/>
        <v>0</v>
      </c>
      <c r="I26" s="1266">
        <f t="shared" ca="1" si="6"/>
        <v>0</v>
      </c>
      <c r="J26" s="771" t="str">
        <f t="shared" ca="1" si="7"/>
        <v/>
      </c>
      <c r="K26" s="772" t="s">
        <v>552</v>
      </c>
      <c r="L26" s="784" t="str">
        <f ca="1">IF(C26&gt;0,'Q4'!E30,"")</f>
        <v/>
      </c>
      <c r="M26" s="785" t="str">
        <f ca="1">IF(L26="","",IF('Q4'!I30=0,"Fuel type not stated",'Q4'!I30))</f>
        <v/>
      </c>
      <c r="N26" s="772"/>
      <c r="O26" s="776" t="str">
        <f ca="1">IF(OR(+$J26="missing?",+$J26="new category"),"",IF($D26=0,"",IF(SUM($C26:$I26)=0,"",IFERROR((($C26-$D26)/$D26),"N/A"))))</f>
        <v/>
      </c>
      <c r="P26" s="777" t="str">
        <f t="shared" ca="1" si="9"/>
        <v/>
      </c>
      <c r="Q26" s="777" t="str">
        <f t="shared" ca="1" si="10"/>
        <v/>
      </c>
      <c r="R26" s="777" t="str">
        <f t="shared" ca="1" si="11"/>
        <v/>
      </c>
      <c r="S26" s="778" t="str">
        <f t="shared" ca="1" si="12"/>
        <v/>
      </c>
      <c r="T26" s="1066" t="str">
        <f t="shared" ca="1" si="27"/>
        <v/>
      </c>
      <c r="U26" s="1165" t="str">
        <f t="shared" ca="1" si="13"/>
        <v/>
      </c>
      <c r="V26" s="1350">
        <f t="shared" ca="1" si="14"/>
        <v>0</v>
      </c>
      <c r="W26" s="1350">
        <f t="shared" ca="1" si="14"/>
        <v>0</v>
      </c>
      <c r="X26" s="1350">
        <f t="shared" ca="1" si="14"/>
        <v>0</v>
      </c>
      <c r="Y26" s="1067" t="str">
        <f t="shared" ca="1" si="28"/>
        <v/>
      </c>
      <c r="Z26" s="1165" t="str">
        <f t="shared" ca="1" si="15"/>
        <v/>
      </c>
      <c r="AA26" s="772"/>
      <c r="AB26" s="946" t="str">
        <f t="shared" ca="1" si="29"/>
        <v/>
      </c>
      <c r="AC26" s="1269" t="str">
        <f t="shared" ca="1" si="16"/>
        <v/>
      </c>
      <c r="AD26" s="1252">
        <f t="shared" ref="AD26:AI31" ca="1" si="36">INDEX(INDIRECT(CONCATENATE("'",AD$14,"'!$G$20:$G$35"),TRUE),MATCH($B26,INDIRECT(CONCATENATE("'",AD$14,"'!$C$20:$C$35"),TRUE),0))</f>
        <v>0</v>
      </c>
      <c r="AE26" s="1258">
        <f t="shared" ca="1" si="36"/>
        <v>0</v>
      </c>
      <c r="AF26" s="1060">
        <f t="shared" ca="1" si="36"/>
        <v>0</v>
      </c>
      <c r="AG26" s="1060">
        <f t="shared" ca="1" si="36"/>
        <v>0</v>
      </c>
      <c r="AH26" s="1060">
        <f t="shared" ca="1" si="36"/>
        <v>0</v>
      </c>
      <c r="AI26" s="1060">
        <f t="shared" ca="1" si="36"/>
        <v>0</v>
      </c>
      <c r="AJ26" s="1266">
        <f t="shared" ca="1" si="18"/>
        <v>0</v>
      </c>
      <c r="AK26" s="771" t="str">
        <f t="shared" ca="1" si="19"/>
        <v/>
      </c>
      <c r="AL26" s="772" t="s">
        <v>552</v>
      </c>
      <c r="AM26" s="784" t="str">
        <f ca="1">IF(AD26&gt;0,'Q4'!E30,"")</f>
        <v/>
      </c>
      <c r="AN26" s="785" t="str">
        <f ca="1">IF(AM26="","",IF('Q4'!I30=0,"Fuel type not stated",'Q4'!I30))</f>
        <v/>
      </c>
      <c r="AO26" s="772"/>
      <c r="AP26" s="944" t="str">
        <f t="shared" ca="1" si="20"/>
        <v/>
      </c>
      <c r="AQ26" s="777" t="str">
        <f t="shared" ca="1" si="21"/>
        <v/>
      </c>
      <c r="AR26" s="777" t="str">
        <f t="shared" ca="1" si="22"/>
        <v/>
      </c>
      <c r="AS26" s="777" t="str">
        <f t="shared" ca="1" si="23"/>
        <v/>
      </c>
      <c r="AT26" s="945" t="str">
        <f t="shared" ca="1" si="33"/>
        <v/>
      </c>
      <c r="AU26" s="1370" t="str">
        <f t="shared" ca="1" si="30"/>
        <v/>
      </c>
      <c r="AV26" s="1165" t="str">
        <f t="shared" ca="1" si="24"/>
        <v/>
      </c>
      <c r="AW26" s="1350">
        <f t="shared" ca="1" si="25"/>
        <v>0</v>
      </c>
      <c r="AX26" s="1350">
        <f t="shared" ca="1" si="25"/>
        <v>0</v>
      </c>
      <c r="AY26" s="1350">
        <f t="shared" ca="1" si="25"/>
        <v>0</v>
      </c>
      <c r="AZ26" s="1357" t="str">
        <f t="shared" ca="1" si="31"/>
        <v/>
      </c>
      <c r="BA26" s="1165" t="str">
        <f t="shared" ca="1" si="26"/>
        <v/>
      </c>
      <c r="BB26" s="772"/>
      <c r="BC26" s="946" t="str">
        <f t="shared" ca="1" si="34"/>
        <v/>
      </c>
    </row>
    <row r="27" spans="1:55" ht="12.75" customHeight="1" x14ac:dyDescent="0.3">
      <c r="A27" s="2236"/>
      <c r="B27" s="1246" t="str">
        <f>'Q1'!C31</f>
        <v>Heat from non renewable sources (excluding WDHS) (Scope 2) (please specify, incl. CO2e factor and notes)</v>
      </c>
      <c r="C27" s="1252">
        <f t="shared" ca="1" si="35"/>
        <v>0</v>
      </c>
      <c r="D27" s="1258">
        <f t="shared" ca="1" si="35"/>
        <v>0</v>
      </c>
      <c r="E27" s="1060">
        <f t="shared" ca="1" si="35"/>
        <v>0</v>
      </c>
      <c r="F27" s="1060">
        <f t="shared" ca="1" si="35"/>
        <v>0</v>
      </c>
      <c r="G27" s="1060">
        <f t="shared" ca="1" si="35"/>
        <v>0</v>
      </c>
      <c r="H27" s="1060">
        <f t="shared" ca="1" si="35"/>
        <v>0</v>
      </c>
      <c r="I27" s="1266">
        <f t="shared" ca="1" si="6"/>
        <v>0</v>
      </c>
      <c r="J27" s="771" t="str">
        <f t="shared" ca="1" si="7"/>
        <v/>
      </c>
      <c r="K27" s="772"/>
      <c r="L27" s="784" t="str">
        <f ca="1">IF(C27&gt;0,'Q4'!E31,"")</f>
        <v/>
      </c>
      <c r="M27" s="785" t="str">
        <f ca="1">IF(L27="","",IF('Q4'!I31=0,"Fuel type not stated",'Q4'!I31))</f>
        <v/>
      </c>
      <c r="N27" s="772"/>
      <c r="O27" s="776" t="str">
        <f t="shared" ca="1" si="8"/>
        <v/>
      </c>
      <c r="P27" s="777" t="str">
        <f t="shared" ca="1" si="9"/>
        <v/>
      </c>
      <c r="Q27" s="777" t="str">
        <f t="shared" ca="1" si="10"/>
        <v/>
      </c>
      <c r="R27" s="777" t="str">
        <f t="shared" ca="1" si="11"/>
        <v/>
      </c>
      <c r="S27" s="778" t="str">
        <f t="shared" ca="1" si="12"/>
        <v/>
      </c>
      <c r="T27" s="1066" t="str">
        <f t="shared" ca="1" si="27"/>
        <v/>
      </c>
      <c r="U27" s="1165" t="str">
        <f t="shared" ca="1" si="13"/>
        <v/>
      </c>
      <c r="V27" s="1350">
        <f t="shared" ca="1" si="14"/>
        <v>0</v>
      </c>
      <c r="W27" s="1350">
        <f t="shared" ca="1" si="14"/>
        <v>0</v>
      </c>
      <c r="X27" s="1350">
        <f t="shared" ca="1" si="14"/>
        <v>0</v>
      </c>
      <c r="Y27" s="1067" t="str">
        <f t="shared" ca="1" si="28"/>
        <v/>
      </c>
      <c r="Z27" s="1165" t="str">
        <f t="shared" ca="1" si="15"/>
        <v/>
      </c>
      <c r="AA27" s="772"/>
      <c r="AB27" s="946" t="str">
        <f t="shared" ca="1" si="29"/>
        <v/>
      </c>
      <c r="AC27" s="1269" t="str">
        <f t="shared" ca="1" si="16"/>
        <v/>
      </c>
      <c r="AD27" s="1252">
        <f t="shared" ca="1" si="36"/>
        <v>0</v>
      </c>
      <c r="AE27" s="1258">
        <f t="shared" ca="1" si="36"/>
        <v>0</v>
      </c>
      <c r="AF27" s="1060">
        <f t="shared" ca="1" si="36"/>
        <v>0</v>
      </c>
      <c r="AG27" s="1060">
        <f t="shared" ca="1" si="36"/>
        <v>0</v>
      </c>
      <c r="AH27" s="1060">
        <f t="shared" ca="1" si="36"/>
        <v>0</v>
      </c>
      <c r="AI27" s="1060">
        <f t="shared" ca="1" si="36"/>
        <v>0</v>
      </c>
      <c r="AJ27" s="1266">
        <f t="shared" ca="1" si="18"/>
        <v>0</v>
      </c>
      <c r="AK27" s="771" t="str">
        <f t="shared" ca="1" si="19"/>
        <v/>
      </c>
      <c r="AL27" s="772"/>
      <c r="AM27" s="784" t="str">
        <f ca="1">IF(AD27&gt;0,'Q4'!E31,"")</f>
        <v/>
      </c>
      <c r="AN27" s="785" t="str">
        <f ca="1">IF(AM27="","",IF('Q4'!I31=0,"Fuel type not stated",'Q4'!I31))</f>
        <v/>
      </c>
      <c r="AO27" s="772"/>
      <c r="AP27" s="944" t="str">
        <f t="shared" ca="1" si="20"/>
        <v/>
      </c>
      <c r="AQ27" s="777" t="str">
        <f t="shared" ca="1" si="21"/>
        <v/>
      </c>
      <c r="AR27" s="777" t="str">
        <f t="shared" ca="1" si="22"/>
        <v/>
      </c>
      <c r="AS27" s="777" t="str">
        <f t="shared" ca="1" si="23"/>
        <v/>
      </c>
      <c r="AT27" s="945" t="str">
        <f t="shared" ca="1" si="33"/>
        <v/>
      </c>
      <c r="AU27" s="1370" t="str">
        <f t="shared" ca="1" si="30"/>
        <v/>
      </c>
      <c r="AV27" s="1165" t="str">
        <f t="shared" ca="1" si="24"/>
        <v/>
      </c>
      <c r="AW27" s="1350">
        <f t="shared" ca="1" si="25"/>
        <v>0</v>
      </c>
      <c r="AX27" s="1350">
        <f t="shared" ca="1" si="25"/>
        <v>0</v>
      </c>
      <c r="AY27" s="1350">
        <f t="shared" ca="1" si="25"/>
        <v>0</v>
      </c>
      <c r="AZ27" s="1357" t="str">
        <f t="shared" ca="1" si="31"/>
        <v/>
      </c>
      <c r="BA27" s="1165" t="str">
        <f t="shared" ca="1" si="26"/>
        <v/>
      </c>
      <c r="BB27" s="772"/>
      <c r="BC27" s="946" t="str">
        <f t="shared" ca="1" si="34"/>
        <v/>
      </c>
    </row>
    <row r="28" spans="1:55" ht="12.75" customHeight="1" x14ac:dyDescent="0.3">
      <c r="A28" s="2236"/>
      <c r="B28" s="1246" t="str">
        <f>'Q1'!C32</f>
        <v>Heat from WDHS (Scope 2+3)</v>
      </c>
      <c r="C28" s="1252">
        <f t="shared" ca="1" si="35"/>
        <v>0</v>
      </c>
      <c r="D28" s="1258">
        <f t="shared" ca="1" si="35"/>
        <v>0</v>
      </c>
      <c r="E28" s="1060">
        <f t="shared" ca="1" si="35"/>
        <v>0</v>
      </c>
      <c r="F28" s="1060">
        <f t="shared" ca="1" si="35"/>
        <v>0</v>
      </c>
      <c r="G28" s="1060">
        <f t="shared" ca="1" si="35"/>
        <v>0</v>
      </c>
      <c r="H28" s="1060">
        <f t="shared" ca="1" si="35"/>
        <v>0</v>
      </c>
      <c r="I28" s="1266">
        <f t="shared" ca="1" si="6"/>
        <v>0</v>
      </c>
      <c r="J28" s="771" t="str">
        <f t="shared" ca="1" si="7"/>
        <v/>
      </c>
      <c r="K28" s="772"/>
      <c r="L28" s="784" t="str">
        <f ca="1">IF(C28&gt;0,'Q4'!E32,"")</f>
        <v/>
      </c>
      <c r="M28" s="785" t="str">
        <f ca="1">IF(L28="","",IF('Q4'!I32=0,"Fuel type not stated",'Q4'!I32))</f>
        <v/>
      </c>
      <c r="N28" s="772"/>
      <c r="O28" s="776" t="str">
        <f t="shared" ca="1" si="8"/>
        <v/>
      </c>
      <c r="P28" s="777" t="str">
        <f t="shared" ca="1" si="9"/>
        <v/>
      </c>
      <c r="Q28" s="777" t="str">
        <f t="shared" ca="1" si="10"/>
        <v/>
      </c>
      <c r="R28" s="777" t="str">
        <f t="shared" ca="1" si="11"/>
        <v/>
      </c>
      <c r="S28" s="778" t="str">
        <f t="shared" ca="1" si="12"/>
        <v/>
      </c>
      <c r="T28" s="1066" t="str">
        <f t="shared" ca="1" si="27"/>
        <v/>
      </c>
      <c r="U28" s="1165" t="str">
        <f t="shared" ca="1" si="13"/>
        <v/>
      </c>
      <c r="V28" s="1350">
        <f t="shared" ca="1" si="14"/>
        <v>0</v>
      </c>
      <c r="W28" s="1350">
        <f t="shared" ca="1" si="14"/>
        <v>0</v>
      </c>
      <c r="X28" s="1350">
        <f t="shared" ca="1" si="14"/>
        <v>0</v>
      </c>
      <c r="Y28" s="1067" t="str">
        <f t="shared" ca="1" si="28"/>
        <v/>
      </c>
      <c r="Z28" s="1165" t="str">
        <f t="shared" ca="1" si="15"/>
        <v/>
      </c>
      <c r="AA28" s="772"/>
      <c r="AB28" s="946" t="str">
        <f t="shared" ca="1" si="29"/>
        <v/>
      </c>
      <c r="AC28" s="1269" t="str">
        <f t="shared" ca="1" si="16"/>
        <v/>
      </c>
      <c r="AD28" s="1252">
        <f t="shared" ca="1" si="36"/>
        <v>0</v>
      </c>
      <c r="AE28" s="1258">
        <f t="shared" ca="1" si="36"/>
        <v>0</v>
      </c>
      <c r="AF28" s="1060">
        <f t="shared" ca="1" si="36"/>
        <v>0</v>
      </c>
      <c r="AG28" s="1060">
        <f t="shared" ca="1" si="36"/>
        <v>0</v>
      </c>
      <c r="AH28" s="1060">
        <f t="shared" ca="1" si="36"/>
        <v>0</v>
      </c>
      <c r="AI28" s="1060">
        <f t="shared" ca="1" si="36"/>
        <v>0</v>
      </c>
      <c r="AJ28" s="1266">
        <f t="shared" ca="1" si="18"/>
        <v>0</v>
      </c>
      <c r="AK28" s="771" t="str">
        <f t="shared" ca="1" si="19"/>
        <v/>
      </c>
      <c r="AL28" s="772"/>
      <c r="AM28" s="784" t="str">
        <f ca="1">IF(AD28&gt;0,'Q4'!E32,"")</f>
        <v/>
      </c>
      <c r="AN28" s="785" t="str">
        <f ca="1">IF(AM28="","",IF('Q4'!I32=0,"Fuel type not stated",'Q4'!I32))</f>
        <v/>
      </c>
      <c r="AO28" s="772"/>
      <c r="AP28" s="944" t="str">
        <f t="shared" ca="1" si="20"/>
        <v/>
      </c>
      <c r="AQ28" s="777" t="str">
        <f t="shared" ca="1" si="21"/>
        <v/>
      </c>
      <c r="AR28" s="777" t="str">
        <f t="shared" ca="1" si="22"/>
        <v/>
      </c>
      <c r="AS28" s="777" t="str">
        <f t="shared" ca="1" si="23"/>
        <v/>
      </c>
      <c r="AT28" s="945" t="str">
        <f t="shared" ca="1" si="33"/>
        <v/>
      </c>
      <c r="AU28" s="1370" t="str">
        <f t="shared" ca="1" si="30"/>
        <v/>
      </c>
      <c r="AV28" s="1165" t="str">
        <f t="shared" ca="1" si="24"/>
        <v/>
      </c>
      <c r="AW28" s="1350">
        <f t="shared" ca="1" si="25"/>
        <v>0</v>
      </c>
      <c r="AX28" s="1350">
        <f t="shared" ca="1" si="25"/>
        <v>0</v>
      </c>
      <c r="AY28" s="1350">
        <f t="shared" ca="1" si="25"/>
        <v>0</v>
      </c>
      <c r="AZ28" s="1357" t="str">
        <f t="shared" ca="1" si="31"/>
        <v/>
      </c>
      <c r="BA28" s="1165" t="str">
        <f t="shared" ca="1" si="26"/>
        <v/>
      </c>
      <c r="BB28" s="772"/>
      <c r="BC28" s="946" t="str">
        <f t="shared" ca="1" si="34"/>
        <v/>
      </c>
    </row>
    <row r="29" spans="1:55" ht="12.75" customHeight="1" x14ac:dyDescent="0.3">
      <c r="A29" s="2236"/>
      <c r="B29" s="1246" t="str">
        <f>'Q1'!C33</f>
        <v>Other 1 (enter CO2 factor and specify scope and fuel in "Notes")</v>
      </c>
      <c r="C29" s="1252">
        <f t="shared" ca="1" si="35"/>
        <v>0</v>
      </c>
      <c r="D29" s="1258">
        <f t="shared" ca="1" si="35"/>
        <v>0</v>
      </c>
      <c r="E29" s="1060">
        <f t="shared" ca="1" si="35"/>
        <v>0</v>
      </c>
      <c r="F29" s="1060">
        <f t="shared" ca="1" si="35"/>
        <v>0</v>
      </c>
      <c r="G29" s="1060">
        <f t="shared" ca="1" si="35"/>
        <v>0</v>
      </c>
      <c r="H29" s="1060">
        <f t="shared" ca="1" si="35"/>
        <v>0</v>
      </c>
      <c r="I29" s="1266">
        <f t="shared" ca="1" si="6"/>
        <v>0</v>
      </c>
      <c r="J29" s="771" t="str">
        <f t="shared" ca="1" si="7"/>
        <v/>
      </c>
      <c r="K29" s="772" t="s">
        <v>552</v>
      </c>
      <c r="L29" s="784" t="str">
        <f ca="1">IF(C29&gt;0,'Q4'!E33,"")</f>
        <v/>
      </c>
      <c r="M29" s="785" t="str">
        <f ca="1">IF(L29="","",IF('Q4'!I33=0,"Fuel type not stated",'Q4'!I33))</f>
        <v/>
      </c>
      <c r="N29" s="772"/>
      <c r="O29" s="776" t="str">
        <f ca="1">IF(OR(+$J29="missing?",+$J29="new category"),"",IF($D29=0,"",IF(SUM($C29:$I29)=0,"",IFERROR((($C29-$D29)/$D29),"N/A"))))</f>
        <v/>
      </c>
      <c r="P29" s="777" t="str">
        <f t="shared" ca="1" si="9"/>
        <v/>
      </c>
      <c r="Q29" s="777" t="str">
        <f t="shared" ca="1" si="10"/>
        <v/>
      </c>
      <c r="R29" s="777" t="str">
        <f ca="1">IF(OR(+$J29="missing?",+$J29="new category"),"",IF($G29=0,"",IF(SUM($C29:$I29)=0,"",IFERROR((($C29-$G29)/$G29),"N/A"))))</f>
        <v/>
      </c>
      <c r="S29" s="778" t="str">
        <f ca="1">IF(OR(+$J29="missing?",+$J29="new category"),"",IF($I29=0,"",IF(SUM($C29:$I29)=0,"",IFERROR((($C29-$I29)/$I29),"N/A"))))</f>
        <v/>
      </c>
      <c r="T29" s="1280" t="str">
        <f t="shared" ca="1" si="27"/>
        <v/>
      </c>
      <c r="U29" s="1165" t="str">
        <f t="shared" ca="1" si="13"/>
        <v/>
      </c>
      <c r="V29" s="1350">
        <f t="shared" ca="1" si="14"/>
        <v>0</v>
      </c>
      <c r="W29" s="1350">
        <f t="shared" ca="1" si="14"/>
        <v>0</v>
      </c>
      <c r="X29" s="1350">
        <f t="shared" ca="1" si="14"/>
        <v>0</v>
      </c>
      <c r="Y29" s="1067" t="str">
        <f t="shared" ca="1" si="28"/>
        <v/>
      </c>
      <c r="Z29" s="1165" t="str">
        <f t="shared" ca="1" si="15"/>
        <v/>
      </c>
      <c r="AA29" s="772"/>
      <c r="AB29" s="946" t="str">
        <f t="shared" ca="1" si="29"/>
        <v/>
      </c>
      <c r="AC29" s="1269" t="str">
        <f t="shared" ca="1" si="16"/>
        <v/>
      </c>
      <c r="AD29" s="1252">
        <f t="shared" ca="1" si="36"/>
        <v>0</v>
      </c>
      <c r="AE29" s="1258">
        <f t="shared" ca="1" si="36"/>
        <v>0</v>
      </c>
      <c r="AF29" s="1060">
        <f t="shared" ca="1" si="36"/>
        <v>0</v>
      </c>
      <c r="AG29" s="1060">
        <f t="shared" ca="1" si="36"/>
        <v>0</v>
      </c>
      <c r="AH29" s="1060">
        <f t="shared" ca="1" si="36"/>
        <v>0</v>
      </c>
      <c r="AI29" s="1060">
        <f t="shared" ca="1" si="36"/>
        <v>0</v>
      </c>
      <c r="AJ29" s="1266">
        <f t="shared" ca="1" si="18"/>
        <v>0</v>
      </c>
      <c r="AK29" s="771" t="str">
        <f t="shared" ca="1" si="19"/>
        <v/>
      </c>
      <c r="AL29" s="772"/>
      <c r="AM29" s="784" t="str">
        <f ca="1">IF(AD29&gt;0,'Q4'!E33,"")</f>
        <v/>
      </c>
      <c r="AN29" s="785" t="str">
        <f ca="1">IF(AM29="","",IF('Q4'!I33=0,"Fuel type not stated",'Q4'!I33))</f>
        <v/>
      </c>
      <c r="AO29" s="772"/>
      <c r="AP29" s="944" t="str">
        <f t="shared" ca="1" si="20"/>
        <v/>
      </c>
      <c r="AQ29" s="777" t="str">
        <f t="shared" ca="1" si="21"/>
        <v/>
      </c>
      <c r="AR29" s="777" t="str">
        <f t="shared" ca="1" si="22"/>
        <v/>
      </c>
      <c r="AS29" s="777" t="str">
        <f t="shared" ca="1" si="23"/>
        <v/>
      </c>
      <c r="AT29" s="945" t="str">
        <f ca="1">IF(OR(+$AK29="missing?",+$AK29="new category"),"",IF($AJ29=0,"",IF(SUM($AD29:$AJ29)=0,"",IFERROR((($AD29-$AJ29)/$AJ29),"N/A"))))</f>
        <v/>
      </c>
      <c r="AU29" s="776" t="str">
        <f t="shared" ca="1" si="30"/>
        <v/>
      </c>
      <c r="AV29" s="1165" t="str">
        <f t="shared" ca="1" si="24"/>
        <v/>
      </c>
      <c r="AW29" s="1350">
        <f t="shared" ca="1" si="25"/>
        <v>0</v>
      </c>
      <c r="AX29" s="1350">
        <f t="shared" ca="1" si="25"/>
        <v>0</v>
      </c>
      <c r="AY29" s="1350">
        <f t="shared" ca="1" si="25"/>
        <v>0</v>
      </c>
      <c r="AZ29" s="1357" t="str">
        <f t="shared" ca="1" si="31"/>
        <v/>
      </c>
      <c r="BA29" s="1165" t="str">
        <f t="shared" ca="1" si="26"/>
        <v/>
      </c>
      <c r="BB29" s="772"/>
      <c r="BC29" s="946" t="str">
        <f t="shared" ca="1" si="34"/>
        <v/>
      </c>
    </row>
    <row r="30" spans="1:55" ht="12.75" customHeight="1" x14ac:dyDescent="0.3">
      <c r="A30" s="2236"/>
      <c r="B30" s="1246" t="str">
        <f>'Q1'!C34</f>
        <v>Other 2 (enter CO2 factor and specify scope and fuel in "Notes")</v>
      </c>
      <c r="C30" s="1252">
        <f t="shared" ca="1" si="35"/>
        <v>0</v>
      </c>
      <c r="D30" s="1258">
        <f t="shared" ca="1" si="35"/>
        <v>0</v>
      </c>
      <c r="E30" s="1060">
        <f t="shared" ca="1" si="35"/>
        <v>0</v>
      </c>
      <c r="F30" s="1060">
        <f t="shared" ca="1" si="35"/>
        <v>0</v>
      </c>
      <c r="G30" s="1060">
        <f t="shared" ca="1" si="35"/>
        <v>0</v>
      </c>
      <c r="H30" s="1060">
        <f t="shared" ca="1" si="35"/>
        <v>0</v>
      </c>
      <c r="I30" s="1266">
        <f t="shared" ca="1" si="6"/>
        <v>0</v>
      </c>
      <c r="J30" s="771" t="str">
        <f t="shared" ref="J30:J31" ca="1" si="37">IF(AND(C30&gt;0,SUM(D30:I30)&gt;0),"",IF(AND(C30=0,SUM(C30:I30)=0),"",IF(AND(C30=0,D30&gt;0),"Missing value?",IF(AND(C30=0,I30&gt;0),"Missing value?","New category"))))</f>
        <v/>
      </c>
      <c r="K30" s="772" t="s">
        <v>552</v>
      </c>
      <c r="L30" s="784" t="str">
        <f ca="1">IF(C30&gt;0,'Q4'!E34,"")</f>
        <v/>
      </c>
      <c r="M30" s="785" t="str">
        <f ca="1">IF(L30="","",IF('Q4'!I34=0,"Fuel type not stated",'Q4'!I34))</f>
        <v/>
      </c>
      <c r="N30" s="772"/>
      <c r="O30" s="776" t="str">
        <f t="shared" ref="O30:O31" ca="1" si="38">IF(OR(+$J30="missing?",+$J30="new category"),"",IF($D30=0,"",IF(SUM($C30:$I30)=0,"",IFERROR((($C30-$D30)/$D30),"N/A"))))</f>
        <v/>
      </c>
      <c r="P30" s="777" t="str">
        <f t="shared" ca="1" si="9"/>
        <v/>
      </c>
      <c r="Q30" s="777" t="str">
        <f t="shared" ca="1" si="10"/>
        <v/>
      </c>
      <c r="R30" s="777" t="str">
        <f t="shared" ref="R30:R31" ca="1" si="39">IF(OR(+$J30="missing?",+$J30="new category"),"",IF($G30=0,"",IF(SUM($C30:$I30)=0,"",IFERROR((($C30-$G30)/$G30),"N/A"))))</f>
        <v/>
      </c>
      <c r="S30" s="778" t="str">
        <f t="shared" ref="S30:S31" ca="1" si="40">IF(OR(+$J30="missing?",+$J30="new category"),"",IF($I30=0,"",IF(SUM($C30:$I30)=0,"",IFERROR((($C30-$I30)/$I30),"N/A"))))</f>
        <v/>
      </c>
      <c r="T30" s="1280" t="str">
        <f t="shared" ref="T30:T31" ca="1" si="41">IF(SUM(C30:I30)=0,"",IF(OR(AND(C30=0,SUM(D30:I30)&gt;0),AND(C30&gt;0,SUM(D30:I30)=0)),1,IF(MAX(IF(O30&lt;0,-O30,O30),IF(P30&lt;0,-P30,P30),IF(Q30&lt;0,-Q30,Q30),IF(R30&lt;0,-R30,R30),IF(S30&lt;0,-S30,S30))=0,"",MAX(IF(O30&lt;0,-O30,O30),IF(P30&lt;0,-P30,P30),IF(Q30&lt;0,-Q30,Q30),IF(R30&lt;0,-R30,R30),IF(S30&lt;0,-S30,S30)))))</f>
        <v/>
      </c>
      <c r="U30" s="1165" t="str">
        <f t="shared" ca="1" si="13"/>
        <v/>
      </c>
      <c r="V30" s="1350">
        <f t="shared" ca="1" si="14"/>
        <v>0</v>
      </c>
      <c r="W30" s="1350">
        <f t="shared" ca="1" si="14"/>
        <v>0</v>
      </c>
      <c r="X30" s="1350">
        <f t="shared" ca="1" si="14"/>
        <v>0</v>
      </c>
      <c r="Y30" s="1067" t="str">
        <f t="shared" ca="1" si="28"/>
        <v/>
      </c>
      <c r="Z30" s="1165" t="str">
        <f t="shared" ca="1" si="15"/>
        <v/>
      </c>
      <c r="AA30" s="772" t="s">
        <v>552</v>
      </c>
      <c r="AB30" s="946" t="str">
        <f t="shared" ca="1" si="29"/>
        <v/>
      </c>
      <c r="AC30" s="1269" t="str">
        <f t="shared" ca="1" si="16"/>
        <v/>
      </c>
      <c r="AD30" s="1252">
        <f t="shared" ca="1" si="36"/>
        <v>0</v>
      </c>
      <c r="AE30" s="1258">
        <f t="shared" ca="1" si="36"/>
        <v>0</v>
      </c>
      <c r="AF30" s="1060">
        <f t="shared" ca="1" si="36"/>
        <v>0</v>
      </c>
      <c r="AG30" s="1060">
        <f t="shared" ca="1" si="36"/>
        <v>0</v>
      </c>
      <c r="AH30" s="1060">
        <f t="shared" ca="1" si="36"/>
        <v>0</v>
      </c>
      <c r="AI30" s="1060">
        <f t="shared" ca="1" si="36"/>
        <v>0</v>
      </c>
      <c r="AJ30" s="1266">
        <f t="shared" ca="1" si="18"/>
        <v>0</v>
      </c>
      <c r="AK30" s="771" t="str">
        <f t="shared" ref="AK30:AK31" ca="1" si="42">IF(AND(AD30&gt;0,SUM(AE30:AJ30)&gt;0),"",IF(AND(AD30=0,SUM(AD30:AJ30)=0),"",IF(AND(AD30=0,AE30&gt;0),"Missing value?",IF(AND(AD30=0,AJ30&gt;0),"Missing value?","New category"))))</f>
        <v/>
      </c>
      <c r="AL30" s="772" t="s">
        <v>552</v>
      </c>
      <c r="AM30" s="784" t="str">
        <f ca="1">IF(AD30&gt;0,'Q4'!E34,"")</f>
        <v/>
      </c>
      <c r="AN30" s="785" t="str">
        <f ca="1">IF(AM30="","",IF('Q4'!I34=0,"Fuel type not stated",'Q4'!I34))</f>
        <v/>
      </c>
      <c r="AO30" s="772"/>
      <c r="AP30" s="944" t="str">
        <f t="shared" ca="1" si="20"/>
        <v/>
      </c>
      <c r="AQ30" s="777" t="str">
        <f t="shared" ca="1" si="21"/>
        <v/>
      </c>
      <c r="AR30" s="777" t="str">
        <f t="shared" ca="1" si="22"/>
        <v/>
      </c>
      <c r="AS30" s="777" t="str">
        <f t="shared" ca="1" si="23"/>
        <v/>
      </c>
      <c r="AT30" s="945" t="str">
        <f t="shared" ref="AT30:AT31" ca="1" si="43">IF(OR(+$AK30="missing?",+$AK30="new category"),"",IF($AJ30=0,"",IF(SUM($AD30:$AJ30)=0,"",IFERROR((($AD30-$AJ30)/$AJ30),"N/A"))))</f>
        <v/>
      </c>
      <c r="AU30" s="776" t="str">
        <f t="shared" ca="1" si="30"/>
        <v/>
      </c>
      <c r="AV30" s="1165" t="str">
        <f t="shared" ca="1" si="24"/>
        <v/>
      </c>
      <c r="AW30" s="1350">
        <f t="shared" ca="1" si="25"/>
        <v>0</v>
      </c>
      <c r="AX30" s="1350">
        <f t="shared" ca="1" si="25"/>
        <v>0</v>
      </c>
      <c r="AY30" s="1350">
        <f t="shared" ca="1" si="25"/>
        <v>0</v>
      </c>
      <c r="AZ30" s="1357" t="str">
        <f t="shared" ca="1" si="31"/>
        <v/>
      </c>
      <c r="BA30" s="1165" t="str">
        <f t="shared" ca="1" si="26"/>
        <v/>
      </c>
      <c r="BB30" s="772" t="s">
        <v>552</v>
      </c>
      <c r="BC30" s="946" t="str">
        <f t="shared" ca="1" si="34"/>
        <v/>
      </c>
    </row>
    <row r="31" spans="1:55" ht="12.75" customHeight="1" thickBot="1" x14ac:dyDescent="0.35">
      <c r="A31" s="2236"/>
      <c r="B31" s="1254" t="str">
        <f>'Q1'!C35</f>
        <v>Other 3 (enter CO2 factor and specify scope and fuel in "Notes")</v>
      </c>
      <c r="C31" s="1255">
        <f t="shared" ca="1" si="35"/>
        <v>0</v>
      </c>
      <c r="D31" s="1259">
        <f t="shared" ca="1" si="35"/>
        <v>0</v>
      </c>
      <c r="E31" s="1256">
        <f t="shared" ca="1" si="35"/>
        <v>8969.77</v>
      </c>
      <c r="F31" s="1256">
        <f t="shared" ca="1" si="35"/>
        <v>7679.0573770491701</v>
      </c>
      <c r="G31" s="1256">
        <f t="shared" ca="1" si="35"/>
        <v>21388.333333333299</v>
      </c>
      <c r="H31" s="1256">
        <f t="shared" ca="1" si="35"/>
        <v>54754.869403927871</v>
      </c>
      <c r="I31" s="1267">
        <f t="shared" ca="1" si="6"/>
        <v>13688.717350981968</v>
      </c>
      <c r="J31" s="812" t="str">
        <f t="shared" ca="1" si="37"/>
        <v>Missing value?</v>
      </c>
      <c r="K31" s="790" t="s">
        <v>552</v>
      </c>
      <c r="L31" s="791" t="str">
        <f ca="1">IF(C31&gt;0,'Q4'!E35,"")</f>
        <v/>
      </c>
      <c r="M31" s="792" t="str">
        <f ca="1">IF(L31="","",IF('Q4'!I35=0,"Fuel type not stated",'Q4'!I35))</f>
        <v/>
      </c>
      <c r="N31" s="790" t="s">
        <v>552</v>
      </c>
      <c r="O31" s="793" t="str">
        <f t="shared" ca="1" si="38"/>
        <v/>
      </c>
      <c r="P31" s="1070">
        <f t="shared" ca="1" si="9"/>
        <v>-1</v>
      </c>
      <c r="Q31" s="1070">
        <f t="shared" ca="1" si="10"/>
        <v>-1</v>
      </c>
      <c r="R31" s="1070">
        <f t="shared" ca="1" si="39"/>
        <v>-1</v>
      </c>
      <c r="S31" s="1071">
        <f t="shared" ca="1" si="40"/>
        <v>-1</v>
      </c>
      <c r="T31" s="1346">
        <f t="shared" ca="1" si="41"/>
        <v>1</v>
      </c>
      <c r="U31" s="884" t="str">
        <f t="shared" ca="1" si="13"/>
        <v>H</v>
      </c>
      <c r="V31" s="1350">
        <f t="shared" ca="1" si="14"/>
        <v>0</v>
      </c>
      <c r="W31" s="1350">
        <f t="shared" ca="1" si="14"/>
        <v>0</v>
      </c>
      <c r="X31" s="1350">
        <f t="shared" ca="1" si="14"/>
        <v>13.505288538478808</v>
      </c>
      <c r="Y31" s="1347">
        <f t="shared" ca="1" si="28"/>
        <v>4.0133216353698734E-5</v>
      </c>
      <c r="Z31" s="884" t="str">
        <f t="shared" ca="1" si="15"/>
        <v/>
      </c>
      <c r="AA31" s="880" t="s">
        <v>552</v>
      </c>
      <c r="AB31" s="954" t="str">
        <f t="shared" ca="1" si="29"/>
        <v/>
      </c>
      <c r="AC31" s="1270" t="str">
        <f t="shared" ca="1" si="16"/>
        <v/>
      </c>
      <c r="AD31" s="1255">
        <f t="shared" ca="1" si="36"/>
        <v>0</v>
      </c>
      <c r="AE31" s="1259">
        <f t="shared" ca="1" si="36"/>
        <v>0</v>
      </c>
      <c r="AF31" s="1256">
        <f t="shared" ca="1" si="36"/>
        <v>0</v>
      </c>
      <c r="AG31" s="1256">
        <f t="shared" ca="1" si="36"/>
        <v>0</v>
      </c>
      <c r="AH31" s="1256">
        <f t="shared" ca="1" si="36"/>
        <v>0</v>
      </c>
      <c r="AI31" s="1256">
        <f t="shared" ca="1" si="36"/>
        <v>0</v>
      </c>
      <c r="AJ31" s="1267">
        <f t="shared" ca="1" si="18"/>
        <v>0</v>
      </c>
      <c r="AK31" s="812" t="str">
        <f t="shared" ca="1" si="42"/>
        <v/>
      </c>
      <c r="AL31" s="790" t="s">
        <v>552</v>
      </c>
      <c r="AM31" s="791" t="str">
        <f ca="1">IF(AD31&gt;0,'Q4'!E35,"")</f>
        <v/>
      </c>
      <c r="AN31" s="792" t="str">
        <f ca="1">IF(AM31="","",IF('Q4'!I35=0,"Fuel type not stated",'Q4'!I35))</f>
        <v/>
      </c>
      <c r="AO31" s="790"/>
      <c r="AP31" s="952" t="str">
        <f t="shared" ca="1" si="20"/>
        <v/>
      </c>
      <c r="AQ31" s="1070" t="str">
        <f t="shared" ca="1" si="21"/>
        <v/>
      </c>
      <c r="AR31" s="1070" t="str">
        <f t="shared" ca="1" si="22"/>
        <v/>
      </c>
      <c r="AS31" s="1070" t="str">
        <f t="shared" ca="1" si="23"/>
        <v/>
      </c>
      <c r="AT31" s="953" t="str">
        <f t="shared" ca="1" si="43"/>
        <v/>
      </c>
      <c r="AU31" s="793" t="str">
        <f t="shared" ca="1" si="30"/>
        <v/>
      </c>
      <c r="AV31" s="1163" t="str">
        <f t="shared" ca="1" si="24"/>
        <v/>
      </c>
      <c r="AW31" s="1351">
        <f t="shared" ca="1" si="25"/>
        <v>0</v>
      </c>
      <c r="AX31" s="1351">
        <f t="shared" ca="1" si="25"/>
        <v>0</v>
      </c>
      <c r="AY31" s="1351">
        <f t="shared" ca="1" si="25"/>
        <v>0</v>
      </c>
      <c r="AZ31" s="1073" t="str">
        <f t="shared" ca="1" si="31"/>
        <v/>
      </c>
      <c r="BA31" s="1163" t="str">
        <f t="shared" ca="1" si="26"/>
        <v/>
      </c>
      <c r="BB31" s="790" t="s">
        <v>552</v>
      </c>
      <c r="BC31" s="954" t="str">
        <f t="shared" ca="1" si="34"/>
        <v/>
      </c>
    </row>
    <row r="32" spans="1:55" ht="12.75" customHeight="1" x14ac:dyDescent="0.3">
      <c r="A32" s="2228" t="s">
        <v>179</v>
      </c>
      <c r="B32" s="1247" t="str">
        <f>'Q1'!C36</f>
        <v xml:space="preserve">Electricity from renewable sources </v>
      </c>
      <c r="C32" s="1257">
        <f t="shared" ref="C32:H43" ca="1" si="44">INDEX(INDIRECT(CONCATENATE("'",C$14,"'!$D$36:$D$47"),TRUE),MATCH($B32,INDIRECT(CONCATENATE("'",C$14,"'!$C$36:$C$47"),TRUE),0))</f>
        <v>0</v>
      </c>
      <c r="D32" s="1260">
        <f t="shared" ca="1" si="44"/>
        <v>0</v>
      </c>
      <c r="E32" s="1058">
        <f t="shared" ca="1" si="44"/>
        <v>9984</v>
      </c>
      <c r="F32" s="1058">
        <f t="shared" ca="1" si="44"/>
        <v>11206</v>
      </c>
      <c r="G32" s="1058">
        <f t="shared" ca="1" si="44"/>
        <v>3973</v>
      </c>
      <c r="H32" s="1058">
        <f t="shared" ca="1" si="44"/>
        <v>30146</v>
      </c>
      <c r="I32" s="1059">
        <f t="shared" ca="1" si="6"/>
        <v>7536.5</v>
      </c>
      <c r="J32" s="868" t="str">
        <f t="shared" ca="1" si="7"/>
        <v>Missing value?</v>
      </c>
      <c r="K32" s="751"/>
      <c r="L32" s="891" t="str">
        <f ca="1">IF(C32&gt;0,'Q4'!E36,"")</f>
        <v/>
      </c>
      <c r="M32" s="807" t="str">
        <f ca="1">IF(L32="","",IF('Q4'!I36=0,"Fuel type not stated",'Q4'!I36))</f>
        <v/>
      </c>
      <c r="N32" s="751" t="s">
        <v>552</v>
      </c>
      <c r="O32" s="755" t="str">
        <f t="shared" ca="1" si="8"/>
        <v/>
      </c>
      <c r="P32" s="756">
        <f t="shared" ca="1" si="9"/>
        <v>-1</v>
      </c>
      <c r="Q32" s="756">
        <f t="shared" ca="1" si="10"/>
        <v>-1</v>
      </c>
      <c r="R32" s="756">
        <f t="shared" ca="1" si="11"/>
        <v>-1</v>
      </c>
      <c r="S32" s="757">
        <f t="shared" ca="1" si="12"/>
        <v>-1</v>
      </c>
      <c r="T32" s="1236">
        <f t="shared" ca="1" si="27"/>
        <v>1</v>
      </c>
      <c r="U32" s="766" t="str">
        <f t="shared" ca="1" si="13"/>
        <v>H</v>
      </c>
      <c r="V32" s="1349">
        <f t="shared" ref="V32:X43" ca="1" si="45">INDEX(INDIRECT(CONCATENATE("'",V$14,"'!$F$36:$F$47"),TRUE),MATCH($B32,INDIRECT(CONCATENATE("'",V$14,"'!$C$36:$C$47"),TRUE),0))</f>
        <v>0</v>
      </c>
      <c r="W32" s="1349">
        <f t="shared" ca="1" si="45"/>
        <v>0</v>
      </c>
      <c r="X32" s="1349">
        <f t="shared" ca="1" si="45"/>
        <v>0</v>
      </c>
      <c r="Y32" s="1237" t="str">
        <f ca="1">IF(V32=0,IF(W32&gt;0, W32/L$8, IF(X32&gt;0,X32/L$10, "")), IF(T32="", "", V32/L$7*T32))</f>
        <v/>
      </c>
      <c r="Z32" s="766" t="str">
        <f t="shared" ca="1" si="15"/>
        <v/>
      </c>
      <c r="AA32" s="801"/>
      <c r="AB32" s="804" t="str">
        <f t="shared" ca="1" si="29"/>
        <v xml:space="preserve">Missing value?         </v>
      </c>
      <c r="AC32" s="805" t="str">
        <f t="shared" ca="1" si="16"/>
        <v/>
      </c>
      <c r="AD32" s="1257">
        <f t="shared" ref="AD32:AI43" ca="1" si="46">INDEX(INDIRECT(CONCATENATE("'",AD$14,"'!$G$36:$G$47"),TRUE),MATCH($B32,INDIRECT(CONCATENATE("'",AD$14,"'!$C$36:$C$47"),TRUE),0))</f>
        <v>0</v>
      </c>
      <c r="AE32" s="1260">
        <f t="shared" ca="1" si="46"/>
        <v>0</v>
      </c>
      <c r="AF32" s="1058">
        <f t="shared" ca="1" si="46"/>
        <v>0</v>
      </c>
      <c r="AG32" s="1058">
        <f t="shared" ca="1" si="46"/>
        <v>0</v>
      </c>
      <c r="AH32" s="1058">
        <f t="shared" ca="1" si="46"/>
        <v>0</v>
      </c>
      <c r="AI32" s="1058">
        <f t="shared" ca="1" si="46"/>
        <v>0</v>
      </c>
      <c r="AJ32" s="1340">
        <f t="shared" ca="1" si="18"/>
        <v>0</v>
      </c>
      <c r="AK32" s="973" t="str">
        <f t="shared" ca="1" si="19"/>
        <v/>
      </c>
      <c r="AL32" s="751"/>
      <c r="AM32" s="1360" t="str">
        <f ca="1">IF(AD32&gt;0,'Q4'!E36,"")</f>
        <v/>
      </c>
      <c r="AN32" s="807" t="str">
        <f ca="1">IF(AM32="","",IF('Q4'!I36=0,"Fuel type not stated",'Q4'!I36))</f>
        <v/>
      </c>
      <c r="AO32" s="751"/>
      <c r="AP32" s="755" t="str">
        <f t="shared" ca="1" si="20"/>
        <v/>
      </c>
      <c r="AQ32" s="756" t="str">
        <f t="shared" ca="1" si="21"/>
        <v/>
      </c>
      <c r="AR32" s="756" t="str">
        <f t="shared" ca="1" si="22"/>
        <v/>
      </c>
      <c r="AS32" s="756" t="str">
        <f t="shared" ca="1" si="23"/>
        <v/>
      </c>
      <c r="AT32" s="939" t="str">
        <f ca="1">IF(OR(+$AK32="missing?",+$AK32="new category"),"",IF($AJ32=0,"",IF(SUM($AD32:$AJ32)=0,"",IFERROR((($AD32-$AJ32)/$AJ32),"N/A"))))</f>
        <v/>
      </c>
      <c r="AU32" s="1374" t="str">
        <f t="shared" ca="1" si="30"/>
        <v/>
      </c>
      <c r="AV32" s="1166" t="str">
        <f t="shared" ca="1" si="24"/>
        <v/>
      </c>
      <c r="AW32" s="1349">
        <f t="shared" ref="AW32:AY43" ca="1" si="47">INDEX(INDIRECT(CONCATENATE("'",AW$14,"'!$H$36:$H$47"),TRUE),MATCH($B32,INDIRECT(CONCATENATE("'",AW$14,"'!$C$36:$C$47"),TRUE),0))</f>
        <v>0</v>
      </c>
      <c r="AX32" s="1349">
        <f t="shared" ca="1" si="47"/>
        <v>0</v>
      </c>
      <c r="AY32" s="1349">
        <f t="shared" ca="1" si="47"/>
        <v>0</v>
      </c>
      <c r="AZ32" s="1375" t="str">
        <f ca="1">IF(AW32=0,IF(AX32&gt;0, AX32/AM$8, IF(AY32&gt;0,AY32/AM$10, "")), IF(AU32="", "", AW32/AM$7*AU32))</f>
        <v/>
      </c>
      <c r="BA32" s="1166" t="str">
        <f t="shared" ca="1" si="26"/>
        <v/>
      </c>
      <c r="BB32" s="751"/>
      <c r="BC32" s="871" t="str">
        <f t="shared" ca="1" si="34"/>
        <v/>
      </c>
    </row>
    <row r="33" spans="1:55" ht="12.75" customHeight="1" x14ac:dyDescent="0.3">
      <c r="A33" s="2229"/>
      <c r="B33" s="1248" t="str">
        <f>'Q1'!C37</f>
        <v>Heat from renewable sources</v>
      </c>
      <c r="C33" s="1252">
        <f t="shared" ca="1" si="44"/>
        <v>0</v>
      </c>
      <c r="D33" s="1258">
        <f t="shared" ca="1" si="44"/>
        <v>0</v>
      </c>
      <c r="E33" s="1060">
        <f t="shared" ca="1" si="44"/>
        <v>0</v>
      </c>
      <c r="F33" s="1060">
        <f t="shared" ca="1" si="44"/>
        <v>0</v>
      </c>
      <c r="G33" s="1060">
        <f t="shared" ca="1" si="44"/>
        <v>0</v>
      </c>
      <c r="H33" s="1060">
        <f t="shared" ca="1" si="44"/>
        <v>0</v>
      </c>
      <c r="I33" s="1061">
        <f t="shared" ca="1" si="6"/>
        <v>0</v>
      </c>
      <c r="J33" s="872" t="str">
        <f t="shared" ca="1" si="7"/>
        <v/>
      </c>
      <c r="K33" s="772"/>
      <c r="L33" s="784" t="str">
        <f ca="1">IF(C33&gt;0,'Q4'!E37,"")</f>
        <v/>
      </c>
      <c r="M33" s="785" t="str">
        <f ca="1">IF(L33="","",IF('Q4'!I37=0,"Fuel type not stated",'Q4'!I37))</f>
        <v/>
      </c>
      <c r="N33" s="772"/>
      <c r="O33" s="776" t="str">
        <f t="shared" ca="1" si="8"/>
        <v/>
      </c>
      <c r="P33" s="777" t="str">
        <f t="shared" ca="1" si="9"/>
        <v/>
      </c>
      <c r="Q33" s="777" t="str">
        <f t="shared" ca="1" si="10"/>
        <v/>
      </c>
      <c r="R33" s="777" t="str">
        <f t="shared" ca="1" si="11"/>
        <v/>
      </c>
      <c r="S33" s="778" t="str">
        <f t="shared" ca="1" si="12"/>
        <v/>
      </c>
      <c r="T33" s="1066" t="str">
        <f t="shared" ca="1" si="27"/>
        <v/>
      </c>
      <c r="U33" s="1165" t="str">
        <f t="shared" ca="1" si="13"/>
        <v/>
      </c>
      <c r="V33" s="1350">
        <f t="shared" ca="1" si="45"/>
        <v>0</v>
      </c>
      <c r="W33" s="1350">
        <f t="shared" ca="1" si="45"/>
        <v>0</v>
      </c>
      <c r="X33" s="1350">
        <f t="shared" ca="1" si="45"/>
        <v>0</v>
      </c>
      <c r="Y33" s="1067" t="str">
        <f t="shared" ref="Y33:Y43" ca="1" si="48">IF(V33=0,IF(W33&gt;0, W33/L$8, IF(X33&gt;0,X33/L$10, "")), IF(T33="", "", V33/L$7*T33))</f>
        <v/>
      </c>
      <c r="Z33" s="1165" t="str">
        <f t="shared" ca="1" si="15"/>
        <v/>
      </c>
      <c r="AA33" s="772"/>
      <c r="AB33" s="779" t="str">
        <f t="shared" ca="1" si="29"/>
        <v/>
      </c>
      <c r="AC33" s="47" t="str">
        <f ca="1">IF(AD33&gt;C33,"Offices only&gt;Total Estate","")</f>
        <v/>
      </c>
      <c r="AD33" s="1252">
        <f t="shared" ca="1" si="46"/>
        <v>0</v>
      </c>
      <c r="AE33" s="1258">
        <f t="shared" ca="1" si="46"/>
        <v>0</v>
      </c>
      <c r="AF33" s="1060">
        <f t="shared" ca="1" si="46"/>
        <v>0</v>
      </c>
      <c r="AG33" s="1060">
        <f t="shared" ca="1" si="46"/>
        <v>0</v>
      </c>
      <c r="AH33" s="1060">
        <f t="shared" ca="1" si="46"/>
        <v>0</v>
      </c>
      <c r="AI33" s="1060">
        <f t="shared" ca="1" si="46"/>
        <v>0</v>
      </c>
      <c r="AJ33" s="1266">
        <f t="shared" ca="1" si="18"/>
        <v>0</v>
      </c>
      <c r="AK33" s="771" t="str">
        <f t="shared" ca="1" si="19"/>
        <v/>
      </c>
      <c r="AL33" s="772"/>
      <c r="AM33" s="1358" t="str">
        <f ca="1">IF(AD33&gt;0,'Q4'!E37,"")</f>
        <v/>
      </c>
      <c r="AN33" s="785" t="str">
        <f ca="1">IF(AM33="","",IF('Q4'!I37=0,"Fuel type not stated",'Q4'!I37))</f>
        <v/>
      </c>
      <c r="AO33" s="772"/>
      <c r="AP33" s="776" t="str">
        <f t="shared" ca="1" si="20"/>
        <v/>
      </c>
      <c r="AQ33" s="777" t="str">
        <f t="shared" ca="1" si="21"/>
        <v/>
      </c>
      <c r="AR33" s="777" t="str">
        <f t="shared" ca="1" si="22"/>
        <v/>
      </c>
      <c r="AS33" s="777" t="str">
        <f t="shared" ca="1" si="23"/>
        <v/>
      </c>
      <c r="AT33" s="945" t="str">
        <f ca="1">IF(OR(+$AK33="missing?",+$AK33="new category"),"",IF($AJ33=0,"",IF(SUM($AD33:$AJ33)=0,"",IFERROR((($AD33-$AJ33)/$AJ33),"N/A"))))</f>
        <v/>
      </c>
      <c r="AU33" s="1370" t="str">
        <f t="shared" ca="1" si="30"/>
        <v/>
      </c>
      <c r="AV33" s="1165" t="str">
        <f t="shared" ca="1" si="24"/>
        <v/>
      </c>
      <c r="AW33" s="1350">
        <f t="shared" ca="1" si="47"/>
        <v>0</v>
      </c>
      <c r="AX33" s="1350">
        <f t="shared" ca="1" si="47"/>
        <v>0</v>
      </c>
      <c r="AY33" s="1350">
        <f t="shared" ca="1" si="47"/>
        <v>0</v>
      </c>
      <c r="AZ33" s="1357" t="str">
        <f t="shared" ref="AZ33:AZ43" ca="1" si="49">IF(AW33=0,IF(AX33&gt;0, AX33/AM$8, IF(AY33&gt;0,AY33/AM$10, "")), IF(AU33="", "", AW33/AM$7*AU33))</f>
        <v/>
      </c>
      <c r="BA33" s="1165" t="str">
        <f t="shared" ca="1" si="26"/>
        <v/>
      </c>
      <c r="BB33" s="772"/>
      <c r="BC33" s="946" t="str">
        <f t="shared" ca="1" si="34"/>
        <v/>
      </c>
    </row>
    <row r="34" spans="1:55" ht="12.75" customHeight="1" x14ac:dyDescent="0.3">
      <c r="A34" s="2229"/>
      <c r="B34" s="1248" t="str">
        <f>'Q1'!C38</f>
        <v>Solar water heating</v>
      </c>
      <c r="C34" s="1252">
        <f t="shared" ca="1" si="44"/>
        <v>0</v>
      </c>
      <c r="D34" s="1258">
        <f t="shared" ca="1" si="44"/>
        <v>0</v>
      </c>
      <c r="E34" s="1060">
        <f t="shared" ca="1" si="44"/>
        <v>0</v>
      </c>
      <c r="F34" s="1060">
        <f t="shared" ca="1" si="44"/>
        <v>0</v>
      </c>
      <c r="G34" s="1060">
        <f t="shared" ca="1" si="44"/>
        <v>0</v>
      </c>
      <c r="H34" s="1060">
        <f t="shared" ca="1" si="44"/>
        <v>0</v>
      </c>
      <c r="I34" s="1061">
        <f t="shared" ca="1" si="6"/>
        <v>0</v>
      </c>
      <c r="J34" s="872" t="str">
        <f t="shared" ca="1" si="7"/>
        <v/>
      </c>
      <c r="K34" s="772"/>
      <c r="L34" s="784" t="str">
        <f ca="1">IF(C34&gt;0,'Q4'!E38,"")</f>
        <v/>
      </c>
      <c r="M34" s="785" t="str">
        <f ca="1">IF(L34="","",IF('Q4'!I38=0,"Fuel type not stated",'Q4'!I38))</f>
        <v/>
      </c>
      <c r="N34" s="772"/>
      <c r="O34" s="776" t="str">
        <f t="shared" ca="1" si="8"/>
        <v/>
      </c>
      <c r="P34" s="777" t="str">
        <f t="shared" ca="1" si="9"/>
        <v/>
      </c>
      <c r="Q34" s="777" t="str">
        <f t="shared" ca="1" si="10"/>
        <v/>
      </c>
      <c r="R34" s="777" t="str">
        <f t="shared" ca="1" si="11"/>
        <v/>
      </c>
      <c r="S34" s="778" t="str">
        <f t="shared" ca="1" si="12"/>
        <v/>
      </c>
      <c r="T34" s="1066" t="str">
        <f t="shared" ca="1" si="27"/>
        <v/>
      </c>
      <c r="U34" s="1165" t="str">
        <f t="shared" ca="1" si="13"/>
        <v/>
      </c>
      <c r="V34" s="1350">
        <f t="shared" ca="1" si="45"/>
        <v>0</v>
      </c>
      <c r="W34" s="1350">
        <f t="shared" ca="1" si="45"/>
        <v>0</v>
      </c>
      <c r="X34" s="1350">
        <f t="shared" ca="1" si="45"/>
        <v>0</v>
      </c>
      <c r="Y34" s="1067" t="str">
        <f t="shared" ca="1" si="48"/>
        <v/>
      </c>
      <c r="Z34" s="1165" t="str">
        <f t="shared" ca="1" si="15"/>
        <v/>
      </c>
      <c r="AA34" s="772"/>
      <c r="AB34" s="779" t="str">
        <f t="shared" ca="1" si="29"/>
        <v/>
      </c>
      <c r="AC34" s="47" t="str">
        <f t="shared" ca="1" si="16"/>
        <v/>
      </c>
      <c r="AD34" s="1252">
        <f t="shared" ca="1" si="46"/>
        <v>0</v>
      </c>
      <c r="AE34" s="1258">
        <f t="shared" ca="1" si="46"/>
        <v>0</v>
      </c>
      <c r="AF34" s="1060">
        <f t="shared" ca="1" si="46"/>
        <v>0</v>
      </c>
      <c r="AG34" s="1060">
        <f t="shared" ca="1" si="46"/>
        <v>0</v>
      </c>
      <c r="AH34" s="1060">
        <f t="shared" ca="1" si="46"/>
        <v>0</v>
      </c>
      <c r="AI34" s="1060">
        <f t="shared" ca="1" si="46"/>
        <v>0</v>
      </c>
      <c r="AJ34" s="1266">
        <f t="shared" ca="1" si="18"/>
        <v>0</v>
      </c>
      <c r="AK34" s="771" t="str">
        <f t="shared" ca="1" si="19"/>
        <v/>
      </c>
      <c r="AL34" s="772"/>
      <c r="AM34" s="1358" t="str">
        <f ca="1">IF(AD34&gt;0,'Q4'!E38,"")</f>
        <v/>
      </c>
      <c r="AN34" s="785" t="str">
        <f ca="1">IF(AM34="","",IF('Q4'!I38=0,"Fuel type not stated",'Q4'!I38))</f>
        <v/>
      </c>
      <c r="AO34" s="772"/>
      <c r="AP34" s="776" t="str">
        <f t="shared" ca="1" si="20"/>
        <v/>
      </c>
      <c r="AQ34" s="777" t="str">
        <f t="shared" ca="1" si="21"/>
        <v/>
      </c>
      <c r="AR34" s="777" t="str">
        <f t="shared" ca="1" si="22"/>
        <v/>
      </c>
      <c r="AS34" s="777" t="str">
        <f t="shared" ca="1" si="23"/>
        <v/>
      </c>
      <c r="AT34" s="945" t="str">
        <f t="shared" ref="AT34:AT42" ca="1" si="50">IF(OR(+$AK34="missing?",+$AK34="new category"),"",IF($AJ34=0,"",IF(SUM($AD34:$AJ34)=0,"",IFERROR((($AD34-$AJ34)/$AJ34),"N/A"))))</f>
        <v/>
      </c>
      <c r="AU34" s="1370" t="str">
        <f t="shared" ca="1" si="30"/>
        <v/>
      </c>
      <c r="AV34" s="1165" t="str">
        <f t="shared" ca="1" si="24"/>
        <v/>
      </c>
      <c r="AW34" s="1350">
        <f t="shared" ca="1" si="47"/>
        <v>0</v>
      </c>
      <c r="AX34" s="1350">
        <f t="shared" ca="1" si="47"/>
        <v>0</v>
      </c>
      <c r="AY34" s="1350">
        <f t="shared" ca="1" si="47"/>
        <v>0</v>
      </c>
      <c r="AZ34" s="1357" t="str">
        <f t="shared" ca="1" si="49"/>
        <v/>
      </c>
      <c r="BA34" s="1165" t="str">
        <f t="shared" ca="1" si="26"/>
        <v/>
      </c>
      <c r="BB34" s="772"/>
      <c r="BC34" s="946" t="str">
        <f t="shared" ca="1" si="34"/>
        <v/>
      </c>
    </row>
    <row r="35" spans="1:55" ht="12.75" customHeight="1" x14ac:dyDescent="0.3">
      <c r="A35" s="2229"/>
      <c r="B35" s="1248" t="str">
        <f>'Q1'!C39</f>
        <v>Other 1 (enter CO2 factor and specify fuel in "Notes")</v>
      </c>
      <c r="C35" s="1252">
        <f t="shared" ca="1" si="44"/>
        <v>0</v>
      </c>
      <c r="D35" s="1258">
        <f t="shared" ca="1" si="44"/>
        <v>0</v>
      </c>
      <c r="E35" s="1060">
        <f t="shared" ca="1" si="44"/>
        <v>0</v>
      </c>
      <c r="F35" s="1060">
        <f t="shared" ca="1" si="44"/>
        <v>0</v>
      </c>
      <c r="G35" s="1060">
        <f t="shared" ca="1" si="44"/>
        <v>0</v>
      </c>
      <c r="H35" s="1060">
        <f t="shared" ca="1" si="44"/>
        <v>0</v>
      </c>
      <c r="I35" s="1061">
        <f t="shared" ca="1" si="6"/>
        <v>0</v>
      </c>
      <c r="J35" s="872" t="str">
        <f t="shared" ca="1" si="7"/>
        <v/>
      </c>
      <c r="K35" s="772"/>
      <c r="L35" s="784" t="str">
        <f ca="1">IF(C35&gt;0,'Q4'!E39,"")</f>
        <v/>
      </c>
      <c r="M35" s="785" t="str">
        <f ca="1">IF(L35="","",IF('Q4'!I39=0,"Fuel type not stated",'Q4'!I39))</f>
        <v/>
      </c>
      <c r="N35" s="772"/>
      <c r="O35" s="776" t="str">
        <f t="shared" ref="O35:O100" ca="1" si="51">IF(OR(+$J35="missing?",+$J35="new category"),"",IF($D35=0,"",IF(SUM($C35:$I35)=0,"",IFERROR((($C35-$D35)/$D35),"N/A"))))</f>
        <v/>
      </c>
      <c r="P35" s="777" t="str">
        <f t="shared" ca="1" si="9"/>
        <v/>
      </c>
      <c r="Q35" s="777" t="str">
        <f t="shared" ca="1" si="10"/>
        <v/>
      </c>
      <c r="R35" s="777" t="str">
        <f t="shared" ca="1" si="11"/>
        <v/>
      </c>
      <c r="S35" s="778" t="str">
        <f t="shared" ca="1" si="12"/>
        <v/>
      </c>
      <c r="T35" s="1066" t="str">
        <f t="shared" ca="1" si="27"/>
        <v/>
      </c>
      <c r="U35" s="1165" t="str">
        <f t="shared" ca="1" si="13"/>
        <v/>
      </c>
      <c r="V35" s="1350">
        <f t="shared" ca="1" si="45"/>
        <v>0</v>
      </c>
      <c r="W35" s="1350">
        <f t="shared" ca="1" si="45"/>
        <v>0</v>
      </c>
      <c r="X35" s="1350">
        <f t="shared" ca="1" si="45"/>
        <v>0</v>
      </c>
      <c r="Y35" s="1067" t="str">
        <f t="shared" ca="1" si="48"/>
        <v/>
      </c>
      <c r="Z35" s="1165" t="str">
        <f t="shared" ca="1" si="15"/>
        <v/>
      </c>
      <c r="AA35" s="772"/>
      <c r="AB35" s="779" t="str">
        <f t="shared" ca="1" si="29"/>
        <v/>
      </c>
      <c r="AC35" s="47" t="str">
        <f t="shared" ca="1" si="16"/>
        <v/>
      </c>
      <c r="AD35" s="1252">
        <f t="shared" ca="1" si="46"/>
        <v>0</v>
      </c>
      <c r="AE35" s="1258">
        <f t="shared" ca="1" si="46"/>
        <v>0</v>
      </c>
      <c r="AF35" s="1060">
        <f t="shared" ca="1" si="46"/>
        <v>0</v>
      </c>
      <c r="AG35" s="1060">
        <f t="shared" ca="1" si="46"/>
        <v>0</v>
      </c>
      <c r="AH35" s="1060">
        <f t="shared" ca="1" si="46"/>
        <v>0</v>
      </c>
      <c r="AI35" s="1060">
        <f t="shared" ca="1" si="46"/>
        <v>0</v>
      </c>
      <c r="AJ35" s="1266">
        <f t="shared" ca="1" si="18"/>
        <v>0</v>
      </c>
      <c r="AK35" s="771" t="str">
        <f t="shared" ca="1" si="19"/>
        <v/>
      </c>
      <c r="AL35" s="772"/>
      <c r="AM35" s="1358" t="str">
        <f ca="1">IF(AD35&gt;0,'Q4'!E39,"")</f>
        <v/>
      </c>
      <c r="AN35" s="785" t="str">
        <f ca="1">IF(AM35="","",IF('Q4'!I39=0,"Fuel type not stated",'Q4'!I39))</f>
        <v/>
      </c>
      <c r="AO35" s="772"/>
      <c r="AP35" s="776" t="str">
        <f t="shared" ca="1" si="20"/>
        <v/>
      </c>
      <c r="AQ35" s="777" t="str">
        <f t="shared" ca="1" si="21"/>
        <v/>
      </c>
      <c r="AR35" s="777" t="str">
        <f t="shared" ca="1" si="22"/>
        <v/>
      </c>
      <c r="AS35" s="777" t="str">
        <f t="shared" ca="1" si="23"/>
        <v/>
      </c>
      <c r="AT35" s="945" t="str">
        <f t="shared" ca="1" si="50"/>
        <v/>
      </c>
      <c r="AU35" s="1370" t="str">
        <f t="shared" ca="1" si="30"/>
        <v/>
      </c>
      <c r="AV35" s="1165" t="str">
        <f t="shared" ca="1" si="24"/>
        <v/>
      </c>
      <c r="AW35" s="1350">
        <f t="shared" ca="1" si="47"/>
        <v>0</v>
      </c>
      <c r="AX35" s="1350">
        <f t="shared" ca="1" si="47"/>
        <v>0</v>
      </c>
      <c r="AY35" s="1350">
        <f t="shared" ca="1" si="47"/>
        <v>0</v>
      </c>
      <c r="AZ35" s="1357" t="str">
        <f t="shared" ca="1" si="49"/>
        <v/>
      </c>
      <c r="BA35" s="1165" t="str">
        <f t="shared" ca="1" si="26"/>
        <v/>
      </c>
      <c r="BB35" s="772"/>
      <c r="BC35" s="946" t="str">
        <f t="shared" ca="1" si="34"/>
        <v/>
      </c>
    </row>
    <row r="36" spans="1:55" ht="12.75" customHeight="1" x14ac:dyDescent="0.3">
      <c r="A36" s="2229"/>
      <c r="B36" s="1248" t="str">
        <f>'Q1'!C40</f>
        <v>Other 2 (enter CO2 factor and specify fuel in "Notes")</v>
      </c>
      <c r="C36" s="1252">
        <f t="shared" ca="1" si="44"/>
        <v>0</v>
      </c>
      <c r="D36" s="1258">
        <f t="shared" ca="1" si="44"/>
        <v>0</v>
      </c>
      <c r="E36" s="1060">
        <f t="shared" ca="1" si="44"/>
        <v>0</v>
      </c>
      <c r="F36" s="1060">
        <f t="shared" ca="1" si="44"/>
        <v>0</v>
      </c>
      <c r="G36" s="1060">
        <f t="shared" ca="1" si="44"/>
        <v>0</v>
      </c>
      <c r="H36" s="1060">
        <f t="shared" ca="1" si="44"/>
        <v>0</v>
      </c>
      <c r="I36" s="1061">
        <f t="shared" ca="1" si="6"/>
        <v>0</v>
      </c>
      <c r="J36" s="872" t="str">
        <f t="shared" ref="J36:J37" ca="1" si="52">IF(AND(C36&gt;0,SUM(D36:I36)&gt;0),"",IF(AND(C36=0,SUM(C36:I36)=0),"",IF(AND(C36=0,D36&gt;0),"Missing value?",IF(AND(C36=0,I36&gt;0),"Missing value?","New category"))))</f>
        <v/>
      </c>
      <c r="K36" s="772" t="s">
        <v>552</v>
      </c>
      <c r="L36" s="784" t="str">
        <f ca="1">IF(C36&gt;0,'Q4'!E40,"")</f>
        <v/>
      </c>
      <c r="M36" s="785" t="str">
        <f ca="1">IF(L36="","",IF('Q4'!I40=0,"Fuel type not stated",'Q4'!I40))</f>
        <v/>
      </c>
      <c r="N36" s="772"/>
      <c r="O36" s="776" t="str">
        <f t="shared" ca="1" si="51"/>
        <v/>
      </c>
      <c r="P36" s="777" t="str">
        <f t="shared" ca="1" si="9"/>
        <v/>
      </c>
      <c r="Q36" s="777" t="str">
        <f t="shared" ca="1" si="10"/>
        <v/>
      </c>
      <c r="R36" s="777" t="str">
        <f t="shared" ca="1" si="11"/>
        <v/>
      </c>
      <c r="S36" s="778" t="str">
        <f t="shared" ca="1" si="12"/>
        <v/>
      </c>
      <c r="T36" s="1066" t="str">
        <f t="shared" ref="T36:T37" ca="1" si="53">IF(SUM(C36:I36)=0,"",IF(OR(AND(C36=0,SUM(D36:I36)&gt;0),AND(C36&gt;0,SUM(D36:I36)=0)),1,IF(MAX(IF(O36&lt;0,-O36,O36),IF(P36&lt;0,-P36,P36),IF(Q36&lt;0,-Q36,Q36),IF(R36&lt;0,-R36,R36),IF(S36&lt;0,-S36,S36))=0,"",MAX(IF(O36&lt;0,-O36,O36),IF(P36&lt;0,-P36,P36),IF(Q36&lt;0,-Q36,Q36),IF(R36&lt;0,-R36,R36),IF(S36&lt;0,-S36,S36)))))</f>
        <v/>
      </c>
      <c r="U36" s="1165" t="str">
        <f t="shared" ca="1" si="13"/>
        <v/>
      </c>
      <c r="V36" s="1350">
        <f t="shared" ca="1" si="45"/>
        <v>0</v>
      </c>
      <c r="W36" s="1350">
        <f t="shared" ca="1" si="45"/>
        <v>0</v>
      </c>
      <c r="X36" s="1350">
        <f t="shared" ca="1" si="45"/>
        <v>0</v>
      </c>
      <c r="Y36" s="1067" t="str">
        <f t="shared" ca="1" si="48"/>
        <v/>
      </c>
      <c r="Z36" s="1165" t="str">
        <f t="shared" ca="1" si="15"/>
        <v/>
      </c>
      <c r="AA36" s="772" t="s">
        <v>552</v>
      </c>
      <c r="AB36" s="779" t="str">
        <f t="shared" ca="1" si="29"/>
        <v/>
      </c>
      <c r="AC36" s="47" t="str">
        <f t="shared" ca="1" si="16"/>
        <v/>
      </c>
      <c r="AD36" s="1252">
        <f t="shared" ca="1" si="46"/>
        <v>0</v>
      </c>
      <c r="AE36" s="1258">
        <f t="shared" ca="1" si="46"/>
        <v>0</v>
      </c>
      <c r="AF36" s="1060">
        <f t="shared" ca="1" si="46"/>
        <v>0</v>
      </c>
      <c r="AG36" s="1060">
        <f t="shared" ca="1" si="46"/>
        <v>0</v>
      </c>
      <c r="AH36" s="1060">
        <f t="shared" ca="1" si="46"/>
        <v>0</v>
      </c>
      <c r="AI36" s="1060">
        <f t="shared" ca="1" si="46"/>
        <v>0</v>
      </c>
      <c r="AJ36" s="1266">
        <f t="shared" ca="1" si="18"/>
        <v>0</v>
      </c>
      <c r="AK36" s="771" t="str">
        <f t="shared" ref="AK36:AK37" ca="1" si="54">IF(AND(AD36&gt;0,SUM(AE36:AJ36)&gt;0),"",IF(AND(AD36=0,SUM(AD36:AJ36)=0),"",IF(AND(AD36=0,AE36&gt;0),"Missing value?",IF(AND(AD36=0,AJ36&gt;0),"Missing value?","New category"))))</f>
        <v/>
      </c>
      <c r="AL36" s="772" t="s">
        <v>552</v>
      </c>
      <c r="AM36" s="1358" t="str">
        <f ca="1">IF(AD36&gt;0,'Q4'!E40,"")</f>
        <v/>
      </c>
      <c r="AN36" s="785" t="str">
        <f ca="1">IF(AM36="","",IF('Q4'!I40=0,"Fuel type not stated",'Q4'!I40))</f>
        <v/>
      </c>
      <c r="AO36" s="772"/>
      <c r="AP36" s="776" t="str">
        <f t="shared" ca="1" si="20"/>
        <v/>
      </c>
      <c r="AQ36" s="777" t="str">
        <f t="shared" ca="1" si="21"/>
        <v/>
      </c>
      <c r="AR36" s="777" t="str">
        <f t="shared" ca="1" si="22"/>
        <v/>
      </c>
      <c r="AS36" s="777" t="str">
        <f t="shared" ca="1" si="23"/>
        <v/>
      </c>
      <c r="AT36" s="945" t="str">
        <f t="shared" ca="1" si="50"/>
        <v/>
      </c>
      <c r="AU36" s="1370" t="str">
        <f t="shared" ca="1" si="30"/>
        <v/>
      </c>
      <c r="AV36" s="1165" t="str">
        <f t="shared" ca="1" si="24"/>
        <v/>
      </c>
      <c r="AW36" s="1350">
        <f t="shared" ca="1" si="47"/>
        <v>0</v>
      </c>
      <c r="AX36" s="1350">
        <f t="shared" ca="1" si="47"/>
        <v>0</v>
      </c>
      <c r="AY36" s="1350">
        <f t="shared" ca="1" si="47"/>
        <v>0</v>
      </c>
      <c r="AZ36" s="1357" t="str">
        <f t="shared" ca="1" si="49"/>
        <v/>
      </c>
      <c r="BA36" s="1165" t="str">
        <f t="shared" ca="1" si="26"/>
        <v/>
      </c>
      <c r="BB36" s="772" t="s">
        <v>552</v>
      </c>
      <c r="BC36" s="946" t="str">
        <f t="shared" ca="1" si="34"/>
        <v/>
      </c>
    </row>
    <row r="37" spans="1:55" ht="12.75" customHeight="1" x14ac:dyDescent="0.3">
      <c r="A37" s="2229"/>
      <c r="B37" s="1248" t="str">
        <f>'Q1'!C41</f>
        <v>Other 3 (enter CO2 factor and specify fuel in "Notes")</v>
      </c>
      <c r="C37" s="1252">
        <f t="shared" ca="1" si="44"/>
        <v>0</v>
      </c>
      <c r="D37" s="1258">
        <f t="shared" ca="1" si="44"/>
        <v>0</v>
      </c>
      <c r="E37" s="1060">
        <f t="shared" ca="1" si="44"/>
        <v>0</v>
      </c>
      <c r="F37" s="1060">
        <f t="shared" ca="1" si="44"/>
        <v>0</v>
      </c>
      <c r="G37" s="1060">
        <f t="shared" ca="1" si="44"/>
        <v>0</v>
      </c>
      <c r="H37" s="1060">
        <f t="shared" ca="1" si="44"/>
        <v>0</v>
      </c>
      <c r="I37" s="1061">
        <f t="shared" ca="1" si="6"/>
        <v>0</v>
      </c>
      <c r="J37" s="872" t="str">
        <f t="shared" ca="1" si="52"/>
        <v/>
      </c>
      <c r="K37" s="772" t="s">
        <v>552</v>
      </c>
      <c r="L37" s="784" t="str">
        <f ca="1">IF(C37&gt;0,'Q4'!E41,"")</f>
        <v/>
      </c>
      <c r="M37" s="785" t="str">
        <f ca="1">IF(L37="","",IF('Q4'!I41=0,"Fuel type not stated",'Q4'!I41))</f>
        <v/>
      </c>
      <c r="N37" s="772"/>
      <c r="O37" s="776" t="str">
        <f t="shared" ca="1" si="51"/>
        <v/>
      </c>
      <c r="P37" s="777" t="str">
        <f t="shared" ca="1" si="9"/>
        <v/>
      </c>
      <c r="Q37" s="777" t="str">
        <f t="shared" ca="1" si="10"/>
        <v/>
      </c>
      <c r="R37" s="777" t="str">
        <f t="shared" ca="1" si="11"/>
        <v/>
      </c>
      <c r="S37" s="778" t="str">
        <f t="shared" ca="1" si="12"/>
        <v/>
      </c>
      <c r="T37" s="1066" t="str">
        <f t="shared" ca="1" si="53"/>
        <v/>
      </c>
      <c r="U37" s="1165" t="str">
        <f t="shared" ca="1" si="13"/>
        <v/>
      </c>
      <c r="V37" s="1350">
        <f t="shared" ca="1" si="45"/>
        <v>0</v>
      </c>
      <c r="W37" s="1350">
        <f t="shared" ca="1" si="45"/>
        <v>0</v>
      </c>
      <c r="X37" s="1350">
        <f t="shared" ca="1" si="45"/>
        <v>0</v>
      </c>
      <c r="Y37" s="1067" t="str">
        <f t="shared" ca="1" si="48"/>
        <v/>
      </c>
      <c r="Z37" s="1165" t="str">
        <f t="shared" ca="1" si="15"/>
        <v/>
      </c>
      <c r="AA37" s="772" t="s">
        <v>552</v>
      </c>
      <c r="AB37" s="779" t="str">
        <f t="shared" ca="1" si="29"/>
        <v/>
      </c>
      <c r="AC37" s="47" t="str">
        <f t="shared" ca="1" si="16"/>
        <v/>
      </c>
      <c r="AD37" s="1252">
        <f t="shared" ca="1" si="46"/>
        <v>0</v>
      </c>
      <c r="AE37" s="1258">
        <f t="shared" ca="1" si="46"/>
        <v>0</v>
      </c>
      <c r="AF37" s="1060">
        <f t="shared" ca="1" si="46"/>
        <v>0</v>
      </c>
      <c r="AG37" s="1060">
        <f t="shared" ca="1" si="46"/>
        <v>0</v>
      </c>
      <c r="AH37" s="1060">
        <f t="shared" ca="1" si="46"/>
        <v>0</v>
      </c>
      <c r="AI37" s="1060">
        <f t="shared" ca="1" si="46"/>
        <v>0</v>
      </c>
      <c r="AJ37" s="1266">
        <f t="shared" ca="1" si="18"/>
        <v>0</v>
      </c>
      <c r="AK37" s="771" t="str">
        <f t="shared" ca="1" si="54"/>
        <v/>
      </c>
      <c r="AL37" s="772" t="s">
        <v>552</v>
      </c>
      <c r="AM37" s="1358" t="str">
        <f ca="1">IF(AD37&gt;0,'Q4'!E41,"")</f>
        <v/>
      </c>
      <c r="AN37" s="785" t="str">
        <f ca="1">IF(AM37="","",IF('Q4'!I41=0,"Fuel type not stated",'Q4'!I41))</f>
        <v/>
      </c>
      <c r="AO37" s="772"/>
      <c r="AP37" s="776" t="str">
        <f t="shared" ca="1" si="20"/>
        <v/>
      </c>
      <c r="AQ37" s="777" t="str">
        <f t="shared" ca="1" si="21"/>
        <v/>
      </c>
      <c r="AR37" s="777" t="str">
        <f t="shared" ca="1" si="22"/>
        <v/>
      </c>
      <c r="AS37" s="777" t="str">
        <f t="shared" ca="1" si="23"/>
        <v/>
      </c>
      <c r="AT37" s="945" t="str">
        <f t="shared" ca="1" si="50"/>
        <v/>
      </c>
      <c r="AU37" s="1370" t="str">
        <f t="shared" ca="1" si="30"/>
        <v/>
      </c>
      <c r="AV37" s="1165" t="str">
        <f t="shared" ca="1" si="24"/>
        <v/>
      </c>
      <c r="AW37" s="1350">
        <f t="shared" ca="1" si="47"/>
        <v>0</v>
      </c>
      <c r="AX37" s="1350">
        <f t="shared" ca="1" si="47"/>
        <v>0</v>
      </c>
      <c r="AY37" s="1350">
        <f t="shared" ca="1" si="47"/>
        <v>0</v>
      </c>
      <c r="AZ37" s="1357" t="str">
        <f t="shared" ca="1" si="49"/>
        <v/>
      </c>
      <c r="BA37" s="1165" t="str">
        <f t="shared" ca="1" si="26"/>
        <v/>
      </c>
      <c r="BB37" s="772" t="s">
        <v>552</v>
      </c>
      <c r="BC37" s="946" t="str">
        <f t="shared" ca="1" si="34"/>
        <v/>
      </c>
    </row>
    <row r="38" spans="1:55" ht="12.75" customHeight="1" x14ac:dyDescent="0.3">
      <c r="A38" s="2229"/>
      <c r="B38" s="1248" t="str">
        <f>'Q1'!C42</f>
        <v>CHP1 Electricity</v>
      </c>
      <c r="C38" s="1252">
        <f t="shared" ca="1" si="44"/>
        <v>0</v>
      </c>
      <c r="D38" s="1258">
        <f t="shared" ca="1" si="44"/>
        <v>0</v>
      </c>
      <c r="E38" s="1060">
        <f t="shared" ca="1" si="44"/>
        <v>0</v>
      </c>
      <c r="F38" s="1060">
        <f t="shared" ca="1" si="44"/>
        <v>0</v>
      </c>
      <c r="G38" s="1060">
        <f t="shared" ca="1" si="44"/>
        <v>0</v>
      </c>
      <c r="H38" s="1060">
        <f t="shared" ca="1" si="44"/>
        <v>0</v>
      </c>
      <c r="I38" s="1061">
        <f t="shared" ca="1" si="6"/>
        <v>0</v>
      </c>
      <c r="J38" s="872" t="str">
        <f t="shared" ca="1" si="7"/>
        <v/>
      </c>
      <c r="K38" s="772"/>
      <c r="L38" s="784" t="str">
        <f ca="1">IF(C38&gt;0,'Q4'!E42,"")</f>
        <v/>
      </c>
      <c r="M38" s="785" t="str">
        <f ca="1">IF(L38="","",IF('Q4'!I42=0,"Fuel type not stated",'Q4'!I42))</f>
        <v/>
      </c>
      <c r="N38" s="772"/>
      <c r="O38" s="776" t="str">
        <f t="shared" ca="1" si="51"/>
        <v/>
      </c>
      <c r="P38" s="777" t="str">
        <f t="shared" ca="1" si="9"/>
        <v/>
      </c>
      <c r="Q38" s="777" t="str">
        <f t="shared" ca="1" si="10"/>
        <v/>
      </c>
      <c r="R38" s="777" t="str">
        <f t="shared" ca="1" si="11"/>
        <v/>
      </c>
      <c r="S38" s="778" t="str">
        <f t="shared" ca="1" si="12"/>
        <v/>
      </c>
      <c r="T38" s="1066" t="str">
        <f t="shared" ca="1" si="27"/>
        <v/>
      </c>
      <c r="U38" s="1165" t="str">
        <f t="shared" ca="1" si="13"/>
        <v/>
      </c>
      <c r="V38" s="1350">
        <f t="shared" ca="1" si="45"/>
        <v>0</v>
      </c>
      <c r="W38" s="1350">
        <f t="shared" ca="1" si="45"/>
        <v>0</v>
      </c>
      <c r="X38" s="1350">
        <f t="shared" ca="1" si="45"/>
        <v>0</v>
      </c>
      <c r="Y38" s="1067" t="str">
        <f t="shared" ca="1" si="48"/>
        <v/>
      </c>
      <c r="Z38" s="1165" t="str">
        <f t="shared" ca="1" si="15"/>
        <v/>
      </c>
      <c r="AA38" s="772"/>
      <c r="AB38" s="779" t="str">
        <f t="shared" ca="1" si="29"/>
        <v/>
      </c>
      <c r="AC38" s="47" t="str">
        <f t="shared" ca="1" si="16"/>
        <v/>
      </c>
      <c r="AD38" s="1252">
        <f t="shared" ca="1" si="46"/>
        <v>0</v>
      </c>
      <c r="AE38" s="1258">
        <f t="shared" ca="1" si="46"/>
        <v>0</v>
      </c>
      <c r="AF38" s="1060">
        <f t="shared" ca="1" si="46"/>
        <v>0</v>
      </c>
      <c r="AG38" s="1060">
        <f t="shared" ca="1" si="46"/>
        <v>0</v>
      </c>
      <c r="AH38" s="1060">
        <f t="shared" ca="1" si="46"/>
        <v>0</v>
      </c>
      <c r="AI38" s="1060">
        <f t="shared" ca="1" si="46"/>
        <v>0</v>
      </c>
      <c r="AJ38" s="1266">
        <f t="shared" ca="1" si="18"/>
        <v>0</v>
      </c>
      <c r="AK38" s="771" t="str">
        <f t="shared" ca="1" si="19"/>
        <v/>
      </c>
      <c r="AL38" s="772"/>
      <c r="AM38" s="1358" t="str">
        <f ca="1">IF(AD38&gt;0,'Q4'!E42,"")</f>
        <v/>
      </c>
      <c r="AN38" s="785" t="str">
        <f ca="1">IF(AM38="","",IF('Q4'!I42=0,"Fuel type not stated",'Q4'!I42))</f>
        <v/>
      </c>
      <c r="AO38" s="772"/>
      <c r="AP38" s="776" t="str">
        <f t="shared" ca="1" si="20"/>
        <v/>
      </c>
      <c r="AQ38" s="777" t="str">
        <f t="shared" ca="1" si="21"/>
        <v/>
      </c>
      <c r="AR38" s="777" t="str">
        <f t="shared" ca="1" si="22"/>
        <v/>
      </c>
      <c r="AS38" s="777" t="str">
        <f t="shared" ca="1" si="23"/>
        <v/>
      </c>
      <c r="AT38" s="945" t="str">
        <f t="shared" ca="1" si="50"/>
        <v/>
      </c>
      <c r="AU38" s="1370" t="str">
        <f t="shared" ca="1" si="30"/>
        <v/>
      </c>
      <c r="AV38" s="1165" t="str">
        <f t="shared" ca="1" si="24"/>
        <v/>
      </c>
      <c r="AW38" s="1350">
        <f t="shared" ca="1" si="47"/>
        <v>0</v>
      </c>
      <c r="AX38" s="1350">
        <f t="shared" ca="1" si="47"/>
        <v>0</v>
      </c>
      <c r="AY38" s="1350">
        <f t="shared" ca="1" si="47"/>
        <v>0</v>
      </c>
      <c r="AZ38" s="1357" t="str">
        <f t="shared" ca="1" si="49"/>
        <v/>
      </c>
      <c r="BA38" s="1165" t="str">
        <f t="shared" ca="1" si="26"/>
        <v/>
      </c>
      <c r="BB38" s="772"/>
      <c r="BC38" s="946" t="str">
        <f t="shared" ca="1" si="34"/>
        <v/>
      </c>
    </row>
    <row r="39" spans="1:55" ht="12.75" customHeight="1" x14ac:dyDescent="0.3">
      <c r="A39" s="2229"/>
      <c r="B39" s="1248" t="str">
        <f>'Q1'!C43</f>
        <v>CHP1 Heat</v>
      </c>
      <c r="C39" s="1252">
        <f t="shared" ca="1" si="44"/>
        <v>0</v>
      </c>
      <c r="D39" s="1258">
        <f t="shared" ca="1" si="44"/>
        <v>0</v>
      </c>
      <c r="E39" s="1060">
        <f t="shared" ca="1" si="44"/>
        <v>0</v>
      </c>
      <c r="F39" s="1060">
        <f t="shared" ca="1" si="44"/>
        <v>0</v>
      </c>
      <c r="G39" s="1060">
        <f t="shared" ca="1" si="44"/>
        <v>0</v>
      </c>
      <c r="H39" s="1060">
        <f t="shared" ca="1" si="44"/>
        <v>0</v>
      </c>
      <c r="I39" s="1061">
        <f t="shared" ca="1" si="6"/>
        <v>0</v>
      </c>
      <c r="J39" s="872" t="str">
        <f t="shared" ca="1" si="7"/>
        <v/>
      </c>
      <c r="K39" s="772"/>
      <c r="L39" s="784" t="str">
        <f ca="1">IF(C39&gt;0,'Q4'!E43,"")</f>
        <v/>
      </c>
      <c r="M39" s="785" t="str">
        <f ca="1">IF(L39="","",IF('Q4'!I43=0,"Fuel type not stated",'Q4'!I43))</f>
        <v/>
      </c>
      <c r="N39" s="772"/>
      <c r="O39" s="776" t="str">
        <f t="shared" ca="1" si="51"/>
        <v/>
      </c>
      <c r="P39" s="777" t="str">
        <f t="shared" ca="1" si="9"/>
        <v/>
      </c>
      <c r="Q39" s="777" t="str">
        <f t="shared" ca="1" si="10"/>
        <v/>
      </c>
      <c r="R39" s="777" t="str">
        <f t="shared" ca="1" si="11"/>
        <v/>
      </c>
      <c r="S39" s="778" t="str">
        <f t="shared" ca="1" si="12"/>
        <v/>
      </c>
      <c r="T39" s="1066" t="str">
        <f t="shared" ca="1" si="27"/>
        <v/>
      </c>
      <c r="U39" s="1165" t="str">
        <f t="shared" ca="1" si="13"/>
        <v/>
      </c>
      <c r="V39" s="1350">
        <f t="shared" ca="1" si="45"/>
        <v>0</v>
      </c>
      <c r="W39" s="1350">
        <f t="shared" ca="1" si="45"/>
        <v>0</v>
      </c>
      <c r="X39" s="1350">
        <f t="shared" ca="1" si="45"/>
        <v>0</v>
      </c>
      <c r="Y39" s="1067" t="str">
        <f t="shared" ca="1" si="48"/>
        <v/>
      </c>
      <c r="Z39" s="1165" t="str">
        <f t="shared" ca="1" si="15"/>
        <v/>
      </c>
      <c r="AA39" s="772"/>
      <c r="AB39" s="779" t="str">
        <f t="shared" ca="1" si="29"/>
        <v/>
      </c>
      <c r="AC39" s="47" t="str">
        <f t="shared" ca="1" si="16"/>
        <v/>
      </c>
      <c r="AD39" s="1252">
        <f t="shared" ca="1" si="46"/>
        <v>0</v>
      </c>
      <c r="AE39" s="1258">
        <f t="shared" ca="1" si="46"/>
        <v>0</v>
      </c>
      <c r="AF39" s="1060">
        <f t="shared" ca="1" si="46"/>
        <v>0</v>
      </c>
      <c r="AG39" s="1060">
        <f t="shared" ca="1" si="46"/>
        <v>0</v>
      </c>
      <c r="AH39" s="1060">
        <f t="shared" ca="1" si="46"/>
        <v>0</v>
      </c>
      <c r="AI39" s="1060">
        <f t="shared" ca="1" si="46"/>
        <v>0</v>
      </c>
      <c r="AJ39" s="1266">
        <f t="shared" ca="1" si="18"/>
        <v>0</v>
      </c>
      <c r="AK39" s="771" t="str">
        <f t="shared" ca="1" si="19"/>
        <v/>
      </c>
      <c r="AL39" s="772"/>
      <c r="AM39" s="1358" t="str">
        <f ca="1">IF(AD39&gt;0,'Q4'!E43,"")</f>
        <v/>
      </c>
      <c r="AN39" s="785" t="str">
        <f ca="1">IF(AM39="","",IF('Q4'!I43=0,"Fuel type not stated",'Q4'!I43))</f>
        <v/>
      </c>
      <c r="AO39" s="772"/>
      <c r="AP39" s="776" t="str">
        <f t="shared" ca="1" si="20"/>
        <v/>
      </c>
      <c r="AQ39" s="777" t="str">
        <f t="shared" ca="1" si="21"/>
        <v/>
      </c>
      <c r="AR39" s="777" t="str">
        <f t="shared" ca="1" si="22"/>
        <v/>
      </c>
      <c r="AS39" s="777" t="str">
        <f t="shared" ca="1" si="23"/>
        <v/>
      </c>
      <c r="AT39" s="945" t="str">
        <f t="shared" ca="1" si="50"/>
        <v/>
      </c>
      <c r="AU39" s="1370" t="str">
        <f t="shared" ca="1" si="30"/>
        <v/>
      </c>
      <c r="AV39" s="1165" t="str">
        <f t="shared" ca="1" si="24"/>
        <v/>
      </c>
      <c r="AW39" s="1350">
        <f t="shared" ca="1" si="47"/>
        <v>0</v>
      </c>
      <c r="AX39" s="1350">
        <f t="shared" ca="1" si="47"/>
        <v>0</v>
      </c>
      <c r="AY39" s="1350">
        <f t="shared" ca="1" si="47"/>
        <v>0</v>
      </c>
      <c r="AZ39" s="1357" t="str">
        <f t="shared" ca="1" si="49"/>
        <v/>
      </c>
      <c r="BA39" s="1165" t="str">
        <f t="shared" ca="1" si="26"/>
        <v/>
      </c>
      <c r="BB39" s="772"/>
      <c r="BC39" s="946" t="str">
        <f t="shared" ca="1" si="34"/>
        <v/>
      </c>
    </row>
    <row r="40" spans="1:55" ht="12.75" customHeight="1" x14ac:dyDescent="0.3">
      <c r="A40" s="2229"/>
      <c r="B40" s="1248" t="str">
        <f>'Q1'!C44</f>
        <v>CHP2 Electricity</v>
      </c>
      <c r="C40" s="1252">
        <f t="shared" ca="1" si="44"/>
        <v>0</v>
      </c>
      <c r="D40" s="1258">
        <f t="shared" ca="1" si="44"/>
        <v>0</v>
      </c>
      <c r="E40" s="1060">
        <f t="shared" ca="1" si="44"/>
        <v>0</v>
      </c>
      <c r="F40" s="1060">
        <f t="shared" ca="1" si="44"/>
        <v>0</v>
      </c>
      <c r="G40" s="1060">
        <f t="shared" ca="1" si="44"/>
        <v>0</v>
      </c>
      <c r="H40" s="1060">
        <f t="shared" ca="1" si="44"/>
        <v>0</v>
      </c>
      <c r="I40" s="1061">
        <f t="shared" ca="1" si="6"/>
        <v>0</v>
      </c>
      <c r="J40" s="872" t="str">
        <f t="shared" ca="1" si="7"/>
        <v/>
      </c>
      <c r="K40" s="772"/>
      <c r="L40" s="784" t="str">
        <f ca="1">IF(C40&gt;0,'Q4'!E44,"")</f>
        <v/>
      </c>
      <c r="M40" s="785" t="str">
        <f ca="1">IF(L40="","",IF('Q4'!I44=0,"Fuel type not stated",'Q4'!I44))</f>
        <v/>
      </c>
      <c r="N40" s="772"/>
      <c r="O40" s="810" t="str">
        <f t="shared" ca="1" si="51"/>
        <v/>
      </c>
      <c r="P40" s="783" t="str">
        <f t="shared" ca="1" si="9"/>
        <v/>
      </c>
      <c r="Q40" s="783" t="str">
        <f t="shared" ca="1" si="10"/>
        <v/>
      </c>
      <c r="R40" s="783" t="str">
        <f t="shared" ca="1" si="11"/>
        <v/>
      </c>
      <c r="S40" s="811" t="str">
        <f t="shared" ca="1" si="12"/>
        <v/>
      </c>
      <c r="T40" s="1066" t="str">
        <f t="shared" ca="1" si="27"/>
        <v/>
      </c>
      <c r="U40" s="1165" t="str">
        <f t="shared" ca="1" si="13"/>
        <v/>
      </c>
      <c r="V40" s="1350">
        <f t="shared" ca="1" si="45"/>
        <v>0</v>
      </c>
      <c r="W40" s="1350">
        <f t="shared" ca="1" si="45"/>
        <v>0</v>
      </c>
      <c r="X40" s="1350">
        <f t="shared" ca="1" si="45"/>
        <v>0</v>
      </c>
      <c r="Y40" s="1067" t="str">
        <f t="shared" ca="1" si="48"/>
        <v/>
      </c>
      <c r="Z40" s="1165" t="str">
        <f t="shared" ca="1" si="15"/>
        <v/>
      </c>
      <c r="AA40" s="772"/>
      <c r="AB40" s="779" t="str">
        <f t="shared" ca="1" si="29"/>
        <v/>
      </c>
      <c r="AC40" s="47" t="str">
        <f t="shared" ca="1" si="16"/>
        <v/>
      </c>
      <c r="AD40" s="1252">
        <f t="shared" ca="1" si="46"/>
        <v>0</v>
      </c>
      <c r="AE40" s="1258">
        <f t="shared" ca="1" si="46"/>
        <v>0</v>
      </c>
      <c r="AF40" s="1060">
        <f t="shared" ca="1" si="46"/>
        <v>0</v>
      </c>
      <c r="AG40" s="1060">
        <f t="shared" ca="1" si="46"/>
        <v>0</v>
      </c>
      <c r="AH40" s="1060">
        <f t="shared" ca="1" si="46"/>
        <v>0</v>
      </c>
      <c r="AI40" s="1060">
        <f t="shared" ca="1" si="46"/>
        <v>0</v>
      </c>
      <c r="AJ40" s="1266">
        <f t="shared" ca="1" si="18"/>
        <v>0</v>
      </c>
      <c r="AK40" s="771" t="str">
        <f t="shared" ca="1" si="19"/>
        <v/>
      </c>
      <c r="AL40" s="772"/>
      <c r="AM40" s="1358" t="str">
        <f ca="1">IF(AD40&gt;0,'Q4'!E44,"")</f>
        <v/>
      </c>
      <c r="AN40" s="785" t="str">
        <f ca="1">IF(AM40="","",IF('Q4'!I44=0,"Fuel type not stated",'Q4'!I44))</f>
        <v/>
      </c>
      <c r="AO40" s="772"/>
      <c r="AP40" s="810" t="str">
        <f t="shared" ca="1" si="20"/>
        <v/>
      </c>
      <c r="AQ40" s="783" t="str">
        <f t="shared" ca="1" si="21"/>
        <v/>
      </c>
      <c r="AR40" s="783" t="str">
        <f t="shared" ca="1" si="22"/>
        <v/>
      </c>
      <c r="AS40" s="783" t="str">
        <f t="shared" ca="1" si="23"/>
        <v/>
      </c>
      <c r="AT40" s="1367" t="str">
        <f t="shared" ca="1" si="50"/>
        <v/>
      </c>
      <c r="AU40" s="1370" t="str">
        <f t="shared" ca="1" si="30"/>
        <v/>
      </c>
      <c r="AV40" s="1165" t="str">
        <f t="shared" ca="1" si="24"/>
        <v/>
      </c>
      <c r="AW40" s="1350">
        <f t="shared" ca="1" si="47"/>
        <v>0</v>
      </c>
      <c r="AX40" s="1350">
        <f t="shared" ca="1" si="47"/>
        <v>0</v>
      </c>
      <c r="AY40" s="1350">
        <f t="shared" ca="1" si="47"/>
        <v>0</v>
      </c>
      <c r="AZ40" s="1357" t="str">
        <f t="shared" ca="1" si="49"/>
        <v/>
      </c>
      <c r="BA40" s="1165" t="str">
        <f t="shared" ca="1" si="26"/>
        <v/>
      </c>
      <c r="BB40" s="772"/>
      <c r="BC40" s="946" t="str">
        <f t="shared" ca="1" si="34"/>
        <v/>
      </c>
    </row>
    <row r="41" spans="1:55" ht="12.75" customHeight="1" x14ac:dyDescent="0.3">
      <c r="A41" s="2229"/>
      <c r="B41" s="1248" t="str">
        <f>'Q1'!C45</f>
        <v>CHP2 Heat</v>
      </c>
      <c r="C41" s="1252">
        <f t="shared" ca="1" si="44"/>
        <v>0</v>
      </c>
      <c r="D41" s="1258">
        <f t="shared" ca="1" si="44"/>
        <v>0</v>
      </c>
      <c r="E41" s="1060">
        <f t="shared" ca="1" si="44"/>
        <v>0</v>
      </c>
      <c r="F41" s="1060">
        <f t="shared" ca="1" si="44"/>
        <v>0</v>
      </c>
      <c r="G41" s="1060">
        <f t="shared" ca="1" si="44"/>
        <v>0</v>
      </c>
      <c r="H41" s="1060">
        <f t="shared" ca="1" si="44"/>
        <v>0</v>
      </c>
      <c r="I41" s="1061">
        <f t="shared" ca="1" si="6"/>
        <v>0</v>
      </c>
      <c r="J41" s="872" t="str">
        <f t="shared" ca="1" si="7"/>
        <v/>
      </c>
      <c r="K41" s="772"/>
      <c r="L41" s="784" t="str">
        <f ca="1">IF(C41&gt;0,'Q4'!E45,"")</f>
        <v/>
      </c>
      <c r="M41" s="785" t="str">
        <f ca="1">IF(L41="","",IF('Q4'!I45=0,"Fuel type not stated",'Q4'!I45))</f>
        <v/>
      </c>
      <c r="N41" s="772"/>
      <c r="O41" s="810" t="str">
        <f t="shared" ca="1" si="51"/>
        <v/>
      </c>
      <c r="P41" s="783" t="str">
        <f t="shared" ca="1" si="9"/>
        <v/>
      </c>
      <c r="Q41" s="783" t="str">
        <f t="shared" ca="1" si="10"/>
        <v/>
      </c>
      <c r="R41" s="783" t="str">
        <f t="shared" ca="1" si="11"/>
        <v/>
      </c>
      <c r="S41" s="811" t="str">
        <f t="shared" ca="1" si="12"/>
        <v/>
      </c>
      <c r="T41" s="1066" t="str">
        <f t="shared" ca="1" si="27"/>
        <v/>
      </c>
      <c r="U41" s="1165" t="str">
        <f t="shared" ca="1" si="13"/>
        <v/>
      </c>
      <c r="V41" s="1350">
        <f t="shared" ca="1" si="45"/>
        <v>0</v>
      </c>
      <c r="W41" s="1350">
        <f t="shared" ca="1" si="45"/>
        <v>0</v>
      </c>
      <c r="X41" s="1350">
        <f t="shared" ca="1" si="45"/>
        <v>0</v>
      </c>
      <c r="Y41" s="1067" t="str">
        <f t="shared" ca="1" si="48"/>
        <v/>
      </c>
      <c r="Z41" s="1165" t="str">
        <f t="shared" ca="1" si="15"/>
        <v/>
      </c>
      <c r="AA41" s="772"/>
      <c r="AB41" s="779" t="str">
        <f t="shared" ca="1" si="29"/>
        <v/>
      </c>
      <c r="AC41" s="47" t="str">
        <f t="shared" ca="1" si="16"/>
        <v/>
      </c>
      <c r="AD41" s="1252">
        <f t="shared" ca="1" si="46"/>
        <v>0</v>
      </c>
      <c r="AE41" s="1258">
        <f t="shared" ca="1" si="46"/>
        <v>0</v>
      </c>
      <c r="AF41" s="1060">
        <f t="shared" ca="1" si="46"/>
        <v>0</v>
      </c>
      <c r="AG41" s="1060">
        <f t="shared" ca="1" si="46"/>
        <v>0</v>
      </c>
      <c r="AH41" s="1060">
        <f t="shared" ca="1" si="46"/>
        <v>0</v>
      </c>
      <c r="AI41" s="1060">
        <f t="shared" ca="1" si="46"/>
        <v>0</v>
      </c>
      <c r="AJ41" s="1266">
        <f t="shared" ca="1" si="18"/>
        <v>0</v>
      </c>
      <c r="AK41" s="771" t="str">
        <f t="shared" ca="1" si="19"/>
        <v/>
      </c>
      <c r="AL41" s="772"/>
      <c r="AM41" s="1358" t="str">
        <f ca="1">IF(AD41&gt;0,'Q4'!E45,"")</f>
        <v/>
      </c>
      <c r="AN41" s="785" t="str">
        <f ca="1">IF(AM41="","",IF('Q4'!I45=0,"Fuel type not stated",'Q4'!I45))</f>
        <v/>
      </c>
      <c r="AO41" s="772"/>
      <c r="AP41" s="810" t="str">
        <f t="shared" ca="1" si="20"/>
        <v/>
      </c>
      <c r="AQ41" s="783" t="str">
        <f t="shared" ca="1" si="21"/>
        <v/>
      </c>
      <c r="AR41" s="783" t="str">
        <f t="shared" ca="1" si="22"/>
        <v/>
      </c>
      <c r="AS41" s="783" t="str">
        <f t="shared" ca="1" si="23"/>
        <v/>
      </c>
      <c r="AT41" s="1367" t="str">
        <f t="shared" ca="1" si="50"/>
        <v/>
      </c>
      <c r="AU41" s="1370" t="str">
        <f t="shared" ca="1" si="30"/>
        <v/>
      </c>
      <c r="AV41" s="1165" t="str">
        <f t="shared" ca="1" si="24"/>
        <v/>
      </c>
      <c r="AW41" s="1350">
        <f t="shared" ca="1" si="47"/>
        <v>0</v>
      </c>
      <c r="AX41" s="1350">
        <f t="shared" ca="1" si="47"/>
        <v>0</v>
      </c>
      <c r="AY41" s="1350">
        <f t="shared" ca="1" si="47"/>
        <v>0</v>
      </c>
      <c r="AZ41" s="1357" t="str">
        <f t="shared" ca="1" si="49"/>
        <v/>
      </c>
      <c r="BA41" s="1165" t="str">
        <f t="shared" ca="1" si="26"/>
        <v/>
      </c>
      <c r="BB41" s="772"/>
      <c r="BC41" s="946" t="str">
        <f t="shared" ca="1" si="34"/>
        <v/>
      </c>
    </row>
    <row r="42" spans="1:55" ht="12.75" customHeight="1" x14ac:dyDescent="0.3">
      <c r="A42" s="2229"/>
      <c r="B42" s="1248" t="str">
        <f>'Q1'!C46</f>
        <v>CHP3 Electricity</v>
      </c>
      <c r="C42" s="1252">
        <f t="shared" ca="1" si="44"/>
        <v>0</v>
      </c>
      <c r="D42" s="1258">
        <f t="shared" ca="1" si="44"/>
        <v>0</v>
      </c>
      <c r="E42" s="1060">
        <f t="shared" ca="1" si="44"/>
        <v>0</v>
      </c>
      <c r="F42" s="1060">
        <f t="shared" ca="1" si="44"/>
        <v>0</v>
      </c>
      <c r="G42" s="1060">
        <f t="shared" ca="1" si="44"/>
        <v>0</v>
      </c>
      <c r="H42" s="1060">
        <f t="shared" ca="1" si="44"/>
        <v>0</v>
      </c>
      <c r="I42" s="1061">
        <f t="shared" ca="1" si="6"/>
        <v>0</v>
      </c>
      <c r="J42" s="872" t="str">
        <f t="shared" ca="1" si="7"/>
        <v/>
      </c>
      <c r="K42" s="772"/>
      <c r="L42" s="784" t="str">
        <f ca="1">IF(C42&gt;0,'Q4'!E46,"")</f>
        <v/>
      </c>
      <c r="M42" s="785" t="str">
        <f ca="1">IF(L42="","",IF('Q4'!I46=0,"Fuel type not stated",'Q4'!I46))</f>
        <v/>
      </c>
      <c r="N42" s="772"/>
      <c r="O42" s="810" t="str">
        <f t="shared" ca="1" si="51"/>
        <v/>
      </c>
      <c r="P42" s="783" t="str">
        <f t="shared" ca="1" si="9"/>
        <v/>
      </c>
      <c r="Q42" s="783" t="str">
        <f t="shared" ca="1" si="10"/>
        <v/>
      </c>
      <c r="R42" s="783" t="str">
        <f t="shared" ca="1" si="11"/>
        <v/>
      </c>
      <c r="S42" s="811" t="str">
        <f t="shared" ca="1" si="12"/>
        <v/>
      </c>
      <c r="T42" s="1066" t="str">
        <f t="shared" ca="1" si="27"/>
        <v/>
      </c>
      <c r="U42" s="1165" t="str">
        <f t="shared" ca="1" si="13"/>
        <v/>
      </c>
      <c r="V42" s="1350">
        <f t="shared" ca="1" si="45"/>
        <v>0</v>
      </c>
      <c r="W42" s="1350">
        <f t="shared" ca="1" si="45"/>
        <v>0</v>
      </c>
      <c r="X42" s="1350">
        <f t="shared" ca="1" si="45"/>
        <v>0</v>
      </c>
      <c r="Y42" s="1067" t="str">
        <f t="shared" ca="1" si="48"/>
        <v/>
      </c>
      <c r="Z42" s="1165" t="str">
        <f t="shared" ca="1" si="15"/>
        <v/>
      </c>
      <c r="AA42" s="772"/>
      <c r="AB42" s="779" t="str">
        <f t="shared" ca="1" si="29"/>
        <v/>
      </c>
      <c r="AC42" s="47" t="str">
        <f t="shared" ca="1" si="16"/>
        <v/>
      </c>
      <c r="AD42" s="1252">
        <f t="shared" ca="1" si="46"/>
        <v>0</v>
      </c>
      <c r="AE42" s="1258">
        <f t="shared" ca="1" si="46"/>
        <v>0</v>
      </c>
      <c r="AF42" s="1060">
        <f t="shared" ca="1" si="46"/>
        <v>0</v>
      </c>
      <c r="AG42" s="1060">
        <f t="shared" ca="1" si="46"/>
        <v>0</v>
      </c>
      <c r="AH42" s="1060">
        <f t="shared" ca="1" si="46"/>
        <v>0</v>
      </c>
      <c r="AI42" s="1060">
        <f t="shared" ca="1" si="46"/>
        <v>0</v>
      </c>
      <c r="AJ42" s="1266">
        <f t="shared" ca="1" si="18"/>
        <v>0</v>
      </c>
      <c r="AK42" s="771" t="str">
        <f t="shared" ca="1" si="19"/>
        <v/>
      </c>
      <c r="AL42" s="772"/>
      <c r="AM42" s="1358" t="str">
        <f ca="1">IF(AD42&gt;0,'Q4'!E46,"")</f>
        <v/>
      </c>
      <c r="AN42" s="785" t="str">
        <f ca="1">IF(AM42="","",IF('Q4'!I46=0,"Fuel type not stated",'Q4'!I46))</f>
        <v/>
      </c>
      <c r="AO42" s="772"/>
      <c r="AP42" s="810" t="str">
        <f t="shared" ca="1" si="20"/>
        <v/>
      </c>
      <c r="AQ42" s="783" t="str">
        <f t="shared" ca="1" si="21"/>
        <v/>
      </c>
      <c r="AR42" s="783" t="str">
        <f t="shared" ca="1" si="22"/>
        <v/>
      </c>
      <c r="AS42" s="783" t="str">
        <f t="shared" ca="1" si="23"/>
        <v/>
      </c>
      <c r="AT42" s="1367" t="str">
        <f t="shared" ca="1" si="50"/>
        <v/>
      </c>
      <c r="AU42" s="1370" t="str">
        <f t="shared" ca="1" si="30"/>
        <v/>
      </c>
      <c r="AV42" s="1165" t="str">
        <f t="shared" ca="1" si="24"/>
        <v/>
      </c>
      <c r="AW42" s="1350">
        <f t="shared" ca="1" si="47"/>
        <v>0</v>
      </c>
      <c r="AX42" s="1350">
        <f t="shared" ca="1" si="47"/>
        <v>0</v>
      </c>
      <c r="AY42" s="1350">
        <f t="shared" ca="1" si="47"/>
        <v>0</v>
      </c>
      <c r="AZ42" s="1357" t="str">
        <f t="shared" ca="1" si="49"/>
        <v/>
      </c>
      <c r="BA42" s="1165" t="str">
        <f t="shared" ca="1" si="26"/>
        <v/>
      </c>
      <c r="BB42" s="772"/>
      <c r="BC42" s="946" t="str">
        <f t="shared" ca="1" si="34"/>
        <v/>
      </c>
    </row>
    <row r="43" spans="1:55" ht="12.75" customHeight="1" thickBot="1" x14ac:dyDescent="0.35">
      <c r="A43" s="2230"/>
      <c r="B43" s="1249" t="str">
        <f>'Q1'!C47</f>
        <v>CHP3 Heat</v>
      </c>
      <c r="C43" s="1253">
        <f t="shared" ca="1" si="44"/>
        <v>0</v>
      </c>
      <c r="D43" s="1261">
        <f t="shared" ca="1" si="44"/>
        <v>0</v>
      </c>
      <c r="E43" s="1062">
        <f t="shared" ca="1" si="44"/>
        <v>0</v>
      </c>
      <c r="F43" s="1062">
        <f t="shared" ca="1" si="44"/>
        <v>0</v>
      </c>
      <c r="G43" s="1062">
        <f t="shared" ca="1" si="44"/>
        <v>0</v>
      </c>
      <c r="H43" s="1062">
        <f t="shared" ca="1" si="44"/>
        <v>0</v>
      </c>
      <c r="I43" s="1063">
        <f t="shared" ca="1" si="6"/>
        <v>0</v>
      </c>
      <c r="J43" s="849" t="str">
        <f t="shared" ca="1" si="7"/>
        <v/>
      </c>
      <c r="K43" s="790"/>
      <c r="L43" s="791" t="str">
        <f ca="1">IF(C43&gt;0,'Q4'!E47,"")</f>
        <v/>
      </c>
      <c r="M43" s="792" t="str">
        <f ca="1">IF(L43="","",IF('Q4'!I47=0,"Fuel type not stated",'Q4'!I47))</f>
        <v/>
      </c>
      <c r="N43" s="790"/>
      <c r="O43" s="813" t="str">
        <f t="shared" ca="1" si="51"/>
        <v/>
      </c>
      <c r="P43" s="1072" t="str">
        <f t="shared" ca="1" si="9"/>
        <v/>
      </c>
      <c r="Q43" s="1072" t="str">
        <f t="shared" ca="1" si="10"/>
        <v/>
      </c>
      <c r="R43" s="1072" t="str">
        <f t="shared" ca="1" si="11"/>
        <v/>
      </c>
      <c r="S43" s="1075" t="str">
        <f t="shared" ca="1" si="12"/>
        <v/>
      </c>
      <c r="T43" s="1348" t="str">
        <f t="shared" ca="1" si="27"/>
        <v/>
      </c>
      <c r="U43" s="1163" t="str">
        <f t="shared" ca="1" si="13"/>
        <v/>
      </c>
      <c r="V43" s="1351">
        <f t="shared" ca="1" si="45"/>
        <v>0</v>
      </c>
      <c r="W43" s="1351">
        <f t="shared" ca="1" si="45"/>
        <v>0</v>
      </c>
      <c r="X43" s="1351">
        <f t="shared" ca="1" si="45"/>
        <v>0</v>
      </c>
      <c r="Y43" s="1239" t="str">
        <f t="shared" ca="1" si="48"/>
        <v/>
      </c>
      <c r="Z43" s="1163" t="str">
        <f t="shared" ca="1" si="15"/>
        <v/>
      </c>
      <c r="AA43" s="790"/>
      <c r="AB43" s="794" t="str">
        <f t="shared" ca="1" si="29"/>
        <v/>
      </c>
      <c r="AC43" s="48" t="str">
        <f t="shared" ca="1" si="16"/>
        <v/>
      </c>
      <c r="AD43" s="1253">
        <f t="shared" ca="1" si="46"/>
        <v>0</v>
      </c>
      <c r="AE43" s="1261">
        <f t="shared" ca="1" si="46"/>
        <v>0</v>
      </c>
      <c r="AF43" s="1062">
        <f t="shared" ca="1" si="46"/>
        <v>0</v>
      </c>
      <c r="AG43" s="1062">
        <f t="shared" ca="1" si="46"/>
        <v>0</v>
      </c>
      <c r="AH43" s="1062">
        <f t="shared" ca="1" si="46"/>
        <v>0</v>
      </c>
      <c r="AI43" s="1062">
        <f t="shared" ca="1" si="46"/>
        <v>0</v>
      </c>
      <c r="AJ43" s="1341">
        <f t="shared" ca="1" si="18"/>
        <v>0</v>
      </c>
      <c r="AK43" s="812" t="str">
        <f t="shared" ca="1" si="19"/>
        <v/>
      </c>
      <c r="AL43" s="790"/>
      <c r="AM43" s="1359" t="str">
        <f ca="1">IF(AD43&gt;0,'Q4'!E47,"")</f>
        <v/>
      </c>
      <c r="AN43" s="792" t="str">
        <f ca="1">IF(AM43="","",IF('Q4'!I47=0,"Fuel type not stated",'Q4'!I47))</f>
        <v/>
      </c>
      <c r="AO43" s="790"/>
      <c r="AP43" s="813" t="str">
        <f t="shared" ca="1" si="20"/>
        <v/>
      </c>
      <c r="AQ43" s="1072" t="str">
        <f t="shared" ca="1" si="21"/>
        <v/>
      </c>
      <c r="AR43" s="1072" t="str">
        <f t="shared" ca="1" si="22"/>
        <v/>
      </c>
      <c r="AS43" s="1072" t="str">
        <f t="shared" ca="1" si="23"/>
        <v/>
      </c>
      <c r="AT43" s="1342" t="str">
        <f ca="1">IF(OR(+$AK43="missing?",+$AK43="new category"),"",IF($AJ43=0,"",IF(SUM($AD43:$AJ43)=0,"",IFERROR((($AD43-$AJ43)/$AJ43),"N/A"))))</f>
        <v/>
      </c>
      <c r="AU43" s="813" t="str">
        <f t="shared" ca="1" si="30"/>
        <v/>
      </c>
      <c r="AV43" s="1163" t="str">
        <f t="shared" ca="1" si="24"/>
        <v/>
      </c>
      <c r="AW43" s="1351">
        <f t="shared" ca="1" si="47"/>
        <v>0</v>
      </c>
      <c r="AX43" s="1351">
        <f t="shared" ca="1" si="47"/>
        <v>0</v>
      </c>
      <c r="AY43" s="1351">
        <f t="shared" ca="1" si="47"/>
        <v>0</v>
      </c>
      <c r="AZ43" s="1073" t="str">
        <f t="shared" ca="1" si="49"/>
        <v/>
      </c>
      <c r="BA43" s="1163" t="str">
        <f t="shared" ca="1" si="26"/>
        <v/>
      </c>
      <c r="BB43" s="790"/>
      <c r="BC43" s="954" t="str">
        <f t="shared" ca="1" si="34"/>
        <v/>
      </c>
    </row>
    <row r="44" spans="1:55" ht="14.4" x14ac:dyDescent="0.3">
      <c r="A44" s="673"/>
      <c r="B44" s="90"/>
      <c r="C44" s="814"/>
      <c r="D44" s="814"/>
      <c r="E44" s="814"/>
      <c r="F44" s="814"/>
      <c r="G44" s="814"/>
      <c r="H44" s="814"/>
      <c r="I44" s="814"/>
      <c r="J44" s="90"/>
      <c r="K44" s="90"/>
      <c r="L44" s="90"/>
      <c r="M44" s="815"/>
      <c r="N44" s="90"/>
      <c r="O44" s="90"/>
      <c r="P44" s="90"/>
      <c r="Q44" s="90"/>
      <c r="R44" s="90"/>
      <c r="S44" s="90"/>
      <c r="T44" s="90"/>
      <c r="U44" s="90"/>
      <c r="V44" s="90"/>
      <c r="W44" s="90"/>
      <c r="X44" s="90"/>
      <c r="Y44" s="90"/>
      <c r="Z44" s="90"/>
      <c r="AA44" s="90"/>
      <c r="AB44" s="90"/>
      <c r="AC44" s="50"/>
      <c r="AD44" s="50"/>
      <c r="AE44" s="50"/>
      <c r="AF44" s="50"/>
      <c r="AG44" s="50"/>
      <c r="AH44" s="50"/>
      <c r="AI44" s="50"/>
      <c r="AJ44" s="50"/>
      <c r="AK44" s="50"/>
      <c r="AL44" s="50"/>
      <c r="AM44" s="50"/>
      <c r="AN44" s="50"/>
      <c r="AO44" s="50"/>
      <c r="AP44" s="50"/>
      <c r="AQ44" s="50"/>
      <c r="AR44" s="50"/>
      <c r="AS44" s="50"/>
      <c r="AT44" s="50"/>
      <c r="AU44" s="50"/>
      <c r="AV44" s="50"/>
      <c r="AW44" s="50"/>
      <c r="AX44" s="50"/>
      <c r="AY44" s="50"/>
      <c r="AZ44" s="50"/>
      <c r="BA44" s="50"/>
      <c r="BB44" s="50"/>
      <c r="BC44" s="50"/>
    </row>
    <row r="45" spans="1:55" ht="14.4" x14ac:dyDescent="0.3">
      <c r="A45" s="816" t="s">
        <v>65</v>
      </c>
      <c r="B45" s="817"/>
      <c r="C45" s="818"/>
      <c r="D45" s="818"/>
      <c r="E45" s="818"/>
      <c r="F45" s="818"/>
      <c r="G45" s="818"/>
      <c r="H45" s="818"/>
      <c r="I45" s="819" t="s">
        <v>23</v>
      </c>
      <c r="J45" s="819" t="s">
        <v>23</v>
      </c>
      <c r="K45" s="819" t="s">
        <v>23</v>
      </c>
      <c r="L45" s="819" t="s">
        <v>23</v>
      </c>
      <c r="M45" s="819" t="s">
        <v>23</v>
      </c>
      <c r="N45" s="819" t="s">
        <v>23</v>
      </c>
      <c r="O45" s="819" t="s">
        <v>23</v>
      </c>
      <c r="P45" s="819" t="s">
        <v>23</v>
      </c>
      <c r="Q45" s="819" t="s">
        <v>23</v>
      </c>
      <c r="R45" s="819" t="s">
        <v>23</v>
      </c>
      <c r="S45" s="819" t="s">
        <v>23</v>
      </c>
      <c r="T45" s="819" t="s">
        <v>23</v>
      </c>
      <c r="U45" s="819"/>
      <c r="V45" s="819"/>
      <c r="W45" s="819"/>
      <c r="X45" s="819"/>
      <c r="Y45" s="819" t="s">
        <v>23</v>
      </c>
      <c r="Z45" s="819" t="s">
        <v>23</v>
      </c>
      <c r="AA45" s="819" t="s">
        <v>23</v>
      </c>
      <c r="AB45" s="819" t="s">
        <v>23</v>
      </c>
      <c r="AC45" s="1076" t="s">
        <v>144</v>
      </c>
      <c r="AD45" s="1076" t="s">
        <v>144</v>
      </c>
      <c r="AE45" s="1076" t="s">
        <v>144</v>
      </c>
      <c r="AF45" s="1076" t="s">
        <v>144</v>
      </c>
      <c r="AG45" s="1076" t="s">
        <v>144</v>
      </c>
      <c r="AH45" s="1076" t="s">
        <v>144</v>
      </c>
      <c r="AI45" s="1076"/>
      <c r="AJ45" s="1076" t="s">
        <v>144</v>
      </c>
      <c r="AK45" s="1076" t="s">
        <v>144</v>
      </c>
      <c r="AL45" s="1076" t="s">
        <v>144</v>
      </c>
      <c r="AM45" s="1076" t="s">
        <v>144</v>
      </c>
      <c r="AN45" s="1076" t="s">
        <v>144</v>
      </c>
      <c r="AO45" s="1076" t="s">
        <v>144</v>
      </c>
      <c r="AP45" s="1076" t="s">
        <v>144</v>
      </c>
      <c r="AQ45" s="1076" t="s">
        <v>144</v>
      </c>
      <c r="AR45" s="1076" t="s">
        <v>144</v>
      </c>
      <c r="AS45" s="1076" t="s">
        <v>144</v>
      </c>
      <c r="AT45" s="1076" t="s">
        <v>144</v>
      </c>
      <c r="AU45" s="1076" t="s">
        <v>144</v>
      </c>
      <c r="AV45" s="1076"/>
      <c r="AW45" s="1076"/>
      <c r="AX45" s="1076"/>
      <c r="AY45" s="1076"/>
      <c r="AZ45" s="1076" t="s">
        <v>144</v>
      </c>
      <c r="BA45" s="1076" t="s">
        <v>144</v>
      </c>
      <c r="BB45" s="1076" t="s">
        <v>144</v>
      </c>
      <c r="BC45" s="1076" t="s">
        <v>144</v>
      </c>
    </row>
    <row r="46" spans="1:55" thickBot="1" x14ac:dyDescent="0.35">
      <c r="A46" s="1170"/>
      <c r="B46" s="55"/>
      <c r="C46" s="820"/>
      <c r="D46" s="820"/>
      <c r="E46" s="820"/>
      <c r="F46" s="820"/>
      <c r="G46" s="814"/>
      <c r="H46" s="814"/>
      <c r="I46" s="814"/>
      <c r="J46" s="90"/>
      <c r="K46" s="90"/>
      <c r="L46" s="90"/>
      <c r="M46" s="815"/>
      <c r="N46" s="90"/>
      <c r="O46" s="90"/>
      <c r="P46" s="90"/>
      <c r="Q46" s="90"/>
      <c r="R46" s="90"/>
      <c r="S46" s="90"/>
      <c r="T46" s="90"/>
      <c r="U46" s="90"/>
      <c r="V46" s="90"/>
      <c r="W46" s="90"/>
      <c r="X46" s="90"/>
      <c r="Y46" s="90"/>
      <c r="Z46" s="90"/>
      <c r="AA46" s="90"/>
      <c r="AB46" s="90"/>
      <c r="AC46" s="50"/>
      <c r="AD46" s="50"/>
      <c r="AE46" s="50"/>
      <c r="AF46" s="50"/>
      <c r="AG46" s="50"/>
      <c r="AH46" s="50"/>
      <c r="AI46" s="50"/>
      <c r="AJ46" s="50"/>
      <c r="AK46" s="50"/>
      <c r="AL46" s="50"/>
      <c r="AM46" s="50"/>
      <c r="AN46" s="50"/>
      <c r="AO46" s="50"/>
      <c r="AP46" s="50"/>
      <c r="AQ46" s="50"/>
      <c r="AR46" s="50"/>
      <c r="AS46" s="50"/>
      <c r="AT46" s="50"/>
      <c r="AU46" s="50"/>
      <c r="AV46" s="50"/>
      <c r="AW46" s="50"/>
      <c r="AX46" s="50"/>
      <c r="AY46" s="50"/>
      <c r="AZ46" s="50"/>
      <c r="BA46" s="50"/>
      <c r="BB46" s="50"/>
      <c r="BC46" s="50"/>
    </row>
    <row r="47" spans="1:55" ht="27.6" x14ac:dyDescent="0.3">
      <c r="A47" s="2250"/>
      <c r="B47" s="2251"/>
      <c r="C47" s="1244" t="s">
        <v>176</v>
      </c>
      <c r="D47" s="2254" t="s">
        <v>177</v>
      </c>
      <c r="E47" s="2255"/>
      <c r="F47" s="2255"/>
      <c r="G47" s="2256"/>
      <c r="H47" s="2257"/>
      <c r="I47" s="2258"/>
      <c r="J47" s="2168" t="s">
        <v>428</v>
      </c>
      <c r="K47" s="2169"/>
      <c r="L47" s="2170" t="s">
        <v>429</v>
      </c>
      <c r="M47" s="2171"/>
      <c r="N47" s="2172"/>
      <c r="O47" s="2173" t="s">
        <v>430</v>
      </c>
      <c r="P47" s="2170"/>
      <c r="Q47" s="2170"/>
      <c r="R47" s="2171"/>
      <c r="S47" s="2174"/>
      <c r="T47" s="2173" t="s">
        <v>418</v>
      </c>
      <c r="U47" s="2171"/>
      <c r="V47" s="2171"/>
      <c r="W47" s="2171"/>
      <c r="X47" s="2171"/>
      <c r="Y47" s="2171"/>
      <c r="Z47" s="2171"/>
      <c r="AA47" s="2174"/>
      <c r="AB47" s="2192" t="s">
        <v>433</v>
      </c>
      <c r="AC47" s="2215" t="s">
        <v>432</v>
      </c>
      <c r="AD47" s="1318" t="s">
        <v>176</v>
      </c>
      <c r="AE47" s="2217" t="s">
        <v>177</v>
      </c>
      <c r="AF47" s="2218"/>
      <c r="AG47" s="2218"/>
      <c r="AH47" s="2219"/>
      <c r="AI47" s="2220"/>
      <c r="AJ47" s="2221"/>
      <c r="AK47" s="2209" t="s">
        <v>428</v>
      </c>
      <c r="AL47" s="2210"/>
      <c r="AM47" s="2185" t="s">
        <v>429</v>
      </c>
      <c r="AN47" s="2183"/>
      <c r="AO47" s="2184"/>
      <c r="AP47" s="2185" t="s">
        <v>430</v>
      </c>
      <c r="AQ47" s="2182"/>
      <c r="AR47" s="2182"/>
      <c r="AS47" s="2183"/>
      <c r="AT47" s="2186"/>
      <c r="AU47" s="2194" t="s">
        <v>418</v>
      </c>
      <c r="AV47" s="2194"/>
      <c r="AW47" s="2194"/>
      <c r="AX47" s="2194"/>
      <c r="AY47" s="2194"/>
      <c r="AZ47" s="2194"/>
      <c r="BA47" s="2194"/>
      <c r="BB47" s="2194"/>
      <c r="BC47" s="2215" t="s">
        <v>433</v>
      </c>
    </row>
    <row r="48" spans="1:55" ht="55.8" thickBot="1" x14ac:dyDescent="0.35">
      <c r="A48" s="2252"/>
      <c r="B48" s="2253"/>
      <c r="C48" s="1250" t="str">
        <f>C14</f>
        <v>Q4</v>
      </c>
      <c r="D48" s="821" t="str">
        <f t="shared" ref="D48:I48" si="55">D14</f>
        <v>Q3</v>
      </c>
      <c r="E48" s="925" t="str">
        <f t="shared" si="55"/>
        <v>Q2</v>
      </c>
      <c r="F48" s="925" t="str">
        <f t="shared" si="55"/>
        <v>Q1</v>
      </c>
      <c r="G48" s="822" t="str">
        <f t="shared" si="55"/>
        <v>Q4-19</v>
      </c>
      <c r="H48" s="822" t="str">
        <f t="shared" si="55"/>
        <v>2018-2019</v>
      </c>
      <c r="I48" s="823" t="str">
        <f t="shared" si="55"/>
        <v>25% of previous year total</v>
      </c>
      <c r="J48" s="824" t="s">
        <v>434</v>
      </c>
      <c r="K48" s="825" t="s">
        <v>435</v>
      </c>
      <c r="L48" s="1050" t="s">
        <v>436</v>
      </c>
      <c r="M48" s="826" t="s">
        <v>437</v>
      </c>
      <c r="N48" s="827" t="s">
        <v>435</v>
      </c>
      <c r="O48" s="828" t="s">
        <v>438</v>
      </c>
      <c r="P48" s="925" t="s">
        <v>470</v>
      </c>
      <c r="Q48" s="925" t="s">
        <v>471</v>
      </c>
      <c r="R48" s="829" t="s">
        <v>439</v>
      </c>
      <c r="S48" s="830" t="s">
        <v>440</v>
      </c>
      <c r="T48" s="2261" t="s">
        <v>441</v>
      </c>
      <c r="U48" s="2262"/>
      <c r="V48" s="1403"/>
      <c r="W48" s="1403"/>
      <c r="X48" s="1403"/>
      <c r="Y48" s="2263" t="s">
        <v>442</v>
      </c>
      <c r="Z48" s="2262"/>
      <c r="AA48" s="830" t="s">
        <v>435</v>
      </c>
      <c r="AB48" s="2249" t="s">
        <v>433</v>
      </c>
      <c r="AC48" s="2216"/>
      <c r="AD48" s="1319" t="str">
        <f>AD14</f>
        <v>Q4</v>
      </c>
      <c r="AE48" s="832" t="str">
        <f t="shared" ref="AE48:AI48" si="56">AE14</f>
        <v>Q3</v>
      </c>
      <c r="AF48" s="730" t="str">
        <f t="shared" si="56"/>
        <v>Q2</v>
      </c>
      <c r="AG48" s="730" t="str">
        <f t="shared" si="56"/>
        <v>Q1</v>
      </c>
      <c r="AH48" s="833" t="str">
        <f t="shared" si="56"/>
        <v>Q4-19</v>
      </c>
      <c r="AI48" s="833" t="str">
        <f t="shared" si="56"/>
        <v>2018-2019</v>
      </c>
      <c r="AJ48" s="834" t="s">
        <v>178</v>
      </c>
      <c r="AK48" s="835" t="s">
        <v>434</v>
      </c>
      <c r="AL48" s="836" t="s">
        <v>435</v>
      </c>
      <c r="AM48" s="1167" t="s">
        <v>436</v>
      </c>
      <c r="AN48" s="837" t="s">
        <v>437</v>
      </c>
      <c r="AO48" s="838" t="s">
        <v>435</v>
      </c>
      <c r="AP48" s="731" t="s">
        <v>438</v>
      </c>
      <c r="AQ48" s="730" t="s">
        <v>470</v>
      </c>
      <c r="AR48" s="730" t="s">
        <v>471</v>
      </c>
      <c r="AS48" s="1168" t="s">
        <v>439</v>
      </c>
      <c r="AT48" s="732" t="s">
        <v>440</v>
      </c>
      <c r="AU48" s="1378" t="s">
        <v>441</v>
      </c>
      <c r="AV48" s="839" t="s">
        <v>444</v>
      </c>
      <c r="AW48" s="1403"/>
      <c r="AX48" s="1403"/>
      <c r="AY48" s="1403"/>
      <c r="AZ48" s="839" t="s">
        <v>442</v>
      </c>
      <c r="BA48" s="839" t="s">
        <v>443</v>
      </c>
      <c r="BB48" s="1379" t="s">
        <v>435</v>
      </c>
      <c r="BC48" s="2216"/>
    </row>
    <row r="49" spans="1:55" ht="12.75" customHeight="1" thickBot="1" x14ac:dyDescent="0.35">
      <c r="A49" s="2241" t="s">
        <v>69</v>
      </c>
      <c r="B49" s="2242"/>
      <c r="C49" s="1177">
        <f t="shared" ref="C49:H49" ca="1" si="57">INDIRECT(CONCATENATE("'",C$14,"'!$D$53"),TRUE)</f>
        <v>0</v>
      </c>
      <c r="D49" s="840">
        <f t="shared" ca="1" si="57"/>
        <v>0</v>
      </c>
      <c r="E49" s="743">
        <f t="shared" ca="1" si="57"/>
        <v>0</v>
      </c>
      <c r="F49" s="743">
        <f t="shared" ca="1" si="57"/>
        <v>0</v>
      </c>
      <c r="G49" s="743">
        <f t="shared" ca="1" si="57"/>
        <v>0</v>
      </c>
      <c r="H49" s="743">
        <f t="shared" ca="1" si="57"/>
        <v>0</v>
      </c>
      <c r="I49" s="841">
        <f t="shared" ref="I49" ca="1" si="58">H49/4</f>
        <v>0</v>
      </c>
      <c r="J49" s="842" t="str">
        <f ca="1">IF(AND(C49&gt;0,SUM(D49:I49)&gt;0),"",IF(AND(C49=0,SUM(C49:I49)=0),"",IF(AND(C49=0,D49&gt;0),"Missing value?",IF(AND(C49=0,I49&gt;0),"Missing value?","New category"))))</f>
        <v/>
      </c>
      <c r="K49" s="843"/>
      <c r="L49" s="844"/>
      <c r="M49" s="744"/>
      <c r="N49" s="845"/>
      <c r="O49" s="846" t="str">
        <f t="shared" ca="1" si="51"/>
        <v/>
      </c>
      <c r="P49" s="745" t="str">
        <f ca="1">IF(OR(+$J49="missing?",+$J49="new category"),"",IF($E49=0,"",IF(SUM($C49:$I49)=0,"",IFERROR((($C49-$E49)/$E49),"N/A"))))</f>
        <v/>
      </c>
      <c r="Q49" s="745" t="str">
        <f ca="1">IF(OR(+$J49="missing?",+$J49="new category"),"",IF($F49=0,"",IF(SUM($C49:$I49)=0,"",IFERROR((($C49-$F49)/$F49),"N/A"))))</f>
        <v/>
      </c>
      <c r="R49" s="745" t="str">
        <f t="shared" ca="1" si="11"/>
        <v/>
      </c>
      <c r="S49" s="1356" t="str">
        <f t="shared" ca="1" si="12"/>
        <v/>
      </c>
      <c r="T49" s="846" t="str">
        <f t="shared" ref="T49" ca="1" si="59">IF(SUM(C49:I49)=0,"",IF(OR(AND(C49=0,SUM(D49:I49)&gt;0),AND(C49&gt;0,SUM(D49:I49)=0)),1,IF(MAX(IF(O49&lt;0,-O49,O49),IF(P49&lt;0,-P49,P49),IF(Q49&lt;0,-Q49,Q49),IF(R49&lt;0,-R49,R49),IF(S49&lt;0,-S49,S49))=0,"",MAX(IF(O49&lt;0,-O49,O49),IF(P49&lt;0,-P49,P49),IF(Q49&lt;0,-Q49,Q49),IF(R49&lt;0,-R49,R49),IF(S49&lt;0,-S49,S49)))))</f>
        <v/>
      </c>
      <c r="U49" s="847" t="str">
        <f ca="1">IF(+T49="","",IF(T49&gt;L$3,"H",IF(T49&gt;L$4,"M","")))</f>
        <v/>
      </c>
      <c r="V49" s="1404"/>
      <c r="W49" s="1404"/>
      <c r="X49" s="1404"/>
      <c r="Y49" s="1054" t="str">
        <f ca="1">IF(MAX(C49:G49,I49)&gt;0,T49*(MAX(C49:G49,I49)/1000)/L$7,"")</f>
        <v/>
      </c>
      <c r="Z49" s="847" t="str">
        <f ca="1">IF(+Y49="","",IF(Y49&gt;L$3,"H",IF(Y49&gt;L$4,"M","")))</f>
        <v/>
      </c>
      <c r="AA49" s="843"/>
      <c r="AB49" s="954" t="str">
        <f t="shared" ref="AB49" ca="1" si="60">IF(CONCATENATE(IF(K49="OK","",J49),"    ",IF(L49="","",IF(N49="OK","",CONCATENATE(M49," = ",ROUND(L49,3),"kgCO2e/kWh"))),"    ",IF(AND(+AA49="",Z49="M"),"Value change with medium impact",IF(AND(AA49="",Z49="H"),"Value change with high impact",""))," ")="         ","",CONCATENATE(IF(K49="OK","",J49),"    ",IF(L49="","",IF(N49="OK","",CONCATENATE(M49," = ",ROUND(L49,3),"kgCO2e/kWh"))),"    ",IF(AND(+AA49="",Z49="M"),"Value change with medium impact",IF(AND(AA49="",Z49="H"),"Value change with high impact",""))," "))</f>
        <v/>
      </c>
      <c r="AC49" s="48" t="str">
        <f ca="1">IF(AD49&gt;C49,"Offices only&gt;Total Estate","")</f>
        <v/>
      </c>
      <c r="AD49" s="848">
        <f t="shared" ref="AD49:AI49" ca="1" si="61">INDIRECT(CONCATENATE("'",AD$14,"'!$G$53"),TRUE)</f>
        <v>0</v>
      </c>
      <c r="AE49" s="786">
        <f t="shared" ca="1" si="61"/>
        <v>0</v>
      </c>
      <c r="AF49" s="787">
        <f t="shared" ca="1" si="61"/>
        <v>0</v>
      </c>
      <c r="AG49" s="787">
        <f t="shared" ca="1" si="61"/>
        <v>0</v>
      </c>
      <c r="AH49" s="787">
        <f t="shared" ca="1" si="61"/>
        <v>728049.589172362</v>
      </c>
      <c r="AI49" s="787">
        <f t="shared" ca="1" si="61"/>
        <v>728049.589172362</v>
      </c>
      <c r="AJ49" s="788">
        <f ca="1">AI49/4</f>
        <v>182012.3972930905</v>
      </c>
      <c r="AK49" s="849" t="str">
        <f t="shared" ref="AK49" ca="1" si="62">IF(AND(AD49&gt;0,SUM(AE49:AJ49)&gt;0),"",IF(AND(AD49=0,SUM(AD49:AJ49)=0),"",IF(AND(AD49=0,AE49&gt;0),"Missing value?",IF(AND(AD49=0,AJ49&gt;0),"Missing value?","New category"))))</f>
        <v>Missing value?</v>
      </c>
      <c r="AL49" s="796"/>
      <c r="AM49" s="850"/>
      <c r="AN49" s="744"/>
      <c r="AO49" s="851"/>
      <c r="AP49" s="793" t="str">
        <f t="shared" ref="AP49" ca="1" si="63">IF(OR(+$AK49="missing?",+$AK49="new category"),"",IF($AE49=0,"",IF(SUM($AD49:$AJ49)=0,"",IFERROR((($AD49-$AE49)/$AE49),"N/A"))))</f>
        <v/>
      </c>
      <c r="AQ49" s="1070" t="str">
        <f t="shared" ref="AQ49" ca="1" si="64">IF(OR(+$AK49="missing?",+$AK49="new category"),"",IF($AF49=0,"",IF(SUM($AD49:$AJ49)=0,"",IFERROR((($AD49-$AF49)/$AF49),"N/A"))))</f>
        <v/>
      </c>
      <c r="AR49" s="1072" t="str">
        <f t="shared" ref="AR49" ca="1" si="65">IF(OR(+$AK49="missing?",+$AK49="new category"),"",IF($AG49=0,"",IF(SUM($AD49:$AJ49)=0,"",IFERROR((($AD49-$AG49)/$AG49),"N/A"))))</f>
        <v/>
      </c>
      <c r="AS49" s="1072">
        <f t="shared" ref="AS49" ca="1" si="66">IF(OR(+$AK49="missing?",+$AK49="new category"),"",IF($AH49=0,"",IF(SUM($AD49:$AJ49)=0,"",IFERROR((($AD49-$AH49)/$AH49),"N/A"))))</f>
        <v>-1</v>
      </c>
      <c r="AT49" s="1075">
        <f ca="1">IF(OR(+$AK49="missing?",+$AK49="new category"),"",IF($AJ49=0,"",IF(SUM($AD49:$AJ49)=0,"",IFERROR((($AD49-$AJ49)/$AJ49),"N/A"))))</f>
        <v>-1</v>
      </c>
      <c r="AU49" s="1380">
        <f t="shared" ref="AU49" ca="1" si="67">IF(MAX(IF(AP49&lt;0,-AP49,AP49),IF(AS49&lt;0,-AS49,AS49),IF(AT49&lt;0,-AT49,AT49))=0,"",MAX(IF(AP49&lt;0,-AP49,AP49),IF(AQ49&lt;0,-AQ49,AQ49),IF(AR49&lt;0,-AR49,AR49),IF(AS49&lt;0,-AS49,AS49),IF(AT49&lt;0,-AT49,AT49)))</f>
        <v>1</v>
      </c>
      <c r="AV49" s="847" t="str">
        <f ca="1">IF(+AU49="","",IF(AU49&gt;L$3,"H",IF(AU49&gt;L$4,"M","")))</f>
        <v>H</v>
      </c>
      <c r="AW49" s="1404"/>
      <c r="AX49" s="1404"/>
      <c r="AY49" s="1404"/>
      <c r="AZ49" s="1054" t="e">
        <f ca="1">IF(MAX(AD49:AH49,AJ49)&gt;0,AU49*(MAX(AD49:AH49,AJ49)/1000)/AM$7,"")</f>
        <v>#DIV/0!</v>
      </c>
      <c r="BA49" s="847" t="e">
        <f ca="1">IF(+AZ49="","",IF(AZ49&gt;L$3,"H",IF(AZ49&gt;L$4,"M","")))</f>
        <v>#DIV/0!</v>
      </c>
      <c r="BB49" s="843"/>
      <c r="BC49" s="794" t="e">
        <f ca="1">IF(CONCATENATE(AC49, "    ", IF(AL49="OK","",AK49), "    ",IF(AM49="","",IF(AO49="OK","",CONCATENATE(AN49," = ",ROUND(AM49,3),"kgCO2e/kWh"))),"    ",IF(AND(+BB49="",BA49="M"),"Value change with medium impact",IF(AND(BB49="",BA49="H"),"Value change with high impact",""))," ")="             ","",CONCATENATE(AC49, "    ", IF(AL49="OK","",AK49), "    ",IF(AM49="","",IF(AO49="OK","",CONCATENATE(AN49," = ",ROUND(AM49,3),"kgCO2e/kWh"))),"    ",IF(AND(+BB49="",BA49="M"),"Value change with medium impact",IF(AND(BB49="",BA49="H"),"Value change with high impact",""))," "))</f>
        <v>#DIV/0!</v>
      </c>
    </row>
    <row r="50" spans="1:55" ht="14.4" x14ac:dyDescent="0.3">
      <c r="A50" s="90"/>
      <c r="B50" s="90"/>
      <c r="C50" s="814"/>
      <c r="D50" s="814"/>
      <c r="E50" s="814"/>
      <c r="F50" s="814"/>
      <c r="G50" s="814"/>
      <c r="H50" s="814"/>
      <c r="I50" s="814"/>
      <c r="J50" s="852" t="str">
        <f>IF(AND(C50&gt;0,SUM(D50:I50)&gt;0),"",IF(AND(C50=0,SUM(C50:I50)=0),"",IF(AND(C50=0,D50&gt;0),"missing?",IF(AND(C50=0,I50&gt;0),"missing?","new category"))))</f>
        <v/>
      </c>
      <c r="K50" s="852"/>
      <c r="L50" s="852"/>
      <c r="M50" s="853"/>
      <c r="N50" s="852"/>
      <c r="O50" s="854" t="str">
        <f t="shared" si="51"/>
        <v/>
      </c>
      <c r="P50" s="854"/>
      <c r="Q50" s="854"/>
      <c r="R50" s="854" t="str">
        <f t="shared" si="11"/>
        <v/>
      </c>
      <c r="S50" s="854" t="str">
        <f t="shared" si="12"/>
        <v/>
      </c>
      <c r="T50" s="855" t="str">
        <f>IF(MAX(IF(O50&lt;0,-O50,O50),IF(R50&lt;0,-R50,R50),IF(S50&lt;0,-S50,S50))=0,"",MAX(IF(O50&lt;0,-O50,O50),IF(R50&lt;0,-R50,R50),IF(S50&lt;0,-S50,S50)))</f>
        <v/>
      </c>
      <c r="U50" s="855"/>
      <c r="V50" s="855"/>
      <c r="W50" s="855"/>
      <c r="X50" s="855"/>
      <c r="Y50" s="855"/>
      <c r="Z50" s="713" t="str">
        <f>IF(+Y50="","",IF(Y50&gt;L$3,"H",IF(Y50&lt;L$4,"L","M")))</f>
        <v/>
      </c>
      <c r="AA50" s="856"/>
      <c r="AB50" s="854" t="str">
        <f>IF(AND(OR(AA50="OK",Z50="L",Z50=""),OR(J50="",K50="OK"),OR(+L50="",N50="OK")),"","Unresolved issue")</f>
        <v/>
      </c>
      <c r="AC50" s="50"/>
      <c r="AD50" s="50"/>
      <c r="AE50" s="50"/>
      <c r="AF50" s="50"/>
      <c r="AG50" s="50"/>
      <c r="AH50" s="50"/>
      <c r="AI50" s="50"/>
      <c r="AJ50" s="50"/>
      <c r="AK50" s="50"/>
      <c r="AL50" s="50"/>
      <c r="AM50" s="50"/>
      <c r="AN50" s="50"/>
      <c r="AO50" s="50"/>
      <c r="AP50" s="50"/>
      <c r="AQ50" s="50"/>
      <c r="AR50" s="50"/>
      <c r="AS50" s="50"/>
      <c r="AT50" s="50"/>
      <c r="AU50" s="50"/>
      <c r="AV50" s="50"/>
      <c r="AW50" s="50"/>
      <c r="AX50" s="50"/>
      <c r="AY50" s="50"/>
      <c r="AZ50" s="50"/>
      <c r="BA50" s="50"/>
      <c r="BB50" s="50"/>
      <c r="BC50" s="50"/>
    </row>
    <row r="51" spans="1:55" ht="14.4" x14ac:dyDescent="0.3">
      <c r="A51" s="90"/>
      <c r="B51" s="90"/>
      <c r="C51" s="814"/>
      <c r="D51" s="814"/>
      <c r="E51" s="814"/>
      <c r="F51" s="814"/>
      <c r="G51" s="814"/>
      <c r="H51" s="814"/>
      <c r="I51" s="814"/>
      <c r="J51" s="852"/>
      <c r="K51" s="852"/>
      <c r="L51" s="852"/>
      <c r="M51" s="853"/>
      <c r="N51" s="852"/>
      <c r="O51" s="854"/>
      <c r="P51" s="854"/>
      <c r="Q51" s="854"/>
      <c r="R51" s="854"/>
      <c r="S51" s="854"/>
      <c r="T51" s="855"/>
      <c r="U51" s="855"/>
      <c r="V51" s="855"/>
      <c r="W51" s="855"/>
      <c r="X51" s="855"/>
      <c r="Y51" s="855"/>
      <c r="Z51" s="713"/>
      <c r="AA51" s="856"/>
      <c r="AB51" s="854"/>
      <c r="AC51" s="50"/>
      <c r="AD51" s="50"/>
      <c r="AE51" s="50"/>
      <c r="AF51" s="50"/>
      <c r="AG51" s="50"/>
      <c r="AH51" s="50"/>
      <c r="AI51" s="50"/>
      <c r="AJ51" s="50"/>
      <c r="AK51" s="50"/>
      <c r="AL51" s="50"/>
      <c r="AM51" s="50"/>
      <c r="AN51" s="50"/>
      <c r="AO51" s="50"/>
      <c r="AP51" s="50"/>
      <c r="AQ51" s="50"/>
      <c r="AR51" s="50"/>
      <c r="AS51" s="50"/>
      <c r="AT51" s="50"/>
      <c r="AU51" s="50"/>
      <c r="AV51" s="50"/>
      <c r="AW51" s="50"/>
      <c r="AX51" s="50"/>
      <c r="AY51" s="50"/>
      <c r="AZ51" s="50"/>
      <c r="BA51" s="50"/>
      <c r="BB51" s="50"/>
      <c r="BC51" s="50"/>
    </row>
    <row r="52" spans="1:55" ht="14.4" x14ac:dyDescent="0.3">
      <c r="A52" s="816" t="s">
        <v>71</v>
      </c>
      <c r="B52" s="817"/>
      <c r="C52" s="857"/>
      <c r="D52" s="857"/>
      <c r="E52" s="857"/>
      <c r="F52" s="857"/>
      <c r="G52" s="857"/>
      <c r="H52" s="857"/>
      <c r="I52" s="819" t="s">
        <v>23</v>
      </c>
      <c r="J52" s="819" t="s">
        <v>23</v>
      </c>
      <c r="K52" s="819" t="s">
        <v>23</v>
      </c>
      <c r="L52" s="819" t="s">
        <v>23</v>
      </c>
      <c r="M52" s="819" t="s">
        <v>23</v>
      </c>
      <c r="N52" s="819" t="s">
        <v>23</v>
      </c>
      <c r="O52" s="819" t="s">
        <v>23</v>
      </c>
      <c r="P52" s="819" t="s">
        <v>23</v>
      </c>
      <c r="Q52" s="819" t="s">
        <v>23</v>
      </c>
      <c r="R52" s="819" t="s">
        <v>23</v>
      </c>
      <c r="S52" s="819" t="s">
        <v>23</v>
      </c>
      <c r="T52" s="819" t="s">
        <v>23</v>
      </c>
      <c r="U52" s="819"/>
      <c r="V52" s="819"/>
      <c r="W52" s="819"/>
      <c r="X52" s="819"/>
      <c r="Y52" s="819" t="s">
        <v>23</v>
      </c>
      <c r="Z52" s="819" t="s">
        <v>23</v>
      </c>
      <c r="AA52" s="819" t="s">
        <v>23</v>
      </c>
      <c r="AB52" s="819" t="s">
        <v>23</v>
      </c>
      <c r="AC52" s="50"/>
      <c r="AD52" s="50"/>
      <c r="AE52" s="50"/>
      <c r="AF52" s="50"/>
      <c r="AG52" s="50"/>
      <c r="AH52" s="50"/>
      <c r="AI52" s="50"/>
      <c r="AJ52" s="50"/>
      <c r="AK52" s="50"/>
      <c r="AL52" s="50"/>
      <c r="AM52" s="50"/>
      <c r="AN52" s="50"/>
      <c r="AO52" s="50"/>
      <c r="AP52" s="50"/>
      <c r="AQ52" s="50"/>
      <c r="AR52" s="50"/>
      <c r="AS52" s="50"/>
      <c r="AT52" s="50"/>
      <c r="AU52" s="50"/>
      <c r="AV52" s="50"/>
      <c r="AW52" s="50"/>
      <c r="AX52" s="50"/>
      <c r="AY52" s="50"/>
      <c r="AZ52" s="50"/>
      <c r="BA52" s="50"/>
      <c r="BB52" s="50"/>
      <c r="BC52" s="50"/>
    </row>
    <row r="53" spans="1:55" ht="13.5" customHeight="1" thickBot="1" x14ac:dyDescent="0.35">
      <c r="A53" s="1170"/>
      <c r="B53" s="55"/>
      <c r="C53" s="820"/>
      <c r="D53" s="820"/>
      <c r="E53" s="820"/>
      <c r="F53" s="820"/>
      <c r="G53" s="820"/>
      <c r="H53" s="820"/>
      <c r="I53" s="820"/>
      <c r="J53" s="852"/>
      <c r="K53" s="852"/>
      <c r="L53" s="852"/>
      <c r="M53" s="853"/>
      <c r="N53" s="852"/>
      <c r="O53" s="854"/>
      <c r="P53" s="854"/>
      <c r="Q53" s="854"/>
      <c r="R53" s="854"/>
      <c r="S53" s="854"/>
      <c r="T53" s="855"/>
      <c r="U53" s="855"/>
      <c r="V53" s="855"/>
      <c r="W53" s="855"/>
      <c r="X53" s="855"/>
      <c r="Y53" s="855"/>
      <c r="Z53" s="713"/>
      <c r="AA53" s="856"/>
      <c r="AB53" s="854"/>
      <c r="AC53" s="50"/>
      <c r="AD53" s="50"/>
      <c r="AE53" s="50"/>
      <c r="AF53" s="50"/>
      <c r="AG53" s="50"/>
      <c r="AH53" s="50"/>
      <c r="AI53" s="50"/>
      <c r="AJ53" s="50"/>
      <c r="AK53" s="50"/>
      <c r="AL53" s="50"/>
      <c r="AM53" s="50"/>
      <c r="AN53" s="50"/>
      <c r="AO53" s="50"/>
      <c r="AP53" s="50"/>
      <c r="AQ53" s="50"/>
      <c r="AR53" s="50"/>
      <c r="AS53" s="50"/>
      <c r="AT53" s="50"/>
      <c r="AU53" s="50"/>
      <c r="AV53" s="50"/>
      <c r="AW53" s="50"/>
      <c r="AX53" s="50"/>
      <c r="AY53" s="50"/>
      <c r="AZ53" s="50"/>
      <c r="BA53" s="50"/>
      <c r="BB53" s="50"/>
      <c r="BC53" s="50"/>
    </row>
    <row r="54" spans="1:55" ht="27.6" x14ac:dyDescent="0.3">
      <c r="A54" s="2243" t="s">
        <v>180</v>
      </c>
      <c r="B54" s="2244"/>
      <c r="C54" s="1244" t="s">
        <v>176</v>
      </c>
      <c r="D54" s="2164" t="s">
        <v>177</v>
      </c>
      <c r="E54" s="2165"/>
      <c r="F54" s="2165"/>
      <c r="G54" s="2166"/>
      <c r="H54" s="2167"/>
      <c r="I54" s="2231"/>
      <c r="J54" s="2247" t="s">
        <v>428</v>
      </c>
      <c r="K54" s="2248"/>
      <c r="L54" s="2173" t="s">
        <v>429</v>
      </c>
      <c r="M54" s="2171"/>
      <c r="N54" s="2174"/>
      <c r="O54" s="2173" t="s">
        <v>430</v>
      </c>
      <c r="P54" s="2170"/>
      <c r="Q54" s="2170"/>
      <c r="R54" s="2171"/>
      <c r="S54" s="2174"/>
      <c r="T54" s="2173" t="s">
        <v>418</v>
      </c>
      <c r="U54" s="2171"/>
      <c r="V54" s="2171"/>
      <c r="W54" s="2171"/>
      <c r="X54" s="2171"/>
      <c r="Y54" s="2171"/>
      <c r="Z54" s="2171"/>
      <c r="AA54" s="2174"/>
      <c r="AB54" s="2259" t="s">
        <v>433</v>
      </c>
      <c r="AC54" s="50"/>
      <c r="AD54" s="50"/>
      <c r="AE54" s="50"/>
      <c r="AF54" s="50"/>
      <c r="AG54" s="50"/>
      <c r="AH54" s="50"/>
      <c r="AI54" s="50"/>
      <c r="AJ54" s="50"/>
      <c r="AK54" s="50"/>
      <c r="AL54" s="50"/>
      <c r="AM54" s="50"/>
      <c r="AN54" s="50"/>
      <c r="AO54" s="50"/>
      <c r="AP54" s="50"/>
      <c r="AQ54" s="50"/>
      <c r="AR54" s="50"/>
      <c r="AS54" s="50"/>
      <c r="AT54" s="50"/>
      <c r="AU54" s="50"/>
      <c r="AV54" s="50"/>
      <c r="AW54" s="50"/>
      <c r="AX54" s="50"/>
      <c r="AY54" s="50"/>
      <c r="AZ54" s="50"/>
      <c r="BA54" s="50"/>
      <c r="BB54" s="50"/>
      <c r="BC54" s="50"/>
    </row>
    <row r="55" spans="1:55" ht="44.25" customHeight="1" thickBot="1" x14ac:dyDescent="0.35">
      <c r="A55" s="2245"/>
      <c r="B55" s="2246"/>
      <c r="C55" s="1250" t="str">
        <f>C14</f>
        <v>Q4</v>
      </c>
      <c r="D55" s="821" t="str">
        <f t="shared" ref="D55:I55" si="68">D14</f>
        <v>Q3</v>
      </c>
      <c r="E55" s="925" t="str">
        <f t="shared" si="68"/>
        <v>Q2</v>
      </c>
      <c r="F55" s="925" t="str">
        <f t="shared" si="68"/>
        <v>Q1</v>
      </c>
      <c r="G55" s="822" t="str">
        <f t="shared" si="68"/>
        <v>Q4-19</v>
      </c>
      <c r="H55" s="822" t="str">
        <f t="shared" si="68"/>
        <v>2018-2019</v>
      </c>
      <c r="I55" s="823" t="str">
        <f t="shared" si="68"/>
        <v>25% of previous year total</v>
      </c>
      <c r="J55" s="858" t="s">
        <v>434</v>
      </c>
      <c r="K55" s="859" t="s">
        <v>435</v>
      </c>
      <c r="L55" s="831" t="s">
        <v>436</v>
      </c>
      <c r="M55" s="826" t="s">
        <v>437</v>
      </c>
      <c r="N55" s="860" t="s">
        <v>435</v>
      </c>
      <c r="O55" s="828" t="s">
        <v>438</v>
      </c>
      <c r="P55" s="925" t="s">
        <v>470</v>
      </c>
      <c r="Q55" s="925" t="s">
        <v>471</v>
      </c>
      <c r="R55" s="829" t="s">
        <v>439</v>
      </c>
      <c r="S55" s="830" t="s">
        <v>440</v>
      </c>
      <c r="T55" s="2156" t="s">
        <v>441</v>
      </c>
      <c r="U55" s="2155"/>
      <c r="V55" s="829" t="str">
        <f>V14</f>
        <v>Q4</v>
      </c>
      <c r="W55" s="829" t="str">
        <f t="shared" ref="W55:X55" si="69">W14</f>
        <v>Q3</v>
      </c>
      <c r="X55" s="829" t="str">
        <f t="shared" si="69"/>
        <v>2018-2019</v>
      </c>
      <c r="Y55" s="2157" t="s">
        <v>442</v>
      </c>
      <c r="Z55" s="2155"/>
      <c r="AA55" s="830" t="s">
        <v>445</v>
      </c>
      <c r="AB55" s="2260" t="s">
        <v>433</v>
      </c>
      <c r="AC55" s="50"/>
      <c r="AD55" s="50"/>
      <c r="AE55" s="50"/>
      <c r="AF55" s="50"/>
      <c r="AG55" s="50"/>
      <c r="AH55" s="50"/>
      <c r="AI55" s="50"/>
      <c r="AJ55" s="50"/>
      <c r="AK55" s="50"/>
      <c r="AL55" s="50"/>
      <c r="AM55" s="50"/>
      <c r="AN55" s="50"/>
      <c r="AO55" s="50"/>
      <c r="AP55" s="50"/>
      <c r="AQ55" s="50"/>
      <c r="AR55" s="50"/>
      <c r="AS55" s="50"/>
      <c r="AT55" s="50"/>
      <c r="AU55" s="50"/>
      <c r="AV55" s="50"/>
      <c r="AW55" s="50"/>
      <c r="AX55" s="50"/>
      <c r="AY55" s="50"/>
      <c r="AZ55" s="50"/>
      <c r="BA55" s="50"/>
      <c r="BB55" s="50"/>
      <c r="BC55" s="50"/>
    </row>
    <row r="56" spans="1:55" ht="12.75" customHeight="1" thickBot="1" x14ac:dyDescent="0.35">
      <c r="A56" s="2225" t="s">
        <v>77</v>
      </c>
      <c r="B56" s="2226"/>
      <c r="C56" s="1177">
        <f t="shared" ref="C56:H56" ca="1" si="70">INDIRECT(CONCATENATE("'",C$14,"'!$D$64"),TRUE)</f>
        <v>0</v>
      </c>
      <c r="D56" s="733">
        <f t="shared" ca="1" si="70"/>
        <v>0</v>
      </c>
      <c r="E56" s="734">
        <f t="shared" ca="1" si="70"/>
        <v>4686290.49</v>
      </c>
      <c r="F56" s="734">
        <f t="shared" ca="1" si="70"/>
        <v>5025581</v>
      </c>
      <c r="G56" s="734">
        <f t="shared" ca="1" si="70"/>
        <v>4632492.45567476</v>
      </c>
      <c r="H56" s="734">
        <f t="shared" ca="1" si="70"/>
        <v>18302892.45567476</v>
      </c>
      <c r="I56" s="735">
        <f t="shared" ref="I56:I113" ca="1" si="71">H56/4</f>
        <v>4575723.11391869</v>
      </c>
      <c r="J56" s="844"/>
      <c r="K56" s="845"/>
      <c r="L56" s="861"/>
      <c r="M56" s="862"/>
      <c r="N56" s="863"/>
      <c r="O56" s="738" t="str">
        <f t="shared" ca="1" si="51"/>
        <v/>
      </c>
      <c r="P56" s="739">
        <f ca="1">IF(OR(+$J56="missing?",+$J56="new category"),"",IF($E56=0,"",IF(SUM($C56:$I56)=0,"",IFERROR((($C56-$E56)/$E56),"N/A"))))</f>
        <v>-1</v>
      </c>
      <c r="Q56" s="739">
        <f ca="1">IF(OR(+$J56="missing?",+$J56="new category"),"",IF($F56=0,"",IF(SUM($C56:$I56)=0,"",IFERROR((($C56-$F56)/$F56),"N/A"))))</f>
        <v>-1</v>
      </c>
      <c r="R56" s="739">
        <f t="shared" ca="1" si="11"/>
        <v>-1</v>
      </c>
      <c r="S56" s="740">
        <f t="shared" ca="1" si="12"/>
        <v>-1</v>
      </c>
      <c r="T56" s="864"/>
      <c r="U56" s="746"/>
      <c r="V56" s="746"/>
      <c r="W56" s="746"/>
      <c r="X56" s="746"/>
      <c r="Y56" s="746"/>
      <c r="Z56" s="865"/>
      <c r="AA56" s="866"/>
      <c r="AB56" s="867" t="str">
        <f>IF(AND(OR(AA56="OK",Z56="L",Z56=""),OR(J56="",K56="OK"),OR(+L56="",N56="OK")),"","Unresolved issue")</f>
        <v/>
      </c>
      <c r="AC56" s="50"/>
      <c r="AD56" s="50"/>
      <c r="AE56" s="50"/>
      <c r="AF56" s="50"/>
      <c r="AG56" s="50"/>
      <c r="AH56" s="50"/>
      <c r="AI56" s="50"/>
      <c r="AJ56" s="50"/>
      <c r="AK56" s="50"/>
      <c r="AL56" s="50"/>
      <c r="AM56" s="50"/>
      <c r="AN56" s="50"/>
      <c r="AO56" s="50"/>
      <c r="AP56" s="50"/>
      <c r="AQ56" s="50"/>
      <c r="AR56" s="50"/>
      <c r="AS56" s="50"/>
      <c r="AT56" s="50"/>
      <c r="AU56" s="50"/>
      <c r="AV56" s="50"/>
      <c r="AW56" s="50"/>
      <c r="AX56" s="50"/>
      <c r="AY56" s="50"/>
      <c r="AZ56" s="50"/>
      <c r="BA56" s="50"/>
      <c r="BB56" s="50"/>
      <c r="BC56" s="50"/>
    </row>
    <row r="57" spans="1:55" ht="12.75" customHeight="1" x14ac:dyDescent="0.3">
      <c r="A57" s="2235" t="s">
        <v>84</v>
      </c>
      <c r="B57" s="747" t="str">
        <f>'Q1'!C65</f>
        <v>Small petrol car, up to 1.4 l</v>
      </c>
      <c r="C57" s="1262">
        <f t="shared" ref="C57:H66" ca="1" si="72">INDEX(INDIRECT(CONCATENATE("'",C$14,"'!$D$65:$D$85"),TRUE),MATCH($B57,INDIRECT(CONCATENATE("'",C$14,"'!$C$65:$C$85"),TRUE),0))</f>
        <v>0</v>
      </c>
      <c r="D57" s="748">
        <f t="shared" ca="1" si="72"/>
        <v>0</v>
      </c>
      <c r="E57" s="749">
        <f t="shared" ca="1" si="72"/>
        <v>16424</v>
      </c>
      <c r="F57" s="749">
        <f t="shared" ca="1" si="72"/>
        <v>18959</v>
      </c>
      <c r="G57" s="749">
        <f t="shared" ca="1" si="72"/>
        <v>16704</v>
      </c>
      <c r="H57" s="749">
        <f t="shared" ca="1" si="72"/>
        <v>44753</v>
      </c>
      <c r="I57" s="750">
        <f t="shared" ca="1" si="71"/>
        <v>11188.25</v>
      </c>
      <c r="J57" s="868" t="str">
        <f t="shared" ref="J57:J113" ca="1" si="73">IF(AND(C57&gt;0,SUM(D57:I57)&gt;0),"",IF(AND(C57=0,SUM(C57:I57)=0),"",IF(AND(C57=0,D57&gt;0),"Missing value?",IF(AND(C57=0,I57&gt;0),"Missing value?","New category"))))</f>
        <v>Missing value?</v>
      </c>
      <c r="K57" s="809"/>
      <c r="L57" s="869"/>
      <c r="M57" s="870"/>
      <c r="N57" s="754"/>
      <c r="O57" s="755" t="str">
        <f t="shared" ca="1" si="51"/>
        <v/>
      </c>
      <c r="P57" s="756">
        <f t="shared" ref="P57:P113" ca="1" si="74">IF(OR(+$J57="missing?",+$J57="new category"),"",IF($E57=0,"",IF(SUM($C57:$I57)=0,"",IFERROR((($C57-$E57)/$E57),"N/A"))))</f>
        <v>-1</v>
      </c>
      <c r="Q57" s="756">
        <f t="shared" ref="Q57:Q113" ca="1" si="75">IF(OR(+$J57="missing?",+$J57="new category"),"",IF($F57=0,"",IF(SUM($C57:$I57)=0,"",IFERROR((($C57-$F57)/$F57),"N/A"))))</f>
        <v>-1</v>
      </c>
      <c r="R57" s="756">
        <f t="shared" ca="1" si="11"/>
        <v>-1</v>
      </c>
      <c r="S57" s="757">
        <f t="shared" ca="1" si="12"/>
        <v>-1</v>
      </c>
      <c r="T57" s="1066">
        <f t="shared" ref="T57:T113" ca="1" si="76">IF(SUM(C57:I57)=0,"",IF(OR(AND(C57=0,SUM(D57:I57)&gt;0),AND(C57&gt;0,SUM(D57:I57)=0)),1,IF(MAX(IF(O57&lt;0,-O57,O57),IF(P57&lt;0,-P57,P57),IF(Q57&lt;0,-Q57,Q57),IF(R57&lt;0,-R57,R57),IF(S57&lt;0,-S57,S57))=0,"",MAX(IF(O57&lt;0,-O57,O57),IF(P57&lt;0,-P57,P57),IF(Q57&lt;0,-Q57,Q57),IF(R57&lt;0,-R57,R57),IF(S57&lt;0,-S57,S57)))))</f>
        <v>1</v>
      </c>
      <c r="U57" s="1166" t="str">
        <f t="shared" ref="U57:U77" ca="1" si="77">IF(+T57="","",IF(T57&gt;L$3,"H",IF(T57&gt;L$4,"M","")))</f>
        <v>H</v>
      </c>
      <c r="V57" s="1350">
        <f t="shared" ref="V57:X77" ca="1" si="78">INDEX(INDIRECT(CONCATENATE("'",V$14,"'!$F$65:$F$85"),TRUE),MATCH($B57,INDIRECT(CONCATENATE("'",V$14,"'!$C$65:$C$85"),TRUE),0))</f>
        <v>0</v>
      </c>
      <c r="W57" s="1350">
        <f t="shared" ca="1" si="78"/>
        <v>0</v>
      </c>
      <c r="X57" s="1350">
        <f t="shared" ca="1" si="78"/>
        <v>6.9658044500000003</v>
      </c>
      <c r="Y57" s="1067">
        <f ca="1">IF(V57=0,IF(W57&gt;0, W57/L$8, IF(X57&gt;0,X57/L$10, "")), IF(T57="", "", V57/L$7*T57))</f>
        <v>2.0700049189833615E-5</v>
      </c>
      <c r="Z57" s="1166" t="str">
        <f t="shared" ref="Z57:Z77" ca="1" si="79">IF(+Y57="","",IF(Y57&gt;L$3,"H",IF(Y57&gt;L$4,"M","")))</f>
        <v/>
      </c>
      <c r="AA57" s="751"/>
      <c r="AB57" s="871" t="str">
        <f ca="1">IF((CONCATENATE(IF(K57="OK","",J57), "    ",IF(L57="","",IF(N57="OK","",CONCATENATE(M57," = ",ROUND(L57,3),"kgCO2e/kWh"))),"    ",IF(AND(+AA57="",Z57="M"),"Value change with medium impact",IF(AND(AA57="",Z57="H"),"Value change with high impact",""))," "))="         ","",(CONCATENATE(IF(K57="OK","",J57), "    ",IF(L57="","",IF(N57="OK","",CONCATENATE(M57," = ",ROUND(L57,3),"kgCO2e/kWh"))),"    ",IF(AND(+AA57="",Z57="M"),"Value change with medium impact",IF(AND(AA57="",Z57="H"),"Value change with high impact",""))," ")))</f>
        <v xml:space="preserve">Missing value?         </v>
      </c>
      <c r="AC57" s="50"/>
      <c r="AD57" s="50"/>
      <c r="AE57" s="50"/>
      <c r="AF57" s="50"/>
      <c r="AG57" s="50"/>
      <c r="AH57" s="50"/>
      <c r="AI57" s="50"/>
      <c r="AJ57" s="50"/>
      <c r="AK57" s="50"/>
      <c r="AL57" s="50"/>
      <c r="AM57" s="50"/>
      <c r="AN57" s="50"/>
      <c r="AO57" s="50"/>
      <c r="AP57" s="50"/>
      <c r="AQ57" s="50"/>
      <c r="AR57" s="50"/>
      <c r="AS57" s="50"/>
      <c r="AT57" s="50"/>
      <c r="AU57" s="50"/>
      <c r="AV57" s="50"/>
      <c r="AW57" s="50"/>
      <c r="AX57" s="50"/>
      <c r="AY57" s="50"/>
      <c r="AZ57" s="50"/>
      <c r="BA57" s="50"/>
      <c r="BB57" s="50"/>
      <c r="BC57" s="50"/>
    </row>
    <row r="58" spans="1:55" ht="12.75" customHeight="1" x14ac:dyDescent="0.3">
      <c r="A58" s="2236"/>
      <c r="B58" s="747" t="str">
        <f>'Q1'!C66</f>
        <v>Medium petrol car, 1.4 - 2.0 l</v>
      </c>
      <c r="C58" s="1262">
        <f t="shared" ca="1" si="72"/>
        <v>0</v>
      </c>
      <c r="D58" s="768">
        <f t="shared" ca="1" si="72"/>
        <v>0</v>
      </c>
      <c r="E58" s="769">
        <f t="shared" ca="1" si="72"/>
        <v>0</v>
      </c>
      <c r="F58" s="769">
        <f t="shared" ca="1" si="72"/>
        <v>0</v>
      </c>
      <c r="G58" s="769">
        <f t="shared" ca="1" si="72"/>
        <v>0</v>
      </c>
      <c r="H58" s="769">
        <f t="shared" ca="1" si="72"/>
        <v>0</v>
      </c>
      <c r="I58" s="770">
        <f t="shared" ca="1" si="71"/>
        <v>0</v>
      </c>
      <c r="J58" s="872" t="str">
        <f t="shared" ca="1" si="73"/>
        <v/>
      </c>
      <c r="K58" s="782"/>
      <c r="L58" s="873"/>
      <c r="M58" s="874"/>
      <c r="N58" s="775"/>
      <c r="O58" s="776" t="str">
        <f t="shared" ca="1" si="51"/>
        <v/>
      </c>
      <c r="P58" s="777" t="str">
        <f t="shared" ca="1" si="74"/>
        <v/>
      </c>
      <c r="Q58" s="777" t="str">
        <f t="shared" ca="1" si="75"/>
        <v/>
      </c>
      <c r="R58" s="777" t="str">
        <f t="shared" ca="1" si="11"/>
        <v/>
      </c>
      <c r="S58" s="778" t="str">
        <f t="shared" ca="1" si="12"/>
        <v/>
      </c>
      <c r="T58" s="1066" t="str">
        <f t="shared" ca="1" si="76"/>
        <v/>
      </c>
      <c r="U58" s="1165" t="str">
        <f t="shared" ca="1" si="77"/>
        <v/>
      </c>
      <c r="V58" s="1350">
        <f t="shared" ca="1" si="78"/>
        <v>0</v>
      </c>
      <c r="W58" s="1350">
        <f t="shared" ca="1" si="78"/>
        <v>0</v>
      </c>
      <c r="X58" s="1350">
        <f t="shared" ca="1" si="78"/>
        <v>0</v>
      </c>
      <c r="Y58" s="1067" t="str">
        <f t="shared" ref="Y58:Y77" ca="1" si="80">IF(V58=0,IF(W58&gt;0, W58/L$8, IF(X58&gt;0,X58/L$10, "")), IF(T58="", "", V58/L$7*T58))</f>
        <v/>
      </c>
      <c r="Z58" s="1165" t="str">
        <f t="shared" ca="1" si="79"/>
        <v/>
      </c>
      <c r="AA58" s="772"/>
      <c r="AB58" s="871" t="str">
        <f t="shared" ref="AB58:AB77" ca="1" si="81">IF((CONCATENATE(IF(K58="OK","",J58), "    ",IF(L58="","",IF(N58="OK","",CONCATENATE(M58," = ",ROUND(L58,3),"kgCO2e/kWh"))),"    ",IF(AND(+AA58="",Z58="M"),"Value change with medium impact",IF(AND(AA58="",Z58="H"),"Value change with high impact",""))," "))="         ","",(CONCATENATE(IF(K58="OK","",J58), "    ",IF(L58="","",IF(N58="OK","",CONCATENATE(M58," = ",ROUND(L58,3),"kgCO2e/kWh"))),"    ",IF(AND(+AA58="",Z58="M"),"Value change with medium impact",IF(AND(AA58="",Z58="H"),"Value change with high impact",""))," ")))</f>
        <v/>
      </c>
      <c r="AC58" s="50"/>
      <c r="AD58" s="50"/>
      <c r="AE58" s="50"/>
      <c r="AF58" s="50"/>
      <c r="AG58" s="50"/>
      <c r="AH58" s="50"/>
      <c r="AI58" s="50"/>
      <c r="AJ58" s="50"/>
      <c r="AK58" s="50"/>
      <c r="AL58" s="50"/>
      <c r="AM58" s="50"/>
      <c r="AN58" s="50"/>
      <c r="AO58" s="50"/>
      <c r="AP58" s="50"/>
      <c r="AQ58" s="50"/>
      <c r="AR58" s="50"/>
      <c r="AS58" s="50"/>
      <c r="AT58" s="50"/>
      <c r="AU58" s="50"/>
      <c r="AV58" s="50"/>
      <c r="AW58" s="50"/>
      <c r="AX58" s="50"/>
      <c r="AY58" s="50"/>
      <c r="AZ58" s="50"/>
      <c r="BA58" s="50"/>
      <c r="BB58" s="50"/>
      <c r="BC58" s="50"/>
    </row>
    <row r="59" spans="1:55" ht="12.75" customHeight="1" x14ac:dyDescent="0.3">
      <c r="A59" s="2236"/>
      <c r="B59" s="747" t="str">
        <f>'Q1'!C67</f>
        <v>Large petrol car, &gt;2.0 l</v>
      </c>
      <c r="C59" s="1262">
        <f t="shared" ca="1" si="72"/>
        <v>0</v>
      </c>
      <c r="D59" s="768">
        <f t="shared" ca="1" si="72"/>
        <v>0</v>
      </c>
      <c r="E59" s="769">
        <f t="shared" ca="1" si="72"/>
        <v>0</v>
      </c>
      <c r="F59" s="769">
        <f t="shared" ca="1" si="72"/>
        <v>0</v>
      </c>
      <c r="G59" s="769">
        <f t="shared" ca="1" si="72"/>
        <v>0</v>
      </c>
      <c r="H59" s="769">
        <f t="shared" ca="1" si="72"/>
        <v>0</v>
      </c>
      <c r="I59" s="770">
        <f t="shared" ca="1" si="71"/>
        <v>0</v>
      </c>
      <c r="J59" s="872" t="str">
        <f t="shared" ca="1" si="73"/>
        <v/>
      </c>
      <c r="K59" s="782"/>
      <c r="L59" s="873"/>
      <c r="M59" s="874"/>
      <c r="N59" s="775"/>
      <c r="O59" s="776" t="str">
        <f t="shared" ca="1" si="51"/>
        <v/>
      </c>
      <c r="P59" s="777" t="str">
        <f t="shared" ca="1" si="74"/>
        <v/>
      </c>
      <c r="Q59" s="777" t="str">
        <f t="shared" ca="1" si="75"/>
        <v/>
      </c>
      <c r="R59" s="777" t="str">
        <f t="shared" ca="1" si="11"/>
        <v/>
      </c>
      <c r="S59" s="778" t="str">
        <f t="shared" ca="1" si="12"/>
        <v/>
      </c>
      <c r="T59" s="1066" t="str">
        <f t="shared" ca="1" si="76"/>
        <v/>
      </c>
      <c r="U59" s="1165" t="str">
        <f t="shared" ca="1" si="77"/>
        <v/>
      </c>
      <c r="V59" s="1350">
        <f t="shared" ca="1" si="78"/>
        <v>0</v>
      </c>
      <c r="W59" s="1350">
        <f t="shared" ca="1" si="78"/>
        <v>0</v>
      </c>
      <c r="X59" s="1350">
        <f t="shared" ca="1" si="78"/>
        <v>0</v>
      </c>
      <c r="Y59" s="1067" t="str">
        <f t="shared" ca="1" si="80"/>
        <v/>
      </c>
      <c r="Z59" s="1165" t="str">
        <f t="shared" ca="1" si="79"/>
        <v/>
      </c>
      <c r="AA59" s="772"/>
      <c r="AB59" s="871" t="str">
        <f t="shared" ca="1" si="81"/>
        <v/>
      </c>
      <c r="AC59" s="50"/>
      <c r="AD59" s="50"/>
      <c r="AE59" s="50"/>
      <c r="AF59" s="50"/>
      <c r="AG59" s="50"/>
      <c r="AH59" s="50"/>
      <c r="AI59" s="50"/>
      <c r="AJ59" s="50"/>
      <c r="AK59" s="50"/>
      <c r="AL59" s="50"/>
      <c r="AM59" s="50"/>
      <c r="AN59" s="50"/>
      <c r="AO59" s="50"/>
      <c r="AP59" s="50"/>
      <c r="AQ59" s="50"/>
      <c r="AR59" s="50"/>
      <c r="AS59" s="50"/>
      <c r="AT59" s="50"/>
      <c r="AU59" s="50"/>
      <c r="AV59" s="50"/>
      <c r="AW59" s="50"/>
      <c r="AX59" s="50"/>
      <c r="AY59" s="50"/>
      <c r="AZ59" s="50"/>
      <c r="BA59" s="50"/>
      <c r="BB59" s="50"/>
      <c r="BC59" s="50"/>
    </row>
    <row r="60" spans="1:55" ht="12.75" customHeight="1" x14ac:dyDescent="0.3">
      <c r="A60" s="2236"/>
      <c r="B60" s="747" t="str">
        <f>'Q1'!C68</f>
        <v>Average petrol car</v>
      </c>
      <c r="C60" s="1262">
        <f t="shared" ca="1" si="72"/>
        <v>0</v>
      </c>
      <c r="D60" s="768">
        <f t="shared" ca="1" si="72"/>
        <v>0</v>
      </c>
      <c r="E60" s="769">
        <f t="shared" ca="1" si="72"/>
        <v>0</v>
      </c>
      <c r="F60" s="769">
        <f t="shared" ca="1" si="72"/>
        <v>0</v>
      </c>
      <c r="G60" s="769">
        <f t="shared" ca="1" si="72"/>
        <v>0</v>
      </c>
      <c r="H60" s="769">
        <f t="shared" ca="1" si="72"/>
        <v>0</v>
      </c>
      <c r="I60" s="770">
        <f t="shared" ca="1" si="71"/>
        <v>0</v>
      </c>
      <c r="J60" s="872" t="str">
        <f t="shared" ca="1" si="73"/>
        <v/>
      </c>
      <c r="K60" s="782"/>
      <c r="L60" s="873"/>
      <c r="M60" s="874"/>
      <c r="N60" s="775"/>
      <c r="O60" s="776" t="str">
        <f t="shared" ca="1" si="51"/>
        <v/>
      </c>
      <c r="P60" s="777" t="str">
        <f t="shared" ca="1" si="74"/>
        <v/>
      </c>
      <c r="Q60" s="777" t="str">
        <f t="shared" ca="1" si="75"/>
        <v/>
      </c>
      <c r="R60" s="777" t="str">
        <f t="shared" ca="1" si="11"/>
        <v/>
      </c>
      <c r="S60" s="778" t="str">
        <f t="shared" ca="1" si="12"/>
        <v/>
      </c>
      <c r="T60" s="1066" t="str">
        <f t="shared" ca="1" si="76"/>
        <v/>
      </c>
      <c r="U60" s="1165" t="str">
        <f t="shared" ca="1" si="77"/>
        <v/>
      </c>
      <c r="V60" s="1350">
        <f t="shared" ca="1" si="78"/>
        <v>0</v>
      </c>
      <c r="W60" s="1350">
        <f t="shared" ca="1" si="78"/>
        <v>0</v>
      </c>
      <c r="X60" s="1350">
        <f t="shared" ca="1" si="78"/>
        <v>0</v>
      </c>
      <c r="Y60" s="1067" t="str">
        <f t="shared" ca="1" si="80"/>
        <v/>
      </c>
      <c r="Z60" s="1165" t="str">
        <f t="shared" ca="1" si="79"/>
        <v/>
      </c>
      <c r="AA60" s="772"/>
      <c r="AB60" s="871" t="str">
        <f t="shared" ca="1" si="81"/>
        <v/>
      </c>
      <c r="AC60" s="50"/>
      <c r="AD60" s="50"/>
      <c r="AE60" s="50"/>
      <c r="AF60" s="50"/>
      <c r="AG60" s="50"/>
      <c r="AH60" s="50"/>
      <c r="AI60" s="50"/>
      <c r="AJ60" s="50"/>
      <c r="AK60" s="50"/>
      <c r="AL60" s="50"/>
      <c r="AM60" s="50"/>
      <c r="AN60" s="50"/>
      <c r="AO60" s="50"/>
      <c r="AP60" s="50"/>
      <c r="AQ60" s="50"/>
      <c r="AR60" s="50"/>
      <c r="AS60" s="50"/>
      <c r="AT60" s="50"/>
      <c r="AU60" s="50"/>
      <c r="AV60" s="50"/>
      <c r="AW60" s="50"/>
      <c r="AX60" s="50"/>
      <c r="AY60" s="50"/>
      <c r="AZ60" s="50"/>
      <c r="BA60" s="50"/>
      <c r="BB60" s="50"/>
      <c r="BC60" s="50"/>
    </row>
    <row r="61" spans="1:55" ht="12.75" customHeight="1" x14ac:dyDescent="0.3">
      <c r="A61" s="2236"/>
      <c r="B61" s="747" t="str">
        <f>'Q1'!C69</f>
        <v>Small diesel car, up to 1.7 l</v>
      </c>
      <c r="C61" s="1262">
        <f t="shared" ca="1" si="72"/>
        <v>0</v>
      </c>
      <c r="D61" s="768">
        <f t="shared" ca="1" si="72"/>
        <v>0</v>
      </c>
      <c r="E61" s="769">
        <f t="shared" ca="1" si="72"/>
        <v>929097</v>
      </c>
      <c r="F61" s="769">
        <f t="shared" ca="1" si="72"/>
        <v>995648</v>
      </c>
      <c r="G61" s="769">
        <f t="shared" ca="1" si="72"/>
        <v>1115679</v>
      </c>
      <c r="H61" s="769">
        <f t="shared" ca="1" si="72"/>
        <v>4785429</v>
      </c>
      <c r="I61" s="770">
        <f t="shared" ca="1" si="71"/>
        <v>1196357.25</v>
      </c>
      <c r="J61" s="872" t="str">
        <f t="shared" ca="1" si="73"/>
        <v>Missing value?</v>
      </c>
      <c r="K61" s="782"/>
      <c r="L61" s="873"/>
      <c r="M61" s="874"/>
      <c r="N61" s="775"/>
      <c r="O61" s="776" t="str">
        <f t="shared" ca="1" si="51"/>
        <v/>
      </c>
      <c r="P61" s="777">
        <f t="shared" ca="1" si="74"/>
        <v>-1</v>
      </c>
      <c r="Q61" s="777">
        <f t="shared" ca="1" si="75"/>
        <v>-1</v>
      </c>
      <c r="R61" s="777">
        <f t="shared" ca="1" si="11"/>
        <v>-1</v>
      </c>
      <c r="S61" s="778">
        <f t="shared" ca="1" si="12"/>
        <v>-1</v>
      </c>
      <c r="T61" s="1066">
        <f t="shared" ca="1" si="76"/>
        <v>1</v>
      </c>
      <c r="U61" s="1165" t="str">
        <f t="shared" ca="1" si="77"/>
        <v>H</v>
      </c>
      <c r="V61" s="1350">
        <f t="shared" ca="1" si="78"/>
        <v>0</v>
      </c>
      <c r="W61" s="1350">
        <f t="shared" ca="1" si="78"/>
        <v>0</v>
      </c>
      <c r="X61" s="1350">
        <f t="shared" ca="1" si="78"/>
        <v>695.46639657000003</v>
      </c>
      <c r="Y61" s="1067">
        <f t="shared" ca="1" si="80"/>
        <v>2.0666943383510186E-3</v>
      </c>
      <c r="Z61" s="1165" t="str">
        <f t="shared" ca="1" si="79"/>
        <v>M</v>
      </c>
      <c r="AA61" s="772"/>
      <c r="AB61" s="871" t="str">
        <f t="shared" ca="1" si="81"/>
        <v xml:space="preserve">Missing value?        Value change with medium impact </v>
      </c>
      <c r="AC61" s="50"/>
      <c r="AD61" s="50"/>
      <c r="AE61" s="50"/>
      <c r="AF61" s="50"/>
      <c r="AG61" s="50"/>
      <c r="AH61" s="50"/>
      <c r="AI61" s="50"/>
      <c r="AJ61" s="50"/>
      <c r="AK61" s="50"/>
      <c r="AL61" s="50"/>
      <c r="AM61" s="50"/>
      <c r="AN61" s="50"/>
      <c r="AO61" s="50"/>
      <c r="AP61" s="50"/>
      <c r="AQ61" s="50"/>
      <c r="AR61" s="50"/>
      <c r="AS61" s="50"/>
      <c r="AT61" s="50"/>
      <c r="AU61" s="50"/>
      <c r="AV61" s="50"/>
      <c r="AW61" s="50"/>
      <c r="AX61" s="50"/>
      <c r="AY61" s="50"/>
      <c r="AZ61" s="50"/>
      <c r="BA61" s="50"/>
      <c r="BB61" s="50"/>
      <c r="BC61" s="50"/>
    </row>
    <row r="62" spans="1:55" ht="12.75" customHeight="1" x14ac:dyDescent="0.3">
      <c r="A62" s="2236"/>
      <c r="B62" s="747" t="str">
        <f>'Q1'!C70</f>
        <v>Medium diesel car, 1.7 - 2.0 l</v>
      </c>
      <c r="C62" s="1262">
        <f t="shared" ca="1" si="72"/>
        <v>0</v>
      </c>
      <c r="D62" s="768">
        <f t="shared" ca="1" si="72"/>
        <v>0</v>
      </c>
      <c r="E62" s="769">
        <f t="shared" ca="1" si="72"/>
        <v>280987</v>
      </c>
      <c r="F62" s="769">
        <f t="shared" ca="1" si="72"/>
        <v>338654</v>
      </c>
      <c r="G62" s="769">
        <f t="shared" ca="1" si="72"/>
        <v>364905</v>
      </c>
      <c r="H62" s="769">
        <f t="shared" ca="1" si="72"/>
        <v>1234277</v>
      </c>
      <c r="I62" s="770">
        <f t="shared" ca="1" si="71"/>
        <v>308569.25</v>
      </c>
      <c r="J62" s="872" t="str">
        <f t="shared" ca="1" si="73"/>
        <v>Missing value?</v>
      </c>
      <c r="K62" s="782"/>
      <c r="L62" s="873"/>
      <c r="M62" s="874"/>
      <c r="N62" s="775"/>
      <c r="O62" s="776" t="str">
        <f t="shared" ca="1" si="51"/>
        <v/>
      </c>
      <c r="P62" s="777">
        <f t="shared" ca="1" si="74"/>
        <v>-1</v>
      </c>
      <c r="Q62" s="777">
        <f t="shared" ca="1" si="75"/>
        <v>-1</v>
      </c>
      <c r="R62" s="777">
        <f t="shared" ca="1" si="11"/>
        <v>-1</v>
      </c>
      <c r="S62" s="778">
        <f t="shared" ca="1" si="12"/>
        <v>-1</v>
      </c>
      <c r="T62" s="1066">
        <f t="shared" ca="1" si="76"/>
        <v>1</v>
      </c>
      <c r="U62" s="1165" t="str">
        <f t="shared" ca="1" si="77"/>
        <v>H</v>
      </c>
      <c r="V62" s="1350">
        <f t="shared" ca="1" si="78"/>
        <v>0</v>
      </c>
      <c r="W62" s="1350">
        <f t="shared" ca="1" si="78"/>
        <v>0</v>
      </c>
      <c r="X62" s="1350">
        <f t="shared" ca="1" si="78"/>
        <v>214.18408780999999</v>
      </c>
      <c r="Y62" s="1067">
        <f t="shared" ca="1" si="80"/>
        <v>6.364837234767108E-4</v>
      </c>
      <c r="Z62" s="1165" t="str">
        <f t="shared" ca="1" si="79"/>
        <v/>
      </c>
      <c r="AA62" s="772"/>
      <c r="AB62" s="871" t="str">
        <f t="shared" ca="1" si="81"/>
        <v xml:space="preserve">Missing value?         </v>
      </c>
      <c r="AC62" s="50"/>
      <c r="AD62" s="50"/>
      <c r="AE62" s="50"/>
      <c r="AF62" s="50"/>
      <c r="AG62" s="50"/>
      <c r="AH62" s="50"/>
      <c r="AI62" s="50"/>
      <c r="AJ62" s="50"/>
      <c r="AK62" s="50"/>
      <c r="AL62" s="50"/>
      <c r="AM62" s="50"/>
      <c r="AN62" s="50"/>
      <c r="AO62" s="50"/>
      <c r="AP62" s="50"/>
      <c r="AQ62" s="50"/>
      <c r="AR62" s="50"/>
      <c r="AS62" s="50"/>
      <c r="AT62" s="50"/>
      <c r="AU62" s="50"/>
      <c r="AV62" s="50"/>
      <c r="AW62" s="50"/>
      <c r="AX62" s="50"/>
      <c r="AY62" s="50"/>
      <c r="AZ62" s="50"/>
      <c r="BA62" s="50"/>
      <c r="BB62" s="50"/>
      <c r="BC62" s="50"/>
    </row>
    <row r="63" spans="1:55" ht="12.75" customHeight="1" x14ac:dyDescent="0.3">
      <c r="A63" s="2236"/>
      <c r="B63" s="747" t="str">
        <f>'Q1'!C71</f>
        <v>Large diesel car, &gt;2.0 l</v>
      </c>
      <c r="C63" s="1262">
        <f t="shared" ca="1" si="72"/>
        <v>0</v>
      </c>
      <c r="D63" s="768">
        <f t="shared" ca="1" si="72"/>
        <v>0</v>
      </c>
      <c r="E63" s="769">
        <f t="shared" ca="1" si="72"/>
        <v>4704.49</v>
      </c>
      <c r="F63" s="769">
        <f t="shared" ca="1" si="72"/>
        <v>4775</v>
      </c>
      <c r="G63" s="769">
        <f t="shared" ca="1" si="72"/>
        <v>9625</v>
      </c>
      <c r="H63" s="769">
        <f t="shared" ca="1" si="72"/>
        <v>40471</v>
      </c>
      <c r="I63" s="770">
        <f t="shared" ca="1" si="71"/>
        <v>10117.75</v>
      </c>
      <c r="J63" s="872" t="str">
        <f t="shared" ca="1" si="73"/>
        <v>Missing value?</v>
      </c>
      <c r="K63" s="782"/>
      <c r="L63" s="873"/>
      <c r="M63" s="874"/>
      <c r="N63" s="775"/>
      <c r="O63" s="776" t="str">
        <f t="shared" ca="1" si="51"/>
        <v/>
      </c>
      <c r="P63" s="777">
        <f t="shared" ca="1" si="74"/>
        <v>-1</v>
      </c>
      <c r="Q63" s="777">
        <f t="shared" ca="1" si="75"/>
        <v>-1</v>
      </c>
      <c r="R63" s="777">
        <f t="shared" ca="1" si="11"/>
        <v>-1</v>
      </c>
      <c r="S63" s="778">
        <f t="shared" ca="1" si="12"/>
        <v>-1</v>
      </c>
      <c r="T63" s="1066">
        <f t="shared" ca="1" si="76"/>
        <v>1</v>
      </c>
      <c r="U63" s="1165" t="str">
        <f t="shared" ca="1" si="77"/>
        <v>H</v>
      </c>
      <c r="V63" s="1350">
        <f t="shared" ca="1" si="78"/>
        <v>0</v>
      </c>
      <c r="W63" s="1350">
        <f t="shared" ca="1" si="78"/>
        <v>0</v>
      </c>
      <c r="X63" s="1350">
        <f t="shared" ca="1" si="78"/>
        <v>8.7093592000000015</v>
      </c>
      <c r="Y63" s="1067">
        <f t="shared" ca="1" si="80"/>
        <v>2.5881312796819894E-5</v>
      </c>
      <c r="Z63" s="1165" t="str">
        <f t="shared" ca="1" si="79"/>
        <v/>
      </c>
      <c r="AA63" s="772"/>
      <c r="AB63" s="871" t="str">
        <f t="shared" ca="1" si="81"/>
        <v xml:space="preserve">Missing value?         </v>
      </c>
      <c r="AC63" s="50"/>
      <c r="AD63" s="50"/>
      <c r="AE63" s="50"/>
      <c r="AF63" s="50"/>
      <c r="AG63" s="50"/>
      <c r="AH63" s="50"/>
      <c r="AI63" s="50"/>
      <c r="AJ63" s="50"/>
      <c r="AK63" s="50"/>
      <c r="AL63" s="50"/>
      <c r="AM63" s="50"/>
      <c r="AN63" s="50"/>
      <c r="AO63" s="50"/>
      <c r="AP63" s="50"/>
      <c r="AQ63" s="50"/>
      <c r="AR63" s="50"/>
      <c r="AS63" s="50"/>
      <c r="AT63" s="50"/>
      <c r="AU63" s="50"/>
      <c r="AV63" s="50"/>
      <c r="AW63" s="50"/>
      <c r="AX63" s="50"/>
      <c r="AY63" s="50"/>
      <c r="AZ63" s="50"/>
      <c r="BA63" s="50"/>
      <c r="BB63" s="50"/>
      <c r="BC63" s="50"/>
    </row>
    <row r="64" spans="1:55" ht="12.75" customHeight="1" x14ac:dyDescent="0.3">
      <c r="A64" s="2236"/>
      <c r="B64" s="747" t="str">
        <f>'Q1'!C72</f>
        <v>Average diesel car</v>
      </c>
      <c r="C64" s="1262">
        <f t="shared" ca="1" si="72"/>
        <v>0</v>
      </c>
      <c r="D64" s="768">
        <f t="shared" ca="1" si="72"/>
        <v>0</v>
      </c>
      <c r="E64" s="769">
        <f t="shared" ca="1" si="72"/>
        <v>0</v>
      </c>
      <c r="F64" s="769">
        <f t="shared" ca="1" si="72"/>
        <v>0</v>
      </c>
      <c r="G64" s="769">
        <f t="shared" ca="1" si="72"/>
        <v>0</v>
      </c>
      <c r="H64" s="769">
        <f t="shared" ca="1" si="72"/>
        <v>0</v>
      </c>
      <c r="I64" s="770">
        <f t="shared" ca="1" si="71"/>
        <v>0</v>
      </c>
      <c r="J64" s="872" t="str">
        <f t="shared" ca="1" si="73"/>
        <v/>
      </c>
      <c r="K64" s="782"/>
      <c r="L64" s="873"/>
      <c r="M64" s="874"/>
      <c r="N64" s="775"/>
      <c r="O64" s="776" t="str">
        <f t="shared" ca="1" si="51"/>
        <v/>
      </c>
      <c r="P64" s="777" t="str">
        <f t="shared" ca="1" si="74"/>
        <v/>
      </c>
      <c r="Q64" s="777" t="str">
        <f t="shared" ca="1" si="75"/>
        <v/>
      </c>
      <c r="R64" s="777" t="str">
        <f t="shared" ca="1" si="11"/>
        <v/>
      </c>
      <c r="S64" s="778" t="str">
        <f t="shared" ca="1" si="12"/>
        <v/>
      </c>
      <c r="T64" s="1066" t="str">
        <f t="shared" ca="1" si="76"/>
        <v/>
      </c>
      <c r="U64" s="1165" t="str">
        <f t="shared" ca="1" si="77"/>
        <v/>
      </c>
      <c r="V64" s="1350">
        <f t="shared" ca="1" si="78"/>
        <v>0</v>
      </c>
      <c r="W64" s="1350">
        <f t="shared" ca="1" si="78"/>
        <v>0</v>
      </c>
      <c r="X64" s="1350">
        <f t="shared" ca="1" si="78"/>
        <v>0</v>
      </c>
      <c r="Y64" s="1067" t="str">
        <f t="shared" ca="1" si="80"/>
        <v/>
      </c>
      <c r="Z64" s="1165" t="str">
        <f t="shared" ca="1" si="79"/>
        <v/>
      </c>
      <c r="AA64" s="772"/>
      <c r="AB64" s="871" t="str">
        <f t="shared" ca="1" si="81"/>
        <v/>
      </c>
      <c r="AC64" s="50"/>
      <c r="AD64" s="50"/>
      <c r="AE64" s="50"/>
      <c r="AF64" s="50"/>
      <c r="AG64" s="50"/>
      <c r="AH64" s="50"/>
      <c r="AI64" s="50"/>
      <c r="AJ64" s="50"/>
      <c r="AK64" s="50"/>
      <c r="AL64" s="50"/>
      <c r="AM64" s="50"/>
      <c r="AN64" s="50"/>
      <c r="AO64" s="50"/>
      <c r="AP64" s="50"/>
      <c r="AQ64" s="50"/>
      <c r="AR64" s="50"/>
      <c r="AS64" s="50"/>
      <c r="AT64" s="50"/>
      <c r="AU64" s="50"/>
      <c r="AV64" s="50"/>
      <c r="AW64" s="50"/>
      <c r="AX64" s="50"/>
      <c r="AY64" s="50"/>
      <c r="AZ64" s="50"/>
      <c r="BA64" s="50"/>
      <c r="BB64" s="50"/>
      <c r="BC64" s="50"/>
    </row>
    <row r="65" spans="1:55" ht="12.75" customHeight="1" x14ac:dyDescent="0.3">
      <c r="A65" s="2236"/>
      <c r="B65" s="747" t="str">
        <f>'Q1'!C73</f>
        <v>Hybrid - Medium</v>
      </c>
      <c r="C65" s="1262">
        <f t="shared" ca="1" si="72"/>
        <v>0</v>
      </c>
      <c r="D65" s="768">
        <f t="shared" ca="1" si="72"/>
        <v>0</v>
      </c>
      <c r="E65" s="769">
        <f t="shared" ca="1" si="72"/>
        <v>362219</v>
      </c>
      <c r="F65" s="769">
        <f t="shared" ca="1" si="72"/>
        <v>310267</v>
      </c>
      <c r="G65" s="769">
        <f t="shared" ca="1" si="72"/>
        <v>211836</v>
      </c>
      <c r="H65" s="769">
        <f t="shared" ca="1" si="72"/>
        <v>468413</v>
      </c>
      <c r="I65" s="770">
        <f t="shared" ca="1" si="71"/>
        <v>117103.25</v>
      </c>
      <c r="J65" s="872" t="str">
        <f t="shared" ca="1" si="73"/>
        <v>Missing value?</v>
      </c>
      <c r="K65" s="782"/>
      <c r="L65" s="873"/>
      <c r="M65" s="874"/>
      <c r="N65" s="775"/>
      <c r="O65" s="776" t="str">
        <f t="shared" ca="1" si="51"/>
        <v/>
      </c>
      <c r="P65" s="777">
        <f t="shared" ca="1" si="74"/>
        <v>-1</v>
      </c>
      <c r="Q65" s="777">
        <f t="shared" ca="1" si="75"/>
        <v>-1</v>
      </c>
      <c r="R65" s="777">
        <f t="shared" ca="1" si="11"/>
        <v>-1</v>
      </c>
      <c r="S65" s="778">
        <f t="shared" ca="1" si="12"/>
        <v>-1</v>
      </c>
      <c r="T65" s="1066">
        <f t="shared" ca="1" si="76"/>
        <v>1</v>
      </c>
      <c r="U65" s="1165" t="str">
        <f t="shared" ca="1" si="77"/>
        <v>H</v>
      </c>
      <c r="V65" s="1350">
        <f t="shared" ca="1" si="78"/>
        <v>0</v>
      </c>
      <c r="W65" s="1350">
        <f t="shared" ca="1" si="78"/>
        <v>0</v>
      </c>
      <c r="X65" s="1350">
        <f t="shared" ca="1" si="78"/>
        <v>54.045491940000005</v>
      </c>
      <c r="Y65" s="1067">
        <f t="shared" ca="1" si="80"/>
        <v>1.6060518920348908E-4</v>
      </c>
      <c r="Z65" s="1165" t="str">
        <f t="shared" ca="1" si="79"/>
        <v/>
      </c>
      <c r="AA65" s="772"/>
      <c r="AB65" s="871" t="str">
        <f t="shared" ca="1" si="81"/>
        <v xml:space="preserve">Missing value?         </v>
      </c>
      <c r="AC65" s="50"/>
      <c r="AD65" s="50"/>
      <c r="AE65" s="50"/>
      <c r="AF65" s="50"/>
      <c r="AG65" s="50"/>
      <c r="AH65" s="50"/>
      <c r="AI65" s="50"/>
      <c r="AJ65" s="50"/>
      <c r="AK65" s="50"/>
      <c r="AL65" s="50"/>
      <c r="AM65" s="50"/>
      <c r="AN65" s="50"/>
      <c r="AO65" s="50"/>
      <c r="AP65" s="50"/>
      <c r="AQ65" s="50"/>
      <c r="AR65" s="50"/>
      <c r="AS65" s="50"/>
      <c r="AT65" s="50"/>
      <c r="AU65" s="50"/>
      <c r="AV65" s="50"/>
      <c r="AW65" s="50"/>
      <c r="AX65" s="50"/>
      <c r="AY65" s="50"/>
      <c r="AZ65" s="50"/>
      <c r="BA65" s="50"/>
      <c r="BB65" s="50"/>
      <c r="BC65" s="50"/>
    </row>
    <row r="66" spans="1:55" ht="12.75" customHeight="1" x14ac:dyDescent="0.3">
      <c r="A66" s="2236"/>
      <c r="B66" s="747" t="str">
        <f>'Q1'!C74</f>
        <v>Hybrid - Large</v>
      </c>
      <c r="C66" s="1262">
        <f t="shared" ca="1" si="72"/>
        <v>0</v>
      </c>
      <c r="D66" s="768">
        <f t="shared" ca="1" si="72"/>
        <v>0</v>
      </c>
      <c r="E66" s="769">
        <f t="shared" ca="1" si="72"/>
        <v>0</v>
      </c>
      <c r="F66" s="769">
        <f t="shared" ca="1" si="72"/>
        <v>0</v>
      </c>
      <c r="G66" s="769">
        <f t="shared" ca="1" si="72"/>
        <v>0</v>
      </c>
      <c r="H66" s="769">
        <f t="shared" ca="1" si="72"/>
        <v>0</v>
      </c>
      <c r="I66" s="770">
        <f t="shared" ca="1" si="71"/>
        <v>0</v>
      </c>
      <c r="J66" s="872" t="str">
        <f t="shared" ca="1" si="73"/>
        <v/>
      </c>
      <c r="K66" s="782"/>
      <c r="L66" s="873"/>
      <c r="M66" s="874"/>
      <c r="N66" s="775"/>
      <c r="O66" s="776" t="str">
        <f t="shared" ca="1" si="51"/>
        <v/>
      </c>
      <c r="P66" s="777" t="str">
        <f t="shared" ca="1" si="74"/>
        <v/>
      </c>
      <c r="Q66" s="777" t="str">
        <f t="shared" ca="1" si="75"/>
        <v/>
      </c>
      <c r="R66" s="777" t="str">
        <f t="shared" ca="1" si="11"/>
        <v/>
      </c>
      <c r="S66" s="778" t="str">
        <f t="shared" ca="1" si="12"/>
        <v/>
      </c>
      <c r="T66" s="1066" t="str">
        <f t="shared" ca="1" si="76"/>
        <v/>
      </c>
      <c r="U66" s="1165" t="str">
        <f t="shared" ca="1" si="77"/>
        <v/>
      </c>
      <c r="V66" s="1350">
        <f t="shared" ca="1" si="78"/>
        <v>0</v>
      </c>
      <c r="W66" s="1350">
        <f t="shared" ca="1" si="78"/>
        <v>0</v>
      </c>
      <c r="X66" s="1350">
        <f t="shared" ca="1" si="78"/>
        <v>0</v>
      </c>
      <c r="Y66" s="1067" t="str">
        <f t="shared" ca="1" si="80"/>
        <v/>
      </c>
      <c r="Z66" s="1165" t="str">
        <f t="shared" ca="1" si="79"/>
        <v/>
      </c>
      <c r="AA66" s="772"/>
      <c r="AB66" s="871" t="str">
        <f t="shared" ca="1" si="81"/>
        <v/>
      </c>
      <c r="AC66" s="50"/>
      <c r="AD66" s="50"/>
      <c r="AE66" s="50"/>
      <c r="AF66" s="50"/>
      <c r="AG66" s="50"/>
      <c r="AH66" s="50"/>
      <c r="AI66" s="50"/>
      <c r="AJ66" s="50"/>
      <c r="AK66" s="50"/>
      <c r="AL66" s="50"/>
      <c r="AM66" s="50"/>
      <c r="AN66" s="50"/>
      <c r="AO66" s="50"/>
      <c r="AP66" s="50"/>
      <c r="AQ66" s="50"/>
      <c r="AR66" s="50"/>
      <c r="AS66" s="50"/>
      <c r="AT66" s="50"/>
      <c r="AU66" s="50"/>
      <c r="AV66" s="50"/>
      <c r="AW66" s="50"/>
      <c r="AX66" s="50"/>
      <c r="AY66" s="50"/>
      <c r="AZ66" s="50"/>
      <c r="BA66" s="50"/>
      <c r="BB66" s="50"/>
      <c r="BC66" s="50"/>
    </row>
    <row r="67" spans="1:55" ht="12.75" customHeight="1" x14ac:dyDescent="0.3">
      <c r="A67" s="2236"/>
      <c r="B67" s="747" t="str">
        <f>'Q1'!C75</f>
        <v>LPG - Average</v>
      </c>
      <c r="C67" s="1262">
        <f t="shared" ref="C67:H77" ca="1" si="82">INDEX(INDIRECT(CONCATENATE("'",C$14,"'!$D$65:$D$85"),TRUE),MATCH($B67,INDIRECT(CONCATENATE("'",C$14,"'!$C$65:$C$85"),TRUE),0))</f>
        <v>0</v>
      </c>
      <c r="D67" s="768">
        <f t="shared" ca="1" si="82"/>
        <v>0</v>
      </c>
      <c r="E67" s="769">
        <f t="shared" ca="1" si="82"/>
        <v>0</v>
      </c>
      <c r="F67" s="769">
        <f t="shared" ca="1" si="82"/>
        <v>0</v>
      </c>
      <c r="G67" s="769">
        <f t="shared" ca="1" si="82"/>
        <v>0</v>
      </c>
      <c r="H67" s="769">
        <f t="shared" ca="1" si="82"/>
        <v>0</v>
      </c>
      <c r="I67" s="770">
        <f t="shared" ca="1" si="71"/>
        <v>0</v>
      </c>
      <c r="J67" s="872" t="str">
        <f t="shared" ca="1" si="73"/>
        <v/>
      </c>
      <c r="K67" s="782"/>
      <c r="L67" s="873"/>
      <c r="M67" s="874"/>
      <c r="N67" s="775"/>
      <c r="O67" s="776" t="str">
        <f t="shared" ca="1" si="51"/>
        <v/>
      </c>
      <c r="P67" s="777" t="str">
        <f t="shared" ca="1" si="74"/>
        <v/>
      </c>
      <c r="Q67" s="777" t="str">
        <f t="shared" ca="1" si="75"/>
        <v/>
      </c>
      <c r="R67" s="777" t="str">
        <f t="shared" ca="1" si="11"/>
        <v/>
      </c>
      <c r="S67" s="778" t="str">
        <f t="shared" ca="1" si="12"/>
        <v/>
      </c>
      <c r="T67" s="1066" t="str">
        <f t="shared" ca="1" si="76"/>
        <v/>
      </c>
      <c r="U67" s="1165" t="str">
        <f t="shared" ca="1" si="77"/>
        <v/>
      </c>
      <c r="V67" s="1350">
        <f t="shared" ca="1" si="78"/>
        <v>0</v>
      </c>
      <c r="W67" s="1350">
        <f t="shared" ca="1" si="78"/>
        <v>0</v>
      </c>
      <c r="X67" s="1350">
        <f t="shared" ca="1" si="78"/>
        <v>0</v>
      </c>
      <c r="Y67" s="1067" t="str">
        <f t="shared" ca="1" si="80"/>
        <v/>
      </c>
      <c r="Z67" s="1165" t="str">
        <f t="shared" ca="1" si="79"/>
        <v/>
      </c>
      <c r="AA67" s="772"/>
      <c r="AB67" s="871" t="str">
        <f t="shared" ca="1" si="81"/>
        <v/>
      </c>
      <c r="AC67" s="50"/>
      <c r="AD67" s="50"/>
      <c r="AE67" s="50"/>
      <c r="AF67" s="50"/>
      <c r="AG67" s="50"/>
      <c r="AH67" s="50"/>
      <c r="AI67" s="50"/>
      <c r="AJ67" s="50"/>
      <c r="AK67" s="50"/>
      <c r="AL67" s="50"/>
      <c r="AM67" s="50"/>
      <c r="AN67" s="50"/>
      <c r="AO67" s="50"/>
      <c r="AP67" s="50"/>
      <c r="AQ67" s="50"/>
      <c r="AR67" s="50"/>
      <c r="AS67" s="50"/>
      <c r="AT67" s="50"/>
      <c r="AU67" s="50"/>
      <c r="AV67" s="50"/>
      <c r="AW67" s="50"/>
      <c r="AX67" s="50"/>
      <c r="AY67" s="50"/>
      <c r="AZ67" s="50"/>
      <c r="BA67" s="50"/>
      <c r="BB67" s="50"/>
      <c r="BC67" s="50"/>
    </row>
    <row r="68" spans="1:55" ht="12.75" customHeight="1" x14ac:dyDescent="0.3">
      <c r="A68" s="2236"/>
      <c r="B68" s="747" t="str">
        <f>'Q1'!C76</f>
        <v>Unknown - Average</v>
      </c>
      <c r="C68" s="1262">
        <f t="shared" ca="1" si="82"/>
        <v>0</v>
      </c>
      <c r="D68" s="768">
        <f t="shared" ca="1" si="82"/>
        <v>0</v>
      </c>
      <c r="E68" s="769">
        <f t="shared" ca="1" si="82"/>
        <v>47830</v>
      </c>
      <c r="F68" s="769">
        <f t="shared" ca="1" si="82"/>
        <v>60542</v>
      </c>
      <c r="G68" s="769">
        <f t="shared" ca="1" si="82"/>
        <v>50707</v>
      </c>
      <c r="H68" s="769">
        <f t="shared" ca="1" si="82"/>
        <v>264337</v>
      </c>
      <c r="I68" s="770">
        <f t="shared" ca="1" si="71"/>
        <v>66084.25</v>
      </c>
      <c r="J68" s="872" t="str">
        <f t="shared" ca="1" si="73"/>
        <v>Missing value?</v>
      </c>
      <c r="K68" s="782"/>
      <c r="L68" s="873"/>
      <c r="M68" s="874"/>
      <c r="N68" s="775"/>
      <c r="O68" s="776" t="str">
        <f t="shared" ca="1" si="51"/>
        <v/>
      </c>
      <c r="P68" s="777">
        <f t="shared" ca="1" si="74"/>
        <v>-1</v>
      </c>
      <c r="Q68" s="777">
        <f t="shared" ca="1" si="75"/>
        <v>-1</v>
      </c>
      <c r="R68" s="777">
        <f t="shared" ca="1" si="11"/>
        <v>-1</v>
      </c>
      <c r="S68" s="778">
        <f t="shared" ca="1" si="12"/>
        <v>-1</v>
      </c>
      <c r="T68" s="1066">
        <f t="shared" ca="1" si="76"/>
        <v>1</v>
      </c>
      <c r="U68" s="1165" t="str">
        <f t="shared" ca="1" si="77"/>
        <v>H</v>
      </c>
      <c r="V68" s="1350">
        <f t="shared" ca="1" si="78"/>
        <v>0</v>
      </c>
      <c r="W68" s="1350">
        <f t="shared" ca="1" si="78"/>
        <v>0</v>
      </c>
      <c r="X68" s="1350">
        <f t="shared" ca="1" si="78"/>
        <v>47.749835679999997</v>
      </c>
      <c r="Y68" s="1067">
        <f t="shared" ca="1" si="80"/>
        <v>1.4189659708039494E-4</v>
      </c>
      <c r="Z68" s="1165" t="str">
        <f t="shared" ca="1" si="79"/>
        <v/>
      </c>
      <c r="AA68" s="772"/>
      <c r="AB68" s="871" t="str">
        <f t="shared" ca="1" si="81"/>
        <v xml:space="preserve">Missing value?         </v>
      </c>
      <c r="AC68" s="50"/>
      <c r="AD68" s="50"/>
      <c r="AE68" s="50"/>
      <c r="AF68" s="50"/>
      <c r="AG68" s="50"/>
      <c r="AH68" s="50"/>
      <c r="AI68" s="50"/>
      <c r="AJ68" s="50"/>
      <c r="AK68" s="50"/>
      <c r="AL68" s="50"/>
      <c r="AM68" s="50"/>
      <c r="AN68" s="50"/>
      <c r="AO68" s="50"/>
      <c r="AP68" s="50"/>
      <c r="AQ68" s="50"/>
      <c r="AR68" s="50"/>
      <c r="AS68" s="50"/>
      <c r="AT68" s="50"/>
      <c r="AU68" s="50"/>
      <c r="AV68" s="50"/>
      <c r="AW68" s="50"/>
      <c r="AX68" s="50"/>
      <c r="AY68" s="50"/>
      <c r="AZ68" s="50"/>
      <c r="BA68" s="50"/>
      <c r="BB68" s="50"/>
      <c r="BC68" s="50"/>
    </row>
    <row r="69" spans="1:55" ht="12.75" customHeight="1" x14ac:dyDescent="0.3">
      <c r="A69" s="2236"/>
      <c r="B69" s="747" t="str">
        <f>'Q1'!C77</f>
        <v>Small petrol motorbike (mopeds/scooters up to 125cc)</v>
      </c>
      <c r="C69" s="1262">
        <f t="shared" ca="1" si="82"/>
        <v>0</v>
      </c>
      <c r="D69" s="768">
        <f t="shared" ca="1" si="82"/>
        <v>0</v>
      </c>
      <c r="E69" s="769">
        <f t="shared" ca="1" si="82"/>
        <v>0</v>
      </c>
      <c r="F69" s="769">
        <f t="shared" ca="1" si="82"/>
        <v>0</v>
      </c>
      <c r="G69" s="769">
        <f t="shared" ca="1" si="82"/>
        <v>0</v>
      </c>
      <c r="H69" s="769">
        <f t="shared" ca="1" si="82"/>
        <v>0</v>
      </c>
      <c r="I69" s="770">
        <f t="shared" ca="1" si="71"/>
        <v>0</v>
      </c>
      <c r="J69" s="872" t="str">
        <f t="shared" ca="1" si="73"/>
        <v/>
      </c>
      <c r="K69" s="782"/>
      <c r="L69" s="873"/>
      <c r="M69" s="874"/>
      <c r="N69" s="775"/>
      <c r="O69" s="776" t="str">
        <f t="shared" ca="1" si="51"/>
        <v/>
      </c>
      <c r="P69" s="777" t="str">
        <f t="shared" ca="1" si="74"/>
        <v/>
      </c>
      <c r="Q69" s="777" t="str">
        <f t="shared" ca="1" si="75"/>
        <v/>
      </c>
      <c r="R69" s="777" t="str">
        <f t="shared" ca="1" si="11"/>
        <v/>
      </c>
      <c r="S69" s="778" t="str">
        <f t="shared" ca="1" si="12"/>
        <v/>
      </c>
      <c r="T69" s="1066" t="str">
        <f t="shared" ca="1" si="76"/>
        <v/>
      </c>
      <c r="U69" s="1165" t="str">
        <f t="shared" ca="1" si="77"/>
        <v/>
      </c>
      <c r="V69" s="1350">
        <f t="shared" ca="1" si="78"/>
        <v>0</v>
      </c>
      <c r="W69" s="1350">
        <f t="shared" ca="1" si="78"/>
        <v>0</v>
      </c>
      <c r="X69" s="1350">
        <f t="shared" ca="1" si="78"/>
        <v>0</v>
      </c>
      <c r="Y69" s="1067" t="str">
        <f t="shared" ca="1" si="80"/>
        <v/>
      </c>
      <c r="Z69" s="1165" t="str">
        <f t="shared" ca="1" si="79"/>
        <v/>
      </c>
      <c r="AA69" s="772"/>
      <c r="AB69" s="871" t="str">
        <f t="shared" ca="1" si="81"/>
        <v/>
      </c>
      <c r="AC69" s="50"/>
      <c r="AD69" s="50"/>
      <c r="AE69" s="50"/>
      <c r="AF69" s="50"/>
      <c r="AG69" s="50"/>
      <c r="AH69" s="50"/>
      <c r="AI69" s="50"/>
      <c r="AJ69" s="50"/>
      <c r="AK69" s="50"/>
      <c r="AL69" s="50"/>
      <c r="AM69" s="50"/>
      <c r="AN69" s="50"/>
      <c r="AO69" s="50"/>
      <c r="AP69" s="50"/>
      <c r="AQ69" s="50"/>
      <c r="AR69" s="50"/>
      <c r="AS69" s="50"/>
      <c r="AT69" s="50"/>
      <c r="AU69" s="50"/>
      <c r="AV69" s="50"/>
      <c r="AW69" s="50"/>
      <c r="AX69" s="50"/>
      <c r="AY69" s="50"/>
      <c r="AZ69" s="50"/>
      <c r="BA69" s="50"/>
      <c r="BB69" s="50"/>
      <c r="BC69" s="50"/>
    </row>
    <row r="70" spans="1:55" ht="12.75" customHeight="1" x14ac:dyDescent="0.3">
      <c r="A70" s="2236"/>
      <c r="B70" s="747" t="str">
        <f>'Q1'!C78</f>
        <v>Medium petrol motorbike (125-500cc)</v>
      </c>
      <c r="C70" s="1262">
        <f t="shared" ca="1" si="82"/>
        <v>0</v>
      </c>
      <c r="D70" s="768">
        <f t="shared" ca="1" si="82"/>
        <v>0</v>
      </c>
      <c r="E70" s="769">
        <f t="shared" ca="1" si="82"/>
        <v>0</v>
      </c>
      <c r="F70" s="769">
        <f t="shared" ca="1" si="82"/>
        <v>0</v>
      </c>
      <c r="G70" s="769">
        <f t="shared" ca="1" si="82"/>
        <v>0</v>
      </c>
      <c r="H70" s="769">
        <f t="shared" ca="1" si="82"/>
        <v>0</v>
      </c>
      <c r="I70" s="770">
        <f t="shared" ca="1" si="71"/>
        <v>0</v>
      </c>
      <c r="J70" s="872" t="str">
        <f t="shared" ca="1" si="73"/>
        <v/>
      </c>
      <c r="K70" s="782"/>
      <c r="L70" s="873"/>
      <c r="M70" s="874"/>
      <c r="N70" s="775"/>
      <c r="O70" s="776" t="str">
        <f t="shared" ca="1" si="51"/>
        <v/>
      </c>
      <c r="P70" s="777" t="str">
        <f t="shared" ca="1" si="74"/>
        <v/>
      </c>
      <c r="Q70" s="777" t="str">
        <f t="shared" ca="1" si="75"/>
        <v/>
      </c>
      <c r="R70" s="777" t="str">
        <f t="shared" ca="1" si="11"/>
        <v/>
      </c>
      <c r="S70" s="778" t="str">
        <f t="shared" ca="1" si="12"/>
        <v/>
      </c>
      <c r="T70" s="1066" t="str">
        <f t="shared" ca="1" si="76"/>
        <v/>
      </c>
      <c r="U70" s="1165" t="str">
        <f t="shared" ca="1" si="77"/>
        <v/>
      </c>
      <c r="V70" s="1350">
        <f t="shared" ca="1" si="78"/>
        <v>0</v>
      </c>
      <c r="W70" s="1350">
        <f t="shared" ca="1" si="78"/>
        <v>0</v>
      </c>
      <c r="X70" s="1350">
        <f t="shared" ca="1" si="78"/>
        <v>0</v>
      </c>
      <c r="Y70" s="1067" t="str">
        <f t="shared" ca="1" si="80"/>
        <v/>
      </c>
      <c r="Z70" s="1165" t="str">
        <f t="shared" ca="1" si="79"/>
        <v/>
      </c>
      <c r="AA70" s="772"/>
      <c r="AB70" s="871" t="str">
        <f t="shared" ca="1" si="81"/>
        <v/>
      </c>
      <c r="AC70" s="50"/>
      <c r="AD70" s="50"/>
      <c r="AE70" s="50"/>
      <c r="AF70" s="50"/>
      <c r="AG70" s="50"/>
      <c r="AH70" s="50"/>
      <c r="AI70" s="50"/>
      <c r="AJ70" s="50"/>
      <c r="AK70" s="50"/>
      <c r="AL70" s="50"/>
      <c r="AM70" s="50"/>
      <c r="AN70" s="50"/>
      <c r="AO70" s="50"/>
      <c r="AP70" s="50"/>
      <c r="AQ70" s="50"/>
      <c r="AR70" s="50"/>
      <c r="AS70" s="50"/>
      <c r="AT70" s="50"/>
      <c r="AU70" s="50"/>
      <c r="AV70" s="50"/>
      <c r="AW70" s="50"/>
      <c r="AX70" s="50"/>
      <c r="AY70" s="50"/>
      <c r="AZ70" s="50"/>
      <c r="BA70" s="50"/>
      <c r="BB70" s="50"/>
      <c r="BC70" s="50"/>
    </row>
    <row r="71" spans="1:55" ht="12.75" customHeight="1" x14ac:dyDescent="0.3">
      <c r="A71" s="2236"/>
      <c r="B71" s="747" t="str">
        <f>'Q1'!C79</f>
        <v>Large petrol motorbike (over 500cc)</v>
      </c>
      <c r="C71" s="1262">
        <f t="shared" ca="1" si="82"/>
        <v>0</v>
      </c>
      <c r="D71" s="768">
        <f t="shared" ca="1" si="82"/>
        <v>0</v>
      </c>
      <c r="E71" s="769">
        <f t="shared" ca="1" si="82"/>
        <v>0</v>
      </c>
      <c r="F71" s="769">
        <f t="shared" ca="1" si="82"/>
        <v>0</v>
      </c>
      <c r="G71" s="769">
        <f t="shared" ca="1" si="82"/>
        <v>0</v>
      </c>
      <c r="H71" s="769">
        <f t="shared" ca="1" si="82"/>
        <v>0</v>
      </c>
      <c r="I71" s="770">
        <f t="shared" ca="1" si="71"/>
        <v>0</v>
      </c>
      <c r="J71" s="872" t="str">
        <f t="shared" ca="1" si="73"/>
        <v/>
      </c>
      <c r="K71" s="782"/>
      <c r="L71" s="873"/>
      <c r="M71" s="874"/>
      <c r="N71" s="775"/>
      <c r="O71" s="776" t="str">
        <f t="shared" ca="1" si="51"/>
        <v/>
      </c>
      <c r="P71" s="777" t="str">
        <f t="shared" ca="1" si="74"/>
        <v/>
      </c>
      <c r="Q71" s="777" t="str">
        <f t="shared" ca="1" si="75"/>
        <v/>
      </c>
      <c r="R71" s="777" t="str">
        <f t="shared" ca="1" si="11"/>
        <v/>
      </c>
      <c r="S71" s="778" t="str">
        <f t="shared" ca="1" si="12"/>
        <v/>
      </c>
      <c r="T71" s="1066" t="str">
        <f t="shared" ca="1" si="76"/>
        <v/>
      </c>
      <c r="U71" s="1165" t="str">
        <f t="shared" ca="1" si="77"/>
        <v/>
      </c>
      <c r="V71" s="1350">
        <f t="shared" ca="1" si="78"/>
        <v>0</v>
      </c>
      <c r="W71" s="1350">
        <f t="shared" ca="1" si="78"/>
        <v>0</v>
      </c>
      <c r="X71" s="1350">
        <f t="shared" ca="1" si="78"/>
        <v>0</v>
      </c>
      <c r="Y71" s="1067" t="str">
        <f t="shared" ca="1" si="80"/>
        <v/>
      </c>
      <c r="Z71" s="1165" t="str">
        <f t="shared" ca="1" si="79"/>
        <v/>
      </c>
      <c r="AA71" s="772"/>
      <c r="AB71" s="871" t="str">
        <f ca="1">IF((CONCATENATE(IF(K71="OK","",J71), "    ",IF(L71="","",IF(N71="OK","",CONCATENATE(M71," = ",ROUND(L71,3),"kgCO2e/kWh"))),"    ",IF(AND(+AA71="",Z71="M"),"Value change with medium impact",IF(AND(AA71="",Z71="H"),"Value change with high impact",""))," "))="         ","",(CONCATENATE(IF(K71="OK","",J71), "    ",IF(L71="","",IF(N71="OK","",CONCATENATE(M71," = ",ROUND(L71,3),"kgCO2e/kWh"))),"    ",IF(AND(+AA71="",Z71="M"),"Value change with medium impact",IF(AND(AA71="",Z71="H"),"Value change with high impact",""))," ")))</f>
        <v/>
      </c>
      <c r="AC71" s="50"/>
      <c r="AD71" s="50"/>
      <c r="AE71" s="50"/>
      <c r="AF71" s="50"/>
      <c r="AG71" s="50"/>
      <c r="AH71" s="50"/>
      <c r="AI71" s="50"/>
      <c r="AJ71" s="50"/>
      <c r="AK71" s="50"/>
      <c r="AL71" s="50"/>
      <c r="AM71" s="50"/>
      <c r="AN71" s="50"/>
      <c r="AO71" s="50"/>
      <c r="AP71" s="50"/>
      <c r="AQ71" s="50"/>
      <c r="AR71" s="50"/>
      <c r="AS71" s="50"/>
      <c r="AT71" s="50"/>
      <c r="AU71" s="50"/>
      <c r="AV71" s="50"/>
      <c r="AW71" s="50"/>
      <c r="AX71" s="50"/>
      <c r="AY71" s="50"/>
      <c r="AZ71" s="50"/>
      <c r="BA71" s="50"/>
      <c r="BB71" s="50"/>
      <c r="BC71" s="50"/>
    </row>
    <row r="72" spans="1:55" ht="12.75" customHeight="1" x14ac:dyDescent="0.3">
      <c r="A72" s="2236"/>
      <c r="B72" s="747" t="str">
        <f>'Q1'!C80</f>
        <v>Average petrol motorbike (unknown engine size)</v>
      </c>
      <c r="C72" s="1262">
        <f t="shared" ca="1" si="82"/>
        <v>0</v>
      </c>
      <c r="D72" s="768">
        <f t="shared" ca="1" si="82"/>
        <v>0</v>
      </c>
      <c r="E72" s="769">
        <f t="shared" ca="1" si="82"/>
        <v>0</v>
      </c>
      <c r="F72" s="769">
        <f t="shared" ca="1" si="82"/>
        <v>0</v>
      </c>
      <c r="G72" s="769">
        <f t="shared" ca="1" si="82"/>
        <v>0</v>
      </c>
      <c r="H72" s="769">
        <f t="shared" ca="1" si="82"/>
        <v>0</v>
      </c>
      <c r="I72" s="770">
        <f t="shared" ca="1" si="71"/>
        <v>0</v>
      </c>
      <c r="J72" s="872" t="str">
        <f t="shared" ca="1" si="73"/>
        <v/>
      </c>
      <c r="K72" s="782"/>
      <c r="L72" s="873"/>
      <c r="M72" s="874"/>
      <c r="N72" s="775"/>
      <c r="O72" s="776" t="str">
        <f t="shared" ca="1" si="51"/>
        <v/>
      </c>
      <c r="P72" s="777" t="str">
        <f t="shared" ca="1" si="74"/>
        <v/>
      </c>
      <c r="Q72" s="777" t="str">
        <f t="shared" ca="1" si="75"/>
        <v/>
      </c>
      <c r="R72" s="777" t="str">
        <f t="shared" ca="1" si="11"/>
        <v/>
      </c>
      <c r="S72" s="778" t="str">
        <f t="shared" ca="1" si="12"/>
        <v/>
      </c>
      <c r="T72" s="1066" t="str">
        <f t="shared" ca="1" si="76"/>
        <v/>
      </c>
      <c r="U72" s="1165" t="str">
        <f t="shared" ca="1" si="77"/>
        <v/>
      </c>
      <c r="V72" s="1350">
        <f t="shared" ca="1" si="78"/>
        <v>0</v>
      </c>
      <c r="W72" s="1350">
        <f t="shared" ca="1" si="78"/>
        <v>0</v>
      </c>
      <c r="X72" s="1350">
        <f t="shared" ca="1" si="78"/>
        <v>0</v>
      </c>
      <c r="Y72" s="1067" t="str">
        <f t="shared" ca="1" si="80"/>
        <v/>
      </c>
      <c r="Z72" s="1165" t="str">
        <f t="shared" ca="1" si="79"/>
        <v/>
      </c>
      <c r="AA72" s="772"/>
      <c r="AB72" s="871" t="str">
        <f t="shared" ca="1" si="81"/>
        <v/>
      </c>
      <c r="AC72" s="55"/>
      <c r="AD72" s="96"/>
      <c r="AE72" s="96"/>
      <c r="AF72" s="96"/>
      <c r="AG72" s="96"/>
      <c r="AH72" s="96"/>
      <c r="AI72" s="96"/>
      <c r="AJ72" s="96"/>
      <c r="AK72" s="192"/>
      <c r="AL72" s="875"/>
      <c r="AM72" s="875"/>
      <c r="AN72" s="875"/>
      <c r="AO72" s="50"/>
      <c r="AP72" s="97"/>
      <c r="AQ72" s="97"/>
      <c r="AR72" s="97"/>
      <c r="AS72" s="97"/>
      <c r="AT72" s="97"/>
      <c r="AU72" s="97"/>
      <c r="AV72" s="97"/>
      <c r="AW72" s="97"/>
      <c r="AX72" s="97"/>
      <c r="AY72" s="97"/>
      <c r="AZ72" s="97"/>
      <c r="BA72" s="97"/>
      <c r="BB72" s="97"/>
      <c r="BC72" s="97"/>
    </row>
    <row r="73" spans="1:55" ht="12.75" customHeight="1" x14ac:dyDescent="0.3">
      <c r="A73" s="2236"/>
      <c r="B73" s="747" t="str">
        <f>'Q1'!C81</f>
        <v>Other 1 (enter CO2 factor and specify fuel in "Notes")</v>
      </c>
      <c r="C73" s="1262">
        <f t="shared" ca="1" si="82"/>
        <v>0</v>
      </c>
      <c r="D73" s="768">
        <f t="shared" ca="1" si="82"/>
        <v>0</v>
      </c>
      <c r="E73" s="769">
        <f t="shared" ca="1" si="82"/>
        <v>2646552</v>
      </c>
      <c r="F73" s="769">
        <f t="shared" ca="1" si="82"/>
        <v>2898749</v>
      </c>
      <c r="G73" s="769">
        <f t="shared" ca="1" si="82"/>
        <v>2443325.45567476</v>
      </c>
      <c r="H73" s="769">
        <f t="shared" ca="1" si="82"/>
        <v>9902330.45567476</v>
      </c>
      <c r="I73" s="770">
        <f t="shared" ca="1" si="71"/>
        <v>2475582.61391869</v>
      </c>
      <c r="J73" s="872" t="str">
        <f t="shared" ca="1" si="73"/>
        <v>Missing value?</v>
      </c>
      <c r="K73" s="782"/>
      <c r="L73" s="784" t="str">
        <f ca="1">IF(C73&gt;0,'Q4'!E81,"")</f>
        <v/>
      </c>
      <c r="M73" s="785" t="str">
        <f ca="1">IF(L73="","",IF('Q4'!I81=0,"Fuel type not stated",'Q4'!I81))</f>
        <v/>
      </c>
      <c r="N73" s="772" t="s">
        <v>552</v>
      </c>
      <c r="O73" s="776" t="str">
        <f t="shared" ca="1" si="51"/>
        <v/>
      </c>
      <c r="P73" s="777">
        <f t="shared" ca="1" si="74"/>
        <v>-1</v>
      </c>
      <c r="Q73" s="777">
        <f t="shared" ca="1" si="75"/>
        <v>-1</v>
      </c>
      <c r="R73" s="777">
        <f t="shared" ca="1" si="11"/>
        <v>-1</v>
      </c>
      <c r="S73" s="778">
        <f t="shared" ca="1" si="12"/>
        <v>-1</v>
      </c>
      <c r="T73" s="1066">
        <f t="shared" ca="1" si="76"/>
        <v>1</v>
      </c>
      <c r="U73" s="1165" t="str">
        <f t="shared" ca="1" si="77"/>
        <v>H</v>
      </c>
      <c r="V73" s="1350">
        <f t="shared" ca="1" si="78"/>
        <v>0</v>
      </c>
      <c r="W73" s="1350">
        <f t="shared" ca="1" si="78"/>
        <v>0</v>
      </c>
      <c r="X73" s="1350">
        <f t="shared" ca="1" si="78"/>
        <v>7995.7357497391422</v>
      </c>
      <c r="Y73" s="1067">
        <f t="shared" ca="1" si="80"/>
        <v>2.3760661746470846E-2</v>
      </c>
      <c r="Z73" s="1165" t="str">
        <f t="shared" ca="1" si="79"/>
        <v>M</v>
      </c>
      <c r="AA73" s="772" t="s">
        <v>552</v>
      </c>
      <c r="AB73" s="871" t="str">
        <f t="shared" ca="1" si="81"/>
        <v xml:space="preserve">Missing value?         </v>
      </c>
      <c r="AC73" s="55"/>
      <c r="AD73" s="96"/>
      <c r="AE73" s="96"/>
      <c r="AF73" s="96"/>
      <c r="AG73" s="96"/>
      <c r="AH73" s="96"/>
      <c r="AI73" s="96"/>
      <c r="AJ73" s="96"/>
      <c r="AK73" s="192"/>
      <c r="AL73" s="875"/>
      <c r="AM73" s="875"/>
      <c r="AN73" s="875"/>
      <c r="AO73" s="50"/>
      <c r="AP73" s="97"/>
      <c r="AQ73" s="97"/>
      <c r="AR73" s="97"/>
      <c r="AS73" s="97"/>
      <c r="AT73" s="97"/>
      <c r="AU73" s="97"/>
      <c r="AV73" s="97"/>
      <c r="AW73" s="97"/>
      <c r="AX73" s="97"/>
      <c r="AY73" s="97"/>
      <c r="AZ73" s="97"/>
      <c r="BA73" s="97"/>
      <c r="BB73" s="97"/>
      <c r="BC73" s="97"/>
    </row>
    <row r="74" spans="1:55" ht="12.75" customHeight="1" x14ac:dyDescent="0.3">
      <c r="A74" s="2236"/>
      <c r="B74" s="747" t="str">
        <f>'Q1'!C82</f>
        <v>Other 2 (enter CO2 factor and specify fuel in "Notes")</v>
      </c>
      <c r="C74" s="1262">
        <f t="shared" ca="1" si="82"/>
        <v>0</v>
      </c>
      <c r="D74" s="768">
        <f t="shared" ca="1" si="82"/>
        <v>0</v>
      </c>
      <c r="E74" s="769">
        <f t="shared" ca="1" si="82"/>
        <v>398477</v>
      </c>
      <c r="F74" s="769">
        <f t="shared" ca="1" si="82"/>
        <v>397987</v>
      </c>
      <c r="G74" s="769">
        <f t="shared" ca="1" si="82"/>
        <v>419711</v>
      </c>
      <c r="H74" s="769">
        <f t="shared" ca="1" si="82"/>
        <v>1562882</v>
      </c>
      <c r="I74" s="770">
        <f t="shared" ca="1" si="71"/>
        <v>390720.5</v>
      </c>
      <c r="J74" s="872" t="str">
        <f t="shared" ca="1" si="73"/>
        <v>Missing value?</v>
      </c>
      <c r="K74" s="782"/>
      <c r="L74" s="784" t="str">
        <f ca="1">IF(C74&gt;0,'Q4'!E82,"")</f>
        <v/>
      </c>
      <c r="M74" s="785" t="str">
        <f ca="1">IF(L74="","",IF('Q4'!I82=0,"Fuel type not stated",'Q4'!I82))</f>
        <v/>
      </c>
      <c r="N74" s="772" t="s">
        <v>552</v>
      </c>
      <c r="O74" s="776" t="str">
        <f t="shared" ca="1" si="51"/>
        <v/>
      </c>
      <c r="P74" s="777">
        <f t="shared" ca="1" si="74"/>
        <v>-1</v>
      </c>
      <c r="Q74" s="777">
        <f t="shared" ca="1" si="75"/>
        <v>-1</v>
      </c>
      <c r="R74" s="777">
        <f t="shared" ca="1" si="11"/>
        <v>-1</v>
      </c>
      <c r="S74" s="778">
        <f t="shared" ca="1" si="12"/>
        <v>-1</v>
      </c>
      <c r="T74" s="1066">
        <f t="shared" ca="1" si="76"/>
        <v>1</v>
      </c>
      <c r="U74" s="1165" t="str">
        <f t="shared" ca="1" si="77"/>
        <v>H</v>
      </c>
      <c r="V74" s="1350">
        <f t="shared" ca="1" si="78"/>
        <v>0</v>
      </c>
      <c r="W74" s="1350">
        <f t="shared" ca="1" si="78"/>
        <v>0</v>
      </c>
      <c r="X74" s="1350">
        <f t="shared" ca="1" si="78"/>
        <v>1261.9646997199998</v>
      </c>
      <c r="Y74" s="1067">
        <f t="shared" ca="1" si="80"/>
        <v>3.7501384868818132E-3</v>
      </c>
      <c r="Z74" s="1165" t="str">
        <f t="shared" ca="1" si="79"/>
        <v>M</v>
      </c>
      <c r="AA74" s="772"/>
      <c r="AB74" s="871" t="str">
        <f t="shared" ca="1" si="81"/>
        <v xml:space="preserve">Missing value?        Value change with medium impact </v>
      </c>
      <c r="AC74" s="55"/>
      <c r="AD74" s="96"/>
      <c r="AE74" s="96"/>
      <c r="AF74" s="96"/>
      <c r="AG74" s="96"/>
      <c r="AH74" s="96"/>
      <c r="AI74" s="96"/>
      <c r="AJ74" s="96"/>
      <c r="AK74" s="192"/>
      <c r="AL74" s="875"/>
      <c r="AM74" s="875"/>
      <c r="AN74" s="875"/>
      <c r="AO74" s="50"/>
      <c r="AP74" s="97"/>
      <c r="AQ74" s="97"/>
      <c r="AR74" s="97"/>
      <c r="AS74" s="97"/>
      <c r="AT74" s="97"/>
      <c r="AU74" s="97"/>
      <c r="AV74" s="97"/>
      <c r="AW74" s="97"/>
      <c r="AX74" s="97"/>
      <c r="AY74" s="97"/>
      <c r="AZ74" s="97"/>
      <c r="BA74" s="97"/>
      <c r="BB74" s="97"/>
      <c r="BC74" s="97"/>
    </row>
    <row r="75" spans="1:55" ht="12.75" customHeight="1" x14ac:dyDescent="0.3">
      <c r="A75" s="2236"/>
      <c r="B75" s="747" t="str">
        <f>'Q1'!C83</f>
        <v>Other 3 (enter CO2 factor and specify fuel in "Notes")</v>
      </c>
      <c r="C75" s="1262">
        <f t="shared" ca="1" si="82"/>
        <v>0</v>
      </c>
      <c r="D75" s="768">
        <f t="shared" ca="1" si="82"/>
        <v>0</v>
      </c>
      <c r="E75" s="769">
        <f t="shared" ca="1" si="82"/>
        <v>0</v>
      </c>
      <c r="F75" s="769">
        <f t="shared" ca="1" si="82"/>
        <v>0</v>
      </c>
      <c r="G75" s="769">
        <f t="shared" ca="1" si="82"/>
        <v>0</v>
      </c>
      <c r="H75" s="769">
        <f t="shared" ca="1" si="82"/>
        <v>0</v>
      </c>
      <c r="I75" s="770">
        <f t="shared" ca="1" si="71"/>
        <v>0</v>
      </c>
      <c r="J75" s="876" t="str">
        <f t="shared" ca="1" si="73"/>
        <v/>
      </c>
      <c r="K75" s="877"/>
      <c r="L75" s="878" t="str">
        <f ca="1">IF(C75&gt;0,'Q4'!E83,"")</f>
        <v/>
      </c>
      <c r="M75" s="879" t="str">
        <f ca="1">IF(L75="","",IF('Q4'!I83=0,"Fuel type not stated",'Q4'!I83))</f>
        <v/>
      </c>
      <c r="N75" s="880"/>
      <c r="O75" s="881" t="str">
        <f t="shared" ca="1" si="51"/>
        <v/>
      </c>
      <c r="P75" s="882" t="str">
        <f t="shared" ca="1" si="74"/>
        <v/>
      </c>
      <c r="Q75" s="882" t="str">
        <f t="shared" ca="1" si="75"/>
        <v/>
      </c>
      <c r="R75" s="882" t="str">
        <f t="shared" ca="1" si="11"/>
        <v/>
      </c>
      <c r="S75" s="883" t="str">
        <f t="shared" ca="1" si="12"/>
        <v/>
      </c>
      <c r="T75" s="1066" t="str">
        <f t="shared" ca="1" si="76"/>
        <v/>
      </c>
      <c r="U75" s="1165" t="str">
        <f t="shared" ca="1" si="77"/>
        <v/>
      </c>
      <c r="V75" s="1350">
        <f t="shared" ca="1" si="78"/>
        <v>0</v>
      </c>
      <c r="W75" s="1350">
        <f t="shared" ca="1" si="78"/>
        <v>0</v>
      </c>
      <c r="X75" s="1350">
        <f t="shared" ca="1" si="78"/>
        <v>0</v>
      </c>
      <c r="Y75" s="1067" t="str">
        <f t="shared" ca="1" si="80"/>
        <v/>
      </c>
      <c r="Z75" s="884" t="str">
        <f t="shared" ca="1" si="79"/>
        <v/>
      </c>
      <c r="AA75" s="880"/>
      <c r="AB75" s="871" t="str">
        <f t="shared" ca="1" si="81"/>
        <v/>
      </c>
      <c r="AC75" s="55"/>
      <c r="AD75" s="96"/>
      <c r="AE75" s="96"/>
      <c r="AF75" s="96"/>
      <c r="AG75" s="96"/>
      <c r="AH75" s="96"/>
      <c r="AI75" s="96"/>
      <c r="AJ75" s="96"/>
      <c r="AK75" s="192"/>
      <c r="AL75" s="875"/>
      <c r="AM75" s="875"/>
      <c r="AN75" s="875"/>
      <c r="AO75" s="50"/>
      <c r="AP75" s="97"/>
      <c r="AQ75" s="97"/>
      <c r="AR75" s="97"/>
      <c r="AS75" s="97"/>
      <c r="AT75" s="97"/>
      <c r="AU75" s="97"/>
      <c r="AV75" s="97"/>
      <c r="AW75" s="97"/>
      <c r="AX75" s="97"/>
      <c r="AY75" s="97"/>
      <c r="AZ75" s="97"/>
      <c r="BA75" s="97"/>
      <c r="BB75" s="97"/>
      <c r="BC75" s="97"/>
    </row>
    <row r="76" spans="1:55" ht="12.75" customHeight="1" x14ac:dyDescent="0.3">
      <c r="A76" s="2236"/>
      <c r="B76" s="747" t="str">
        <f>'Q1'!C84</f>
        <v>Other 4 (enter CO2 factor and specify fuel in "Notes")</v>
      </c>
      <c r="C76" s="1262">
        <f t="shared" ca="1" si="82"/>
        <v>0</v>
      </c>
      <c r="D76" s="768">
        <f t="shared" ca="1" si="82"/>
        <v>0</v>
      </c>
      <c r="E76" s="769">
        <f t="shared" ca="1" si="82"/>
        <v>0</v>
      </c>
      <c r="F76" s="769">
        <f t="shared" ca="1" si="82"/>
        <v>0</v>
      </c>
      <c r="G76" s="769">
        <f t="shared" ca="1" si="82"/>
        <v>0</v>
      </c>
      <c r="H76" s="769">
        <f t="shared" ca="1" si="82"/>
        <v>0</v>
      </c>
      <c r="I76" s="770">
        <f t="shared" ca="1" si="71"/>
        <v>0</v>
      </c>
      <c r="J76" s="876" t="str">
        <f t="shared" ref="J76:J77" ca="1" si="83">IF(AND(C76&gt;0,SUM(D76:I76)&gt;0),"",IF(AND(C76=0,SUM(C76:I76)=0),"",IF(AND(C76=0,D76&gt;0),"Missing value?",IF(AND(C76=0,I76&gt;0),"Missing value?","New category"))))</f>
        <v/>
      </c>
      <c r="K76" s="877" t="s">
        <v>552</v>
      </c>
      <c r="L76" s="878" t="str">
        <f ca="1">IF(C76&gt;0,'Q4'!E84,"")</f>
        <v/>
      </c>
      <c r="M76" s="879" t="str">
        <f ca="1">IF(L76="","",IF('Q4'!I84=0,"Fuel type not stated",'Q4'!I84))</f>
        <v/>
      </c>
      <c r="N76" s="880"/>
      <c r="O76" s="881" t="str">
        <f t="shared" ca="1" si="51"/>
        <v/>
      </c>
      <c r="P76" s="882" t="str">
        <f t="shared" ca="1" si="74"/>
        <v/>
      </c>
      <c r="Q76" s="882" t="str">
        <f t="shared" ca="1" si="75"/>
        <v/>
      </c>
      <c r="R76" s="882" t="str">
        <f t="shared" ca="1" si="11"/>
        <v/>
      </c>
      <c r="S76" s="883" t="str">
        <f t="shared" ca="1" si="12"/>
        <v/>
      </c>
      <c r="T76" s="1066" t="str">
        <f t="shared" ref="T76:T77" ca="1" si="84">IF(SUM(C76:I76)=0,"",IF(OR(AND(C76=0,SUM(D76:I76)&gt;0),AND(C76&gt;0,SUM(D76:I76)=0)),1,IF(MAX(IF(O76&lt;0,-O76,O76),IF(P76&lt;0,-P76,P76),IF(Q76&lt;0,-Q76,Q76),IF(R76&lt;0,-R76,R76),IF(S76&lt;0,-S76,S76))=0,"",MAX(IF(O76&lt;0,-O76,O76),IF(P76&lt;0,-P76,P76),IF(Q76&lt;0,-Q76,Q76),IF(R76&lt;0,-R76,R76),IF(S76&lt;0,-S76,S76)))))</f>
        <v/>
      </c>
      <c r="U76" s="1165" t="str">
        <f t="shared" ca="1" si="77"/>
        <v/>
      </c>
      <c r="V76" s="1350">
        <f t="shared" ca="1" si="78"/>
        <v>0</v>
      </c>
      <c r="W76" s="1350">
        <f t="shared" ca="1" si="78"/>
        <v>0</v>
      </c>
      <c r="X76" s="1350">
        <f t="shared" ca="1" si="78"/>
        <v>0</v>
      </c>
      <c r="Y76" s="1067" t="str">
        <f t="shared" ca="1" si="80"/>
        <v/>
      </c>
      <c r="Z76" s="884" t="str">
        <f t="shared" ca="1" si="79"/>
        <v/>
      </c>
      <c r="AA76" s="880" t="s">
        <v>552</v>
      </c>
      <c r="AB76" s="871" t="str">
        <f t="shared" ca="1" si="81"/>
        <v/>
      </c>
      <c r="AC76" s="55"/>
      <c r="AD76" s="96"/>
      <c r="AE76" s="96"/>
      <c r="AF76" s="96"/>
      <c r="AG76" s="96"/>
      <c r="AH76" s="96"/>
      <c r="AI76" s="96"/>
      <c r="AJ76" s="96"/>
      <c r="AK76" s="192"/>
      <c r="AL76" s="875"/>
      <c r="AM76" s="875"/>
      <c r="AN76" s="875"/>
      <c r="AO76" s="50"/>
      <c r="AP76" s="97"/>
      <c r="AQ76" s="97"/>
      <c r="AR76" s="97"/>
      <c r="AS76" s="97"/>
      <c r="AT76" s="97"/>
      <c r="AU76" s="97"/>
      <c r="AV76" s="97"/>
      <c r="AW76" s="97"/>
      <c r="AX76" s="97"/>
      <c r="AY76" s="97"/>
      <c r="AZ76" s="97"/>
      <c r="BA76" s="97"/>
      <c r="BB76" s="97"/>
      <c r="BC76" s="97"/>
    </row>
    <row r="77" spans="1:55" ht="12.75" customHeight="1" thickBot="1" x14ac:dyDescent="0.35">
      <c r="A77" s="2237"/>
      <c r="B77" s="747" t="str">
        <f>'Q1'!C85</f>
        <v>Other 5 (enter CO2 factor and specify fuel in "Notes")</v>
      </c>
      <c r="C77" s="1262">
        <f t="shared" ca="1" si="82"/>
        <v>0</v>
      </c>
      <c r="D77" s="768">
        <f t="shared" ca="1" si="82"/>
        <v>0</v>
      </c>
      <c r="E77" s="769">
        <f t="shared" ca="1" si="82"/>
        <v>0</v>
      </c>
      <c r="F77" s="769">
        <f t="shared" ca="1" si="82"/>
        <v>0</v>
      </c>
      <c r="G77" s="769">
        <f t="shared" ca="1" si="82"/>
        <v>0</v>
      </c>
      <c r="H77" s="769">
        <f t="shared" ca="1" si="82"/>
        <v>0</v>
      </c>
      <c r="I77" s="770">
        <f t="shared" ca="1" si="71"/>
        <v>0</v>
      </c>
      <c r="J77" s="876" t="str">
        <f t="shared" ca="1" si="83"/>
        <v/>
      </c>
      <c r="K77" s="877" t="s">
        <v>552</v>
      </c>
      <c r="L77" s="878" t="str">
        <f ca="1">IF(C77&gt;0,'Q4'!E85,"")</f>
        <v/>
      </c>
      <c r="M77" s="879" t="str">
        <f ca="1">IF(L77="","",IF('Q4'!I85=0,"Fuel type not stated",'Q4'!I85))</f>
        <v/>
      </c>
      <c r="N77" s="880"/>
      <c r="O77" s="881" t="str">
        <f t="shared" ca="1" si="51"/>
        <v/>
      </c>
      <c r="P77" s="882" t="str">
        <f t="shared" ca="1" si="74"/>
        <v/>
      </c>
      <c r="Q77" s="882" t="str">
        <f t="shared" ca="1" si="75"/>
        <v/>
      </c>
      <c r="R77" s="882" t="str">
        <f t="shared" ca="1" si="11"/>
        <v/>
      </c>
      <c r="S77" s="883" t="str">
        <f t="shared" ca="1" si="12"/>
        <v/>
      </c>
      <c r="T77" s="1066" t="str">
        <f t="shared" ca="1" si="84"/>
        <v/>
      </c>
      <c r="U77" s="1165" t="str">
        <f t="shared" ca="1" si="77"/>
        <v/>
      </c>
      <c r="V77" s="1350">
        <f t="shared" ca="1" si="78"/>
        <v>0</v>
      </c>
      <c r="W77" s="1350">
        <f t="shared" ca="1" si="78"/>
        <v>0</v>
      </c>
      <c r="X77" s="1350">
        <f t="shared" ca="1" si="78"/>
        <v>0</v>
      </c>
      <c r="Y77" s="1067" t="str">
        <f t="shared" ca="1" si="80"/>
        <v/>
      </c>
      <c r="Z77" s="884" t="str">
        <f t="shared" ca="1" si="79"/>
        <v/>
      </c>
      <c r="AA77" s="880" t="s">
        <v>552</v>
      </c>
      <c r="AB77" s="871" t="str">
        <f t="shared" ca="1" si="81"/>
        <v/>
      </c>
      <c r="AC77" s="55"/>
      <c r="AD77" s="96"/>
      <c r="AE77" s="96"/>
      <c r="AF77" s="96"/>
      <c r="AG77" s="96"/>
      <c r="AH77" s="96"/>
      <c r="AI77" s="96"/>
      <c r="AJ77" s="96"/>
      <c r="AK77" s="192"/>
      <c r="AL77" s="875"/>
      <c r="AM77" s="875"/>
      <c r="AN77" s="875"/>
      <c r="AO77" s="50"/>
      <c r="AP77" s="97"/>
      <c r="AQ77" s="97"/>
      <c r="AR77" s="97"/>
      <c r="AS77" s="97"/>
      <c r="AT77" s="97"/>
      <c r="AU77" s="97"/>
      <c r="AV77" s="97"/>
      <c r="AW77" s="97"/>
      <c r="AX77" s="97"/>
      <c r="AY77" s="97"/>
      <c r="AZ77" s="97"/>
      <c r="BA77" s="97"/>
      <c r="BB77" s="97"/>
      <c r="BC77" s="97"/>
    </row>
    <row r="78" spans="1:55" ht="12.75" customHeight="1" thickBot="1" x14ac:dyDescent="0.35">
      <c r="A78" s="2225" t="s">
        <v>110</v>
      </c>
      <c r="B78" s="2226"/>
      <c r="C78" s="1177">
        <f t="shared" ref="C78:H78" ca="1" si="85">INDIRECT(CONCATENATE("'",C$14,"'!$D$86"),TRUE)</f>
        <v>0</v>
      </c>
      <c r="D78" s="733">
        <f t="shared" ca="1" si="85"/>
        <v>0</v>
      </c>
      <c r="E78" s="734">
        <f t="shared" ca="1" si="85"/>
        <v>14756354</v>
      </c>
      <c r="F78" s="734">
        <f t="shared" ca="1" si="85"/>
        <v>12714336.17</v>
      </c>
      <c r="G78" s="734">
        <f t="shared" ca="1" si="85"/>
        <v>12365451.85</v>
      </c>
      <c r="H78" s="734">
        <f t="shared" ca="1" si="85"/>
        <v>50490770.850000001</v>
      </c>
      <c r="I78" s="735">
        <f t="shared" ca="1" si="71"/>
        <v>12622692.7125</v>
      </c>
      <c r="J78" s="885"/>
      <c r="K78" s="851"/>
      <c r="L78" s="850"/>
      <c r="M78" s="744"/>
      <c r="N78" s="863"/>
      <c r="O78" s="738" t="str">
        <f t="shared" ca="1" si="51"/>
        <v/>
      </c>
      <c r="P78" s="739">
        <f t="shared" ca="1" si="74"/>
        <v>-1</v>
      </c>
      <c r="Q78" s="739">
        <f t="shared" ca="1" si="75"/>
        <v>-1</v>
      </c>
      <c r="R78" s="739">
        <f t="shared" ca="1" si="11"/>
        <v>-1</v>
      </c>
      <c r="S78" s="740">
        <f t="shared" ca="1" si="12"/>
        <v>-1</v>
      </c>
      <c r="T78" s="886"/>
      <c r="U78" s="887"/>
      <c r="V78" s="887"/>
      <c r="W78" s="887"/>
      <c r="X78" s="887"/>
      <c r="Y78" s="887"/>
      <c r="Z78" s="888"/>
      <c r="AA78" s="741"/>
      <c r="AB78" s="889"/>
      <c r="AC78" s="95"/>
      <c r="AD78" s="666"/>
      <c r="AE78" s="666"/>
      <c r="AF78" s="666"/>
      <c r="AG78" s="666"/>
      <c r="AH78" s="666"/>
      <c r="AI78" s="666"/>
      <c r="AJ78" s="666"/>
      <c r="AK78" s="192"/>
      <c r="AL78" s="875"/>
      <c r="AM78" s="875"/>
      <c r="AN78" s="875"/>
      <c r="AO78" s="50"/>
      <c r="AP78" s="890"/>
      <c r="AQ78" s="890"/>
      <c r="AR78" s="890"/>
      <c r="AS78" s="890"/>
      <c r="AT78" s="890"/>
      <c r="AU78" s="890"/>
      <c r="AV78" s="890"/>
      <c r="AW78" s="890"/>
      <c r="AX78" s="890"/>
      <c r="AY78" s="890"/>
      <c r="AZ78" s="890"/>
      <c r="BA78" s="890"/>
      <c r="BB78" s="890"/>
      <c r="BC78" s="890"/>
    </row>
    <row r="79" spans="1:55" ht="12.75" customHeight="1" x14ac:dyDescent="0.3">
      <c r="A79" s="2238" t="s">
        <v>111</v>
      </c>
      <c r="B79" s="747" t="str">
        <f>'Q1'!C87</f>
        <v>Small petrol car, up to 1.4 l</v>
      </c>
      <c r="C79" s="1262">
        <f t="shared" ref="C79:H88" ca="1" si="86">INDEX(INDIRECT(CONCATENATE("'",C$14,"'!$D$87:$D$107"),TRUE),MATCH($B79,INDIRECT(CONCATENATE("'",C$14,"'!$C$87:$C$107"),TRUE),0))</f>
        <v>0</v>
      </c>
      <c r="D79" s="748">
        <f t="shared" ca="1" si="86"/>
        <v>0</v>
      </c>
      <c r="E79" s="749">
        <f t="shared" ca="1" si="86"/>
        <v>0</v>
      </c>
      <c r="F79" s="749">
        <f t="shared" ca="1" si="86"/>
        <v>0</v>
      </c>
      <c r="G79" s="749">
        <f t="shared" ca="1" si="86"/>
        <v>0</v>
      </c>
      <c r="H79" s="749">
        <f t="shared" ca="1" si="86"/>
        <v>0</v>
      </c>
      <c r="I79" s="750">
        <f t="shared" ca="1" si="71"/>
        <v>0</v>
      </c>
      <c r="J79" s="868" t="str">
        <f t="shared" ca="1" si="73"/>
        <v/>
      </c>
      <c r="K79" s="809" t="s">
        <v>552</v>
      </c>
      <c r="L79" s="752"/>
      <c r="M79" s="753"/>
      <c r="N79" s="754"/>
      <c r="O79" s="755" t="str">
        <f t="shared" ca="1" si="51"/>
        <v/>
      </c>
      <c r="P79" s="756" t="str">
        <f t="shared" ca="1" si="74"/>
        <v/>
      </c>
      <c r="Q79" s="756" t="str">
        <f t="shared" ca="1" si="75"/>
        <v/>
      </c>
      <c r="R79" s="756" t="str">
        <f t="shared" ca="1" si="11"/>
        <v/>
      </c>
      <c r="S79" s="757" t="str">
        <f t="shared" ca="1" si="12"/>
        <v/>
      </c>
      <c r="T79" s="1066" t="str">
        <f t="shared" ca="1" si="76"/>
        <v/>
      </c>
      <c r="U79" s="1166" t="str">
        <f t="shared" ref="U79:U99" ca="1" si="87">IF(+T79="","",IF(T79&gt;L$3,"H",IF(T79&gt;L$4,"M","")))</f>
        <v/>
      </c>
      <c r="V79" s="1350">
        <f t="shared" ref="V79:X99" ca="1" si="88">INDEX(INDIRECT(CONCATENATE("'",V$14,"'!$F$87:$F$107"),TRUE),MATCH($B79,INDIRECT(CONCATENATE("'",V$14,"'!$C$87:$C$107"),TRUE),0))</f>
        <v>0</v>
      </c>
      <c r="W79" s="1350">
        <f t="shared" ca="1" si="88"/>
        <v>0</v>
      </c>
      <c r="X79" s="1350">
        <f t="shared" ca="1" si="88"/>
        <v>0</v>
      </c>
      <c r="Y79" s="1067" t="str">
        <f t="shared" ref="Y79:Y99" ca="1" si="89">IF(V79=0,IF(W79&gt;0, W79/L$8, IF(X79&gt;0,X79/L$10, "")), IF(T79="", "", V79/L$7*T79))</f>
        <v/>
      </c>
      <c r="Z79" s="1166" t="str">
        <f t="shared" ref="Z79:Z99" ca="1" si="90">IF(+Y79="","",IF(Y79&gt;L$3,"H",IF(Y79&gt;L$4,"M","")))</f>
        <v/>
      </c>
      <c r="AA79" s="751" t="s">
        <v>552</v>
      </c>
      <c r="AB79" s="871" t="str">
        <f t="shared" ref="AB79:AB113" ca="1" si="91">IF((CONCATENATE(IF(K79="OK","",J79), "    ",IF(L79="","",IF(N79="OK","",CONCATENATE(M79," = ",ROUND(L79,3),"kgCO2e/kWh"))),"    ",IF(AND(+AA79="",Z79="M"),"Value change with medium impact",IF(AND(AA79="",Z79="H"),"Value change with high impact",""))," "))="         ","",(CONCATENATE(IF(K79="OK","",J79), "    ",IF(L79="","",IF(N79="OK","",CONCATENATE(M79," = ",ROUND(L79,3),"kgCO2e/kWh"))),"    ",IF(AND(+AA79="",Z79="M"),"Value change with medium impact",IF(AND(AA79="",Z79="H"),"Value change with high impact",""))," ")))</f>
        <v/>
      </c>
      <c r="AC79" s="55"/>
      <c r="AD79" s="96"/>
      <c r="AE79" s="96"/>
      <c r="AF79" s="96"/>
      <c r="AG79" s="96"/>
      <c r="AH79" s="96"/>
      <c r="AI79" s="96"/>
      <c r="AJ79" s="96"/>
      <c r="AK79" s="192"/>
      <c r="AL79" s="875"/>
      <c r="AM79" s="875"/>
      <c r="AN79" s="875"/>
      <c r="AO79" s="50"/>
      <c r="AP79" s="97"/>
      <c r="AQ79" s="97"/>
      <c r="AR79" s="97"/>
      <c r="AS79" s="97"/>
      <c r="AT79" s="97"/>
      <c r="AU79" s="97"/>
      <c r="AV79" s="97"/>
      <c r="AW79" s="97"/>
      <c r="AX79" s="97"/>
      <c r="AY79" s="97"/>
      <c r="AZ79" s="97"/>
      <c r="BA79" s="97"/>
      <c r="BB79" s="97"/>
      <c r="BC79" s="97"/>
    </row>
    <row r="80" spans="1:55" ht="12.75" customHeight="1" x14ac:dyDescent="0.3">
      <c r="A80" s="2239"/>
      <c r="B80" s="747" t="str">
        <f>'Q1'!C88</f>
        <v>Medium petrol car, 1.4 - 2.0 l</v>
      </c>
      <c r="C80" s="1262">
        <f t="shared" ca="1" si="86"/>
        <v>0</v>
      </c>
      <c r="D80" s="768">
        <f t="shared" ca="1" si="86"/>
        <v>0</v>
      </c>
      <c r="E80" s="769">
        <f t="shared" ca="1" si="86"/>
        <v>0</v>
      </c>
      <c r="F80" s="769">
        <f t="shared" ca="1" si="86"/>
        <v>0</v>
      </c>
      <c r="G80" s="769">
        <f t="shared" ca="1" si="86"/>
        <v>0</v>
      </c>
      <c r="H80" s="769">
        <f t="shared" ca="1" si="86"/>
        <v>0</v>
      </c>
      <c r="I80" s="770">
        <f t="shared" ca="1" si="71"/>
        <v>0</v>
      </c>
      <c r="J80" s="872" t="str">
        <f t="shared" ca="1" si="73"/>
        <v/>
      </c>
      <c r="K80" s="782" t="s">
        <v>552</v>
      </c>
      <c r="L80" s="773"/>
      <c r="M80" s="774"/>
      <c r="N80" s="775"/>
      <c r="O80" s="776" t="str">
        <f t="shared" ca="1" si="51"/>
        <v/>
      </c>
      <c r="P80" s="777" t="str">
        <f t="shared" ca="1" si="74"/>
        <v/>
      </c>
      <c r="Q80" s="777" t="str">
        <f t="shared" ca="1" si="75"/>
        <v/>
      </c>
      <c r="R80" s="777" t="str">
        <f t="shared" ca="1" si="11"/>
        <v/>
      </c>
      <c r="S80" s="778" t="str">
        <f t="shared" ca="1" si="12"/>
        <v/>
      </c>
      <c r="T80" s="1066" t="str">
        <f t="shared" ca="1" si="76"/>
        <v/>
      </c>
      <c r="U80" s="1165" t="str">
        <f t="shared" ca="1" si="87"/>
        <v/>
      </c>
      <c r="V80" s="1350">
        <f t="shared" ca="1" si="88"/>
        <v>0</v>
      </c>
      <c r="W80" s="1350">
        <f t="shared" ca="1" si="88"/>
        <v>0</v>
      </c>
      <c r="X80" s="1350">
        <f t="shared" ca="1" si="88"/>
        <v>0</v>
      </c>
      <c r="Y80" s="1067" t="str">
        <f t="shared" ca="1" si="89"/>
        <v/>
      </c>
      <c r="Z80" s="1165" t="str">
        <f t="shared" ca="1" si="90"/>
        <v/>
      </c>
      <c r="AA80" s="772" t="s">
        <v>552</v>
      </c>
      <c r="AB80" s="871" t="str">
        <f t="shared" ca="1" si="91"/>
        <v/>
      </c>
      <c r="AC80" s="55"/>
      <c r="AD80" s="96"/>
      <c r="AE80" s="96"/>
      <c r="AF80" s="96"/>
      <c r="AG80" s="96"/>
      <c r="AH80" s="96"/>
      <c r="AI80" s="96"/>
      <c r="AJ80" s="96"/>
      <c r="AK80" s="192"/>
      <c r="AL80" s="875"/>
      <c r="AM80" s="875"/>
      <c r="AN80" s="875"/>
      <c r="AO80" s="50"/>
      <c r="AP80" s="97"/>
      <c r="AQ80" s="97"/>
      <c r="AR80" s="97"/>
      <c r="AS80" s="97"/>
      <c r="AT80" s="97"/>
      <c r="AU80" s="97"/>
      <c r="AV80" s="97"/>
      <c r="AW80" s="97"/>
      <c r="AX80" s="97"/>
      <c r="AY80" s="97"/>
      <c r="AZ80" s="97"/>
      <c r="BA80" s="97"/>
      <c r="BB80" s="97"/>
      <c r="BC80" s="97"/>
    </row>
    <row r="81" spans="1:55" ht="12.75" customHeight="1" x14ac:dyDescent="0.3">
      <c r="A81" s="2239"/>
      <c r="B81" s="747" t="str">
        <f>'Q1'!C89</f>
        <v>Large petrol car, &gt;2.0 l</v>
      </c>
      <c r="C81" s="1262">
        <f t="shared" ca="1" si="86"/>
        <v>0</v>
      </c>
      <c r="D81" s="768">
        <f t="shared" ca="1" si="86"/>
        <v>0</v>
      </c>
      <c r="E81" s="769">
        <f t="shared" ca="1" si="86"/>
        <v>0</v>
      </c>
      <c r="F81" s="769">
        <f t="shared" ca="1" si="86"/>
        <v>0</v>
      </c>
      <c r="G81" s="769">
        <f t="shared" ca="1" si="86"/>
        <v>0</v>
      </c>
      <c r="H81" s="769">
        <f t="shared" ca="1" si="86"/>
        <v>0</v>
      </c>
      <c r="I81" s="770">
        <f t="shared" ca="1" si="71"/>
        <v>0</v>
      </c>
      <c r="J81" s="872" t="str">
        <f t="shared" ca="1" si="73"/>
        <v/>
      </c>
      <c r="K81" s="782" t="s">
        <v>552</v>
      </c>
      <c r="L81" s="773"/>
      <c r="M81" s="774"/>
      <c r="N81" s="775"/>
      <c r="O81" s="776" t="str">
        <f t="shared" ca="1" si="51"/>
        <v/>
      </c>
      <c r="P81" s="777" t="str">
        <f t="shared" ca="1" si="74"/>
        <v/>
      </c>
      <c r="Q81" s="777" t="str">
        <f t="shared" ca="1" si="75"/>
        <v/>
      </c>
      <c r="R81" s="777" t="str">
        <f t="shared" ca="1" si="11"/>
        <v/>
      </c>
      <c r="S81" s="778" t="str">
        <f t="shared" ca="1" si="12"/>
        <v/>
      </c>
      <c r="T81" s="1066" t="str">
        <f t="shared" ca="1" si="76"/>
        <v/>
      </c>
      <c r="U81" s="1165" t="str">
        <f t="shared" ca="1" si="87"/>
        <v/>
      </c>
      <c r="V81" s="1350">
        <f t="shared" ca="1" si="88"/>
        <v>0</v>
      </c>
      <c r="W81" s="1350">
        <f t="shared" ca="1" si="88"/>
        <v>0</v>
      </c>
      <c r="X81" s="1350">
        <f t="shared" ca="1" si="88"/>
        <v>0</v>
      </c>
      <c r="Y81" s="1067" t="str">
        <f t="shared" ca="1" si="89"/>
        <v/>
      </c>
      <c r="Z81" s="1165" t="str">
        <f t="shared" ca="1" si="90"/>
        <v/>
      </c>
      <c r="AA81" s="772"/>
      <c r="AB81" s="871" t="str">
        <f t="shared" ca="1" si="91"/>
        <v/>
      </c>
      <c r="AC81" s="55"/>
      <c r="AD81" s="96"/>
      <c r="AE81" s="96"/>
      <c r="AF81" s="96"/>
      <c r="AG81" s="96"/>
      <c r="AH81" s="96"/>
      <c r="AI81" s="96"/>
      <c r="AJ81" s="96"/>
      <c r="AK81" s="192"/>
      <c r="AL81" s="875"/>
      <c r="AM81" s="875"/>
      <c r="AN81" s="875"/>
      <c r="AO81" s="50"/>
      <c r="AP81" s="97"/>
      <c r="AQ81" s="97"/>
      <c r="AR81" s="97"/>
      <c r="AS81" s="97"/>
      <c r="AT81" s="97"/>
      <c r="AU81" s="97"/>
      <c r="AV81" s="97"/>
      <c r="AW81" s="97"/>
      <c r="AX81" s="97"/>
      <c r="AY81" s="97"/>
      <c r="AZ81" s="97"/>
      <c r="BA81" s="97"/>
      <c r="BB81" s="97"/>
      <c r="BC81" s="97"/>
    </row>
    <row r="82" spans="1:55" ht="12.75" customHeight="1" x14ac:dyDescent="0.3">
      <c r="A82" s="2239"/>
      <c r="B82" s="747" t="str">
        <f>'Q1'!C90</f>
        <v>Average petrol car</v>
      </c>
      <c r="C82" s="1262">
        <f t="shared" ca="1" si="86"/>
        <v>0</v>
      </c>
      <c r="D82" s="768">
        <f t="shared" ca="1" si="86"/>
        <v>0</v>
      </c>
      <c r="E82" s="769">
        <f t="shared" ca="1" si="86"/>
        <v>0</v>
      </c>
      <c r="F82" s="769">
        <f t="shared" ca="1" si="86"/>
        <v>0</v>
      </c>
      <c r="G82" s="769">
        <f t="shared" ca="1" si="86"/>
        <v>0</v>
      </c>
      <c r="H82" s="769">
        <f t="shared" ca="1" si="86"/>
        <v>0</v>
      </c>
      <c r="I82" s="770">
        <f t="shared" ca="1" si="71"/>
        <v>0</v>
      </c>
      <c r="J82" s="872" t="str">
        <f t="shared" ca="1" si="73"/>
        <v/>
      </c>
      <c r="K82" s="782"/>
      <c r="L82" s="773"/>
      <c r="M82" s="774"/>
      <c r="N82" s="775"/>
      <c r="O82" s="776" t="str">
        <f t="shared" ca="1" si="51"/>
        <v/>
      </c>
      <c r="P82" s="777" t="str">
        <f t="shared" ca="1" si="74"/>
        <v/>
      </c>
      <c r="Q82" s="777" t="str">
        <f t="shared" ca="1" si="75"/>
        <v/>
      </c>
      <c r="R82" s="777" t="str">
        <f t="shared" ref="R82:R113" ca="1" si="92">IF(OR(+$J82="missing?",+$J82="new category"),"",IF($G82=0,"",IF(SUM($C82:$I82)=0,"",IFERROR((($C82-$G82)/$G82),"N/A"))))</f>
        <v/>
      </c>
      <c r="S82" s="778" t="str">
        <f t="shared" ref="S82:S113" ca="1" si="93">IF(OR(+$J82="missing?",+$J82="new category"),"",IF($I82=0,"",IF(SUM($C82:$I82)=0,"",IFERROR((($C82-$I82)/$I82),"N/A"))))</f>
        <v/>
      </c>
      <c r="T82" s="1066" t="str">
        <f t="shared" ca="1" si="76"/>
        <v/>
      </c>
      <c r="U82" s="1165" t="str">
        <f t="shared" ca="1" si="87"/>
        <v/>
      </c>
      <c r="V82" s="1350">
        <f t="shared" ca="1" si="88"/>
        <v>0</v>
      </c>
      <c r="W82" s="1350">
        <f t="shared" ca="1" si="88"/>
        <v>0</v>
      </c>
      <c r="X82" s="1350">
        <f t="shared" ca="1" si="88"/>
        <v>0</v>
      </c>
      <c r="Y82" s="1067" t="str">
        <f t="shared" ca="1" si="89"/>
        <v/>
      </c>
      <c r="Z82" s="1165" t="str">
        <f t="shared" ca="1" si="90"/>
        <v/>
      </c>
      <c r="AA82" s="772"/>
      <c r="AB82" s="871" t="str">
        <f t="shared" ca="1" si="91"/>
        <v/>
      </c>
      <c r="AC82" s="55"/>
      <c r="AD82" s="96"/>
      <c r="AE82" s="96"/>
      <c r="AF82" s="96"/>
      <c r="AG82" s="96"/>
      <c r="AH82" s="96"/>
      <c r="AI82" s="96"/>
      <c r="AJ82" s="96"/>
      <c r="AK82" s="192"/>
      <c r="AL82" s="875"/>
      <c r="AM82" s="875"/>
      <c r="AN82" s="875"/>
      <c r="AO82" s="50"/>
      <c r="AP82" s="97"/>
      <c r="AQ82" s="97"/>
      <c r="AR82" s="97"/>
      <c r="AS82" s="97"/>
      <c r="AT82" s="97"/>
      <c r="AU82" s="97"/>
      <c r="AV82" s="97"/>
      <c r="AW82" s="97"/>
      <c r="AX82" s="97"/>
      <c r="AY82" s="97"/>
      <c r="AZ82" s="97"/>
      <c r="BA82" s="97"/>
      <c r="BB82" s="97"/>
      <c r="BC82" s="97"/>
    </row>
    <row r="83" spans="1:55" ht="12.75" customHeight="1" x14ac:dyDescent="0.3">
      <c r="A83" s="2239"/>
      <c r="B83" s="747" t="str">
        <f>'Q1'!C91</f>
        <v>Small diesel car, up to 1.7 l</v>
      </c>
      <c r="C83" s="1262">
        <f t="shared" ca="1" si="86"/>
        <v>0</v>
      </c>
      <c r="D83" s="768">
        <f t="shared" ca="1" si="86"/>
        <v>0</v>
      </c>
      <c r="E83" s="769">
        <f t="shared" ca="1" si="86"/>
        <v>0</v>
      </c>
      <c r="F83" s="769">
        <f t="shared" ca="1" si="86"/>
        <v>0</v>
      </c>
      <c r="G83" s="769">
        <f t="shared" ca="1" si="86"/>
        <v>0</v>
      </c>
      <c r="H83" s="769">
        <f t="shared" ca="1" si="86"/>
        <v>0</v>
      </c>
      <c r="I83" s="770">
        <f t="shared" ca="1" si="71"/>
        <v>0</v>
      </c>
      <c r="J83" s="872" t="str">
        <f t="shared" ca="1" si="73"/>
        <v/>
      </c>
      <c r="K83" s="782" t="s">
        <v>552</v>
      </c>
      <c r="L83" s="773"/>
      <c r="M83" s="774"/>
      <c r="N83" s="775"/>
      <c r="O83" s="776" t="str">
        <f t="shared" ca="1" si="51"/>
        <v/>
      </c>
      <c r="P83" s="777" t="str">
        <f t="shared" ca="1" si="74"/>
        <v/>
      </c>
      <c r="Q83" s="777" t="str">
        <f t="shared" ca="1" si="75"/>
        <v/>
      </c>
      <c r="R83" s="777" t="str">
        <f t="shared" ca="1" si="92"/>
        <v/>
      </c>
      <c r="S83" s="778" t="str">
        <f t="shared" ca="1" si="93"/>
        <v/>
      </c>
      <c r="T83" s="1066" t="str">
        <f t="shared" ca="1" si="76"/>
        <v/>
      </c>
      <c r="U83" s="1165" t="str">
        <f t="shared" ca="1" si="87"/>
        <v/>
      </c>
      <c r="V83" s="1350">
        <f t="shared" ca="1" si="88"/>
        <v>0</v>
      </c>
      <c r="W83" s="1350">
        <f t="shared" ca="1" si="88"/>
        <v>0</v>
      </c>
      <c r="X83" s="1350">
        <f t="shared" ca="1" si="88"/>
        <v>0</v>
      </c>
      <c r="Y83" s="1067" t="str">
        <f t="shared" ca="1" si="89"/>
        <v/>
      </c>
      <c r="Z83" s="1165" t="str">
        <f t="shared" ca="1" si="90"/>
        <v/>
      </c>
      <c r="AA83" s="772" t="s">
        <v>552</v>
      </c>
      <c r="AB83" s="871" t="str">
        <f t="shared" ca="1" si="91"/>
        <v/>
      </c>
      <c r="AC83" s="55"/>
      <c r="AD83" s="96"/>
      <c r="AE83" s="96"/>
      <c r="AF83" s="96"/>
      <c r="AG83" s="96"/>
      <c r="AH83" s="96"/>
      <c r="AI83" s="96"/>
      <c r="AJ83" s="96"/>
      <c r="AK83" s="192"/>
      <c r="AL83" s="875"/>
      <c r="AM83" s="875"/>
      <c r="AN83" s="875"/>
      <c r="AO83" s="50"/>
      <c r="AP83" s="97"/>
      <c r="AQ83" s="97"/>
      <c r="AR83" s="97"/>
      <c r="AS83" s="97"/>
      <c r="AT83" s="97"/>
      <c r="AU83" s="97"/>
      <c r="AV83" s="97"/>
      <c r="AW83" s="97"/>
      <c r="AX83" s="97"/>
      <c r="AY83" s="97"/>
      <c r="AZ83" s="97"/>
      <c r="BA83" s="97"/>
      <c r="BB83" s="97"/>
      <c r="BC83" s="97"/>
    </row>
    <row r="84" spans="1:55" ht="12.75" customHeight="1" x14ac:dyDescent="0.3">
      <c r="A84" s="2239"/>
      <c r="B84" s="747" t="str">
        <f>'Q1'!C92</f>
        <v>Medium diesel car, 1.7 - 2.0 l</v>
      </c>
      <c r="C84" s="1262">
        <f t="shared" ca="1" si="86"/>
        <v>0</v>
      </c>
      <c r="D84" s="768">
        <f t="shared" ca="1" si="86"/>
        <v>0</v>
      </c>
      <c r="E84" s="769">
        <f t="shared" ca="1" si="86"/>
        <v>0</v>
      </c>
      <c r="F84" s="769">
        <f t="shared" ca="1" si="86"/>
        <v>0</v>
      </c>
      <c r="G84" s="769">
        <f t="shared" ca="1" si="86"/>
        <v>0</v>
      </c>
      <c r="H84" s="769">
        <f t="shared" ca="1" si="86"/>
        <v>0</v>
      </c>
      <c r="I84" s="770">
        <f t="shared" ca="1" si="71"/>
        <v>0</v>
      </c>
      <c r="J84" s="872" t="str">
        <f t="shared" ca="1" si="73"/>
        <v/>
      </c>
      <c r="K84" s="782" t="s">
        <v>552</v>
      </c>
      <c r="L84" s="773"/>
      <c r="M84" s="774"/>
      <c r="N84" s="775"/>
      <c r="O84" s="776" t="str">
        <f t="shared" ca="1" si="51"/>
        <v/>
      </c>
      <c r="P84" s="777" t="str">
        <f t="shared" ca="1" si="74"/>
        <v/>
      </c>
      <c r="Q84" s="777" t="str">
        <f t="shared" ca="1" si="75"/>
        <v/>
      </c>
      <c r="R84" s="777" t="str">
        <f t="shared" ca="1" si="92"/>
        <v/>
      </c>
      <c r="S84" s="778" t="str">
        <f t="shared" ca="1" si="93"/>
        <v/>
      </c>
      <c r="T84" s="1066" t="str">
        <f t="shared" ca="1" si="76"/>
        <v/>
      </c>
      <c r="U84" s="1165" t="str">
        <f t="shared" ca="1" si="87"/>
        <v/>
      </c>
      <c r="V84" s="1350">
        <f t="shared" ca="1" si="88"/>
        <v>0</v>
      </c>
      <c r="W84" s="1350">
        <f t="shared" ca="1" si="88"/>
        <v>0</v>
      </c>
      <c r="X84" s="1350">
        <f t="shared" ca="1" si="88"/>
        <v>0</v>
      </c>
      <c r="Y84" s="1067" t="str">
        <f t="shared" ca="1" si="89"/>
        <v/>
      </c>
      <c r="Z84" s="1165" t="str">
        <f t="shared" ca="1" si="90"/>
        <v/>
      </c>
      <c r="AA84" s="772"/>
      <c r="AB84" s="871" t="str">
        <f t="shared" ca="1" si="91"/>
        <v/>
      </c>
      <c r="AC84" s="55"/>
      <c r="AD84" s="96"/>
      <c r="AE84" s="96"/>
      <c r="AF84" s="96"/>
      <c r="AG84" s="96"/>
      <c r="AH84" s="96"/>
      <c r="AI84" s="96"/>
      <c r="AJ84" s="96"/>
      <c r="AK84" s="192"/>
      <c r="AL84" s="875"/>
      <c r="AM84" s="875"/>
      <c r="AN84" s="875"/>
      <c r="AO84" s="50"/>
      <c r="AP84" s="97"/>
      <c r="AQ84" s="97"/>
      <c r="AR84" s="97"/>
      <c r="AS84" s="97"/>
      <c r="AT84" s="97"/>
      <c r="AU84" s="97"/>
      <c r="AV84" s="97"/>
      <c r="AW84" s="97"/>
      <c r="AX84" s="97"/>
      <c r="AY84" s="97"/>
      <c r="AZ84" s="97"/>
      <c r="BA84" s="97"/>
      <c r="BB84" s="97"/>
      <c r="BC84" s="97"/>
    </row>
    <row r="85" spans="1:55" ht="12.75" customHeight="1" x14ac:dyDescent="0.3">
      <c r="A85" s="2239"/>
      <c r="B85" s="747" t="str">
        <f>'Q1'!C93</f>
        <v>Large diesel car, &gt;2.0 l</v>
      </c>
      <c r="C85" s="1262">
        <f t="shared" ca="1" si="86"/>
        <v>0</v>
      </c>
      <c r="D85" s="768">
        <f t="shared" ca="1" si="86"/>
        <v>0</v>
      </c>
      <c r="E85" s="769">
        <f t="shared" ca="1" si="86"/>
        <v>0</v>
      </c>
      <c r="F85" s="769">
        <f t="shared" ca="1" si="86"/>
        <v>0</v>
      </c>
      <c r="G85" s="769">
        <f t="shared" ca="1" si="86"/>
        <v>0</v>
      </c>
      <c r="H85" s="769">
        <f t="shared" ca="1" si="86"/>
        <v>0</v>
      </c>
      <c r="I85" s="770">
        <f t="shared" ca="1" si="71"/>
        <v>0</v>
      </c>
      <c r="J85" s="872" t="str">
        <f t="shared" ca="1" si="73"/>
        <v/>
      </c>
      <c r="K85" s="782" t="s">
        <v>552</v>
      </c>
      <c r="L85" s="773"/>
      <c r="M85" s="774"/>
      <c r="N85" s="775"/>
      <c r="O85" s="776" t="str">
        <f t="shared" ca="1" si="51"/>
        <v/>
      </c>
      <c r="P85" s="777" t="str">
        <f t="shared" ca="1" si="74"/>
        <v/>
      </c>
      <c r="Q85" s="777" t="str">
        <f t="shared" ca="1" si="75"/>
        <v/>
      </c>
      <c r="R85" s="777" t="str">
        <f t="shared" ca="1" si="92"/>
        <v/>
      </c>
      <c r="S85" s="778" t="str">
        <f t="shared" ca="1" si="93"/>
        <v/>
      </c>
      <c r="T85" s="1066" t="str">
        <f t="shared" ca="1" si="76"/>
        <v/>
      </c>
      <c r="U85" s="1165" t="str">
        <f t="shared" ca="1" si="87"/>
        <v/>
      </c>
      <c r="V85" s="1350">
        <f t="shared" ca="1" si="88"/>
        <v>0</v>
      </c>
      <c r="W85" s="1350">
        <f t="shared" ca="1" si="88"/>
        <v>0</v>
      </c>
      <c r="X85" s="1350">
        <f t="shared" ca="1" si="88"/>
        <v>0</v>
      </c>
      <c r="Y85" s="1067" t="str">
        <f t="shared" ca="1" si="89"/>
        <v/>
      </c>
      <c r="Z85" s="1165" t="str">
        <f t="shared" ca="1" si="90"/>
        <v/>
      </c>
      <c r="AA85" s="772"/>
      <c r="AB85" s="871" t="str">
        <f t="shared" ca="1" si="91"/>
        <v/>
      </c>
      <c r="AC85" s="55"/>
      <c r="AD85" s="96"/>
      <c r="AE85" s="96"/>
      <c r="AF85" s="96"/>
      <c r="AG85" s="96"/>
      <c r="AH85" s="96"/>
      <c r="AI85" s="96"/>
      <c r="AJ85" s="96"/>
      <c r="AK85" s="192"/>
      <c r="AL85" s="875"/>
      <c r="AM85" s="875"/>
      <c r="AN85" s="875"/>
      <c r="AO85" s="50"/>
      <c r="AP85" s="97"/>
      <c r="AQ85" s="97"/>
      <c r="AR85" s="97"/>
      <c r="AS85" s="97"/>
      <c r="AT85" s="97"/>
      <c r="AU85" s="97"/>
      <c r="AV85" s="97"/>
      <c r="AW85" s="97"/>
      <c r="AX85" s="97"/>
      <c r="AY85" s="97"/>
      <c r="AZ85" s="97"/>
      <c r="BA85" s="97"/>
      <c r="BB85" s="97"/>
      <c r="BC85" s="97"/>
    </row>
    <row r="86" spans="1:55" ht="12.75" customHeight="1" x14ac:dyDescent="0.3">
      <c r="A86" s="2239"/>
      <c r="B86" s="747" t="str">
        <f>'Q1'!C94</f>
        <v>Average diesel car</v>
      </c>
      <c r="C86" s="1262">
        <f t="shared" ca="1" si="86"/>
        <v>0</v>
      </c>
      <c r="D86" s="768">
        <f t="shared" ca="1" si="86"/>
        <v>0</v>
      </c>
      <c r="E86" s="769">
        <f t="shared" ca="1" si="86"/>
        <v>0</v>
      </c>
      <c r="F86" s="769">
        <f t="shared" ca="1" si="86"/>
        <v>0</v>
      </c>
      <c r="G86" s="769">
        <f t="shared" ca="1" si="86"/>
        <v>0</v>
      </c>
      <c r="H86" s="769">
        <f t="shared" ca="1" si="86"/>
        <v>0</v>
      </c>
      <c r="I86" s="770">
        <f t="shared" ca="1" si="71"/>
        <v>0</v>
      </c>
      <c r="J86" s="872" t="str">
        <f t="shared" ca="1" si="73"/>
        <v/>
      </c>
      <c r="K86" s="782"/>
      <c r="L86" s="773"/>
      <c r="M86" s="774"/>
      <c r="N86" s="775"/>
      <c r="O86" s="776" t="str">
        <f t="shared" ca="1" si="51"/>
        <v/>
      </c>
      <c r="P86" s="777" t="str">
        <f t="shared" ca="1" si="74"/>
        <v/>
      </c>
      <c r="Q86" s="777" t="str">
        <f t="shared" ca="1" si="75"/>
        <v/>
      </c>
      <c r="R86" s="777" t="str">
        <f t="shared" ca="1" si="92"/>
        <v/>
      </c>
      <c r="S86" s="778" t="str">
        <f t="shared" ca="1" si="93"/>
        <v/>
      </c>
      <c r="T86" s="1066" t="str">
        <f t="shared" ca="1" si="76"/>
        <v/>
      </c>
      <c r="U86" s="1165" t="str">
        <f t="shared" ca="1" si="87"/>
        <v/>
      </c>
      <c r="V86" s="1350">
        <f t="shared" ca="1" si="88"/>
        <v>0</v>
      </c>
      <c r="W86" s="1350">
        <f t="shared" ca="1" si="88"/>
        <v>0</v>
      </c>
      <c r="X86" s="1350">
        <f t="shared" ca="1" si="88"/>
        <v>0</v>
      </c>
      <c r="Y86" s="1067" t="str">
        <f t="shared" ca="1" si="89"/>
        <v/>
      </c>
      <c r="Z86" s="1165" t="str">
        <f t="shared" ca="1" si="90"/>
        <v/>
      </c>
      <c r="AA86" s="772"/>
      <c r="AB86" s="871" t="str">
        <f t="shared" ca="1" si="91"/>
        <v/>
      </c>
      <c r="AC86" s="55"/>
      <c r="AD86" s="96"/>
      <c r="AE86" s="96"/>
      <c r="AF86" s="96"/>
      <c r="AG86" s="96"/>
      <c r="AH86" s="96"/>
      <c r="AI86" s="96"/>
      <c r="AJ86" s="96"/>
      <c r="AK86" s="192"/>
      <c r="AL86" s="875"/>
      <c r="AM86" s="875"/>
      <c r="AN86" s="875"/>
      <c r="AO86" s="50"/>
      <c r="AP86" s="97"/>
      <c r="AQ86" s="97"/>
      <c r="AR86" s="97"/>
      <c r="AS86" s="97"/>
      <c r="AT86" s="97"/>
      <c r="AU86" s="97"/>
      <c r="AV86" s="97"/>
      <c r="AW86" s="97"/>
      <c r="AX86" s="97"/>
      <c r="AY86" s="97"/>
      <c r="AZ86" s="97"/>
      <c r="BA86" s="97"/>
      <c r="BB86" s="97"/>
      <c r="BC86" s="97"/>
    </row>
    <row r="87" spans="1:55" ht="12.75" customHeight="1" x14ac:dyDescent="0.3">
      <c r="A87" s="2239"/>
      <c r="B87" s="747" t="str">
        <f>'Q1'!C95</f>
        <v>Hybrid - Medium</v>
      </c>
      <c r="C87" s="1262">
        <f t="shared" ca="1" si="86"/>
        <v>0</v>
      </c>
      <c r="D87" s="768">
        <f t="shared" ca="1" si="86"/>
        <v>0</v>
      </c>
      <c r="E87" s="769">
        <f t="shared" ca="1" si="86"/>
        <v>0</v>
      </c>
      <c r="F87" s="769">
        <f t="shared" ca="1" si="86"/>
        <v>0</v>
      </c>
      <c r="G87" s="769">
        <f t="shared" ca="1" si="86"/>
        <v>0</v>
      </c>
      <c r="H87" s="769">
        <f t="shared" ca="1" si="86"/>
        <v>0</v>
      </c>
      <c r="I87" s="770">
        <f t="shared" ca="1" si="71"/>
        <v>0</v>
      </c>
      <c r="J87" s="872" t="str">
        <f t="shared" ca="1" si="73"/>
        <v/>
      </c>
      <c r="K87" s="782" t="s">
        <v>552</v>
      </c>
      <c r="L87" s="773"/>
      <c r="M87" s="774"/>
      <c r="N87" s="775"/>
      <c r="O87" s="776" t="str">
        <f t="shared" ca="1" si="51"/>
        <v/>
      </c>
      <c r="P87" s="777" t="str">
        <f t="shared" ca="1" si="74"/>
        <v/>
      </c>
      <c r="Q87" s="777" t="str">
        <f t="shared" ca="1" si="75"/>
        <v/>
      </c>
      <c r="R87" s="777" t="str">
        <f t="shared" ca="1" si="92"/>
        <v/>
      </c>
      <c r="S87" s="778" t="str">
        <f t="shared" ca="1" si="93"/>
        <v/>
      </c>
      <c r="T87" s="1066" t="str">
        <f t="shared" ca="1" si="76"/>
        <v/>
      </c>
      <c r="U87" s="1165" t="str">
        <f t="shared" ca="1" si="87"/>
        <v/>
      </c>
      <c r="V87" s="1350">
        <f t="shared" ca="1" si="88"/>
        <v>0</v>
      </c>
      <c r="W87" s="1350">
        <f t="shared" ca="1" si="88"/>
        <v>0</v>
      </c>
      <c r="X87" s="1350">
        <f t="shared" ca="1" si="88"/>
        <v>0</v>
      </c>
      <c r="Y87" s="1067" t="str">
        <f t="shared" ca="1" si="89"/>
        <v/>
      </c>
      <c r="Z87" s="1165" t="str">
        <f t="shared" ca="1" si="90"/>
        <v/>
      </c>
      <c r="AA87" s="772"/>
      <c r="AB87" s="871" t="str">
        <f t="shared" ca="1" si="91"/>
        <v/>
      </c>
      <c r="AC87" s="55"/>
      <c r="AD87" s="96"/>
      <c r="AE87" s="96"/>
      <c r="AF87" s="96"/>
      <c r="AG87" s="96"/>
      <c r="AH87" s="96"/>
      <c r="AI87" s="96"/>
      <c r="AJ87" s="96"/>
      <c r="AK87" s="192"/>
      <c r="AL87" s="875"/>
      <c r="AM87" s="875"/>
      <c r="AN87" s="875"/>
      <c r="AO87" s="50"/>
      <c r="AP87" s="97"/>
      <c r="AQ87" s="97"/>
      <c r="AR87" s="97"/>
      <c r="AS87" s="97"/>
      <c r="AT87" s="97"/>
      <c r="AU87" s="97"/>
      <c r="AV87" s="97"/>
      <c r="AW87" s="97"/>
      <c r="AX87" s="97"/>
      <c r="AY87" s="97"/>
      <c r="AZ87" s="97"/>
      <c r="BA87" s="97"/>
      <c r="BB87" s="97"/>
      <c r="BC87" s="97"/>
    </row>
    <row r="88" spans="1:55" ht="12.75" customHeight="1" x14ac:dyDescent="0.3">
      <c r="A88" s="2239"/>
      <c r="B88" s="747" t="str">
        <f>'Q1'!C96</f>
        <v>Hybrid - Large</v>
      </c>
      <c r="C88" s="1262">
        <f t="shared" ca="1" si="86"/>
        <v>0</v>
      </c>
      <c r="D88" s="768">
        <f t="shared" ca="1" si="86"/>
        <v>0</v>
      </c>
      <c r="E88" s="769">
        <f t="shared" ca="1" si="86"/>
        <v>0</v>
      </c>
      <c r="F88" s="769">
        <f t="shared" ca="1" si="86"/>
        <v>0</v>
      </c>
      <c r="G88" s="769">
        <f t="shared" ca="1" si="86"/>
        <v>0</v>
      </c>
      <c r="H88" s="769">
        <f t="shared" ca="1" si="86"/>
        <v>0</v>
      </c>
      <c r="I88" s="770">
        <f t="shared" ca="1" si="71"/>
        <v>0</v>
      </c>
      <c r="J88" s="872" t="str">
        <f t="shared" ca="1" si="73"/>
        <v/>
      </c>
      <c r="K88" s="782" t="s">
        <v>552</v>
      </c>
      <c r="L88" s="773"/>
      <c r="M88" s="774"/>
      <c r="N88" s="775"/>
      <c r="O88" s="776" t="str">
        <f t="shared" ca="1" si="51"/>
        <v/>
      </c>
      <c r="P88" s="777" t="str">
        <f t="shared" ca="1" si="74"/>
        <v/>
      </c>
      <c r="Q88" s="777" t="str">
        <f t="shared" ca="1" si="75"/>
        <v/>
      </c>
      <c r="R88" s="777" t="str">
        <f t="shared" ca="1" si="92"/>
        <v/>
      </c>
      <c r="S88" s="778" t="str">
        <f t="shared" ca="1" si="93"/>
        <v/>
      </c>
      <c r="T88" s="1066" t="str">
        <f t="shared" ca="1" si="76"/>
        <v/>
      </c>
      <c r="U88" s="1165" t="str">
        <f t="shared" ca="1" si="87"/>
        <v/>
      </c>
      <c r="V88" s="1350">
        <f t="shared" ca="1" si="88"/>
        <v>0</v>
      </c>
      <c r="W88" s="1350">
        <f t="shared" ca="1" si="88"/>
        <v>0</v>
      </c>
      <c r="X88" s="1350">
        <f t="shared" ca="1" si="88"/>
        <v>0</v>
      </c>
      <c r="Y88" s="1067" t="str">
        <f t="shared" ca="1" si="89"/>
        <v/>
      </c>
      <c r="Z88" s="1165" t="str">
        <f t="shared" ca="1" si="90"/>
        <v/>
      </c>
      <c r="AA88" s="772"/>
      <c r="AB88" s="871" t="str">
        <f t="shared" ca="1" si="91"/>
        <v/>
      </c>
      <c r="AC88" s="55"/>
      <c r="AD88" s="96"/>
      <c r="AE88" s="96"/>
      <c r="AF88" s="96"/>
      <c r="AG88" s="96"/>
      <c r="AH88" s="96"/>
      <c r="AI88" s="96"/>
      <c r="AJ88" s="96"/>
      <c r="AK88" s="192"/>
      <c r="AL88" s="875"/>
      <c r="AM88" s="875"/>
      <c r="AN88" s="875"/>
      <c r="AO88" s="50"/>
      <c r="AP88" s="97"/>
      <c r="AQ88" s="97"/>
      <c r="AR88" s="97"/>
      <c r="AS88" s="97"/>
      <c r="AT88" s="97"/>
      <c r="AU88" s="97"/>
      <c r="AV88" s="97"/>
      <c r="AW88" s="97"/>
      <c r="AX88" s="97"/>
      <c r="AY88" s="97"/>
      <c r="AZ88" s="97"/>
      <c r="BA88" s="97"/>
      <c r="BB88" s="97"/>
      <c r="BC88" s="97"/>
    </row>
    <row r="89" spans="1:55" ht="12.75" customHeight="1" x14ac:dyDescent="0.3">
      <c r="A89" s="2239"/>
      <c r="B89" s="747" t="str">
        <f>'Q1'!C97</f>
        <v>LPG - Average</v>
      </c>
      <c r="C89" s="1262">
        <f t="shared" ref="C89:H99" ca="1" si="94">INDEX(INDIRECT(CONCATENATE("'",C$14,"'!$D$87:$D$107"),TRUE),MATCH($B89,INDIRECT(CONCATENATE("'",C$14,"'!$C$87:$C$107"),TRUE),0))</f>
        <v>0</v>
      </c>
      <c r="D89" s="768">
        <f t="shared" ca="1" si="94"/>
        <v>0</v>
      </c>
      <c r="E89" s="769">
        <f t="shared" ca="1" si="94"/>
        <v>0</v>
      </c>
      <c r="F89" s="769">
        <f t="shared" ca="1" si="94"/>
        <v>0</v>
      </c>
      <c r="G89" s="769">
        <f t="shared" ca="1" si="94"/>
        <v>0</v>
      </c>
      <c r="H89" s="769">
        <f t="shared" ca="1" si="94"/>
        <v>0</v>
      </c>
      <c r="I89" s="770">
        <f t="shared" ca="1" si="71"/>
        <v>0</v>
      </c>
      <c r="J89" s="872" t="str">
        <f t="shared" ca="1" si="73"/>
        <v/>
      </c>
      <c r="K89" s="782"/>
      <c r="L89" s="773"/>
      <c r="M89" s="774"/>
      <c r="N89" s="775"/>
      <c r="O89" s="776" t="str">
        <f t="shared" ca="1" si="51"/>
        <v/>
      </c>
      <c r="P89" s="777" t="str">
        <f t="shared" ca="1" si="74"/>
        <v/>
      </c>
      <c r="Q89" s="777" t="str">
        <f t="shared" ca="1" si="75"/>
        <v/>
      </c>
      <c r="R89" s="777" t="str">
        <f t="shared" ca="1" si="92"/>
        <v/>
      </c>
      <c r="S89" s="778" t="str">
        <f t="shared" ca="1" si="93"/>
        <v/>
      </c>
      <c r="T89" s="1066" t="str">
        <f t="shared" ca="1" si="76"/>
        <v/>
      </c>
      <c r="U89" s="1165" t="str">
        <f t="shared" ca="1" si="87"/>
        <v/>
      </c>
      <c r="V89" s="1350">
        <f t="shared" ca="1" si="88"/>
        <v>0</v>
      </c>
      <c r="W89" s="1350">
        <f t="shared" ca="1" si="88"/>
        <v>0</v>
      </c>
      <c r="X89" s="1350">
        <f t="shared" ca="1" si="88"/>
        <v>0</v>
      </c>
      <c r="Y89" s="1067" t="str">
        <f t="shared" ca="1" si="89"/>
        <v/>
      </c>
      <c r="Z89" s="1165" t="str">
        <f t="shared" ca="1" si="90"/>
        <v/>
      </c>
      <c r="AA89" s="772"/>
      <c r="AB89" s="871" t="str">
        <f t="shared" ca="1" si="91"/>
        <v/>
      </c>
      <c r="AC89" s="55"/>
      <c r="AD89" s="96"/>
      <c r="AE89" s="96"/>
      <c r="AF89" s="96"/>
      <c r="AG89" s="96"/>
      <c r="AH89" s="96"/>
      <c r="AI89" s="96"/>
      <c r="AJ89" s="96"/>
      <c r="AK89" s="192"/>
      <c r="AL89" s="875"/>
      <c r="AM89" s="875"/>
      <c r="AN89" s="875"/>
      <c r="AO89" s="50"/>
      <c r="AP89" s="97"/>
      <c r="AQ89" s="97"/>
      <c r="AR89" s="97"/>
      <c r="AS89" s="97"/>
      <c r="AT89" s="97"/>
      <c r="AU89" s="97"/>
      <c r="AV89" s="97"/>
      <c r="AW89" s="97"/>
      <c r="AX89" s="97"/>
      <c r="AY89" s="97"/>
      <c r="AZ89" s="97"/>
      <c r="BA89" s="97"/>
      <c r="BB89" s="97"/>
      <c r="BC89" s="97"/>
    </row>
    <row r="90" spans="1:55" ht="12.75" customHeight="1" x14ac:dyDescent="0.3">
      <c r="A90" s="2239"/>
      <c r="B90" s="747" t="str">
        <f>'Q1'!C98</f>
        <v>Unknown - Average</v>
      </c>
      <c r="C90" s="1262">
        <f t="shared" ca="1" si="94"/>
        <v>0</v>
      </c>
      <c r="D90" s="768">
        <f t="shared" ca="1" si="94"/>
        <v>0</v>
      </c>
      <c r="E90" s="769">
        <f t="shared" ca="1" si="94"/>
        <v>14756354</v>
      </c>
      <c r="F90" s="769">
        <f t="shared" ca="1" si="94"/>
        <v>12714336.17</v>
      </c>
      <c r="G90" s="769">
        <f t="shared" ca="1" si="94"/>
        <v>12365451.85</v>
      </c>
      <c r="H90" s="769">
        <f t="shared" ca="1" si="94"/>
        <v>50490770.850000001</v>
      </c>
      <c r="I90" s="770">
        <f t="shared" ca="1" si="71"/>
        <v>12622692.7125</v>
      </c>
      <c r="J90" s="872" t="str">
        <f t="shared" ca="1" si="73"/>
        <v>Missing value?</v>
      </c>
      <c r="K90" s="782"/>
      <c r="L90" s="773"/>
      <c r="M90" s="774"/>
      <c r="N90" s="775"/>
      <c r="O90" s="776" t="str">
        <f t="shared" ca="1" si="51"/>
        <v/>
      </c>
      <c r="P90" s="777">
        <f t="shared" ca="1" si="74"/>
        <v>-1</v>
      </c>
      <c r="Q90" s="777">
        <f t="shared" ca="1" si="75"/>
        <v>-1</v>
      </c>
      <c r="R90" s="777">
        <f t="shared" ca="1" si="92"/>
        <v>-1</v>
      </c>
      <c r="S90" s="778">
        <f t="shared" ca="1" si="93"/>
        <v>-1</v>
      </c>
      <c r="T90" s="1066">
        <f t="shared" ca="1" si="76"/>
        <v>1</v>
      </c>
      <c r="U90" s="1165" t="str">
        <f t="shared" ca="1" si="87"/>
        <v>H</v>
      </c>
      <c r="V90" s="1350">
        <f t="shared" ca="1" si="88"/>
        <v>0</v>
      </c>
      <c r="W90" s="1350">
        <f t="shared" ca="1" si="88"/>
        <v>0</v>
      </c>
      <c r="X90" s="1350">
        <f t="shared" ca="1" si="88"/>
        <v>9120.652846343999</v>
      </c>
      <c r="Y90" s="1067">
        <f t="shared" ca="1" si="89"/>
        <v>2.7103540433541275E-2</v>
      </c>
      <c r="Z90" s="1165" t="str">
        <f t="shared" ca="1" si="90"/>
        <v>M</v>
      </c>
      <c r="AA90" s="772" t="s">
        <v>552</v>
      </c>
      <c r="AB90" s="871" t="str">
        <f t="shared" ca="1" si="91"/>
        <v xml:space="preserve">Missing value?         </v>
      </c>
      <c r="AC90" s="55"/>
      <c r="AD90" s="96"/>
      <c r="AE90" s="96"/>
      <c r="AF90" s="96"/>
      <c r="AG90" s="96"/>
      <c r="AH90" s="96"/>
      <c r="AI90" s="96"/>
      <c r="AJ90" s="96"/>
      <c r="AK90" s="192"/>
      <c r="AL90" s="875"/>
      <c r="AM90" s="875"/>
      <c r="AN90" s="875"/>
      <c r="AO90" s="50"/>
      <c r="AP90" s="97"/>
      <c r="AQ90" s="97"/>
      <c r="AR90" s="97"/>
      <c r="AS90" s="97"/>
      <c r="AT90" s="97"/>
      <c r="AU90" s="97"/>
      <c r="AV90" s="97"/>
      <c r="AW90" s="97"/>
      <c r="AX90" s="97"/>
      <c r="AY90" s="97"/>
      <c r="AZ90" s="97"/>
      <c r="BA90" s="97"/>
      <c r="BB90" s="97"/>
      <c r="BC90" s="97"/>
    </row>
    <row r="91" spans="1:55" ht="12.75" customHeight="1" x14ac:dyDescent="0.3">
      <c r="A91" s="2239"/>
      <c r="B91" s="747" t="str">
        <f>'Q1'!C99</f>
        <v>Small petrol motorbike (mopeds/scooters up to 125cc)</v>
      </c>
      <c r="C91" s="1262">
        <f t="shared" ca="1" si="94"/>
        <v>0</v>
      </c>
      <c r="D91" s="768">
        <f t="shared" ca="1" si="94"/>
        <v>0</v>
      </c>
      <c r="E91" s="769">
        <f t="shared" ca="1" si="94"/>
        <v>0</v>
      </c>
      <c r="F91" s="769">
        <f t="shared" ca="1" si="94"/>
        <v>0</v>
      </c>
      <c r="G91" s="769">
        <f t="shared" ca="1" si="94"/>
        <v>0</v>
      </c>
      <c r="H91" s="769">
        <f t="shared" ca="1" si="94"/>
        <v>0</v>
      </c>
      <c r="I91" s="770">
        <f t="shared" ca="1" si="71"/>
        <v>0</v>
      </c>
      <c r="J91" s="872" t="str">
        <f t="shared" ca="1" si="73"/>
        <v/>
      </c>
      <c r="K91" s="782"/>
      <c r="L91" s="773"/>
      <c r="M91" s="774"/>
      <c r="N91" s="775"/>
      <c r="O91" s="776" t="str">
        <f t="shared" ca="1" si="51"/>
        <v/>
      </c>
      <c r="P91" s="777" t="str">
        <f t="shared" ca="1" si="74"/>
        <v/>
      </c>
      <c r="Q91" s="777" t="str">
        <f t="shared" ca="1" si="75"/>
        <v/>
      </c>
      <c r="R91" s="777" t="str">
        <f t="shared" ca="1" si="92"/>
        <v/>
      </c>
      <c r="S91" s="778" t="str">
        <f t="shared" ca="1" si="93"/>
        <v/>
      </c>
      <c r="T91" s="1066" t="str">
        <f t="shared" ca="1" si="76"/>
        <v/>
      </c>
      <c r="U91" s="1165" t="str">
        <f t="shared" ca="1" si="87"/>
        <v/>
      </c>
      <c r="V91" s="1350">
        <f t="shared" ca="1" si="88"/>
        <v>0</v>
      </c>
      <c r="W91" s="1350">
        <f t="shared" ca="1" si="88"/>
        <v>0</v>
      </c>
      <c r="X91" s="1350">
        <f t="shared" ca="1" si="88"/>
        <v>0</v>
      </c>
      <c r="Y91" s="1067" t="str">
        <f t="shared" ca="1" si="89"/>
        <v/>
      </c>
      <c r="Z91" s="1165" t="str">
        <f t="shared" ca="1" si="90"/>
        <v/>
      </c>
      <c r="AA91" s="772"/>
      <c r="AB91" s="871" t="str">
        <f t="shared" ca="1" si="91"/>
        <v/>
      </c>
      <c r="AC91" s="55"/>
      <c r="AD91" s="96"/>
      <c r="AE91" s="96"/>
      <c r="AF91" s="96"/>
      <c r="AG91" s="96"/>
      <c r="AH91" s="96"/>
      <c r="AI91" s="96"/>
      <c r="AJ91" s="96"/>
      <c r="AK91" s="192"/>
      <c r="AL91" s="875"/>
      <c r="AM91" s="875"/>
      <c r="AN91" s="875"/>
      <c r="AO91" s="50"/>
      <c r="AP91" s="97"/>
      <c r="AQ91" s="97"/>
      <c r="AR91" s="97"/>
      <c r="AS91" s="97"/>
      <c r="AT91" s="97"/>
      <c r="AU91" s="97"/>
      <c r="AV91" s="97"/>
      <c r="AW91" s="97"/>
      <c r="AX91" s="97"/>
      <c r="AY91" s="97"/>
      <c r="AZ91" s="97"/>
      <c r="BA91" s="97"/>
      <c r="BB91" s="97"/>
      <c r="BC91" s="97"/>
    </row>
    <row r="92" spans="1:55" ht="12.75" customHeight="1" x14ac:dyDescent="0.3">
      <c r="A92" s="2239"/>
      <c r="B92" s="747" t="str">
        <f>'Q1'!C100</f>
        <v>Medium petrol motorbike (125-500cc)</v>
      </c>
      <c r="C92" s="1262">
        <f t="shared" ca="1" si="94"/>
        <v>0</v>
      </c>
      <c r="D92" s="768">
        <f t="shared" ca="1" si="94"/>
        <v>0</v>
      </c>
      <c r="E92" s="769">
        <f t="shared" ca="1" si="94"/>
        <v>0</v>
      </c>
      <c r="F92" s="769">
        <f t="shared" ca="1" si="94"/>
        <v>0</v>
      </c>
      <c r="G92" s="769">
        <f t="shared" ca="1" si="94"/>
        <v>0</v>
      </c>
      <c r="H92" s="769">
        <f t="shared" ca="1" si="94"/>
        <v>0</v>
      </c>
      <c r="I92" s="770">
        <f t="shared" ca="1" si="71"/>
        <v>0</v>
      </c>
      <c r="J92" s="872" t="str">
        <f t="shared" ca="1" si="73"/>
        <v/>
      </c>
      <c r="K92" s="782"/>
      <c r="L92" s="773"/>
      <c r="M92" s="774"/>
      <c r="N92" s="775"/>
      <c r="O92" s="776" t="str">
        <f t="shared" ca="1" si="51"/>
        <v/>
      </c>
      <c r="P92" s="777" t="str">
        <f t="shared" ca="1" si="74"/>
        <v/>
      </c>
      <c r="Q92" s="777" t="str">
        <f t="shared" ca="1" si="75"/>
        <v/>
      </c>
      <c r="R92" s="777" t="str">
        <f t="shared" ca="1" si="92"/>
        <v/>
      </c>
      <c r="S92" s="778" t="str">
        <f t="shared" ca="1" si="93"/>
        <v/>
      </c>
      <c r="T92" s="1066" t="str">
        <f t="shared" ca="1" si="76"/>
        <v/>
      </c>
      <c r="U92" s="1165" t="str">
        <f t="shared" ca="1" si="87"/>
        <v/>
      </c>
      <c r="V92" s="1350">
        <f t="shared" ca="1" si="88"/>
        <v>0</v>
      </c>
      <c r="W92" s="1350">
        <f t="shared" ca="1" si="88"/>
        <v>0</v>
      </c>
      <c r="X92" s="1350">
        <f t="shared" ca="1" si="88"/>
        <v>0</v>
      </c>
      <c r="Y92" s="1067" t="str">
        <f t="shared" ca="1" si="89"/>
        <v/>
      </c>
      <c r="Z92" s="1165" t="str">
        <f t="shared" ca="1" si="90"/>
        <v/>
      </c>
      <c r="AA92" s="772"/>
      <c r="AB92" s="871" t="str">
        <f t="shared" ca="1" si="91"/>
        <v/>
      </c>
      <c r="AC92" s="55"/>
      <c r="AD92" s="96"/>
      <c r="AE92" s="96"/>
      <c r="AF92" s="96"/>
      <c r="AG92" s="96"/>
      <c r="AH92" s="96"/>
      <c r="AI92" s="96"/>
      <c r="AJ92" s="96"/>
      <c r="AK92" s="192"/>
      <c r="AL92" s="875"/>
      <c r="AM92" s="875"/>
      <c r="AN92" s="875"/>
      <c r="AO92" s="50"/>
      <c r="AP92" s="97"/>
      <c r="AQ92" s="97"/>
      <c r="AR92" s="97"/>
      <c r="AS92" s="97"/>
      <c r="AT92" s="97"/>
      <c r="AU92" s="97"/>
      <c r="AV92" s="97"/>
      <c r="AW92" s="97"/>
      <c r="AX92" s="97"/>
      <c r="AY92" s="97"/>
      <c r="AZ92" s="97"/>
      <c r="BA92" s="97"/>
      <c r="BB92" s="97"/>
      <c r="BC92" s="97"/>
    </row>
    <row r="93" spans="1:55" ht="12.75" customHeight="1" x14ac:dyDescent="0.3">
      <c r="A93" s="2239"/>
      <c r="B93" s="747" t="str">
        <f>'Q1'!C101</f>
        <v>Large petrol motorbike (over 500cc)</v>
      </c>
      <c r="C93" s="1262">
        <f t="shared" ca="1" si="94"/>
        <v>0</v>
      </c>
      <c r="D93" s="768">
        <f t="shared" ca="1" si="94"/>
        <v>0</v>
      </c>
      <c r="E93" s="769">
        <f t="shared" ca="1" si="94"/>
        <v>0</v>
      </c>
      <c r="F93" s="769">
        <f t="shared" ca="1" si="94"/>
        <v>0</v>
      </c>
      <c r="G93" s="769">
        <f t="shared" ca="1" si="94"/>
        <v>0</v>
      </c>
      <c r="H93" s="769">
        <f t="shared" ca="1" si="94"/>
        <v>0</v>
      </c>
      <c r="I93" s="770">
        <f t="shared" ca="1" si="71"/>
        <v>0</v>
      </c>
      <c r="J93" s="872" t="str">
        <f t="shared" ca="1" si="73"/>
        <v/>
      </c>
      <c r="K93" s="782"/>
      <c r="L93" s="773"/>
      <c r="M93" s="774"/>
      <c r="N93" s="775"/>
      <c r="O93" s="776" t="str">
        <f t="shared" ca="1" si="51"/>
        <v/>
      </c>
      <c r="P93" s="777" t="str">
        <f t="shared" ca="1" si="74"/>
        <v/>
      </c>
      <c r="Q93" s="777" t="str">
        <f t="shared" ca="1" si="75"/>
        <v/>
      </c>
      <c r="R93" s="777" t="str">
        <f t="shared" ca="1" si="92"/>
        <v/>
      </c>
      <c r="S93" s="778" t="str">
        <f t="shared" ca="1" si="93"/>
        <v/>
      </c>
      <c r="T93" s="1066" t="str">
        <f t="shared" ca="1" si="76"/>
        <v/>
      </c>
      <c r="U93" s="1165" t="str">
        <f t="shared" ca="1" si="87"/>
        <v/>
      </c>
      <c r="V93" s="1350">
        <f t="shared" ca="1" si="88"/>
        <v>0</v>
      </c>
      <c r="W93" s="1350">
        <f t="shared" ca="1" si="88"/>
        <v>0</v>
      </c>
      <c r="X93" s="1350">
        <f t="shared" ca="1" si="88"/>
        <v>0</v>
      </c>
      <c r="Y93" s="1067" t="str">
        <f t="shared" ca="1" si="89"/>
        <v/>
      </c>
      <c r="Z93" s="1165" t="str">
        <f t="shared" ca="1" si="90"/>
        <v/>
      </c>
      <c r="AA93" s="772"/>
      <c r="AB93" s="871" t="str">
        <f t="shared" ca="1" si="91"/>
        <v/>
      </c>
      <c r="AC93" s="55"/>
      <c r="AD93" s="96"/>
      <c r="AE93" s="96"/>
      <c r="AF93" s="96"/>
      <c r="AG93" s="96"/>
      <c r="AH93" s="96"/>
      <c r="AI93" s="96"/>
      <c r="AJ93" s="96"/>
      <c r="AK93" s="192"/>
      <c r="AL93" s="875"/>
      <c r="AM93" s="875"/>
      <c r="AN93" s="875"/>
      <c r="AO93" s="50"/>
      <c r="AP93" s="97"/>
      <c r="AQ93" s="97"/>
      <c r="AR93" s="97"/>
      <c r="AS93" s="97"/>
      <c r="AT93" s="97"/>
      <c r="AU93" s="97"/>
      <c r="AV93" s="97"/>
      <c r="AW93" s="97"/>
      <c r="AX93" s="97"/>
      <c r="AY93" s="97"/>
      <c r="AZ93" s="97"/>
      <c r="BA93" s="97"/>
      <c r="BB93" s="97"/>
      <c r="BC93" s="97"/>
    </row>
    <row r="94" spans="1:55" ht="12.75" customHeight="1" x14ac:dyDescent="0.3">
      <c r="A94" s="2239"/>
      <c r="B94" s="747" t="str">
        <f>'Q1'!C102</f>
        <v>Average petrol motorbike (unknown engine size)</v>
      </c>
      <c r="C94" s="1262">
        <f t="shared" ca="1" si="94"/>
        <v>0</v>
      </c>
      <c r="D94" s="768">
        <f t="shared" ca="1" si="94"/>
        <v>0</v>
      </c>
      <c r="E94" s="769">
        <f t="shared" ca="1" si="94"/>
        <v>0</v>
      </c>
      <c r="F94" s="769">
        <f t="shared" ca="1" si="94"/>
        <v>0</v>
      </c>
      <c r="G94" s="769">
        <f t="shared" ca="1" si="94"/>
        <v>0</v>
      </c>
      <c r="H94" s="769">
        <f t="shared" ca="1" si="94"/>
        <v>0</v>
      </c>
      <c r="I94" s="770">
        <f t="shared" ca="1" si="71"/>
        <v>0</v>
      </c>
      <c r="J94" s="872" t="str">
        <f t="shared" ca="1" si="73"/>
        <v/>
      </c>
      <c r="K94" s="782"/>
      <c r="L94" s="773"/>
      <c r="M94" s="774"/>
      <c r="N94" s="775"/>
      <c r="O94" s="776" t="str">
        <f t="shared" ca="1" si="51"/>
        <v/>
      </c>
      <c r="P94" s="777" t="str">
        <f t="shared" ca="1" si="74"/>
        <v/>
      </c>
      <c r="Q94" s="777" t="str">
        <f t="shared" ca="1" si="75"/>
        <v/>
      </c>
      <c r="R94" s="777" t="str">
        <f t="shared" ca="1" si="92"/>
        <v/>
      </c>
      <c r="S94" s="778" t="str">
        <f t="shared" ca="1" si="93"/>
        <v/>
      </c>
      <c r="T94" s="1066" t="str">
        <f t="shared" ca="1" si="76"/>
        <v/>
      </c>
      <c r="U94" s="1165" t="str">
        <f t="shared" ca="1" si="87"/>
        <v/>
      </c>
      <c r="V94" s="1350">
        <f t="shared" ca="1" si="88"/>
        <v>0</v>
      </c>
      <c r="W94" s="1350">
        <f t="shared" ca="1" si="88"/>
        <v>0</v>
      </c>
      <c r="X94" s="1350">
        <f t="shared" ca="1" si="88"/>
        <v>0</v>
      </c>
      <c r="Y94" s="1067" t="str">
        <f t="shared" ca="1" si="89"/>
        <v/>
      </c>
      <c r="Z94" s="1165" t="str">
        <f t="shared" ca="1" si="90"/>
        <v/>
      </c>
      <c r="AA94" s="772"/>
      <c r="AB94" s="871" t="str">
        <f t="shared" ca="1" si="91"/>
        <v/>
      </c>
      <c r="AC94" s="55"/>
      <c r="AD94" s="96"/>
      <c r="AE94" s="96"/>
      <c r="AF94" s="96"/>
      <c r="AG94" s="96"/>
      <c r="AH94" s="96"/>
      <c r="AI94" s="96"/>
      <c r="AJ94" s="96"/>
      <c r="AK94" s="192"/>
      <c r="AL94" s="875"/>
      <c r="AM94" s="875"/>
      <c r="AN94" s="875"/>
      <c r="AO94" s="50"/>
      <c r="AP94" s="97"/>
      <c r="AQ94" s="97"/>
      <c r="AR94" s="97"/>
      <c r="AS94" s="97"/>
      <c r="AT94" s="97"/>
      <c r="AU94" s="97"/>
      <c r="AV94" s="97"/>
      <c r="AW94" s="97"/>
      <c r="AX94" s="97"/>
      <c r="AY94" s="97"/>
      <c r="AZ94" s="97"/>
      <c r="BA94" s="97"/>
      <c r="BB94" s="97"/>
      <c r="BC94" s="97"/>
    </row>
    <row r="95" spans="1:55" ht="12.75" customHeight="1" x14ac:dyDescent="0.3">
      <c r="A95" s="2239"/>
      <c r="B95" s="747" t="str">
        <f>'Q1'!C103</f>
        <v>Other 1 (enter CO2 factor and specify fuel in "Notes")</v>
      </c>
      <c r="C95" s="1262">
        <f t="shared" ca="1" si="94"/>
        <v>0</v>
      </c>
      <c r="D95" s="768">
        <f t="shared" ca="1" si="94"/>
        <v>0</v>
      </c>
      <c r="E95" s="769">
        <f t="shared" ca="1" si="94"/>
        <v>0</v>
      </c>
      <c r="F95" s="769">
        <f t="shared" ca="1" si="94"/>
        <v>0</v>
      </c>
      <c r="G95" s="769">
        <f t="shared" ca="1" si="94"/>
        <v>0</v>
      </c>
      <c r="H95" s="769">
        <f t="shared" ca="1" si="94"/>
        <v>0</v>
      </c>
      <c r="I95" s="770">
        <f t="shared" ca="1" si="71"/>
        <v>0</v>
      </c>
      <c r="J95" s="872" t="str">
        <f t="shared" ca="1" si="73"/>
        <v/>
      </c>
      <c r="K95" s="782"/>
      <c r="L95" s="891" t="str">
        <f ca="1">IF(C95&gt;0,'Q4'!E103,"")</f>
        <v/>
      </c>
      <c r="M95" s="785" t="str">
        <f ca="1">IF(L95="","",IF('Q4'!I103=0,"Fuel type not stated",'Q4'!I103))</f>
        <v/>
      </c>
      <c r="N95" s="772"/>
      <c r="O95" s="776" t="str">
        <f t="shared" ca="1" si="51"/>
        <v/>
      </c>
      <c r="P95" s="777" t="str">
        <f t="shared" ca="1" si="74"/>
        <v/>
      </c>
      <c r="Q95" s="777" t="str">
        <f t="shared" ca="1" si="75"/>
        <v/>
      </c>
      <c r="R95" s="777" t="str">
        <f t="shared" ca="1" si="92"/>
        <v/>
      </c>
      <c r="S95" s="778" t="str">
        <f t="shared" ca="1" si="93"/>
        <v/>
      </c>
      <c r="T95" s="1066" t="str">
        <f t="shared" ca="1" si="76"/>
        <v/>
      </c>
      <c r="U95" s="1165" t="str">
        <f t="shared" ca="1" si="87"/>
        <v/>
      </c>
      <c r="V95" s="1350">
        <f t="shared" ca="1" si="88"/>
        <v>0</v>
      </c>
      <c r="W95" s="1350">
        <f t="shared" ca="1" si="88"/>
        <v>0</v>
      </c>
      <c r="X95" s="1350">
        <f t="shared" ca="1" si="88"/>
        <v>0</v>
      </c>
      <c r="Y95" s="1067" t="str">
        <f t="shared" ca="1" si="89"/>
        <v/>
      </c>
      <c r="Z95" s="1165" t="str">
        <f t="shared" ca="1" si="90"/>
        <v/>
      </c>
      <c r="AA95" s="772"/>
      <c r="AB95" s="871" t="str">
        <f t="shared" ca="1" si="91"/>
        <v/>
      </c>
      <c r="AC95" s="55"/>
      <c r="AD95" s="96"/>
      <c r="AE95" s="96"/>
      <c r="AF95" s="96"/>
      <c r="AG95" s="96"/>
      <c r="AH95" s="96"/>
      <c r="AI95" s="96"/>
      <c r="AJ95" s="96"/>
      <c r="AK95" s="192"/>
      <c r="AL95" s="875"/>
      <c r="AM95" s="875"/>
      <c r="AN95" s="875"/>
      <c r="AO95" s="50"/>
      <c r="AP95" s="97"/>
      <c r="AQ95" s="97"/>
      <c r="AR95" s="97"/>
      <c r="AS95" s="97"/>
      <c r="AT95" s="97"/>
      <c r="AU95" s="97"/>
      <c r="AV95" s="97"/>
      <c r="AW95" s="97"/>
      <c r="AX95" s="97"/>
      <c r="AY95" s="97"/>
      <c r="AZ95" s="97"/>
      <c r="BA95" s="97"/>
      <c r="BB95" s="97"/>
      <c r="BC95" s="97"/>
    </row>
    <row r="96" spans="1:55" ht="12.75" customHeight="1" x14ac:dyDescent="0.3">
      <c r="A96" s="2239"/>
      <c r="B96" s="747" t="str">
        <f>'Q1'!C104</f>
        <v>Other 2 (enter CO2 factor and specify fuel in "Notes")</v>
      </c>
      <c r="C96" s="1262">
        <f t="shared" ca="1" si="94"/>
        <v>0</v>
      </c>
      <c r="D96" s="768">
        <f t="shared" ca="1" si="94"/>
        <v>0</v>
      </c>
      <c r="E96" s="769">
        <f t="shared" ca="1" si="94"/>
        <v>0</v>
      </c>
      <c r="F96" s="769">
        <f t="shared" ca="1" si="94"/>
        <v>0</v>
      </c>
      <c r="G96" s="769">
        <f t="shared" ca="1" si="94"/>
        <v>0</v>
      </c>
      <c r="H96" s="769">
        <f t="shared" ca="1" si="94"/>
        <v>0</v>
      </c>
      <c r="I96" s="770">
        <f t="shared" ca="1" si="71"/>
        <v>0</v>
      </c>
      <c r="J96" s="872" t="str">
        <f t="shared" ca="1" si="73"/>
        <v/>
      </c>
      <c r="K96" s="782"/>
      <c r="L96" s="784" t="str">
        <f ca="1">IF(C96&gt;0,'Q4'!E104,"")</f>
        <v/>
      </c>
      <c r="M96" s="785" t="str">
        <f ca="1">IF(L96="","",IF('Q4'!I104=0,"Fuel type not stated",'Q4'!I104))</f>
        <v/>
      </c>
      <c r="N96" s="772"/>
      <c r="O96" s="776" t="str">
        <f t="shared" ca="1" si="51"/>
        <v/>
      </c>
      <c r="P96" s="777" t="str">
        <f t="shared" ca="1" si="74"/>
        <v/>
      </c>
      <c r="Q96" s="777" t="str">
        <f t="shared" ca="1" si="75"/>
        <v/>
      </c>
      <c r="R96" s="777" t="str">
        <f t="shared" ca="1" si="92"/>
        <v/>
      </c>
      <c r="S96" s="778" t="str">
        <f t="shared" ca="1" si="93"/>
        <v/>
      </c>
      <c r="T96" s="1066" t="str">
        <f t="shared" ca="1" si="76"/>
        <v/>
      </c>
      <c r="U96" s="1165" t="str">
        <f t="shared" ca="1" si="87"/>
        <v/>
      </c>
      <c r="V96" s="1350">
        <f t="shared" ca="1" si="88"/>
        <v>0</v>
      </c>
      <c r="W96" s="1350">
        <f t="shared" ca="1" si="88"/>
        <v>0</v>
      </c>
      <c r="X96" s="1350">
        <f t="shared" ca="1" si="88"/>
        <v>0</v>
      </c>
      <c r="Y96" s="1067" t="str">
        <f t="shared" ca="1" si="89"/>
        <v/>
      </c>
      <c r="Z96" s="1165" t="str">
        <f t="shared" ca="1" si="90"/>
        <v/>
      </c>
      <c r="AA96" s="772"/>
      <c r="AB96" s="871" t="str">
        <f t="shared" ca="1" si="91"/>
        <v/>
      </c>
      <c r="AC96" s="55"/>
      <c r="AD96" s="96"/>
      <c r="AE96" s="96"/>
      <c r="AF96" s="96"/>
      <c r="AG96" s="96"/>
      <c r="AH96" s="96"/>
      <c r="AI96" s="96"/>
      <c r="AJ96" s="96"/>
      <c r="AK96" s="192"/>
      <c r="AL96" s="875"/>
      <c r="AM96" s="875"/>
      <c r="AN96" s="875"/>
      <c r="AO96" s="50"/>
      <c r="AP96" s="97"/>
      <c r="AQ96" s="97"/>
      <c r="AR96" s="97"/>
      <c r="AS96" s="97"/>
      <c r="AT96" s="97"/>
      <c r="AU96" s="97"/>
      <c r="AV96" s="97"/>
      <c r="AW96" s="97"/>
      <c r="AX96" s="97"/>
      <c r="AY96" s="97"/>
      <c r="AZ96" s="97"/>
      <c r="BA96" s="97"/>
      <c r="BB96" s="97"/>
      <c r="BC96" s="97"/>
    </row>
    <row r="97" spans="1:55" ht="12.75" customHeight="1" x14ac:dyDescent="0.3">
      <c r="A97" s="2239"/>
      <c r="B97" s="747" t="str">
        <f>'Q1'!C105</f>
        <v>Other 3 (enter CO2 factor and specify fuel in "Notes")</v>
      </c>
      <c r="C97" s="1262">
        <f t="shared" ca="1" si="94"/>
        <v>0</v>
      </c>
      <c r="D97" s="768">
        <f t="shared" ca="1" si="94"/>
        <v>0</v>
      </c>
      <c r="E97" s="769">
        <f t="shared" ca="1" si="94"/>
        <v>0</v>
      </c>
      <c r="F97" s="769">
        <f t="shared" ca="1" si="94"/>
        <v>0</v>
      </c>
      <c r="G97" s="769">
        <f t="shared" ca="1" si="94"/>
        <v>0</v>
      </c>
      <c r="H97" s="769">
        <f t="shared" ca="1" si="94"/>
        <v>0</v>
      </c>
      <c r="I97" s="770">
        <f t="shared" ca="1" si="71"/>
        <v>0</v>
      </c>
      <c r="J97" s="872" t="str">
        <f t="shared" ref="J97:J99" ca="1" si="95">IF(AND(C97&gt;0,SUM(D97:I97)&gt;0),"",IF(AND(C97=0,SUM(C97:I97)=0),"",IF(AND(C97=0,D97&gt;0),"Missing value?",IF(AND(C97=0,I97&gt;0),"Missing value?","New category"))))</f>
        <v/>
      </c>
      <c r="K97" s="782"/>
      <c r="L97" s="784" t="str">
        <f ca="1">IF(C97&gt;0,'Q4'!E105,"")</f>
        <v/>
      </c>
      <c r="M97" s="785" t="str">
        <f ca="1">IF(L97="","",IF('Q4'!I105=0,"Fuel type not stated",'Q4'!I105))</f>
        <v/>
      </c>
      <c r="N97" s="772"/>
      <c r="O97" s="776" t="str">
        <f t="shared" ca="1" si="51"/>
        <v/>
      </c>
      <c r="P97" s="777" t="str">
        <f t="shared" ca="1" si="74"/>
        <v/>
      </c>
      <c r="Q97" s="777" t="str">
        <f t="shared" ca="1" si="75"/>
        <v/>
      </c>
      <c r="R97" s="777" t="str">
        <f t="shared" ca="1" si="92"/>
        <v/>
      </c>
      <c r="S97" s="778" t="str">
        <f t="shared" ca="1" si="93"/>
        <v/>
      </c>
      <c r="T97" s="1066" t="str">
        <f t="shared" ref="T97:T99" ca="1" si="96">IF(SUM(C97:I97)=0,"",IF(OR(AND(C97=0,SUM(D97:I97)&gt;0),AND(C97&gt;0,SUM(D97:I97)=0)),1,IF(MAX(IF(O97&lt;0,-O97,O97),IF(P97&lt;0,-P97,P97),IF(Q97&lt;0,-Q97,Q97),IF(R97&lt;0,-R97,R97),IF(S97&lt;0,-S97,S97))=0,"",MAX(IF(O97&lt;0,-O97,O97),IF(P97&lt;0,-P97,P97),IF(Q97&lt;0,-Q97,Q97),IF(R97&lt;0,-R97,R97),IF(S97&lt;0,-S97,S97)))))</f>
        <v/>
      </c>
      <c r="U97" s="1165" t="str">
        <f t="shared" ca="1" si="87"/>
        <v/>
      </c>
      <c r="V97" s="1350">
        <f t="shared" ca="1" si="88"/>
        <v>0</v>
      </c>
      <c r="W97" s="1350">
        <f t="shared" ca="1" si="88"/>
        <v>0</v>
      </c>
      <c r="X97" s="1350">
        <f t="shared" ca="1" si="88"/>
        <v>0</v>
      </c>
      <c r="Y97" s="1067" t="str">
        <f t="shared" ca="1" si="89"/>
        <v/>
      </c>
      <c r="Z97" s="1165" t="str">
        <f t="shared" ca="1" si="90"/>
        <v/>
      </c>
      <c r="AA97" s="772"/>
      <c r="AB97" s="871" t="str">
        <f t="shared" ca="1" si="91"/>
        <v/>
      </c>
      <c r="AC97" s="55"/>
      <c r="AD97" s="96"/>
      <c r="AE97" s="96"/>
      <c r="AF97" s="96"/>
      <c r="AG97" s="96"/>
      <c r="AH97" s="96"/>
      <c r="AI97" s="96"/>
      <c r="AJ97" s="96"/>
      <c r="AK97" s="192"/>
      <c r="AL97" s="875"/>
      <c r="AM97" s="875"/>
      <c r="AN97" s="875"/>
      <c r="AO97" s="50"/>
      <c r="AP97" s="97"/>
      <c r="AQ97" s="97"/>
      <c r="AR97" s="97"/>
      <c r="AS97" s="97"/>
      <c r="AT97" s="97"/>
      <c r="AU97" s="97"/>
      <c r="AV97" s="97"/>
      <c r="AW97" s="97"/>
      <c r="AX97" s="97"/>
      <c r="AY97" s="97"/>
      <c r="AZ97" s="97"/>
      <c r="BA97" s="97"/>
      <c r="BB97" s="97"/>
      <c r="BC97" s="97"/>
    </row>
    <row r="98" spans="1:55" ht="12.75" customHeight="1" x14ac:dyDescent="0.3">
      <c r="A98" s="2239"/>
      <c r="B98" s="747" t="str">
        <f>'Q1'!C106</f>
        <v>Other 4 (enter CO2 factor and specify fuel in "Notes")</v>
      </c>
      <c r="C98" s="1262">
        <f t="shared" ca="1" si="94"/>
        <v>0</v>
      </c>
      <c r="D98" s="768">
        <f t="shared" ca="1" si="94"/>
        <v>0</v>
      </c>
      <c r="E98" s="769">
        <f t="shared" ca="1" si="94"/>
        <v>0</v>
      </c>
      <c r="F98" s="769">
        <f t="shared" ca="1" si="94"/>
        <v>0</v>
      </c>
      <c r="G98" s="769">
        <f t="shared" ca="1" si="94"/>
        <v>0</v>
      </c>
      <c r="H98" s="769">
        <f t="shared" ca="1" si="94"/>
        <v>0</v>
      </c>
      <c r="I98" s="770">
        <f t="shared" ca="1" si="71"/>
        <v>0</v>
      </c>
      <c r="J98" s="872" t="str">
        <f t="shared" ca="1" si="95"/>
        <v/>
      </c>
      <c r="K98" s="782" t="s">
        <v>552</v>
      </c>
      <c r="L98" s="784" t="str">
        <f ca="1">IF(C98&gt;0,'Q4'!E106,"")</f>
        <v/>
      </c>
      <c r="M98" s="785" t="str">
        <f ca="1">IF(L98="","",IF('Q4'!I106=0,"Fuel type not stated",'Q4'!I106))</f>
        <v/>
      </c>
      <c r="N98" s="772"/>
      <c r="O98" s="776" t="str">
        <f t="shared" ca="1" si="51"/>
        <v/>
      </c>
      <c r="P98" s="777" t="str">
        <f t="shared" ca="1" si="74"/>
        <v/>
      </c>
      <c r="Q98" s="777" t="str">
        <f t="shared" ca="1" si="75"/>
        <v/>
      </c>
      <c r="R98" s="777" t="str">
        <f t="shared" ca="1" si="92"/>
        <v/>
      </c>
      <c r="S98" s="778" t="str">
        <f t="shared" ca="1" si="93"/>
        <v/>
      </c>
      <c r="T98" s="1066" t="str">
        <f t="shared" ca="1" si="96"/>
        <v/>
      </c>
      <c r="U98" s="1165" t="str">
        <f t="shared" ca="1" si="87"/>
        <v/>
      </c>
      <c r="V98" s="1350">
        <f t="shared" ca="1" si="88"/>
        <v>0</v>
      </c>
      <c r="W98" s="1350">
        <f t="shared" ca="1" si="88"/>
        <v>0</v>
      </c>
      <c r="X98" s="1350">
        <f t="shared" ca="1" si="88"/>
        <v>0</v>
      </c>
      <c r="Y98" s="1067" t="str">
        <f t="shared" ca="1" si="89"/>
        <v/>
      </c>
      <c r="Z98" s="1165" t="str">
        <f t="shared" ca="1" si="90"/>
        <v/>
      </c>
      <c r="AA98" s="772" t="s">
        <v>552</v>
      </c>
      <c r="AB98" s="871" t="str">
        <f t="shared" ca="1" si="91"/>
        <v/>
      </c>
      <c r="AC98" s="55"/>
      <c r="AD98" s="96"/>
      <c r="AE98" s="96"/>
      <c r="AF98" s="96"/>
      <c r="AG98" s="96"/>
      <c r="AH98" s="96"/>
      <c r="AI98" s="96"/>
      <c r="AJ98" s="96"/>
      <c r="AK98" s="192"/>
      <c r="AL98" s="875"/>
      <c r="AM98" s="875"/>
      <c r="AN98" s="875"/>
      <c r="AO98" s="50"/>
      <c r="AP98" s="97"/>
      <c r="AQ98" s="97"/>
      <c r="AR98" s="97"/>
      <c r="AS98" s="97"/>
      <c r="AT98" s="97"/>
      <c r="AU98" s="97"/>
      <c r="AV98" s="97"/>
      <c r="AW98" s="97"/>
      <c r="AX98" s="97"/>
      <c r="AY98" s="97"/>
      <c r="AZ98" s="97"/>
      <c r="BA98" s="97"/>
      <c r="BB98" s="97"/>
      <c r="BC98" s="97"/>
    </row>
    <row r="99" spans="1:55" ht="12.75" customHeight="1" thickBot="1" x14ac:dyDescent="0.35">
      <c r="A99" s="2240"/>
      <c r="B99" s="747" t="str">
        <f>'Q1'!C107</f>
        <v>Other 5 (enter CO2 factor and specify fuel in "Notes")</v>
      </c>
      <c r="C99" s="1262">
        <f t="shared" ca="1" si="94"/>
        <v>0</v>
      </c>
      <c r="D99" s="768">
        <f t="shared" ca="1" si="94"/>
        <v>0</v>
      </c>
      <c r="E99" s="769">
        <f t="shared" ca="1" si="94"/>
        <v>0</v>
      </c>
      <c r="F99" s="769">
        <f t="shared" ca="1" si="94"/>
        <v>0</v>
      </c>
      <c r="G99" s="769">
        <f t="shared" ca="1" si="94"/>
        <v>0</v>
      </c>
      <c r="H99" s="769">
        <f t="shared" ca="1" si="94"/>
        <v>0</v>
      </c>
      <c r="I99" s="770">
        <f t="shared" ca="1" si="71"/>
        <v>0</v>
      </c>
      <c r="J99" s="872" t="str">
        <f t="shared" ca="1" si="95"/>
        <v/>
      </c>
      <c r="K99" s="782" t="s">
        <v>552</v>
      </c>
      <c r="L99" s="784" t="str">
        <f ca="1">IF(C99&gt;0,'Q4'!E107,"")</f>
        <v/>
      </c>
      <c r="M99" s="785" t="str">
        <f ca="1">IF(L99="","",IF('Q4'!I107=0,"Fuel type not stated",'Q4'!I107))</f>
        <v/>
      </c>
      <c r="N99" s="772"/>
      <c r="O99" s="776" t="str">
        <f t="shared" ca="1" si="51"/>
        <v/>
      </c>
      <c r="P99" s="777" t="str">
        <f t="shared" ca="1" si="74"/>
        <v/>
      </c>
      <c r="Q99" s="777" t="str">
        <f t="shared" ca="1" si="75"/>
        <v/>
      </c>
      <c r="R99" s="777" t="str">
        <f t="shared" ca="1" si="92"/>
        <v/>
      </c>
      <c r="S99" s="778" t="str">
        <f t="shared" ca="1" si="93"/>
        <v/>
      </c>
      <c r="T99" s="1066" t="str">
        <f t="shared" ca="1" si="96"/>
        <v/>
      </c>
      <c r="U99" s="1165" t="str">
        <f t="shared" ca="1" si="87"/>
        <v/>
      </c>
      <c r="V99" s="1350">
        <f t="shared" ca="1" si="88"/>
        <v>0</v>
      </c>
      <c r="W99" s="1350">
        <f t="shared" ca="1" si="88"/>
        <v>0</v>
      </c>
      <c r="X99" s="1350">
        <f t="shared" ca="1" si="88"/>
        <v>0</v>
      </c>
      <c r="Y99" s="1067" t="str">
        <f t="shared" ca="1" si="89"/>
        <v/>
      </c>
      <c r="Z99" s="1165" t="str">
        <f t="shared" ca="1" si="90"/>
        <v/>
      </c>
      <c r="AA99" s="772" t="s">
        <v>552</v>
      </c>
      <c r="AB99" s="871" t="str">
        <f t="shared" ca="1" si="91"/>
        <v/>
      </c>
      <c r="AC99" s="55"/>
      <c r="AD99" s="96"/>
      <c r="AE99" s="96"/>
      <c r="AF99" s="96"/>
      <c r="AG99" s="96"/>
      <c r="AH99" s="96"/>
      <c r="AI99" s="96"/>
      <c r="AJ99" s="96"/>
      <c r="AK99" s="192"/>
      <c r="AL99" s="875"/>
      <c r="AM99" s="875"/>
      <c r="AN99" s="875"/>
      <c r="AO99" s="50"/>
      <c r="AP99" s="97"/>
      <c r="AQ99" s="97"/>
      <c r="AR99" s="97"/>
      <c r="AS99" s="97"/>
      <c r="AT99" s="97"/>
      <c r="AU99" s="97"/>
      <c r="AV99" s="97"/>
      <c r="AW99" s="97"/>
      <c r="AX99" s="97"/>
      <c r="AY99" s="97"/>
      <c r="AZ99" s="97"/>
      <c r="BA99" s="97"/>
      <c r="BB99" s="97"/>
      <c r="BC99" s="97"/>
    </row>
    <row r="100" spans="1:55" ht="12.75" customHeight="1" thickBot="1" x14ac:dyDescent="0.35">
      <c r="A100" s="2225" t="s">
        <v>181</v>
      </c>
      <c r="B100" s="2226"/>
      <c r="C100" s="1177">
        <f t="shared" ref="C100:H100" ca="1" si="97">INDIRECT(CONCATENATE("'",C$14,"'!$D$108"),TRUE)</f>
        <v>0</v>
      </c>
      <c r="D100" s="840">
        <f t="shared" ca="1" si="97"/>
        <v>0</v>
      </c>
      <c r="E100" s="743">
        <f t="shared" ca="1" si="97"/>
        <v>16594546.340000002</v>
      </c>
      <c r="F100" s="743">
        <f t="shared" ca="1" si="97"/>
        <v>16674515.7476753</v>
      </c>
      <c r="G100" s="743">
        <f t="shared" ca="1" si="97"/>
        <v>15021573.755060541</v>
      </c>
      <c r="H100" s="743">
        <f t="shared" ca="1" si="97"/>
        <v>63452158.791455805</v>
      </c>
      <c r="I100" s="841">
        <f t="shared" ca="1" si="71"/>
        <v>15863039.697863951</v>
      </c>
      <c r="J100" s="736"/>
      <c r="K100" s="737"/>
      <c r="L100" s="850"/>
      <c r="M100" s="744"/>
      <c r="N100" s="863"/>
      <c r="O100" s="738" t="str">
        <f t="shared" ca="1" si="51"/>
        <v/>
      </c>
      <c r="P100" s="739">
        <f t="shared" ca="1" si="74"/>
        <v>-1</v>
      </c>
      <c r="Q100" s="739">
        <f t="shared" ca="1" si="75"/>
        <v>-1</v>
      </c>
      <c r="R100" s="739">
        <f t="shared" ca="1" si="92"/>
        <v>-1</v>
      </c>
      <c r="S100" s="740">
        <f t="shared" ca="1" si="93"/>
        <v>-1</v>
      </c>
      <c r="T100" s="886"/>
      <c r="U100" s="887"/>
      <c r="V100" s="887"/>
      <c r="W100" s="887"/>
      <c r="X100" s="887"/>
      <c r="Y100" s="887"/>
      <c r="Z100" s="888"/>
      <c r="AA100" s="741"/>
      <c r="AB100" s="892"/>
      <c r="AC100" s="95"/>
      <c r="AD100" s="96"/>
      <c r="AE100" s="96"/>
      <c r="AF100" s="96"/>
      <c r="AG100" s="96"/>
      <c r="AH100" s="96"/>
      <c r="AI100" s="96"/>
      <c r="AJ100" s="96"/>
      <c r="AK100" s="192"/>
      <c r="AL100" s="875"/>
      <c r="AM100" s="875"/>
      <c r="AN100" s="875"/>
      <c r="AO100" s="50"/>
      <c r="AP100" s="97"/>
      <c r="AQ100" s="97"/>
      <c r="AR100" s="97"/>
      <c r="AS100" s="97"/>
      <c r="AT100" s="97"/>
      <c r="AU100" s="97"/>
      <c r="AV100" s="97"/>
      <c r="AW100" s="97"/>
      <c r="AX100" s="97"/>
      <c r="AY100" s="97"/>
      <c r="AZ100" s="97"/>
      <c r="BA100" s="97"/>
      <c r="BB100" s="97"/>
      <c r="BC100" s="97"/>
    </row>
    <row r="101" spans="1:55" ht="12.75" customHeight="1" x14ac:dyDescent="0.3">
      <c r="A101" s="2228" t="s">
        <v>113</v>
      </c>
      <c r="B101" s="893" t="str">
        <f>'Q1'!C109</f>
        <v>Domestic Flight</v>
      </c>
      <c r="C101" s="1262">
        <f t="shared" ref="C101:H113" ca="1" si="98">INDEX(INDIRECT(CONCATENATE("'",C$14,"'!$D$109:$D$121"),TRUE),MATCH($B101,INDIRECT(CONCATENATE("'",C$14,"'!$C$109:$C$121"),TRUE),0))</f>
        <v>0</v>
      </c>
      <c r="D101" s="798">
        <f t="shared" ca="1" si="98"/>
        <v>0</v>
      </c>
      <c r="E101" s="761">
        <f t="shared" ca="1" si="98"/>
        <v>355715.16</v>
      </c>
      <c r="F101" s="761">
        <f t="shared" ca="1" si="98"/>
        <v>435237.56767529901</v>
      </c>
      <c r="G101" s="761">
        <f t="shared" ca="1" si="98"/>
        <v>465520.31636884098</v>
      </c>
      <c r="H101" s="761">
        <f t="shared" ca="1" si="98"/>
        <v>1838086.5939750415</v>
      </c>
      <c r="I101" s="799">
        <f t="shared" ca="1" si="71"/>
        <v>459521.64849376038</v>
      </c>
      <c r="J101" s="894" t="str">
        <f t="shared" ca="1" si="73"/>
        <v>Missing value?</v>
      </c>
      <c r="K101" s="762"/>
      <c r="L101" s="895"/>
      <c r="M101" s="763"/>
      <c r="N101" s="896"/>
      <c r="O101" s="802" t="str">
        <f t="shared" ref="O101:O113" ca="1" si="99">IF(OR(+$J101="missing?",+$J101="new category"),"",IF($D101=0,"",IF(SUM($C101:$I101)=0,"",IFERROR((($C101-$D101)/$D101),"N/A"))))</f>
        <v/>
      </c>
      <c r="P101" s="764">
        <f t="shared" ca="1" si="74"/>
        <v>-1</v>
      </c>
      <c r="Q101" s="764">
        <f t="shared" ca="1" si="75"/>
        <v>-1</v>
      </c>
      <c r="R101" s="764">
        <f t="shared" ca="1" si="92"/>
        <v>-1</v>
      </c>
      <c r="S101" s="803">
        <f t="shared" ca="1" si="93"/>
        <v>-1</v>
      </c>
      <c r="T101" s="1236">
        <f t="shared" ca="1" si="76"/>
        <v>1</v>
      </c>
      <c r="U101" s="766" t="str">
        <f t="shared" ref="U101:U113" ca="1" si="100">IF(+T101="","",IF(T101&gt;L$3,"H",IF(T101&gt;L$4,"M","")))</f>
        <v>H</v>
      </c>
      <c r="V101" s="1349">
        <f t="shared" ref="V101:X113" ca="1" si="101">INDEX(INDIRECT(CONCATENATE("'",V$14,"'!$F$109:$F$121"),TRUE),MATCH($B101,INDIRECT(CONCATENATE("'",V$14,"'!$C$109:$C$121"),TRUE),0))</f>
        <v>0</v>
      </c>
      <c r="W101" s="1349">
        <f t="shared" ca="1" si="101"/>
        <v>0</v>
      </c>
      <c r="X101" s="1349">
        <f t="shared" ca="1" si="101"/>
        <v>289.99492193144232</v>
      </c>
      <c r="Y101" s="1067">
        <f t="shared" ref="Y101:Y113" ca="1" si="102">IF(V101=0,IF(W101&gt;0, W101/L$8, IF(X101&gt;0,X101/L$10, "")), IF(T101="", "", V101/L$7*T101))</f>
        <v>8.6176825546442301E-4</v>
      </c>
      <c r="Z101" s="766" t="str">
        <f t="shared" ref="Z101:Z113" ca="1" si="103">IF(+Y101="","",IF(Y101&gt;L$3,"H",IF(Y101&gt;L$4,"M","")))</f>
        <v/>
      </c>
      <c r="AA101" s="801"/>
      <c r="AB101" s="871" t="str">
        <f t="shared" ca="1" si="91"/>
        <v xml:space="preserve">Missing value?         </v>
      </c>
      <c r="AC101" s="55"/>
      <c r="AD101" s="96"/>
      <c r="AE101" s="96"/>
      <c r="AF101" s="96"/>
      <c r="AG101" s="96"/>
      <c r="AH101" s="96"/>
      <c r="AI101" s="96"/>
      <c r="AJ101" s="96"/>
      <c r="AK101" s="192"/>
      <c r="AL101" s="875"/>
      <c r="AM101" s="875"/>
      <c r="AN101" s="875"/>
      <c r="AO101" s="50"/>
      <c r="AP101" s="97"/>
      <c r="AQ101" s="97"/>
      <c r="AR101" s="97"/>
      <c r="AS101" s="97"/>
      <c r="AT101" s="97"/>
      <c r="AU101" s="97"/>
      <c r="AV101" s="97"/>
      <c r="AW101" s="97"/>
      <c r="AX101" s="97"/>
      <c r="AY101" s="97"/>
      <c r="AZ101" s="97"/>
      <c r="BA101" s="97"/>
      <c r="BB101" s="97"/>
      <c r="BC101" s="97"/>
    </row>
    <row r="102" spans="1:55" ht="12.75" customHeight="1" x14ac:dyDescent="0.3">
      <c r="A102" s="2229"/>
      <c r="B102" s="767" t="str">
        <f>'Q1'!C110</f>
        <v>Rail - National /Average</v>
      </c>
      <c r="C102" s="1179">
        <f t="shared" ca="1" si="98"/>
        <v>0</v>
      </c>
      <c r="D102" s="768">
        <f t="shared" ca="1" si="98"/>
        <v>0</v>
      </c>
      <c r="E102" s="769">
        <f t="shared" ca="1" si="98"/>
        <v>16196591.720000001</v>
      </c>
      <c r="F102" s="769">
        <f t="shared" ca="1" si="98"/>
        <v>16196591.720000001</v>
      </c>
      <c r="G102" s="769">
        <f t="shared" ca="1" si="98"/>
        <v>14549585.4386917</v>
      </c>
      <c r="H102" s="769">
        <f t="shared" ca="1" si="98"/>
        <v>61591100.197480761</v>
      </c>
      <c r="I102" s="770">
        <f t="shared" ca="1" si="71"/>
        <v>15397775.04937019</v>
      </c>
      <c r="J102" s="872" t="str">
        <f t="shared" ca="1" si="73"/>
        <v>Missing value?</v>
      </c>
      <c r="K102" s="782"/>
      <c r="L102" s="773"/>
      <c r="M102" s="774"/>
      <c r="N102" s="775"/>
      <c r="O102" s="776" t="str">
        <f t="shared" ca="1" si="99"/>
        <v/>
      </c>
      <c r="P102" s="777">
        <f t="shared" ca="1" si="74"/>
        <v>-1</v>
      </c>
      <c r="Q102" s="777">
        <f t="shared" ca="1" si="75"/>
        <v>-1</v>
      </c>
      <c r="R102" s="777">
        <f t="shared" ca="1" si="92"/>
        <v>-1</v>
      </c>
      <c r="S102" s="778">
        <f t="shared" ca="1" si="93"/>
        <v>-1</v>
      </c>
      <c r="T102" s="1066">
        <f t="shared" ca="1" si="76"/>
        <v>1</v>
      </c>
      <c r="U102" s="1165" t="str">
        <f t="shared" ca="1" si="100"/>
        <v>H</v>
      </c>
      <c r="V102" s="1350">
        <f t="shared" ca="1" si="101"/>
        <v>0</v>
      </c>
      <c r="W102" s="1350">
        <f t="shared" ca="1" si="101"/>
        <v>0</v>
      </c>
      <c r="X102" s="1350">
        <f t="shared" ca="1" si="101"/>
        <v>2724.7902727365486</v>
      </c>
      <c r="Y102" s="1067">
        <f t="shared" ca="1" si="102"/>
        <v>8.0971685442055002E-3</v>
      </c>
      <c r="Z102" s="1165" t="str">
        <f t="shared" ca="1" si="103"/>
        <v>M</v>
      </c>
      <c r="AA102" s="772" t="s">
        <v>552</v>
      </c>
      <c r="AB102" s="871" t="str">
        <f t="shared" ca="1" si="91"/>
        <v xml:space="preserve">Missing value?         </v>
      </c>
      <c r="AC102" s="55"/>
      <c r="AD102" s="96"/>
      <c r="AE102" s="96"/>
      <c r="AF102" s="96"/>
      <c r="AG102" s="96"/>
      <c r="AH102" s="96"/>
      <c r="AI102" s="96"/>
      <c r="AJ102" s="96"/>
      <c r="AK102" s="192"/>
      <c r="AL102" s="875"/>
      <c r="AM102" s="875"/>
      <c r="AN102" s="875"/>
      <c r="AO102" s="50"/>
      <c r="AP102" s="97"/>
      <c r="AQ102" s="97"/>
      <c r="AR102" s="97"/>
      <c r="AS102" s="97"/>
      <c r="AT102" s="97"/>
      <c r="AU102" s="97"/>
      <c r="AV102" s="97"/>
      <c r="AW102" s="97"/>
      <c r="AX102" s="97"/>
      <c r="AY102" s="97"/>
      <c r="AZ102" s="97"/>
      <c r="BA102" s="97"/>
      <c r="BB102" s="97"/>
      <c r="BC102" s="97"/>
    </row>
    <row r="103" spans="1:55" ht="12.75" customHeight="1" x14ac:dyDescent="0.3">
      <c r="A103" s="2229"/>
      <c r="B103" s="767" t="str">
        <f>'Q1'!C111</f>
        <v>Light Railway / Tram</v>
      </c>
      <c r="C103" s="1179">
        <f t="shared" ca="1" si="98"/>
        <v>0</v>
      </c>
      <c r="D103" s="768">
        <f t="shared" ca="1" si="98"/>
        <v>0</v>
      </c>
      <c r="E103" s="769">
        <f t="shared" ca="1" si="98"/>
        <v>0</v>
      </c>
      <c r="F103" s="769">
        <f t="shared" ca="1" si="98"/>
        <v>0</v>
      </c>
      <c r="G103" s="769">
        <f t="shared" ca="1" si="98"/>
        <v>0</v>
      </c>
      <c r="H103" s="769">
        <f t="shared" ca="1" si="98"/>
        <v>0</v>
      </c>
      <c r="I103" s="770">
        <f t="shared" ca="1" si="71"/>
        <v>0</v>
      </c>
      <c r="J103" s="872" t="str">
        <f t="shared" ca="1" si="73"/>
        <v/>
      </c>
      <c r="K103" s="782"/>
      <c r="L103" s="773"/>
      <c r="M103" s="774"/>
      <c r="N103" s="775"/>
      <c r="O103" s="776" t="str">
        <f t="shared" ca="1" si="99"/>
        <v/>
      </c>
      <c r="P103" s="777" t="str">
        <f t="shared" ca="1" si="74"/>
        <v/>
      </c>
      <c r="Q103" s="777" t="str">
        <f t="shared" ca="1" si="75"/>
        <v/>
      </c>
      <c r="R103" s="777" t="str">
        <f t="shared" ca="1" si="92"/>
        <v/>
      </c>
      <c r="S103" s="778" t="str">
        <f t="shared" ca="1" si="93"/>
        <v/>
      </c>
      <c r="T103" s="1066" t="str">
        <f t="shared" ca="1" si="76"/>
        <v/>
      </c>
      <c r="U103" s="1165" t="str">
        <f t="shared" ca="1" si="100"/>
        <v/>
      </c>
      <c r="V103" s="1350">
        <f t="shared" ca="1" si="101"/>
        <v>0</v>
      </c>
      <c r="W103" s="1350">
        <f t="shared" ca="1" si="101"/>
        <v>0</v>
      </c>
      <c r="X103" s="1350">
        <f t="shared" ca="1" si="101"/>
        <v>0</v>
      </c>
      <c r="Y103" s="1067" t="str">
        <f t="shared" ca="1" si="102"/>
        <v/>
      </c>
      <c r="Z103" s="1165" t="str">
        <f t="shared" ca="1" si="103"/>
        <v/>
      </c>
      <c r="AA103" s="772"/>
      <c r="AB103" s="871" t="str">
        <f t="shared" ca="1" si="91"/>
        <v/>
      </c>
      <c r="AC103" s="55"/>
      <c r="AD103" s="96"/>
      <c r="AE103" s="96"/>
      <c r="AF103" s="96"/>
      <c r="AG103" s="96"/>
      <c r="AH103" s="96"/>
      <c r="AI103" s="96"/>
      <c r="AJ103" s="96"/>
      <c r="AK103" s="192"/>
      <c r="AL103" s="875"/>
      <c r="AM103" s="875"/>
      <c r="AN103" s="875"/>
      <c r="AO103" s="50"/>
      <c r="AP103" s="97"/>
      <c r="AQ103" s="97"/>
      <c r="AR103" s="97"/>
      <c r="AS103" s="97"/>
      <c r="AT103" s="97"/>
      <c r="AU103" s="97"/>
      <c r="AV103" s="97"/>
      <c r="AW103" s="97"/>
      <c r="AX103" s="97"/>
      <c r="AY103" s="97"/>
      <c r="AZ103" s="97"/>
      <c r="BA103" s="97"/>
      <c r="BB103" s="97"/>
      <c r="BC103" s="97"/>
    </row>
    <row r="104" spans="1:55" ht="12.75" customHeight="1" x14ac:dyDescent="0.3">
      <c r="A104" s="2229"/>
      <c r="B104" s="767" t="str">
        <f>'Q1'!C112</f>
        <v>London Underground</v>
      </c>
      <c r="C104" s="1179">
        <f t="shared" ca="1" si="98"/>
        <v>0</v>
      </c>
      <c r="D104" s="768">
        <f t="shared" ca="1" si="98"/>
        <v>0</v>
      </c>
      <c r="E104" s="769">
        <f t="shared" ca="1" si="98"/>
        <v>41369.46</v>
      </c>
      <c r="F104" s="769">
        <f t="shared" ca="1" si="98"/>
        <v>41369.46</v>
      </c>
      <c r="G104" s="769">
        <f t="shared" ca="1" si="98"/>
        <v>5420</v>
      </c>
      <c r="H104" s="769">
        <f t="shared" ca="1" si="98"/>
        <v>18120</v>
      </c>
      <c r="I104" s="770">
        <f t="shared" ca="1" si="71"/>
        <v>4530</v>
      </c>
      <c r="J104" s="872" t="str">
        <f t="shared" ca="1" si="73"/>
        <v>Missing value?</v>
      </c>
      <c r="K104" s="782"/>
      <c r="L104" s="773"/>
      <c r="M104" s="774"/>
      <c r="N104" s="775"/>
      <c r="O104" s="776" t="str">
        <f t="shared" ca="1" si="99"/>
        <v/>
      </c>
      <c r="P104" s="777">
        <f t="shared" ca="1" si="74"/>
        <v>-1</v>
      </c>
      <c r="Q104" s="777">
        <f t="shared" ca="1" si="75"/>
        <v>-1</v>
      </c>
      <c r="R104" s="777">
        <f t="shared" ca="1" si="92"/>
        <v>-1</v>
      </c>
      <c r="S104" s="778">
        <f t="shared" ca="1" si="93"/>
        <v>-1</v>
      </c>
      <c r="T104" s="1066">
        <f t="shared" ca="1" si="76"/>
        <v>1</v>
      </c>
      <c r="U104" s="1165" t="str">
        <f t="shared" ca="1" si="100"/>
        <v>H</v>
      </c>
      <c r="V104" s="1350">
        <f t="shared" ca="1" si="101"/>
        <v>0</v>
      </c>
      <c r="W104" s="1350">
        <f t="shared" ca="1" si="101"/>
        <v>0</v>
      </c>
      <c r="X104" s="1350">
        <f t="shared" ca="1" si="101"/>
        <v>0.68131200000000003</v>
      </c>
      <c r="Y104" s="1067">
        <f t="shared" ca="1" si="102"/>
        <v>2.0246321892690971E-6</v>
      </c>
      <c r="Z104" s="1165" t="str">
        <f t="shared" ca="1" si="103"/>
        <v/>
      </c>
      <c r="AA104" s="772"/>
      <c r="AB104" s="871" t="str">
        <f t="shared" ca="1" si="91"/>
        <v xml:space="preserve">Missing value?         </v>
      </c>
      <c r="AC104" s="55"/>
      <c r="AD104" s="96"/>
      <c r="AE104" s="96"/>
      <c r="AF104" s="96"/>
      <c r="AG104" s="96"/>
      <c r="AH104" s="96"/>
      <c r="AI104" s="96"/>
      <c r="AJ104" s="96"/>
      <c r="AK104" s="192"/>
      <c r="AL104" s="875"/>
      <c r="AM104" s="875"/>
      <c r="AN104" s="875"/>
      <c r="AO104" s="50"/>
      <c r="AP104" s="97"/>
      <c r="AQ104" s="97"/>
      <c r="AR104" s="97"/>
      <c r="AS104" s="97"/>
      <c r="AT104" s="97"/>
      <c r="AU104" s="97"/>
      <c r="AV104" s="97"/>
      <c r="AW104" s="97"/>
      <c r="AX104" s="97"/>
      <c r="AY104" s="97"/>
      <c r="AZ104" s="97"/>
      <c r="BA104" s="97"/>
      <c r="BB104" s="97"/>
      <c r="BC104" s="97"/>
    </row>
    <row r="105" spans="1:55" ht="12.75" customHeight="1" x14ac:dyDescent="0.3">
      <c r="A105" s="2229"/>
      <c r="B105" s="767" t="str">
        <f>'Q1'!C113</f>
        <v>Taxi - Regular</v>
      </c>
      <c r="C105" s="1179">
        <f t="shared" ca="1" si="98"/>
        <v>0</v>
      </c>
      <c r="D105" s="768">
        <f t="shared" ca="1" si="98"/>
        <v>0</v>
      </c>
      <c r="E105" s="769">
        <f t="shared" ca="1" si="98"/>
        <v>870</v>
      </c>
      <c r="F105" s="769">
        <f t="shared" ca="1" si="98"/>
        <v>1317</v>
      </c>
      <c r="G105" s="769">
        <f t="shared" ca="1" si="98"/>
        <v>1048</v>
      </c>
      <c r="H105" s="769">
        <f t="shared" ca="1" si="98"/>
        <v>4852</v>
      </c>
      <c r="I105" s="770">
        <f t="shared" ca="1" si="71"/>
        <v>1213</v>
      </c>
      <c r="J105" s="872" t="str">
        <f t="shared" ca="1" si="73"/>
        <v>Missing value?</v>
      </c>
      <c r="K105" s="782"/>
      <c r="L105" s="773"/>
      <c r="M105" s="774"/>
      <c r="N105" s="775"/>
      <c r="O105" s="776" t="str">
        <f t="shared" ca="1" si="99"/>
        <v/>
      </c>
      <c r="P105" s="777">
        <f t="shared" ca="1" si="74"/>
        <v>-1</v>
      </c>
      <c r="Q105" s="777">
        <f t="shared" ca="1" si="75"/>
        <v>-1</v>
      </c>
      <c r="R105" s="777">
        <f t="shared" ca="1" si="92"/>
        <v>-1</v>
      </c>
      <c r="S105" s="778">
        <f t="shared" ca="1" si="93"/>
        <v>-1</v>
      </c>
      <c r="T105" s="1066">
        <f t="shared" ca="1" si="76"/>
        <v>1</v>
      </c>
      <c r="U105" s="1165" t="str">
        <f t="shared" ca="1" si="100"/>
        <v>H</v>
      </c>
      <c r="V105" s="1350">
        <f t="shared" ca="1" si="101"/>
        <v>0</v>
      </c>
      <c r="W105" s="1350">
        <f t="shared" ca="1" si="101"/>
        <v>0</v>
      </c>
      <c r="X105" s="1350">
        <f t="shared" ca="1" si="101"/>
        <v>0.74449087999999997</v>
      </c>
      <c r="Y105" s="1067">
        <f t="shared" ca="1" si="102"/>
        <v>2.2123787637165889E-6</v>
      </c>
      <c r="Z105" s="1165" t="str">
        <f t="shared" ca="1" si="103"/>
        <v/>
      </c>
      <c r="AA105" s="772"/>
      <c r="AB105" s="871" t="str">
        <f t="shared" ca="1" si="91"/>
        <v xml:space="preserve">Missing value?         </v>
      </c>
      <c r="AC105" s="55"/>
      <c r="AD105" s="96"/>
      <c r="AE105" s="96"/>
      <c r="AF105" s="96"/>
      <c r="AG105" s="96"/>
      <c r="AH105" s="96"/>
      <c r="AI105" s="96"/>
      <c r="AJ105" s="96"/>
      <c r="AK105" s="192"/>
      <c r="AL105" s="875"/>
      <c r="AM105" s="875"/>
      <c r="AN105" s="875"/>
      <c r="AO105" s="50"/>
      <c r="AP105" s="97"/>
      <c r="AQ105" s="97"/>
      <c r="AR105" s="97"/>
      <c r="AS105" s="97"/>
      <c r="AT105" s="97"/>
      <c r="AU105" s="97"/>
      <c r="AV105" s="97"/>
      <c r="AW105" s="97"/>
      <c r="AX105" s="97"/>
      <c r="AY105" s="97"/>
      <c r="AZ105" s="97"/>
      <c r="BA105" s="97"/>
      <c r="BB105" s="97"/>
      <c r="BC105" s="97"/>
    </row>
    <row r="106" spans="1:55" ht="12.75" customHeight="1" x14ac:dyDescent="0.3">
      <c r="A106" s="2229"/>
      <c r="B106" s="767" t="str">
        <f>'Q1'!C114</f>
        <v>Taxi - Black cab</v>
      </c>
      <c r="C106" s="1179">
        <f t="shared" ca="1" si="98"/>
        <v>0</v>
      </c>
      <c r="D106" s="768">
        <f t="shared" ca="1" si="98"/>
        <v>0</v>
      </c>
      <c r="E106" s="769">
        <f t="shared" ca="1" si="98"/>
        <v>0</v>
      </c>
      <c r="F106" s="769">
        <f t="shared" ca="1" si="98"/>
        <v>0</v>
      </c>
      <c r="G106" s="769">
        <f t="shared" ca="1" si="98"/>
        <v>0</v>
      </c>
      <c r="H106" s="769">
        <f t="shared" ca="1" si="98"/>
        <v>0</v>
      </c>
      <c r="I106" s="770">
        <f t="shared" ca="1" si="71"/>
        <v>0</v>
      </c>
      <c r="J106" s="872" t="str">
        <f t="shared" ca="1" si="73"/>
        <v/>
      </c>
      <c r="K106" s="782"/>
      <c r="L106" s="773"/>
      <c r="M106" s="774"/>
      <c r="N106" s="775"/>
      <c r="O106" s="776" t="str">
        <f t="shared" ca="1" si="99"/>
        <v/>
      </c>
      <c r="P106" s="777" t="str">
        <f t="shared" ca="1" si="74"/>
        <v/>
      </c>
      <c r="Q106" s="777" t="str">
        <f t="shared" ca="1" si="75"/>
        <v/>
      </c>
      <c r="R106" s="777" t="str">
        <f t="shared" ca="1" si="92"/>
        <v/>
      </c>
      <c r="S106" s="778" t="str">
        <f t="shared" ca="1" si="93"/>
        <v/>
      </c>
      <c r="T106" s="1066" t="str">
        <f t="shared" ca="1" si="76"/>
        <v/>
      </c>
      <c r="U106" s="1165" t="str">
        <f t="shared" ca="1" si="100"/>
        <v/>
      </c>
      <c r="V106" s="1350">
        <f t="shared" ca="1" si="101"/>
        <v>0</v>
      </c>
      <c r="W106" s="1350">
        <f t="shared" ca="1" si="101"/>
        <v>0</v>
      </c>
      <c r="X106" s="1350">
        <f t="shared" ca="1" si="101"/>
        <v>0</v>
      </c>
      <c r="Y106" s="1067" t="str">
        <f t="shared" ca="1" si="102"/>
        <v/>
      </c>
      <c r="Z106" s="1165" t="str">
        <f t="shared" ca="1" si="103"/>
        <v/>
      </c>
      <c r="AA106" s="772"/>
      <c r="AB106" s="871" t="str">
        <f t="shared" ca="1" si="91"/>
        <v/>
      </c>
      <c r="AC106" s="55"/>
      <c r="AD106" s="96"/>
      <c r="AE106" s="96"/>
      <c r="AF106" s="96"/>
      <c r="AG106" s="96"/>
      <c r="AH106" s="96"/>
      <c r="AI106" s="96"/>
      <c r="AJ106" s="96"/>
      <c r="AK106" s="192"/>
      <c r="AL106" s="875"/>
      <c r="AM106" s="875"/>
      <c r="AN106" s="875"/>
      <c r="AO106" s="50"/>
      <c r="AP106" s="97"/>
      <c r="AQ106" s="97"/>
      <c r="AR106" s="97"/>
      <c r="AS106" s="97"/>
      <c r="AT106" s="97"/>
      <c r="AU106" s="97"/>
      <c r="AV106" s="97"/>
      <c r="AW106" s="97"/>
      <c r="AX106" s="97"/>
      <c r="AY106" s="97"/>
      <c r="AZ106" s="97"/>
      <c r="BA106" s="97"/>
      <c r="BB106" s="97"/>
      <c r="BC106" s="97"/>
    </row>
    <row r="107" spans="1:55" ht="12.75" customHeight="1" x14ac:dyDescent="0.3">
      <c r="A107" s="2229"/>
      <c r="B107" s="767" t="str">
        <f>'Q1'!C115</f>
        <v>Bus - Local</v>
      </c>
      <c r="C107" s="1179">
        <f t="shared" ca="1" si="98"/>
        <v>0</v>
      </c>
      <c r="D107" s="768">
        <f t="shared" ca="1" si="98"/>
        <v>0</v>
      </c>
      <c r="E107" s="769">
        <f t="shared" ca="1" si="98"/>
        <v>0</v>
      </c>
      <c r="F107" s="769">
        <f t="shared" ca="1" si="98"/>
        <v>0</v>
      </c>
      <c r="G107" s="769">
        <f t="shared" ca="1" si="98"/>
        <v>0</v>
      </c>
      <c r="H107" s="769">
        <f t="shared" ca="1" si="98"/>
        <v>0</v>
      </c>
      <c r="I107" s="770">
        <f t="shared" ca="1" si="71"/>
        <v>0</v>
      </c>
      <c r="J107" s="872" t="str">
        <f t="shared" ca="1" si="73"/>
        <v/>
      </c>
      <c r="K107" s="782"/>
      <c r="L107" s="773"/>
      <c r="M107" s="774"/>
      <c r="N107" s="775"/>
      <c r="O107" s="776" t="str">
        <f t="shared" ca="1" si="99"/>
        <v/>
      </c>
      <c r="P107" s="777" t="str">
        <f t="shared" ca="1" si="74"/>
        <v/>
      </c>
      <c r="Q107" s="777" t="str">
        <f t="shared" ca="1" si="75"/>
        <v/>
      </c>
      <c r="R107" s="777" t="str">
        <f t="shared" ca="1" si="92"/>
        <v/>
      </c>
      <c r="S107" s="778" t="str">
        <f t="shared" ca="1" si="93"/>
        <v/>
      </c>
      <c r="T107" s="1066" t="str">
        <f t="shared" ca="1" si="76"/>
        <v/>
      </c>
      <c r="U107" s="1165" t="str">
        <f t="shared" ca="1" si="100"/>
        <v/>
      </c>
      <c r="V107" s="1350">
        <f t="shared" ca="1" si="101"/>
        <v>0</v>
      </c>
      <c r="W107" s="1350">
        <f t="shared" ca="1" si="101"/>
        <v>0</v>
      </c>
      <c r="X107" s="1350">
        <f t="shared" ca="1" si="101"/>
        <v>0</v>
      </c>
      <c r="Y107" s="1067" t="str">
        <f t="shared" ca="1" si="102"/>
        <v/>
      </c>
      <c r="Z107" s="1165" t="str">
        <f t="shared" ca="1" si="103"/>
        <v/>
      </c>
      <c r="AA107" s="772"/>
      <c r="AB107" s="871" t="str">
        <f t="shared" ca="1" si="91"/>
        <v/>
      </c>
      <c r="AC107" s="55"/>
      <c r="AD107" s="96"/>
      <c r="AE107" s="96"/>
      <c r="AF107" s="96"/>
      <c r="AG107" s="96"/>
      <c r="AH107" s="96"/>
      <c r="AI107" s="96"/>
      <c r="AJ107" s="96"/>
      <c r="AK107" s="192"/>
      <c r="AL107" s="875"/>
      <c r="AM107" s="875"/>
      <c r="AN107" s="875"/>
      <c r="AO107" s="50"/>
      <c r="AP107" s="97"/>
      <c r="AQ107" s="97"/>
      <c r="AR107" s="97"/>
      <c r="AS107" s="97"/>
      <c r="AT107" s="97"/>
      <c r="AU107" s="97"/>
      <c r="AV107" s="97"/>
      <c r="AW107" s="97"/>
      <c r="AX107" s="97"/>
      <c r="AY107" s="97"/>
      <c r="AZ107" s="97"/>
      <c r="BA107" s="97"/>
      <c r="BB107" s="97"/>
      <c r="BC107" s="97"/>
    </row>
    <row r="108" spans="1:55" ht="12.75" customHeight="1" x14ac:dyDescent="0.3">
      <c r="A108" s="2229"/>
      <c r="B108" s="767" t="str">
        <f>'Q1'!C116</f>
        <v>Bus - Transport for London</v>
      </c>
      <c r="C108" s="1179">
        <f t="shared" ca="1" si="98"/>
        <v>0</v>
      </c>
      <c r="D108" s="768">
        <f t="shared" ca="1" si="98"/>
        <v>0</v>
      </c>
      <c r="E108" s="769">
        <f t="shared" ca="1" si="98"/>
        <v>0</v>
      </c>
      <c r="F108" s="769">
        <f t="shared" ca="1" si="98"/>
        <v>0</v>
      </c>
      <c r="G108" s="769">
        <f t="shared" ca="1" si="98"/>
        <v>0</v>
      </c>
      <c r="H108" s="769">
        <f t="shared" ca="1" si="98"/>
        <v>0</v>
      </c>
      <c r="I108" s="770">
        <f t="shared" ca="1" si="71"/>
        <v>0</v>
      </c>
      <c r="J108" s="872" t="str">
        <f t="shared" ca="1" si="73"/>
        <v/>
      </c>
      <c r="K108" s="782"/>
      <c r="L108" s="773"/>
      <c r="M108" s="774"/>
      <c r="N108" s="775"/>
      <c r="O108" s="776" t="str">
        <f t="shared" ca="1" si="99"/>
        <v/>
      </c>
      <c r="P108" s="777" t="str">
        <f t="shared" ca="1" si="74"/>
        <v/>
      </c>
      <c r="Q108" s="777" t="str">
        <f t="shared" ca="1" si="75"/>
        <v/>
      </c>
      <c r="R108" s="777" t="str">
        <f t="shared" ca="1" si="92"/>
        <v/>
      </c>
      <c r="S108" s="778" t="str">
        <f t="shared" ca="1" si="93"/>
        <v/>
      </c>
      <c r="T108" s="1066" t="str">
        <f t="shared" ca="1" si="76"/>
        <v/>
      </c>
      <c r="U108" s="1165" t="str">
        <f t="shared" ca="1" si="100"/>
        <v/>
      </c>
      <c r="V108" s="1350">
        <f t="shared" ca="1" si="101"/>
        <v>0</v>
      </c>
      <c r="W108" s="1350">
        <f t="shared" ca="1" si="101"/>
        <v>0</v>
      </c>
      <c r="X108" s="1350">
        <f t="shared" ca="1" si="101"/>
        <v>0</v>
      </c>
      <c r="Y108" s="1067" t="str">
        <f t="shared" ca="1" si="102"/>
        <v/>
      </c>
      <c r="Z108" s="1165" t="str">
        <f t="shared" ca="1" si="103"/>
        <v/>
      </c>
      <c r="AA108" s="772"/>
      <c r="AB108" s="871" t="str">
        <f t="shared" ca="1" si="91"/>
        <v/>
      </c>
      <c r="AC108" s="55"/>
      <c r="AD108" s="96"/>
      <c r="AE108" s="96"/>
      <c r="AF108" s="96"/>
      <c r="AG108" s="96"/>
      <c r="AH108" s="96"/>
      <c r="AI108" s="96"/>
      <c r="AJ108" s="96"/>
      <c r="AK108" s="192"/>
      <c r="AL108" s="875"/>
      <c r="AM108" s="875"/>
      <c r="AN108" s="875"/>
      <c r="AO108" s="50"/>
      <c r="AP108" s="97"/>
      <c r="AQ108" s="97"/>
      <c r="AR108" s="97"/>
      <c r="AS108" s="97"/>
      <c r="AT108" s="97"/>
      <c r="AU108" s="97"/>
      <c r="AV108" s="97"/>
      <c r="AW108" s="97"/>
      <c r="AX108" s="97"/>
      <c r="AY108" s="97"/>
      <c r="AZ108" s="97"/>
      <c r="BA108" s="97"/>
      <c r="BB108" s="97"/>
      <c r="BC108" s="97"/>
    </row>
    <row r="109" spans="1:55" ht="12.75" customHeight="1" x14ac:dyDescent="0.3">
      <c r="A109" s="2229"/>
      <c r="B109" s="767" t="str">
        <f>'Q1'!C117</f>
        <v>Bus - Average</v>
      </c>
      <c r="C109" s="1179">
        <f t="shared" ca="1" si="98"/>
        <v>0</v>
      </c>
      <c r="D109" s="768">
        <f t="shared" ca="1" si="98"/>
        <v>0</v>
      </c>
      <c r="E109" s="769">
        <f t="shared" ca="1" si="98"/>
        <v>0</v>
      </c>
      <c r="F109" s="769">
        <f t="shared" ca="1" si="98"/>
        <v>0</v>
      </c>
      <c r="G109" s="769">
        <f t="shared" ca="1" si="98"/>
        <v>0</v>
      </c>
      <c r="H109" s="769">
        <f t="shared" ca="1" si="98"/>
        <v>0</v>
      </c>
      <c r="I109" s="770">
        <f t="shared" ca="1" si="71"/>
        <v>0</v>
      </c>
      <c r="J109" s="872" t="str">
        <f t="shared" ca="1" si="73"/>
        <v/>
      </c>
      <c r="K109" s="782"/>
      <c r="L109" s="773"/>
      <c r="M109" s="774"/>
      <c r="N109" s="775"/>
      <c r="O109" s="776" t="str">
        <f t="shared" ca="1" si="99"/>
        <v/>
      </c>
      <c r="P109" s="777" t="str">
        <f t="shared" ca="1" si="74"/>
        <v/>
      </c>
      <c r="Q109" s="777" t="str">
        <f t="shared" ca="1" si="75"/>
        <v/>
      </c>
      <c r="R109" s="777" t="str">
        <f t="shared" ca="1" si="92"/>
        <v/>
      </c>
      <c r="S109" s="778" t="str">
        <f t="shared" ca="1" si="93"/>
        <v/>
      </c>
      <c r="T109" s="1066" t="str">
        <f t="shared" ca="1" si="76"/>
        <v/>
      </c>
      <c r="U109" s="1165" t="str">
        <f t="shared" ca="1" si="100"/>
        <v/>
      </c>
      <c r="V109" s="1350">
        <f t="shared" ca="1" si="101"/>
        <v>0</v>
      </c>
      <c r="W109" s="1350">
        <f t="shared" ca="1" si="101"/>
        <v>0</v>
      </c>
      <c r="X109" s="1350">
        <f t="shared" ca="1" si="101"/>
        <v>0</v>
      </c>
      <c r="Y109" s="1067" t="str">
        <f t="shared" ca="1" si="102"/>
        <v/>
      </c>
      <c r="Z109" s="1165" t="str">
        <f t="shared" ca="1" si="103"/>
        <v/>
      </c>
      <c r="AA109" s="772"/>
      <c r="AB109" s="871" t="str">
        <f t="shared" ca="1" si="91"/>
        <v/>
      </c>
      <c r="AC109" s="55"/>
      <c r="AD109" s="96"/>
      <c r="AE109" s="96"/>
      <c r="AF109" s="96"/>
      <c r="AG109" s="96"/>
      <c r="AH109" s="96"/>
      <c r="AI109" s="96"/>
      <c r="AJ109" s="96"/>
      <c r="AK109" s="192"/>
      <c r="AL109" s="875"/>
      <c r="AM109" s="875"/>
      <c r="AN109" s="875"/>
      <c r="AO109" s="50"/>
      <c r="AP109" s="97"/>
      <c r="AQ109" s="97"/>
      <c r="AR109" s="97"/>
      <c r="AS109" s="97"/>
      <c r="AT109" s="97"/>
      <c r="AU109" s="97"/>
      <c r="AV109" s="97"/>
      <c r="AW109" s="97"/>
      <c r="AX109" s="97"/>
      <c r="AY109" s="97"/>
      <c r="AZ109" s="97"/>
      <c r="BA109" s="97"/>
      <c r="BB109" s="97"/>
      <c r="BC109" s="97"/>
    </row>
    <row r="110" spans="1:55" ht="12.75" customHeight="1" x14ac:dyDescent="0.3">
      <c r="A110" s="2229"/>
      <c r="B110" s="767" t="str">
        <f>'Q1'!C118</f>
        <v>Coach</v>
      </c>
      <c r="C110" s="1179">
        <f t="shared" ca="1" si="98"/>
        <v>0</v>
      </c>
      <c r="D110" s="768">
        <f t="shared" ca="1" si="98"/>
        <v>0</v>
      </c>
      <c r="E110" s="769">
        <f t="shared" ca="1" si="98"/>
        <v>0</v>
      </c>
      <c r="F110" s="769">
        <f t="shared" ca="1" si="98"/>
        <v>0</v>
      </c>
      <c r="G110" s="769">
        <f t="shared" ca="1" si="98"/>
        <v>0</v>
      </c>
      <c r="H110" s="769">
        <f t="shared" ca="1" si="98"/>
        <v>0</v>
      </c>
      <c r="I110" s="770">
        <f t="shared" ca="1" si="71"/>
        <v>0</v>
      </c>
      <c r="J110" s="872" t="str">
        <f t="shared" ca="1" si="73"/>
        <v/>
      </c>
      <c r="K110" s="782"/>
      <c r="L110" s="773"/>
      <c r="M110" s="774"/>
      <c r="N110" s="775"/>
      <c r="O110" s="776" t="str">
        <f t="shared" ca="1" si="99"/>
        <v/>
      </c>
      <c r="P110" s="777" t="str">
        <f t="shared" ca="1" si="74"/>
        <v/>
      </c>
      <c r="Q110" s="777" t="str">
        <f t="shared" ca="1" si="75"/>
        <v/>
      </c>
      <c r="R110" s="777" t="str">
        <f t="shared" ca="1" si="92"/>
        <v/>
      </c>
      <c r="S110" s="778" t="str">
        <f t="shared" ca="1" si="93"/>
        <v/>
      </c>
      <c r="T110" s="1066" t="str">
        <f t="shared" ca="1" si="76"/>
        <v/>
      </c>
      <c r="U110" s="1165" t="str">
        <f t="shared" ca="1" si="100"/>
        <v/>
      </c>
      <c r="V110" s="1350">
        <f t="shared" ca="1" si="101"/>
        <v>0</v>
      </c>
      <c r="W110" s="1350">
        <f t="shared" ca="1" si="101"/>
        <v>0</v>
      </c>
      <c r="X110" s="1350">
        <f t="shared" ca="1" si="101"/>
        <v>0</v>
      </c>
      <c r="Y110" s="1067" t="str">
        <f t="shared" ca="1" si="102"/>
        <v/>
      </c>
      <c r="Z110" s="1165" t="str">
        <f t="shared" ca="1" si="103"/>
        <v/>
      </c>
      <c r="AA110" s="772"/>
      <c r="AB110" s="871" t="str">
        <f t="shared" ca="1" si="91"/>
        <v/>
      </c>
      <c r="AC110" s="55"/>
      <c r="AD110" s="96"/>
      <c r="AE110" s="96"/>
      <c r="AF110" s="96"/>
      <c r="AG110" s="96"/>
      <c r="AH110" s="96"/>
      <c r="AI110" s="96"/>
      <c r="AJ110" s="96"/>
      <c r="AK110" s="192"/>
      <c r="AL110" s="875"/>
      <c r="AM110" s="875"/>
      <c r="AN110" s="875"/>
      <c r="AO110" s="50"/>
      <c r="AP110" s="97"/>
      <c r="AQ110" s="97"/>
      <c r="AR110" s="97"/>
      <c r="AS110" s="97"/>
      <c r="AT110" s="97"/>
      <c r="AU110" s="97"/>
      <c r="AV110" s="97"/>
      <c r="AW110" s="97"/>
      <c r="AX110" s="97"/>
      <c r="AY110" s="97"/>
      <c r="AZ110" s="97"/>
      <c r="BA110" s="97"/>
      <c r="BB110" s="97"/>
      <c r="BC110" s="97"/>
    </row>
    <row r="111" spans="1:55" ht="12.75" customHeight="1" x14ac:dyDescent="0.3">
      <c r="A111" s="2229"/>
      <c r="B111" s="767" t="str">
        <f>'Q1'!C119</f>
        <v>Other 1 (enter CO2 factor and specify fuel in "Notes")</v>
      </c>
      <c r="C111" s="1179">
        <f t="shared" ca="1" si="98"/>
        <v>0</v>
      </c>
      <c r="D111" s="768">
        <f t="shared" ca="1" si="98"/>
        <v>0</v>
      </c>
      <c r="E111" s="769">
        <f t="shared" ca="1" si="98"/>
        <v>0</v>
      </c>
      <c r="F111" s="769">
        <f t="shared" ca="1" si="98"/>
        <v>0</v>
      </c>
      <c r="G111" s="769">
        <f t="shared" ca="1" si="98"/>
        <v>0</v>
      </c>
      <c r="H111" s="769">
        <f t="shared" ca="1" si="98"/>
        <v>0</v>
      </c>
      <c r="I111" s="770">
        <f t="shared" ca="1" si="71"/>
        <v>0</v>
      </c>
      <c r="J111" s="872" t="str">
        <f t="shared" ca="1" si="73"/>
        <v/>
      </c>
      <c r="K111" s="782"/>
      <c r="L111" s="784" t="str">
        <f ca="1">IF(C111&gt;0,'Q4'!E119,"")</f>
        <v/>
      </c>
      <c r="M111" s="785" t="str">
        <f ca="1">IF(L111="","",IF('Q4'!I119=0,"Fuel type not stated",'Q4'!I119))</f>
        <v/>
      </c>
      <c r="N111" s="772"/>
      <c r="O111" s="776" t="str">
        <f t="shared" ca="1" si="99"/>
        <v/>
      </c>
      <c r="P111" s="777" t="str">
        <f t="shared" ca="1" si="74"/>
        <v/>
      </c>
      <c r="Q111" s="777" t="str">
        <f t="shared" ca="1" si="75"/>
        <v/>
      </c>
      <c r="R111" s="777" t="str">
        <f t="shared" ca="1" si="92"/>
        <v/>
      </c>
      <c r="S111" s="778" t="str">
        <f t="shared" ca="1" si="93"/>
        <v/>
      </c>
      <c r="T111" s="1066" t="str">
        <f t="shared" ca="1" si="76"/>
        <v/>
      </c>
      <c r="U111" s="1165" t="str">
        <f t="shared" ca="1" si="100"/>
        <v/>
      </c>
      <c r="V111" s="1350">
        <f t="shared" ca="1" si="101"/>
        <v>0</v>
      </c>
      <c r="W111" s="1350">
        <f t="shared" ca="1" si="101"/>
        <v>0</v>
      </c>
      <c r="X111" s="1350">
        <f t="shared" ca="1" si="101"/>
        <v>0</v>
      </c>
      <c r="Y111" s="1067" t="str">
        <f t="shared" ca="1" si="102"/>
        <v/>
      </c>
      <c r="Z111" s="1165" t="str">
        <f t="shared" ca="1" si="103"/>
        <v/>
      </c>
      <c r="AA111" s="772"/>
      <c r="AB111" s="871" t="str">
        <f ca="1">IF((CONCATENATE(IF(K111="OK","",J111), "    ",IF(L111="","",IF(N111="OK","",CONCATENATE(M111," = ",ROUND(L111,3),"kgCO2e/kWh"))),"    ",IF(AND(+AA111="",Z111="M"),"Value change with medium impact",IF(AND(AA111="",Z111="H"),"Value change with high impact",""))," "))="         ","",(CONCATENATE(IF(K111="OK","",J111), "    ",IF(L111="","",IF(N111="OK","",CONCATENATE(M111," = ",ROUND(L111,3),"kgCO2e/kWh"))),"    ",IF(AND(+AA111="",Z111="M"),"Value change with medium impact",IF(AND(AA111="",Z111="H"),"Value change with high impact",""))," ")))</f>
        <v/>
      </c>
      <c r="AC111" s="55"/>
      <c r="AD111" s="96"/>
      <c r="AE111" s="96"/>
      <c r="AF111" s="96"/>
      <c r="AG111" s="96"/>
      <c r="AH111" s="96"/>
      <c r="AI111" s="96"/>
      <c r="AJ111" s="96"/>
      <c r="AK111" s="192"/>
      <c r="AL111" s="875"/>
      <c r="AM111" s="875"/>
      <c r="AN111" s="875"/>
      <c r="AO111" s="50"/>
      <c r="AP111" s="97"/>
      <c r="AQ111" s="97"/>
      <c r="AR111" s="97"/>
      <c r="AS111" s="97"/>
      <c r="AT111" s="97"/>
      <c r="AU111" s="97"/>
      <c r="AV111" s="97"/>
      <c r="AW111" s="97"/>
      <c r="AX111" s="97"/>
      <c r="AY111" s="97"/>
      <c r="AZ111" s="97"/>
      <c r="BA111" s="97"/>
      <c r="BB111" s="97"/>
      <c r="BC111" s="97"/>
    </row>
    <row r="112" spans="1:55" ht="12.75" customHeight="1" x14ac:dyDescent="0.3">
      <c r="A112" s="2229"/>
      <c r="B112" s="767" t="str">
        <f>'Q1'!C120</f>
        <v>Other 2 (enter CO2 factor and specify fuel in "Notes")</v>
      </c>
      <c r="C112" s="1179">
        <f t="shared" ca="1" si="98"/>
        <v>0</v>
      </c>
      <c r="D112" s="768">
        <f t="shared" ca="1" si="98"/>
        <v>0</v>
      </c>
      <c r="E112" s="769">
        <f t="shared" ca="1" si="98"/>
        <v>0</v>
      </c>
      <c r="F112" s="769">
        <f t="shared" ca="1" si="98"/>
        <v>0</v>
      </c>
      <c r="G112" s="769">
        <f t="shared" ca="1" si="98"/>
        <v>0</v>
      </c>
      <c r="H112" s="769">
        <f t="shared" ca="1" si="98"/>
        <v>0</v>
      </c>
      <c r="I112" s="770">
        <f t="shared" ca="1" si="71"/>
        <v>0</v>
      </c>
      <c r="J112" s="872" t="str">
        <f t="shared" ca="1" si="73"/>
        <v/>
      </c>
      <c r="K112" s="782"/>
      <c r="L112" s="784" t="str">
        <f ca="1">IF(C112&gt;0,'Q4'!E120,"")</f>
        <v/>
      </c>
      <c r="M112" s="785" t="str">
        <f ca="1">IF(L112="","",IF('Q4'!I120=0,"Fuel type not stated",'Q4'!I120))</f>
        <v/>
      </c>
      <c r="N112" s="772"/>
      <c r="O112" s="810" t="str">
        <f t="shared" ca="1" si="99"/>
        <v/>
      </c>
      <c r="P112" s="783" t="str">
        <f t="shared" ca="1" si="74"/>
        <v/>
      </c>
      <c r="Q112" s="783" t="str">
        <f t="shared" ca="1" si="75"/>
        <v/>
      </c>
      <c r="R112" s="783" t="str">
        <f t="shared" ca="1" si="92"/>
        <v/>
      </c>
      <c r="S112" s="811" t="str">
        <f t="shared" ca="1" si="93"/>
        <v/>
      </c>
      <c r="T112" s="1066" t="str">
        <f t="shared" ca="1" si="76"/>
        <v/>
      </c>
      <c r="U112" s="1165" t="str">
        <f t="shared" ca="1" si="100"/>
        <v/>
      </c>
      <c r="V112" s="1350">
        <f t="shared" ca="1" si="101"/>
        <v>0</v>
      </c>
      <c r="W112" s="1350">
        <f t="shared" ca="1" si="101"/>
        <v>0</v>
      </c>
      <c r="X112" s="1350">
        <f t="shared" ca="1" si="101"/>
        <v>0</v>
      </c>
      <c r="Y112" s="1067" t="str">
        <f t="shared" ca="1" si="102"/>
        <v/>
      </c>
      <c r="Z112" s="1165" t="str">
        <f t="shared" ca="1" si="103"/>
        <v/>
      </c>
      <c r="AA112" s="772"/>
      <c r="AB112" s="871" t="str">
        <f t="shared" ca="1" si="91"/>
        <v/>
      </c>
      <c r="AC112" s="55"/>
      <c r="AD112" s="96"/>
      <c r="AE112" s="96"/>
      <c r="AF112" s="96"/>
      <c r="AG112" s="96"/>
      <c r="AH112" s="96"/>
      <c r="AI112" s="96"/>
      <c r="AJ112" s="96"/>
      <c r="AK112" s="192"/>
      <c r="AL112" s="875"/>
      <c r="AM112" s="875"/>
      <c r="AN112" s="875"/>
      <c r="AO112" s="50"/>
      <c r="AP112" s="97"/>
      <c r="AQ112" s="97"/>
      <c r="AR112" s="97"/>
      <c r="AS112" s="97"/>
      <c r="AT112" s="97"/>
      <c r="AU112" s="97"/>
      <c r="AV112" s="97"/>
      <c r="AW112" s="97"/>
      <c r="AX112" s="97"/>
      <c r="AY112" s="97"/>
      <c r="AZ112" s="97"/>
      <c r="BA112" s="97"/>
      <c r="BB112" s="97"/>
      <c r="BC112" s="97"/>
    </row>
    <row r="113" spans="1:55" ht="12.75" customHeight="1" thickBot="1" x14ac:dyDescent="0.35">
      <c r="A113" s="2230"/>
      <c r="B113" s="1178" t="str">
        <f>'Q1'!C121</f>
        <v>Other 3 (enter CO2 factor and specify fuel in "Notes")</v>
      </c>
      <c r="C113" s="1181">
        <f t="shared" ca="1" si="98"/>
        <v>0</v>
      </c>
      <c r="D113" s="786">
        <f t="shared" ca="1" si="98"/>
        <v>0</v>
      </c>
      <c r="E113" s="787">
        <f t="shared" ca="1" si="98"/>
        <v>0</v>
      </c>
      <c r="F113" s="787">
        <f t="shared" ca="1" si="98"/>
        <v>0</v>
      </c>
      <c r="G113" s="787">
        <f t="shared" ca="1" si="98"/>
        <v>0</v>
      </c>
      <c r="H113" s="787">
        <f t="shared" ca="1" si="98"/>
        <v>0</v>
      </c>
      <c r="I113" s="788">
        <f t="shared" ca="1" si="71"/>
        <v>0</v>
      </c>
      <c r="J113" s="849" t="str">
        <f t="shared" ca="1" si="73"/>
        <v/>
      </c>
      <c r="K113" s="796"/>
      <c r="L113" s="791" t="str">
        <f ca="1">IF(C113&gt;0,'Q4'!E121,"")</f>
        <v/>
      </c>
      <c r="M113" s="792" t="str">
        <f ca="1">IF(L113="","",IF('Q4'!I121=0,"Fuel type not stated",'Q4'!I121))</f>
        <v/>
      </c>
      <c r="N113" s="790"/>
      <c r="O113" s="813" t="str">
        <f t="shared" ca="1" si="99"/>
        <v/>
      </c>
      <c r="P113" s="1072" t="str">
        <f t="shared" ca="1" si="74"/>
        <v/>
      </c>
      <c r="Q113" s="1072" t="str">
        <f t="shared" ca="1" si="75"/>
        <v/>
      </c>
      <c r="R113" s="1072" t="str">
        <f t="shared" ca="1" si="92"/>
        <v/>
      </c>
      <c r="S113" s="1075" t="str">
        <f t="shared" ca="1" si="93"/>
        <v/>
      </c>
      <c r="T113" s="813" t="str">
        <f t="shared" ca="1" si="76"/>
        <v/>
      </c>
      <c r="U113" s="1163" t="str">
        <f t="shared" ca="1" si="100"/>
        <v/>
      </c>
      <c r="V113" s="1351">
        <f t="shared" ca="1" si="101"/>
        <v>0</v>
      </c>
      <c r="W113" s="1351">
        <f t="shared" ca="1" si="101"/>
        <v>0</v>
      </c>
      <c r="X113" s="1351">
        <f t="shared" ca="1" si="101"/>
        <v>0</v>
      </c>
      <c r="Y113" s="1073" t="str">
        <f t="shared" ca="1" si="102"/>
        <v/>
      </c>
      <c r="Z113" s="1163" t="str">
        <f t="shared" ca="1" si="103"/>
        <v/>
      </c>
      <c r="AA113" s="790"/>
      <c r="AB113" s="897" t="str">
        <f t="shared" ca="1" si="91"/>
        <v/>
      </c>
      <c r="AC113" s="55"/>
      <c r="AD113" s="96"/>
      <c r="AE113" s="96"/>
      <c r="AF113" s="96"/>
      <c r="AG113" s="96"/>
      <c r="AH113" s="96"/>
      <c r="AI113" s="96"/>
      <c r="AJ113" s="96"/>
      <c r="AK113" s="192"/>
      <c r="AL113" s="875"/>
      <c r="AM113" s="875"/>
      <c r="AN113" s="875"/>
      <c r="AO113" s="50"/>
      <c r="AP113" s="97"/>
      <c r="AQ113" s="97"/>
      <c r="AR113" s="97"/>
      <c r="AS113" s="97"/>
      <c r="AT113" s="97"/>
      <c r="AU113" s="97"/>
      <c r="AV113" s="97"/>
      <c r="AW113" s="97"/>
      <c r="AX113" s="97"/>
      <c r="AY113" s="97"/>
      <c r="AZ113" s="97"/>
      <c r="BA113" s="97"/>
      <c r="BB113" s="97"/>
      <c r="BC113" s="97"/>
    </row>
    <row r="114" spans="1:55" ht="12" customHeight="1" x14ac:dyDescent="0.3">
      <c r="A114" s="898"/>
      <c r="B114" s="898"/>
      <c r="C114" s="898"/>
      <c r="D114" s="898"/>
      <c r="E114" s="898"/>
      <c r="F114" s="898"/>
      <c r="G114" s="898"/>
      <c r="H114" s="898"/>
      <c r="I114" s="898"/>
      <c r="J114" s="852" t="str">
        <f>IF(AND(C114&gt;0,SUM(D114:I114)&gt;0),"",IF(AND(C114=0,SUM(C114:I114)=0),"",IF(AND(C114=0,D114&gt;0),"missing?",IF(AND(C114=0,I114&gt;0),"missing?","new category"))))</f>
        <v/>
      </c>
      <c r="K114" s="852"/>
      <c r="L114" s="852"/>
      <c r="M114" s="853"/>
      <c r="N114" s="852"/>
      <c r="O114" s="854" t="str">
        <f>IF(OR(+$J114="missing?",+$J114="new category"),"",IF($D114=0,"",IF(SUM($C114:$I114)=0,"",IFERROR((($C114-$D114)/$D114),"N/A"))))</f>
        <v/>
      </c>
      <c r="P114" s="854"/>
      <c r="Q114" s="854"/>
      <c r="R114" s="854" t="str">
        <f>IF(OR(+$J114="missing?",+$J114="new category"),"",IF($G114=0,"",IF(SUM($C114:$I114)=0,"",IFERROR((($C114-$G114)/$G114),"N/A"))))</f>
        <v/>
      </c>
      <c r="S114" s="854" t="str">
        <f>IF(OR(+$J114="missing?",+$J114="new category"),"",IF($I114=0,"",IF(SUM($C114:$I114)=0,"",IFERROR((($C114-$I114)/$I114),"N/A"))))</f>
        <v/>
      </c>
      <c r="T114" s="855" t="str">
        <f>IF(MAX(IF(O114&lt;0,-O114,O114),IF(R114&lt;0,-R114,R114),IF(S114&lt;0,-S114,S114))=0,"",MAX(IF(O114&lt;0,-O114,O114),IF(R114&lt;0,-R114,R114),IF(S114&lt;0,-S114,S114)))</f>
        <v/>
      </c>
      <c r="U114" s="855"/>
      <c r="V114" s="855"/>
      <c r="W114" s="855"/>
      <c r="X114" s="855"/>
      <c r="Y114" s="855" t="str">
        <f>IF('Q1'!F122=0,"",'Q1'!F122/L$7*MAX(T114:T114))</f>
        <v/>
      </c>
      <c r="Z114" s="713" t="str">
        <f>IF(+Y114="","",IF(Y114&gt;L$3,"H",IF(Y114&lt;L$4,"L","M")))</f>
        <v/>
      </c>
      <c r="AA114" s="856"/>
      <c r="AB114" s="854" t="str">
        <f>IF(AND(OR(AA114="OK",Z114="L",Z114=""),OR(J114="",K114="OK"),OR(+L114="",N114="OK")),"","Unresolved issue")</f>
        <v/>
      </c>
      <c r="AC114" s="55"/>
      <c r="AD114" s="875"/>
      <c r="AE114" s="875"/>
      <c r="AF114" s="875"/>
      <c r="AG114" s="875"/>
      <c r="AH114" s="875"/>
      <c r="AI114" s="875"/>
      <c r="AJ114" s="875"/>
      <c r="AK114" s="875"/>
      <c r="AL114" s="875"/>
      <c r="AM114" s="875"/>
      <c r="AN114" s="875"/>
      <c r="AO114" s="50"/>
      <c r="AP114" s="194"/>
      <c r="AQ114" s="194"/>
      <c r="AR114" s="194"/>
      <c r="AS114" s="194"/>
      <c r="AT114" s="194"/>
      <c r="AU114" s="194"/>
      <c r="AV114" s="194"/>
      <c r="AW114" s="194"/>
      <c r="AX114" s="194"/>
      <c r="AY114" s="194"/>
      <c r="AZ114" s="194"/>
      <c r="BA114" s="194"/>
      <c r="BB114" s="194"/>
      <c r="BC114" s="194"/>
    </row>
    <row r="115" spans="1:55" ht="12.75" customHeight="1" x14ac:dyDescent="0.3">
      <c r="A115" s="898"/>
      <c r="B115" s="898"/>
      <c r="C115" s="898"/>
      <c r="D115" s="898"/>
      <c r="E115" s="898"/>
      <c r="F115" s="898"/>
      <c r="G115" s="898"/>
      <c r="H115" s="898"/>
      <c r="I115" s="814"/>
      <c r="J115" s="852"/>
      <c r="K115" s="852"/>
      <c r="L115" s="852"/>
      <c r="M115" s="853"/>
      <c r="N115" s="852"/>
      <c r="O115" s="854"/>
      <c r="P115" s="854"/>
      <c r="Q115" s="854"/>
      <c r="R115" s="854"/>
      <c r="S115" s="854"/>
      <c r="T115" s="855"/>
      <c r="U115" s="855"/>
      <c r="V115" s="855"/>
      <c r="W115" s="855"/>
      <c r="X115" s="855"/>
      <c r="Y115" s="855"/>
      <c r="Z115" s="713"/>
      <c r="AA115" s="856"/>
      <c r="AB115" s="854"/>
      <c r="AC115" s="191"/>
      <c r="AD115" s="96"/>
      <c r="AE115" s="96"/>
      <c r="AF115" s="96"/>
      <c r="AG115" s="96"/>
      <c r="AH115" s="96"/>
      <c r="AI115" s="96"/>
      <c r="AJ115" s="96"/>
      <c r="AK115" s="192"/>
      <c r="AL115" s="875"/>
      <c r="AM115" s="875"/>
      <c r="AN115" s="875"/>
      <c r="AO115" s="50"/>
      <c r="AP115" s="97"/>
      <c r="AQ115" s="97"/>
      <c r="AR115" s="97"/>
      <c r="AS115" s="97"/>
      <c r="AT115" s="97"/>
      <c r="AU115" s="97"/>
      <c r="AV115" s="97"/>
      <c r="AW115" s="97"/>
      <c r="AX115" s="97"/>
      <c r="AY115" s="97"/>
      <c r="AZ115" s="97"/>
      <c r="BA115" s="97"/>
      <c r="BB115" s="97"/>
      <c r="BC115" s="97"/>
    </row>
    <row r="116" spans="1:55" ht="14.4" x14ac:dyDescent="0.3">
      <c r="A116" s="90"/>
      <c r="B116" s="90"/>
      <c r="C116" s="814"/>
      <c r="D116" s="814"/>
      <c r="E116" s="814"/>
      <c r="F116" s="814"/>
      <c r="G116" s="814"/>
      <c r="H116" s="814"/>
      <c r="I116" s="814"/>
      <c r="J116" s="852" t="str">
        <f>IF(AND(C116&gt;0,SUM(D116:I116)&gt;0),"",IF(AND(C116=0,SUM(C116:I116)=0),"",IF(AND(C116=0,D116&gt;0),"missing?",IF(AND(C116=0,I116&gt;0),"missing?","new category"))))</f>
        <v/>
      </c>
      <c r="K116" s="852"/>
      <c r="L116" s="854"/>
      <c r="M116" s="899"/>
      <c r="N116" s="55"/>
      <c r="O116" s="854" t="str">
        <f>IF(OR(+$J116="missing?",+$J116="new category"),"",IF($D116=0,"",IF(SUM($C116:$I116)=0,"",IFERROR((($C116-$D116)/$D116),"N/A"))))</f>
        <v/>
      </c>
      <c r="P116" s="854"/>
      <c r="Q116" s="854"/>
      <c r="R116" s="854" t="str">
        <f>IF(OR(+$J116="missing?",+$J116="new category"),"",IF($G116=0,"",IF(SUM($C116:$I116)=0,"",IFERROR((($C116-$G116)/$G116),"N/A"))))</f>
        <v/>
      </c>
      <c r="S116" s="854" t="str">
        <f>IF(OR(+$J116="missing?",+$J116="new category"),"",IF($I116=0,"",IF(SUM($C116:$I116)=0,"",IFERROR((($C116-$I116)/$I116),"N/A"))))</f>
        <v/>
      </c>
      <c r="T116" s="855" t="str">
        <f>IF(MAX(IF(O116&lt;0,-O116,O116),IF(R116&lt;0,-R116,R116),IF(S116&lt;0,-S116,S116))=0,"",MAX(IF(O116&lt;0,-O116,O116),IF(R116&lt;0,-R116,R116),IF(S116&lt;0,-S116,S116)))</f>
        <v/>
      </c>
      <c r="U116" s="855"/>
      <c r="V116" s="855"/>
      <c r="W116" s="855"/>
      <c r="X116" s="855"/>
      <c r="Y116" s="855"/>
      <c r="Z116" s="713" t="str">
        <f>IF(+Y116="","",IF(Y116&gt;L$3,"H",IF(Y116&lt;L$4,"L","M")))</f>
        <v/>
      </c>
      <c r="AA116" s="854"/>
      <c r="AB116" s="854"/>
      <c r="AC116" s="55"/>
      <c r="AD116" s="55"/>
      <c r="AE116" s="55"/>
      <c r="AF116" s="55"/>
      <c r="AG116" s="55"/>
      <c r="AH116" s="55"/>
      <c r="AI116" s="55"/>
      <c r="AJ116" s="98"/>
      <c r="AK116" s="55"/>
      <c r="AL116" s="99"/>
      <c r="AM116" s="110"/>
      <c r="AN116" s="1182"/>
      <c r="AO116" s="50"/>
      <c r="AP116" s="55"/>
      <c r="AQ116" s="55"/>
      <c r="AR116" s="55"/>
      <c r="AS116" s="55"/>
      <c r="AT116" s="55"/>
      <c r="AU116" s="55"/>
      <c r="AV116" s="55"/>
      <c r="AW116" s="55"/>
      <c r="AX116" s="55"/>
      <c r="AY116" s="55"/>
      <c r="AZ116" s="55"/>
      <c r="BA116" s="55"/>
      <c r="BB116" s="55"/>
      <c r="BC116" s="55"/>
    </row>
    <row r="117" spans="1:55" thickBot="1" x14ac:dyDescent="0.35">
      <c r="A117" s="673"/>
      <c r="B117" s="673"/>
      <c r="C117" s="671"/>
      <c r="D117" s="671"/>
      <c r="E117" s="671"/>
      <c r="F117" s="671"/>
      <c r="G117" s="671"/>
      <c r="H117" s="671"/>
      <c r="I117" s="671"/>
      <c r="J117" s="852" t="str">
        <f>IF(AND(C117&gt;0,SUM(D117:I117)&gt;0),"",IF(AND(C117=0,SUM(C117:I117)=0),"",IF(AND(C117=0,D117&gt;0),"missing?",IF(AND(C117=0,I117&gt;0),"missing?","new category"))))</f>
        <v/>
      </c>
      <c r="K117" s="852"/>
      <c r="L117" s="672"/>
      <c r="M117" s="672"/>
      <c r="N117" s="50"/>
      <c r="O117" s="854" t="str">
        <f>IF(OR(+$J117="missing?",+$J117="new category"),"",IF($D117=0,"",IF(SUM($C117:$I117)=0,"",IFERROR((($C117-$D117)/$D117),"N/A"))))</f>
        <v/>
      </c>
      <c r="P117" s="854"/>
      <c r="Q117" s="854"/>
      <c r="R117" s="854" t="str">
        <f>IF(OR(+$J117="missing?",+$J117="new category"),"",IF($G117=0,"",IF(SUM($C117:$I117)=0,"",IFERROR((($C117-$G117)/$G117),"N/A"))))</f>
        <v/>
      </c>
      <c r="S117" s="854" t="str">
        <f>IF(OR(+$J117="missing?",+$J117="new category"),"",IF($I117=0,"",IF(SUM($C117:$I117)=0,"",IFERROR((($C117-$I117)/$I117),"N/A"))))</f>
        <v/>
      </c>
      <c r="T117" s="855" t="str">
        <f>IF(MAX(IF(O117&lt;0,-O117,O117),IF(R117&lt;0,-R117,R117),IF(S117&lt;0,-S117,S117))=0,"",MAX(IF(O117&lt;0,-O117,O117),IF(R117&lt;0,-R117,R117),IF(S117&lt;0,-S117,S117)))</f>
        <v/>
      </c>
      <c r="U117" s="855"/>
      <c r="V117" s="855"/>
      <c r="W117" s="855"/>
      <c r="X117" s="855"/>
      <c r="Y117" s="855"/>
      <c r="Z117" s="713" t="str">
        <f>IF(+Y117="","",IF(Y117&gt;L$3,"H",IF(Y117&lt;L$4,"L","M")))</f>
        <v/>
      </c>
      <c r="AA117" s="672"/>
      <c r="AB117" s="672"/>
      <c r="AC117" s="50"/>
      <c r="AD117" s="50"/>
      <c r="AE117" s="50"/>
      <c r="AF117" s="50"/>
      <c r="AG117" s="50"/>
      <c r="AH117" s="50"/>
      <c r="AI117" s="50"/>
      <c r="AJ117" s="105"/>
      <c r="AK117" s="50"/>
      <c r="AL117" s="106"/>
      <c r="AM117" s="195"/>
      <c r="AN117" s="196"/>
      <c r="AO117" s="50"/>
      <c r="AP117" s="50"/>
      <c r="AQ117" s="50"/>
      <c r="AR117" s="50"/>
      <c r="AS117" s="50"/>
      <c r="AT117" s="50"/>
      <c r="AU117" s="50"/>
      <c r="AV117" s="50"/>
      <c r="AW117" s="50"/>
      <c r="AX117" s="50"/>
      <c r="AY117" s="50"/>
      <c r="AZ117" s="50"/>
      <c r="BA117" s="50"/>
      <c r="BB117" s="50"/>
      <c r="BC117" s="50"/>
    </row>
    <row r="118" spans="1:55" ht="27.6" x14ac:dyDescent="0.3">
      <c r="A118" s="100"/>
      <c r="B118" s="101"/>
      <c r="C118" s="1282" t="s">
        <v>176</v>
      </c>
      <c r="D118" s="2164" t="s">
        <v>177</v>
      </c>
      <c r="E118" s="2165"/>
      <c r="F118" s="2165"/>
      <c r="G118" s="2166"/>
      <c r="H118" s="2167"/>
      <c r="I118" s="2231"/>
      <c r="J118" s="2168" t="s">
        <v>428</v>
      </c>
      <c r="K118" s="2169"/>
      <c r="L118" s="2170"/>
      <c r="M118" s="2171"/>
      <c r="N118" s="2172"/>
      <c r="O118" s="2173" t="s">
        <v>430</v>
      </c>
      <c r="P118" s="2170"/>
      <c r="Q118" s="2170"/>
      <c r="R118" s="2171"/>
      <c r="S118" s="2174"/>
      <c r="T118" s="2170" t="s">
        <v>418</v>
      </c>
      <c r="U118" s="2171"/>
      <c r="V118" s="2171"/>
      <c r="W118" s="2171"/>
      <c r="X118" s="2171"/>
      <c r="Y118" s="2171"/>
      <c r="Z118" s="2171"/>
      <c r="AA118" s="2172"/>
      <c r="AB118" s="2192" t="s">
        <v>433</v>
      </c>
      <c r="AC118" s="50"/>
      <c r="AD118" s="192"/>
      <c r="AE118" s="192"/>
      <c r="AF118" s="192"/>
      <c r="AG118" s="192"/>
      <c r="AH118" s="192"/>
      <c r="AI118" s="192"/>
      <c r="AJ118" s="192"/>
      <c r="AK118" s="192"/>
      <c r="AL118" s="192"/>
      <c r="AM118" s="900"/>
      <c r="AN118" s="900"/>
      <c r="AO118" s="50"/>
      <c r="AP118" s="50"/>
      <c r="AQ118" s="50"/>
      <c r="AR118" s="50"/>
      <c r="AS118" s="50"/>
      <c r="AT118" s="50"/>
      <c r="AU118" s="50"/>
      <c r="AV118" s="50"/>
      <c r="AW118" s="50"/>
      <c r="AX118" s="50"/>
      <c r="AY118" s="50"/>
      <c r="AZ118" s="50"/>
      <c r="BA118" s="50"/>
      <c r="BB118" s="50"/>
      <c r="BC118" s="50"/>
    </row>
    <row r="119" spans="1:55" ht="51.75" customHeight="1" thickBot="1" x14ac:dyDescent="0.35">
      <c r="A119" s="901"/>
      <c r="B119" s="103"/>
      <c r="C119" s="1283" t="str">
        <f>C14</f>
        <v>Q4</v>
      </c>
      <c r="D119" s="721" t="str">
        <f t="shared" ref="D119:I119" si="104">D14</f>
        <v>Q3</v>
      </c>
      <c r="E119" s="925" t="str">
        <f t="shared" si="104"/>
        <v>Q2</v>
      </c>
      <c r="F119" s="925" t="str">
        <f t="shared" si="104"/>
        <v>Q1</v>
      </c>
      <c r="G119" s="722" t="str">
        <f t="shared" si="104"/>
        <v>Q4-19</v>
      </c>
      <c r="H119" s="722" t="str">
        <f t="shared" si="104"/>
        <v>2018-2019</v>
      </c>
      <c r="I119" s="723" t="str">
        <f t="shared" si="104"/>
        <v>25% of previous year total</v>
      </c>
      <c r="J119" s="724" t="s">
        <v>434</v>
      </c>
      <c r="K119" s="725" t="s">
        <v>435</v>
      </c>
      <c r="L119" s="1158"/>
      <c r="M119" s="726"/>
      <c r="N119" s="902"/>
      <c r="O119" s="728" t="s">
        <v>438</v>
      </c>
      <c r="P119" s="925" t="s">
        <v>470</v>
      </c>
      <c r="Q119" s="925" t="s">
        <v>471</v>
      </c>
      <c r="R119" s="1169" t="s">
        <v>439</v>
      </c>
      <c r="S119" s="729" t="s">
        <v>440</v>
      </c>
      <c r="T119" s="2156" t="s">
        <v>441</v>
      </c>
      <c r="U119" s="2155"/>
      <c r="V119" s="1169" t="str">
        <f>V14</f>
        <v>Q4</v>
      </c>
      <c r="W119" s="1169" t="str">
        <f t="shared" ref="W119:X119" si="105">W14</f>
        <v>Q3</v>
      </c>
      <c r="X119" s="1169" t="str">
        <f t="shared" si="105"/>
        <v>2018-2019</v>
      </c>
      <c r="Y119" s="2157" t="s">
        <v>442</v>
      </c>
      <c r="Z119" s="2155"/>
      <c r="AA119" s="1159" t="s">
        <v>435</v>
      </c>
      <c r="AB119" s="2193"/>
      <c r="AC119" s="50"/>
      <c r="AD119" s="192"/>
      <c r="AE119" s="192"/>
      <c r="AF119" s="192"/>
      <c r="AG119" s="192"/>
      <c r="AH119" s="192"/>
      <c r="AI119" s="192"/>
      <c r="AJ119" s="193"/>
      <c r="AK119" s="192"/>
      <c r="AL119" s="192"/>
      <c r="AM119" s="900"/>
      <c r="AN119" s="900"/>
      <c r="AO119" s="50"/>
      <c r="AP119" s="50"/>
      <c r="AQ119" s="50"/>
      <c r="AR119" s="50"/>
      <c r="AS119" s="50"/>
      <c r="AT119" s="50"/>
      <c r="AU119" s="50"/>
      <c r="AV119" s="50"/>
      <c r="AW119" s="50"/>
      <c r="AX119" s="50"/>
      <c r="AY119" s="50"/>
      <c r="AZ119" s="50"/>
      <c r="BA119" s="50"/>
      <c r="BB119" s="50"/>
      <c r="BC119" s="50"/>
    </row>
    <row r="120" spans="1:55" ht="12" customHeight="1" x14ac:dyDescent="0.3">
      <c r="A120" s="2232" t="s">
        <v>182</v>
      </c>
      <c r="B120" s="903" t="str">
        <f>'Q1'!O68</f>
        <v>STANDARD Petrol (average biofuel blend)*</v>
      </c>
      <c r="C120" s="1262">
        <f t="shared" ref="C120:H126" ca="1" si="106">INDEX(INDIRECT(CONCATENATE("'",C$14,"'!$R$68:$R$74"),TRUE),MATCH($B120,INDIRECT(CONCATENATE("'",C$14,"'!$O$68:$O$74"),TRUE),0))</f>
        <v>0</v>
      </c>
      <c r="D120" s="798">
        <f t="shared" ca="1" si="106"/>
        <v>0</v>
      </c>
      <c r="E120" s="761">
        <f t="shared" ca="1" si="106"/>
        <v>41596</v>
      </c>
      <c r="F120" s="761">
        <f t="shared" ca="1" si="106"/>
        <v>44776</v>
      </c>
      <c r="G120" s="761">
        <f t="shared" ca="1" si="106"/>
        <v>6967</v>
      </c>
      <c r="H120" s="761">
        <f t="shared" ca="1" si="106"/>
        <v>23820</v>
      </c>
      <c r="I120" s="799">
        <f t="shared" ref="I120:I133" ca="1" si="107">H120/4</f>
        <v>5955</v>
      </c>
      <c r="J120" s="800" t="str">
        <f t="shared" ref="J120:J125" ca="1" si="108">IF(AND(C120&gt;0,SUM(D120:I120)&gt;0),"",IF(AND(C120=0,SUM(C120:I120)=0),"",IF(AND(C120=0,D120&gt;0),"Missing value?",IF(AND(C120=0,I120&gt;0),"Missing value?","New category"))))</f>
        <v>Missing value?</v>
      </c>
      <c r="K120" s="801"/>
      <c r="L120" s="904" t="str">
        <f ca="1">IF(C120&gt;0,'Q1'!E128,"")</f>
        <v/>
      </c>
      <c r="M120" s="763" t="str">
        <f ca="1">IF(L120="","",IF('Q1'!I128=0,"fuel type not stated",'Q1'!I128))</f>
        <v/>
      </c>
      <c r="N120" s="905"/>
      <c r="O120" s="906" t="str">
        <f t="shared" ref="O120:O133" ca="1" si="109">IF(OR(+$J120="missing?",+$J120="new category"),"",IF($D120=0,"",IF(SUM($C120:$I120)=0,"",IFERROR((($C120-$D120)/$D120),"N/A"))))</f>
        <v/>
      </c>
      <c r="P120" s="765">
        <f t="shared" ref="P120:P133" ca="1" si="110">IF(OR(+$J120="missing?",+$J120="new category"),"",IF($E120=0,"",IF(SUM($C120:$I120)=0,"",IFERROR((($C120-$E120)/$E120),"N/A"))))</f>
        <v>-1</v>
      </c>
      <c r="Q120" s="765">
        <f t="shared" ref="Q120:Q133" ca="1" si="111">IF(OR(+$J120="missing?",+$J120="new category"),"",IF($F120=0,"",IF(SUM($C120:$I120)=0,"",IFERROR((($C120-$F120)/$F120),"N/A"))))</f>
        <v>-1</v>
      </c>
      <c r="R120" s="765">
        <f t="shared" ref="R120:R133" ca="1" si="112">IF(OR(+$J120="missing?",+$J120="new category"),"",IF($G120=0,"",IF(SUM($C120:$I120)=0,"",IFERROR((($C120-$G120)/$G120),"N/A"))))</f>
        <v>-1</v>
      </c>
      <c r="S120" s="907">
        <f t="shared" ref="S120:S133" ca="1" si="113">IF(OR(+$J120="missing?",+$J120="new category"),"",IF($I120=0,"",IF(SUM($C120:$I120)=0,"",IFERROR((($C120-$I120)/$I120),"N/A"))))</f>
        <v>-1</v>
      </c>
      <c r="T120" s="1236">
        <f t="shared" ref="T120:T125" ca="1" si="114">IF(SUM(C120:I120)=0,"",IF(OR(AND(C120=0,SUM(D120:I120)&gt;0),AND(C120&gt;0,SUM(D120:I120)=0)),1,IF(MAX(IF(O120&lt;0,-O120,O120),IF(P120&lt;0,-P120,P120),IF(Q120&lt;0,-Q120,Q120),IF(R120&lt;0,-R120,R120),IF(S120&lt;0,-S120,S120))=0,"",MAX(IF(O120&lt;0,-O120,O120),IF(P120&lt;0,-P120,P120),IF(Q120&lt;0,-Q120,Q120),IF(R120&lt;0,-R120,R120),IF(S120&lt;0,-S120,S120)))))</f>
        <v>1</v>
      </c>
      <c r="U120" s="766" t="str">
        <f t="shared" ref="U120:U133" ca="1" si="115">IF(+T120="","",IF(T120&gt;L$3,"H",IF(T120&gt;L$4,"M","")))</f>
        <v>H</v>
      </c>
      <c r="V120" s="1349">
        <f t="shared" ref="V120:X126" ca="1" si="116">INDEX(INDIRECT(CONCATENATE("'",V$14,"'!$T$68:$T$74"),TRUE),MATCH($B120,INDIRECT(CONCATENATE("'",V$14,"'!$O$68:$O$74"),TRUE),0))</f>
        <v>0</v>
      </c>
      <c r="W120" s="1349">
        <f t="shared" ca="1" si="116"/>
        <v>0</v>
      </c>
      <c r="X120" s="1349">
        <f t="shared" ca="1" si="116"/>
        <v>52.477127400000001</v>
      </c>
      <c r="Y120" s="1237">
        <f t="shared" ref="Y120:Y133" ca="1" si="117">IF(V120=0,IF(W120&gt;0, W120/L$8, IF(X120&gt;0,X120/L$10, "")), IF(T120="", "", V120/L$7*T120))</f>
        <v>1.5594453251141228E-4</v>
      </c>
      <c r="Z120" s="766" t="str">
        <f t="shared" ref="Z120:Z133" ca="1" si="118">IF(+Y120="","",IF(Y120&gt;L$3,"H",IF(Y120&gt;L$4,"M","")))</f>
        <v/>
      </c>
      <c r="AA120" s="801"/>
      <c r="AB120" s="758" t="str">
        <f t="shared" ref="AB120:AB133" ca="1" si="119">IF((CONCATENATE(IF(K120="OK","",J120), "    ",IF(L120="","",IF(N120="OK","",CONCATENATE(M120," = ",ROUND(L120,3),"kgCO2e/kWh"))),"    ",IF(AND(+AA120="",Z120="M"),"Value change with medium impact",IF(AND(AA120="",Z120="H"),"Value change with high impact",""))," "))="         ","",(CONCATENATE(IF(K120="OK","",J120), "    ",IF(L120="","",IF(N120="OK","",CONCATENATE(M120," = ",ROUND(L120,3),"kgCO2e/kWh"))),"    ",IF(AND(+AA120="",Z120="M"),"Value change with medium impact",IF(AND(AA120="",Z120="H"),"Value change with high impact",""))," ")))</f>
        <v xml:space="preserve">Missing value?         </v>
      </c>
      <c r="AC120" s="50"/>
      <c r="AD120" s="96"/>
      <c r="AE120" s="96"/>
      <c r="AF120" s="96"/>
      <c r="AG120" s="96"/>
      <c r="AH120" s="96"/>
      <c r="AI120" s="96"/>
      <c r="AJ120" s="96"/>
      <c r="AK120" s="192"/>
      <c r="AL120" s="875"/>
      <c r="AM120" s="875"/>
      <c r="AN120" s="875"/>
      <c r="AO120" s="50"/>
      <c r="AP120" s="50"/>
      <c r="AQ120" s="50"/>
      <c r="AR120" s="50"/>
      <c r="AS120" s="50"/>
      <c r="AT120" s="50"/>
      <c r="AU120" s="50"/>
      <c r="AV120" s="50"/>
      <c r="AW120" s="50"/>
      <c r="AX120" s="50"/>
      <c r="AY120" s="50"/>
      <c r="AZ120" s="50"/>
      <c r="BA120" s="50"/>
      <c r="BB120" s="50"/>
      <c r="BC120" s="50"/>
    </row>
    <row r="121" spans="1:55" ht="14.4" x14ac:dyDescent="0.3">
      <c r="A121" s="2233"/>
      <c r="B121" s="908" t="str">
        <f>'Q1'!O69</f>
        <v>Petrol (100% mineral petrol)</v>
      </c>
      <c r="C121" s="1183">
        <f t="shared" ca="1" si="106"/>
        <v>0</v>
      </c>
      <c r="D121" s="768">
        <f t="shared" ca="1" si="106"/>
        <v>0</v>
      </c>
      <c r="E121" s="769">
        <f t="shared" ca="1" si="106"/>
        <v>0</v>
      </c>
      <c r="F121" s="769">
        <f t="shared" ca="1" si="106"/>
        <v>0</v>
      </c>
      <c r="G121" s="769">
        <f t="shared" ca="1" si="106"/>
        <v>0</v>
      </c>
      <c r="H121" s="769">
        <f t="shared" ca="1" si="106"/>
        <v>0</v>
      </c>
      <c r="I121" s="770">
        <f t="shared" ca="1" si="107"/>
        <v>0</v>
      </c>
      <c r="J121" s="771" t="str">
        <f t="shared" ca="1" si="108"/>
        <v/>
      </c>
      <c r="K121" s="772"/>
      <c r="L121" s="909" t="str">
        <f ca="1">IF(C121&gt;0,'Q1'!E129,"")</f>
        <v/>
      </c>
      <c r="M121" s="774" t="str">
        <f ca="1">IF(L121="","",IF('Q1'!I129=0,"fuel type not stated",'Q1'!I129))</f>
        <v/>
      </c>
      <c r="N121" s="910"/>
      <c r="O121" s="810" t="str">
        <f t="shared" ca="1" si="109"/>
        <v/>
      </c>
      <c r="P121" s="783" t="str">
        <f t="shared" ca="1" si="110"/>
        <v/>
      </c>
      <c r="Q121" s="783" t="str">
        <f t="shared" ca="1" si="111"/>
        <v/>
      </c>
      <c r="R121" s="783" t="str">
        <f t="shared" ca="1" si="112"/>
        <v/>
      </c>
      <c r="S121" s="811" t="str">
        <f t="shared" ca="1" si="113"/>
        <v/>
      </c>
      <c r="T121" s="1066" t="str">
        <f t="shared" ca="1" si="114"/>
        <v/>
      </c>
      <c r="U121" s="1165" t="str">
        <f t="shared" ca="1" si="115"/>
        <v/>
      </c>
      <c r="V121" s="1350">
        <f t="shared" ca="1" si="116"/>
        <v>0</v>
      </c>
      <c r="W121" s="1350">
        <f t="shared" ca="1" si="116"/>
        <v>0</v>
      </c>
      <c r="X121" s="1350">
        <f t="shared" ca="1" si="116"/>
        <v>0</v>
      </c>
      <c r="Y121" s="1067" t="str">
        <f t="shared" ca="1" si="117"/>
        <v/>
      </c>
      <c r="Z121" s="1165" t="str">
        <f t="shared" ca="1" si="118"/>
        <v/>
      </c>
      <c r="AA121" s="772"/>
      <c r="AB121" s="804" t="str">
        <f t="shared" ca="1" si="119"/>
        <v/>
      </c>
      <c r="AC121" s="50"/>
      <c r="AD121" s="96"/>
      <c r="AE121" s="96"/>
      <c r="AF121" s="96"/>
      <c r="AG121" s="96"/>
      <c r="AH121" s="96"/>
      <c r="AI121" s="96"/>
      <c r="AJ121" s="96"/>
      <c r="AK121" s="192"/>
      <c r="AL121" s="875"/>
      <c r="AM121" s="875"/>
      <c r="AN121" s="875"/>
      <c r="AO121" s="50"/>
      <c r="AP121" s="50"/>
      <c r="AQ121" s="50"/>
      <c r="AR121" s="50"/>
      <c r="AS121" s="50"/>
      <c r="AT121" s="50"/>
      <c r="AU121" s="50"/>
      <c r="AV121" s="50"/>
      <c r="AW121" s="50"/>
      <c r="AX121" s="50"/>
      <c r="AY121" s="50"/>
      <c r="AZ121" s="50"/>
      <c r="BA121" s="50"/>
      <c r="BB121" s="50"/>
      <c r="BC121" s="50"/>
    </row>
    <row r="122" spans="1:55" ht="14.4" x14ac:dyDescent="0.3">
      <c r="A122" s="2233"/>
      <c r="B122" s="908" t="str">
        <f>'Q1'!O70</f>
        <v>STANDARD Diesel (average biofuel blend)*</v>
      </c>
      <c r="C122" s="1183">
        <f t="shared" ca="1" si="106"/>
        <v>0</v>
      </c>
      <c r="D122" s="768">
        <f t="shared" ca="1" si="106"/>
        <v>0</v>
      </c>
      <c r="E122" s="769">
        <f t="shared" ca="1" si="106"/>
        <v>391336</v>
      </c>
      <c r="F122" s="769">
        <f t="shared" ca="1" si="106"/>
        <v>402867</v>
      </c>
      <c r="G122" s="769">
        <f t="shared" ca="1" si="106"/>
        <v>109567</v>
      </c>
      <c r="H122" s="769">
        <f t="shared" ca="1" si="106"/>
        <v>716836</v>
      </c>
      <c r="I122" s="770">
        <f t="shared" ca="1" si="107"/>
        <v>179209</v>
      </c>
      <c r="J122" s="771" t="str">
        <f t="shared" ca="1" si="108"/>
        <v>Missing value?</v>
      </c>
      <c r="K122" s="772"/>
      <c r="L122" s="909" t="str">
        <f ca="1">IF(C122&gt;0,'Q1'!E130,"")</f>
        <v/>
      </c>
      <c r="M122" s="774" t="str">
        <f ca="1">IF(L122="","",IF('Q1'!I130=0,"fuel type not stated",'Q1'!I130))</f>
        <v/>
      </c>
      <c r="N122" s="910"/>
      <c r="O122" s="810" t="str">
        <f t="shared" ca="1" si="109"/>
        <v/>
      </c>
      <c r="P122" s="783">
        <f t="shared" ca="1" si="110"/>
        <v>-1</v>
      </c>
      <c r="Q122" s="783">
        <f t="shared" ca="1" si="111"/>
        <v>-1</v>
      </c>
      <c r="R122" s="783">
        <f t="shared" ca="1" si="112"/>
        <v>-1</v>
      </c>
      <c r="S122" s="811">
        <f t="shared" ca="1" si="113"/>
        <v>-1</v>
      </c>
      <c r="T122" s="1066">
        <f t="shared" ca="1" si="114"/>
        <v>1</v>
      </c>
      <c r="U122" s="1165" t="str">
        <f t="shared" ca="1" si="115"/>
        <v>H</v>
      </c>
      <c r="V122" s="1350">
        <f t="shared" ca="1" si="116"/>
        <v>0</v>
      </c>
      <c r="W122" s="1350">
        <f t="shared" ca="1" si="116"/>
        <v>0</v>
      </c>
      <c r="X122" s="1350">
        <f t="shared" ca="1" si="116"/>
        <v>1883.08516184</v>
      </c>
      <c r="Y122" s="1067">
        <f t="shared" ca="1" si="117"/>
        <v>5.5959014868316882E-3</v>
      </c>
      <c r="Z122" s="1165" t="str">
        <f t="shared" ca="1" si="118"/>
        <v>M</v>
      </c>
      <c r="AA122" s="772"/>
      <c r="AB122" s="804" t="str">
        <f t="shared" ca="1" si="119"/>
        <v xml:space="preserve">Missing value?        Value change with medium impact </v>
      </c>
      <c r="AC122" s="50"/>
      <c r="AD122" s="96"/>
      <c r="AE122" s="96"/>
      <c r="AF122" s="96"/>
      <c r="AG122" s="96"/>
      <c r="AH122" s="96"/>
      <c r="AI122" s="96"/>
      <c r="AJ122" s="96"/>
      <c r="AK122" s="192"/>
      <c r="AL122" s="875"/>
      <c r="AM122" s="875"/>
      <c r="AN122" s="875"/>
      <c r="AO122" s="50"/>
      <c r="AP122" s="50"/>
      <c r="AQ122" s="50"/>
      <c r="AR122" s="50"/>
      <c r="AS122" s="50"/>
      <c r="AT122" s="50"/>
      <c r="AU122" s="50"/>
      <c r="AV122" s="50"/>
      <c r="AW122" s="50"/>
      <c r="AX122" s="50"/>
      <c r="AY122" s="50"/>
      <c r="AZ122" s="50"/>
      <c r="BA122" s="50"/>
      <c r="BB122" s="50"/>
      <c r="BC122" s="50"/>
    </row>
    <row r="123" spans="1:55" ht="14.4" x14ac:dyDescent="0.3">
      <c r="A123" s="2233"/>
      <c r="B123" s="908" t="str">
        <f>'Q1'!O71</f>
        <v>Diesel (100% mineral diesel)</v>
      </c>
      <c r="C123" s="1183">
        <f t="shared" ca="1" si="106"/>
        <v>0</v>
      </c>
      <c r="D123" s="768">
        <f t="shared" ca="1" si="106"/>
        <v>0</v>
      </c>
      <c r="E123" s="769">
        <f t="shared" ca="1" si="106"/>
        <v>0</v>
      </c>
      <c r="F123" s="769">
        <f t="shared" ca="1" si="106"/>
        <v>0</v>
      </c>
      <c r="G123" s="769">
        <f t="shared" ca="1" si="106"/>
        <v>0</v>
      </c>
      <c r="H123" s="769">
        <f t="shared" ca="1" si="106"/>
        <v>0</v>
      </c>
      <c r="I123" s="770">
        <f t="shared" ca="1" si="107"/>
        <v>0</v>
      </c>
      <c r="J123" s="771" t="str">
        <f t="shared" ca="1" si="108"/>
        <v/>
      </c>
      <c r="K123" s="772"/>
      <c r="L123" s="909" t="str">
        <f ca="1">IF(C123&gt;0,'Q1'!E131,"")</f>
        <v/>
      </c>
      <c r="M123" s="774" t="str">
        <f ca="1">IF(L123="","",IF('Q1'!I131=0,"fuel type not stated",'Q1'!I131))</f>
        <v/>
      </c>
      <c r="N123" s="910"/>
      <c r="O123" s="810" t="str">
        <f t="shared" ca="1" si="109"/>
        <v/>
      </c>
      <c r="P123" s="783" t="str">
        <f t="shared" ca="1" si="110"/>
        <v/>
      </c>
      <c r="Q123" s="783" t="str">
        <f t="shared" ca="1" si="111"/>
        <v/>
      </c>
      <c r="R123" s="783" t="str">
        <f t="shared" ca="1" si="112"/>
        <v/>
      </c>
      <c r="S123" s="811" t="str">
        <f t="shared" ca="1" si="113"/>
        <v/>
      </c>
      <c r="T123" s="1066" t="str">
        <f t="shared" ca="1" si="114"/>
        <v/>
      </c>
      <c r="U123" s="1165" t="str">
        <f t="shared" ca="1" si="115"/>
        <v/>
      </c>
      <c r="V123" s="1350">
        <f t="shared" ca="1" si="116"/>
        <v>0</v>
      </c>
      <c r="W123" s="1350">
        <f t="shared" ca="1" si="116"/>
        <v>0</v>
      </c>
      <c r="X123" s="1350">
        <f t="shared" ca="1" si="116"/>
        <v>0</v>
      </c>
      <c r="Y123" s="1067" t="str">
        <f t="shared" ca="1" si="117"/>
        <v/>
      </c>
      <c r="Z123" s="1165" t="str">
        <f t="shared" ca="1" si="118"/>
        <v/>
      </c>
      <c r="AA123" s="772"/>
      <c r="AB123" s="804" t="str">
        <f t="shared" ca="1" si="119"/>
        <v/>
      </c>
      <c r="AC123" s="50"/>
      <c r="AD123" s="96"/>
      <c r="AE123" s="96"/>
      <c r="AF123" s="96"/>
      <c r="AG123" s="96"/>
      <c r="AH123" s="96"/>
      <c r="AI123" s="96"/>
      <c r="AJ123" s="96"/>
      <c r="AK123" s="192"/>
      <c r="AL123" s="875"/>
      <c r="AM123" s="875"/>
      <c r="AN123" s="875"/>
      <c r="AO123" s="50"/>
      <c r="AP123" s="50"/>
      <c r="AQ123" s="50"/>
      <c r="AR123" s="50"/>
      <c r="AS123" s="50"/>
      <c r="AT123" s="50"/>
      <c r="AU123" s="50"/>
      <c r="AV123" s="50"/>
      <c r="AW123" s="50"/>
      <c r="AX123" s="50"/>
      <c r="AY123" s="50"/>
      <c r="AZ123" s="50"/>
      <c r="BA123" s="50"/>
      <c r="BB123" s="50"/>
      <c r="BC123" s="50"/>
    </row>
    <row r="124" spans="1:55" ht="14.4" x14ac:dyDescent="0.3">
      <c r="A124" s="2233"/>
      <c r="B124" s="908" t="str">
        <f>'Q1'!O72</f>
        <v>Compressed Natural Gas (CNG)</v>
      </c>
      <c r="C124" s="1183">
        <f t="shared" ca="1" si="106"/>
        <v>0</v>
      </c>
      <c r="D124" s="768">
        <f t="shared" ca="1" si="106"/>
        <v>0</v>
      </c>
      <c r="E124" s="769">
        <f t="shared" ca="1" si="106"/>
        <v>0</v>
      </c>
      <c r="F124" s="769">
        <f t="shared" ca="1" si="106"/>
        <v>0</v>
      </c>
      <c r="G124" s="769">
        <f t="shared" ca="1" si="106"/>
        <v>0</v>
      </c>
      <c r="H124" s="769">
        <f t="shared" ca="1" si="106"/>
        <v>0</v>
      </c>
      <c r="I124" s="770">
        <f t="shared" ca="1" si="107"/>
        <v>0</v>
      </c>
      <c r="J124" s="771" t="str">
        <f t="shared" ca="1" si="108"/>
        <v/>
      </c>
      <c r="K124" s="772"/>
      <c r="L124" s="909" t="str">
        <f ca="1">IF(C124&gt;0,'Q1'!E132,"")</f>
        <v/>
      </c>
      <c r="M124" s="774" t="str">
        <f ca="1">IF(L124="","",IF('Q1'!I132=0,"fuel type not stated",'Q1'!I132))</f>
        <v/>
      </c>
      <c r="N124" s="910"/>
      <c r="O124" s="810" t="str">
        <f t="shared" ca="1" si="109"/>
        <v/>
      </c>
      <c r="P124" s="783" t="str">
        <f t="shared" ca="1" si="110"/>
        <v/>
      </c>
      <c r="Q124" s="783" t="str">
        <f t="shared" ca="1" si="111"/>
        <v/>
      </c>
      <c r="R124" s="783" t="str">
        <f t="shared" ca="1" si="112"/>
        <v/>
      </c>
      <c r="S124" s="811" t="str">
        <f t="shared" ca="1" si="113"/>
        <v/>
      </c>
      <c r="T124" s="1066" t="str">
        <f t="shared" ca="1" si="114"/>
        <v/>
      </c>
      <c r="U124" s="1165" t="str">
        <f t="shared" ca="1" si="115"/>
        <v/>
      </c>
      <c r="V124" s="1350">
        <f t="shared" ca="1" si="116"/>
        <v>0</v>
      </c>
      <c r="W124" s="1350">
        <f t="shared" ca="1" si="116"/>
        <v>0</v>
      </c>
      <c r="X124" s="1350">
        <f t="shared" ca="1" si="116"/>
        <v>0</v>
      </c>
      <c r="Y124" s="1067" t="str">
        <f t="shared" ca="1" si="117"/>
        <v/>
      </c>
      <c r="Z124" s="1165" t="str">
        <f t="shared" ca="1" si="118"/>
        <v/>
      </c>
      <c r="AA124" s="772"/>
      <c r="AB124" s="804" t="str">
        <f t="shared" ca="1" si="119"/>
        <v/>
      </c>
      <c r="AC124" s="50"/>
      <c r="AD124" s="96"/>
      <c r="AE124" s="96"/>
      <c r="AF124" s="96"/>
      <c r="AG124" s="96"/>
      <c r="AH124" s="96"/>
      <c r="AI124" s="96"/>
      <c r="AJ124" s="96"/>
      <c r="AK124" s="192"/>
      <c r="AL124" s="875"/>
      <c r="AM124" s="875"/>
      <c r="AN124" s="875"/>
      <c r="AO124" s="50"/>
      <c r="AP124" s="50"/>
      <c r="AQ124" s="50"/>
      <c r="AR124" s="50"/>
      <c r="AS124" s="50"/>
      <c r="AT124" s="50"/>
      <c r="AU124" s="50"/>
      <c r="AV124" s="50"/>
      <c r="AW124" s="50"/>
      <c r="AX124" s="50"/>
      <c r="AY124" s="50"/>
      <c r="AZ124" s="50"/>
      <c r="BA124" s="50"/>
      <c r="BB124" s="50"/>
      <c r="BC124" s="50"/>
    </row>
    <row r="125" spans="1:55" ht="14.4" x14ac:dyDescent="0.3">
      <c r="A125" s="2233"/>
      <c r="B125" s="908" t="str">
        <f>'Q1'!O73</f>
        <v>Liquid Petroleum Gas (LPG)</v>
      </c>
      <c r="C125" s="1183">
        <f t="shared" ca="1" si="106"/>
        <v>0</v>
      </c>
      <c r="D125" s="768">
        <f t="shared" ca="1" si="106"/>
        <v>0</v>
      </c>
      <c r="E125" s="769">
        <f t="shared" ca="1" si="106"/>
        <v>0</v>
      </c>
      <c r="F125" s="769">
        <f t="shared" ca="1" si="106"/>
        <v>0</v>
      </c>
      <c r="G125" s="769">
        <f t="shared" ca="1" si="106"/>
        <v>0</v>
      </c>
      <c r="H125" s="769">
        <f t="shared" ca="1" si="106"/>
        <v>0</v>
      </c>
      <c r="I125" s="770">
        <f t="shared" ca="1" si="107"/>
        <v>0</v>
      </c>
      <c r="J125" s="771" t="str">
        <f t="shared" ca="1" si="108"/>
        <v/>
      </c>
      <c r="K125" s="772"/>
      <c r="L125" s="909" t="str">
        <f ca="1">IF(C125&gt;0,'Q1'!E133,"")</f>
        <v/>
      </c>
      <c r="M125" s="774" t="str">
        <f ca="1">IF(L125="","",IF('Q1'!I133=0,"fuel type not stated",'Q1'!I133))</f>
        <v/>
      </c>
      <c r="N125" s="910"/>
      <c r="O125" s="810" t="str">
        <f t="shared" ca="1" si="109"/>
        <v/>
      </c>
      <c r="P125" s="783" t="str">
        <f t="shared" ca="1" si="110"/>
        <v/>
      </c>
      <c r="Q125" s="783" t="str">
        <f t="shared" ca="1" si="111"/>
        <v/>
      </c>
      <c r="R125" s="783" t="str">
        <f t="shared" ca="1" si="112"/>
        <v/>
      </c>
      <c r="S125" s="811" t="str">
        <f t="shared" ca="1" si="113"/>
        <v/>
      </c>
      <c r="T125" s="1066" t="str">
        <f t="shared" ca="1" si="114"/>
        <v/>
      </c>
      <c r="U125" s="1165" t="str">
        <f t="shared" ca="1" si="115"/>
        <v/>
      </c>
      <c r="V125" s="1350">
        <f t="shared" ca="1" si="116"/>
        <v>0</v>
      </c>
      <c r="W125" s="1350">
        <f t="shared" ca="1" si="116"/>
        <v>0</v>
      </c>
      <c r="X125" s="1350">
        <f t="shared" ca="1" si="116"/>
        <v>0</v>
      </c>
      <c r="Y125" s="1067" t="str">
        <f t="shared" ca="1" si="117"/>
        <v/>
      </c>
      <c r="Z125" s="1165" t="str">
        <f t="shared" ca="1" si="118"/>
        <v/>
      </c>
      <c r="AA125" s="772"/>
      <c r="AB125" s="804" t="str">
        <f t="shared" ca="1" si="119"/>
        <v/>
      </c>
      <c r="AC125" s="50"/>
      <c r="AD125" s="96"/>
      <c r="AE125" s="96"/>
      <c r="AF125" s="96"/>
      <c r="AG125" s="96"/>
      <c r="AH125" s="96"/>
      <c r="AI125" s="96"/>
      <c r="AJ125" s="96"/>
      <c r="AK125" s="192"/>
      <c r="AL125" s="875"/>
      <c r="AM125" s="875"/>
      <c r="AN125" s="875"/>
      <c r="AO125" s="50"/>
      <c r="AP125" s="50"/>
      <c r="AQ125" s="50"/>
      <c r="AR125" s="50"/>
      <c r="AS125" s="50"/>
      <c r="AT125" s="50"/>
      <c r="AU125" s="50"/>
      <c r="AV125" s="50"/>
      <c r="AW125" s="50"/>
      <c r="AX125" s="50"/>
      <c r="AY125" s="50"/>
      <c r="AZ125" s="50"/>
      <c r="BA125" s="50"/>
      <c r="BB125" s="50"/>
      <c r="BC125" s="50"/>
    </row>
    <row r="126" spans="1:55" thickBot="1" x14ac:dyDescent="0.35">
      <c r="A126" s="2234"/>
      <c r="B126" s="911" t="str">
        <f>'Q1'!O74</f>
        <v>Other (enter CO2 factor and specify fuel in "Notes")</v>
      </c>
      <c r="C126" s="1184">
        <f t="shared" ca="1" si="106"/>
        <v>0</v>
      </c>
      <c r="D126" s="786">
        <f t="shared" ca="1" si="106"/>
        <v>0</v>
      </c>
      <c r="E126" s="787">
        <f t="shared" ca="1" si="106"/>
        <v>0</v>
      </c>
      <c r="F126" s="787">
        <f t="shared" ca="1" si="106"/>
        <v>0</v>
      </c>
      <c r="G126" s="787">
        <f t="shared" ca="1" si="106"/>
        <v>0</v>
      </c>
      <c r="H126" s="787">
        <f t="shared" ca="1" si="106"/>
        <v>0</v>
      </c>
      <c r="I126" s="788">
        <f t="shared" ca="1" si="107"/>
        <v>0</v>
      </c>
      <c r="J126" s="812" t="str">
        <f t="shared" ref="J126" ca="1" si="120">IF(AND(C126&gt;0,SUM(D126:I126)&gt;0),"",IF(AND(C126=0,SUM(C126:I126)=0),"",IF(AND(C126=0,D126&gt;0),"Missing value?",IF(AND(C126=0,I126&gt;0),"Missing value?","New category"))))</f>
        <v/>
      </c>
      <c r="K126" s="790" t="s">
        <v>552</v>
      </c>
      <c r="L126" s="912" t="str">
        <f ca="1">IF(C126&gt;0,'Q1'!E134,"")</f>
        <v/>
      </c>
      <c r="M126" s="913" t="str">
        <f ca="1">IF(L126="","",IF('Q1'!I134=0,"fuel type not stated",'Q1'!I134))</f>
        <v/>
      </c>
      <c r="N126" s="914"/>
      <c r="O126" s="813" t="str">
        <f t="shared" ca="1" si="109"/>
        <v/>
      </c>
      <c r="P126" s="1072" t="str">
        <f t="shared" ca="1" si="110"/>
        <v/>
      </c>
      <c r="Q126" s="1072" t="str">
        <f t="shared" ca="1" si="111"/>
        <v/>
      </c>
      <c r="R126" s="1072" t="str">
        <f t="shared" ca="1" si="112"/>
        <v/>
      </c>
      <c r="S126" s="1075" t="str">
        <f t="shared" ca="1" si="113"/>
        <v/>
      </c>
      <c r="T126" s="1238" t="str">
        <f t="shared" ref="T126" ca="1" si="121">IF(SUM(C126:I126)=0,"",IF(OR(AND(C126=0,SUM(D126:I126)&gt;0),AND(C126&gt;0,SUM(D126:I126)=0)),1,IF(MAX(IF(O126&lt;0,-O126,O126),IF(P126&lt;0,-P126,P126),IF(Q126&lt;0,-Q126,Q126),IF(R126&lt;0,-R126,R126),IF(S126&lt;0,-S126,S126))=0,"",MAX(IF(O126&lt;0,-O126,O126),IF(P126&lt;0,-P126,P126),IF(Q126&lt;0,-Q126,Q126),IF(R126&lt;0,-R126,R126),IF(S126&lt;0,-S126,S126)))))</f>
        <v/>
      </c>
      <c r="U126" s="1163" t="str">
        <f t="shared" ca="1" si="115"/>
        <v/>
      </c>
      <c r="V126" s="1351">
        <f t="shared" ca="1" si="116"/>
        <v>0</v>
      </c>
      <c r="W126" s="1351">
        <f t="shared" ca="1" si="116"/>
        <v>0</v>
      </c>
      <c r="X126" s="1351">
        <f t="shared" ca="1" si="116"/>
        <v>0</v>
      </c>
      <c r="Y126" s="1239" t="str">
        <f t="shared" ca="1" si="117"/>
        <v/>
      </c>
      <c r="Z126" s="1163" t="str">
        <f t="shared" ca="1" si="118"/>
        <v/>
      </c>
      <c r="AA126" s="790" t="s">
        <v>552</v>
      </c>
      <c r="AB126" s="915" t="str">
        <f t="shared" ca="1" si="119"/>
        <v/>
      </c>
      <c r="AC126" s="55"/>
      <c r="AD126" s="55"/>
      <c r="AE126" s="55"/>
      <c r="AF126" s="55"/>
      <c r="AG126" s="55"/>
      <c r="AH126" s="55"/>
      <c r="AI126" s="55"/>
      <c r="AJ126" s="98"/>
      <c r="AK126" s="55"/>
      <c r="AL126" s="99"/>
      <c r="AM126" s="99"/>
      <c r="AN126" s="104"/>
      <c r="AO126" s="50"/>
      <c r="AP126" s="55"/>
      <c r="AQ126" s="55"/>
      <c r="AR126" s="55"/>
      <c r="AS126" s="55"/>
      <c r="AT126" s="55"/>
      <c r="AU126" s="55"/>
      <c r="AV126" s="55"/>
      <c r="AW126" s="55"/>
      <c r="AX126" s="55"/>
      <c r="AY126" s="55"/>
      <c r="AZ126" s="55"/>
      <c r="BA126" s="55"/>
      <c r="BB126" s="55"/>
      <c r="BC126" s="55"/>
    </row>
    <row r="127" spans="1:55" ht="15" customHeight="1" x14ac:dyDescent="0.3">
      <c r="A127" s="2233" t="s">
        <v>518</v>
      </c>
      <c r="B127" s="1240" t="str">
        <f>'Q1'!O90</f>
        <v>STANDARD Petrol (average biofuel blend)*</v>
      </c>
      <c r="C127" s="1262">
        <f t="shared" ref="C127:H133" ca="1" si="122">INDEX(INDIRECT(CONCATENATE("'",C$14,"'!$R$90:$R$96"),TRUE),MATCH($B127,INDIRECT(CONCATENATE("'",C$14,"'!$O$90:$O$96"),TRUE),0))</f>
        <v>0</v>
      </c>
      <c r="D127" s="748">
        <f t="shared" ca="1" si="122"/>
        <v>0</v>
      </c>
      <c r="E127" s="749">
        <f t="shared" ca="1" si="122"/>
        <v>0</v>
      </c>
      <c r="F127" s="749">
        <f t="shared" ca="1" si="122"/>
        <v>0</v>
      </c>
      <c r="G127" s="749">
        <f t="shared" ca="1" si="122"/>
        <v>0</v>
      </c>
      <c r="H127" s="749">
        <f t="shared" ca="1" si="122"/>
        <v>0</v>
      </c>
      <c r="I127" s="750">
        <f t="shared" ca="1" si="107"/>
        <v>0</v>
      </c>
      <c r="J127" s="973" t="str">
        <f t="shared" ref="J127:J132" ca="1" si="123">IF(AND(C127&gt;0,SUM(D127:I127)&gt;0),"",IF(AND(C127=0,SUM(C127:I127)=0),"",IF(AND(C127=0,D127&gt;0),"Missing value?",IF(AND(C127=0,I127&gt;0),"Missing value?","New category"))))</f>
        <v/>
      </c>
      <c r="K127" s="751" t="s">
        <v>552</v>
      </c>
      <c r="L127" s="1241" t="str">
        <f ca="1">IF(C127&gt;0,'Q1'!E137,"")</f>
        <v/>
      </c>
      <c r="M127" s="753" t="str">
        <f ca="1">IF(L127="","",IF('Q1'!I137=0,"fuel type not stated",'Q1'!I137))</f>
        <v/>
      </c>
      <c r="N127" s="1242"/>
      <c r="O127" s="1024" t="str">
        <f t="shared" ca="1" si="109"/>
        <v/>
      </c>
      <c r="P127" s="808" t="str">
        <f t="shared" ca="1" si="110"/>
        <v/>
      </c>
      <c r="Q127" s="808" t="str">
        <f t="shared" ca="1" si="111"/>
        <v/>
      </c>
      <c r="R127" s="808" t="str">
        <f t="shared" ca="1" si="112"/>
        <v/>
      </c>
      <c r="S127" s="974" t="str">
        <f t="shared" ca="1" si="113"/>
        <v/>
      </c>
      <c r="T127" s="1236" t="str">
        <f t="shared" ref="T127:T132" ca="1" si="124">IF(SUM(C127:I127)=0,"",IF(OR(AND(C127=0,SUM(D127:I127)&gt;0),AND(C127&gt;0,SUM(D127:I127)=0)),1,IF(MAX(IF(O127&lt;0,-O127,O127),IF(P127&lt;0,-P127,P127),IF(Q127&lt;0,-Q127,Q127),IF(R127&lt;0,-R127,R127),IF(S127&lt;0,-S127,S127))=0,"",MAX(IF(O127&lt;0,-O127,O127),IF(P127&lt;0,-P127,P127),IF(Q127&lt;0,-Q127,Q127),IF(R127&lt;0,-R127,R127),IF(S127&lt;0,-S127,S127)))))</f>
        <v/>
      </c>
      <c r="U127" s="766" t="str">
        <f t="shared" ca="1" si="115"/>
        <v/>
      </c>
      <c r="V127" s="1349">
        <f t="shared" ref="V127:X133" ca="1" si="125">INDEX(INDIRECT(CONCATENATE("'",V$14,"'!$T$90:$T$96"),TRUE),MATCH($B127,INDIRECT(CONCATENATE("'",V$14,"'!$O$90:$O$96"),TRUE),0))</f>
        <v>0</v>
      </c>
      <c r="W127" s="1349">
        <f t="shared" ca="1" si="125"/>
        <v>0</v>
      </c>
      <c r="X127" s="1349">
        <f t="shared" ca="1" si="125"/>
        <v>0</v>
      </c>
      <c r="Y127" s="1237" t="str">
        <f t="shared" ca="1" si="117"/>
        <v/>
      </c>
      <c r="Z127" s="766" t="str">
        <f t="shared" ca="1" si="118"/>
        <v/>
      </c>
      <c r="AA127" s="801" t="s">
        <v>552</v>
      </c>
      <c r="AB127" s="804" t="str">
        <f t="shared" ca="1" si="119"/>
        <v/>
      </c>
      <c r="AC127" s="55"/>
      <c r="AD127" s="1185"/>
      <c r="AE127" s="1185"/>
      <c r="AF127" s="1185"/>
      <c r="AG127" s="1185"/>
      <c r="AH127" s="1185"/>
      <c r="AI127" s="1185"/>
      <c r="AJ127" s="1185"/>
      <c r="AK127" s="1185"/>
      <c r="AL127" s="1185"/>
      <c r="AM127" s="1185"/>
      <c r="AN127" s="1185"/>
      <c r="AO127" s="1185"/>
      <c r="AP127" s="1185"/>
      <c r="AQ127" s="1185"/>
      <c r="AR127" s="1185"/>
      <c r="AS127" s="1185"/>
      <c r="AT127" s="1185"/>
      <c r="AU127" s="1185"/>
      <c r="AV127" s="1185"/>
      <c r="AW127" s="1185"/>
      <c r="AX127" s="1185"/>
      <c r="AY127" s="1185"/>
      <c r="AZ127" s="1185"/>
      <c r="BA127" s="1185"/>
      <c r="BB127" s="1185"/>
      <c r="BC127" s="1185"/>
    </row>
    <row r="128" spans="1:55" ht="14.4" x14ac:dyDescent="0.3">
      <c r="A128" s="2233"/>
      <c r="B128" s="908" t="str">
        <f>'Q1'!O91</f>
        <v>Petrol (100% mineral petrol)</v>
      </c>
      <c r="C128" s="1183">
        <f t="shared" ca="1" si="122"/>
        <v>0</v>
      </c>
      <c r="D128" s="768">
        <f t="shared" ca="1" si="122"/>
        <v>0</v>
      </c>
      <c r="E128" s="769">
        <f t="shared" ca="1" si="122"/>
        <v>0</v>
      </c>
      <c r="F128" s="769">
        <f t="shared" ca="1" si="122"/>
        <v>0</v>
      </c>
      <c r="G128" s="769">
        <f t="shared" ca="1" si="122"/>
        <v>0</v>
      </c>
      <c r="H128" s="769">
        <f t="shared" ca="1" si="122"/>
        <v>0</v>
      </c>
      <c r="I128" s="770">
        <f t="shared" ca="1" si="107"/>
        <v>0</v>
      </c>
      <c r="J128" s="771" t="str">
        <f t="shared" ca="1" si="123"/>
        <v/>
      </c>
      <c r="K128" s="772" t="s">
        <v>552</v>
      </c>
      <c r="L128" s="909" t="str">
        <f ca="1">IF(C128&gt;0,'Q1'!E138,"")</f>
        <v/>
      </c>
      <c r="M128" s="774" t="str">
        <f ca="1">IF(L128="","",IF('Q1'!I138=0,"fuel type not stated",'Q1'!I138))</f>
        <v/>
      </c>
      <c r="N128" s="910"/>
      <c r="O128" s="810" t="str">
        <f t="shared" ca="1" si="109"/>
        <v/>
      </c>
      <c r="P128" s="783" t="str">
        <f t="shared" ca="1" si="110"/>
        <v/>
      </c>
      <c r="Q128" s="783" t="str">
        <f t="shared" ca="1" si="111"/>
        <v/>
      </c>
      <c r="R128" s="783" t="str">
        <f t="shared" ca="1" si="112"/>
        <v/>
      </c>
      <c r="S128" s="811" t="str">
        <f t="shared" ca="1" si="113"/>
        <v/>
      </c>
      <c r="T128" s="1066" t="str">
        <f t="shared" ca="1" si="124"/>
        <v/>
      </c>
      <c r="U128" s="1165" t="str">
        <f t="shared" ca="1" si="115"/>
        <v/>
      </c>
      <c r="V128" s="1350">
        <f t="shared" ca="1" si="125"/>
        <v>0</v>
      </c>
      <c r="W128" s="1350">
        <f t="shared" ca="1" si="125"/>
        <v>0</v>
      </c>
      <c r="X128" s="1350">
        <f t="shared" ca="1" si="125"/>
        <v>0</v>
      </c>
      <c r="Y128" s="1067" t="str">
        <f t="shared" ca="1" si="117"/>
        <v/>
      </c>
      <c r="Z128" s="1165" t="str">
        <f t="shared" ca="1" si="118"/>
        <v/>
      </c>
      <c r="AA128" s="772" t="s">
        <v>552</v>
      </c>
      <c r="AB128" s="804" t="str">
        <f t="shared" ca="1" si="119"/>
        <v/>
      </c>
      <c r="AC128" s="919"/>
      <c r="AD128" s="1188"/>
      <c r="AE128" s="922"/>
      <c r="AF128" s="922"/>
      <c r="AG128" s="922"/>
      <c r="AH128" s="50"/>
      <c r="AI128" s="50"/>
      <c r="AJ128" s="105"/>
      <c r="AK128" s="50"/>
      <c r="AL128" s="921"/>
      <c r="AM128" s="1187"/>
      <c r="AN128" s="1187"/>
      <c r="AO128" s="1188"/>
      <c r="AP128" s="1188"/>
      <c r="AQ128" s="1188"/>
      <c r="AR128" s="1188"/>
      <c r="AS128" s="1188"/>
      <c r="AT128" s="1188"/>
      <c r="AU128" s="1188"/>
      <c r="AV128" s="1188"/>
      <c r="AW128" s="1188"/>
      <c r="AX128" s="1188"/>
      <c r="AY128" s="1188"/>
      <c r="AZ128" s="1188"/>
      <c r="BA128" s="1188"/>
      <c r="BB128" s="1188"/>
      <c r="BC128" s="1188"/>
    </row>
    <row r="129" spans="1:55" ht="14.4" x14ac:dyDescent="0.3">
      <c r="A129" s="2233"/>
      <c r="B129" s="908" t="str">
        <f>'Q1'!O92</f>
        <v>STANDARD Diesel (average biofuel blend)*</v>
      </c>
      <c r="C129" s="1183">
        <f t="shared" ca="1" si="122"/>
        <v>0</v>
      </c>
      <c r="D129" s="768">
        <f t="shared" ca="1" si="122"/>
        <v>0</v>
      </c>
      <c r="E129" s="769">
        <f t="shared" ca="1" si="122"/>
        <v>0</v>
      </c>
      <c r="F129" s="769">
        <f t="shared" ca="1" si="122"/>
        <v>0</v>
      </c>
      <c r="G129" s="769">
        <f t="shared" ca="1" si="122"/>
        <v>0</v>
      </c>
      <c r="H129" s="769">
        <f t="shared" ca="1" si="122"/>
        <v>0</v>
      </c>
      <c r="I129" s="770">
        <f t="shared" ca="1" si="107"/>
        <v>0</v>
      </c>
      <c r="J129" s="771" t="str">
        <f t="shared" ca="1" si="123"/>
        <v/>
      </c>
      <c r="K129" s="772" t="s">
        <v>552</v>
      </c>
      <c r="L129" s="909" t="str">
        <f ca="1">IF(C129&gt;0,'Q1'!E139,"")</f>
        <v/>
      </c>
      <c r="M129" s="774" t="str">
        <f ca="1">IF(L129="","",IF('Q1'!I139=0,"fuel type not stated",'Q1'!I139))</f>
        <v/>
      </c>
      <c r="N129" s="910"/>
      <c r="O129" s="810" t="str">
        <f t="shared" ca="1" si="109"/>
        <v/>
      </c>
      <c r="P129" s="783" t="str">
        <f t="shared" ca="1" si="110"/>
        <v/>
      </c>
      <c r="Q129" s="783" t="str">
        <f t="shared" ca="1" si="111"/>
        <v/>
      </c>
      <c r="R129" s="783" t="str">
        <f t="shared" ca="1" si="112"/>
        <v/>
      </c>
      <c r="S129" s="811" t="str">
        <f t="shared" ca="1" si="113"/>
        <v/>
      </c>
      <c r="T129" s="1066" t="str">
        <f t="shared" ca="1" si="124"/>
        <v/>
      </c>
      <c r="U129" s="1165" t="str">
        <f t="shared" ca="1" si="115"/>
        <v/>
      </c>
      <c r="V129" s="1350">
        <f t="shared" ca="1" si="125"/>
        <v>0</v>
      </c>
      <c r="W129" s="1350">
        <f t="shared" ca="1" si="125"/>
        <v>0</v>
      </c>
      <c r="X129" s="1350">
        <f t="shared" ca="1" si="125"/>
        <v>0</v>
      </c>
      <c r="Y129" s="1067" t="str">
        <f t="shared" ca="1" si="117"/>
        <v/>
      </c>
      <c r="Z129" s="1165" t="str">
        <f t="shared" ca="1" si="118"/>
        <v/>
      </c>
      <c r="AA129" s="772" t="s">
        <v>552</v>
      </c>
      <c r="AB129" s="804" t="str">
        <f t="shared" ca="1" si="119"/>
        <v/>
      </c>
      <c r="AC129" s="55"/>
      <c r="AD129" s="1185"/>
      <c r="AE129" s="1185"/>
      <c r="AF129" s="1185"/>
      <c r="AG129" s="1185"/>
      <c r="AH129" s="99"/>
      <c r="AI129" s="99"/>
      <c r="AJ129" s="107"/>
      <c r="AK129" s="108"/>
      <c r="AL129" s="108"/>
      <c r="AM129" s="108"/>
      <c r="AN129" s="109"/>
      <c r="AO129" s="109"/>
      <c r="AP129" s="109"/>
      <c r="AQ129" s="109"/>
      <c r="AR129" s="109"/>
      <c r="AS129" s="109"/>
      <c r="AT129" s="109"/>
      <c r="AU129" s="109"/>
      <c r="AV129" s="109"/>
      <c r="AW129" s="109"/>
      <c r="AX129" s="109"/>
      <c r="AY129" s="109"/>
      <c r="AZ129" s="109"/>
      <c r="BA129" s="109"/>
      <c r="BB129" s="109"/>
      <c r="BC129" s="109"/>
    </row>
    <row r="130" spans="1:55" ht="14.4" x14ac:dyDescent="0.3">
      <c r="A130" s="2233"/>
      <c r="B130" s="908" t="str">
        <f>'Q1'!O93</f>
        <v>Diesel (100% mineral diesel)</v>
      </c>
      <c r="C130" s="1183">
        <f t="shared" ca="1" si="122"/>
        <v>0</v>
      </c>
      <c r="D130" s="768">
        <f t="shared" ca="1" si="122"/>
        <v>0</v>
      </c>
      <c r="E130" s="769">
        <f t="shared" ca="1" si="122"/>
        <v>0</v>
      </c>
      <c r="F130" s="769">
        <f t="shared" ca="1" si="122"/>
        <v>0</v>
      </c>
      <c r="G130" s="769">
        <f t="shared" ca="1" si="122"/>
        <v>0</v>
      </c>
      <c r="H130" s="769">
        <f t="shared" ca="1" si="122"/>
        <v>0</v>
      </c>
      <c r="I130" s="770">
        <f t="shared" ca="1" si="107"/>
        <v>0</v>
      </c>
      <c r="J130" s="771" t="str">
        <f t="shared" ca="1" si="123"/>
        <v/>
      </c>
      <c r="K130" s="772" t="s">
        <v>552</v>
      </c>
      <c r="L130" s="909" t="str">
        <f ca="1">IF(C130&gt;0,'Q1'!E140,"")</f>
        <v/>
      </c>
      <c r="M130" s="774" t="str">
        <f ca="1">IF(L130="","",IF('Q1'!I140=0,"fuel type not stated",'Q1'!I140))</f>
        <v/>
      </c>
      <c r="N130" s="910"/>
      <c r="O130" s="810" t="str">
        <f t="shared" ca="1" si="109"/>
        <v/>
      </c>
      <c r="P130" s="783" t="str">
        <f t="shared" ca="1" si="110"/>
        <v/>
      </c>
      <c r="Q130" s="783" t="str">
        <f t="shared" ca="1" si="111"/>
        <v/>
      </c>
      <c r="R130" s="783" t="str">
        <f t="shared" ca="1" si="112"/>
        <v/>
      </c>
      <c r="S130" s="811" t="str">
        <f t="shared" ca="1" si="113"/>
        <v/>
      </c>
      <c r="T130" s="1066" t="str">
        <f t="shared" ca="1" si="124"/>
        <v/>
      </c>
      <c r="U130" s="1165" t="str">
        <f t="shared" ca="1" si="115"/>
        <v/>
      </c>
      <c r="V130" s="1350">
        <f t="shared" ca="1" si="125"/>
        <v>0</v>
      </c>
      <c r="W130" s="1350">
        <f t="shared" ca="1" si="125"/>
        <v>0</v>
      </c>
      <c r="X130" s="1350">
        <f t="shared" ca="1" si="125"/>
        <v>0</v>
      </c>
      <c r="Y130" s="1067" t="str">
        <f t="shared" ca="1" si="117"/>
        <v/>
      </c>
      <c r="Z130" s="1165" t="str">
        <f t="shared" ca="1" si="118"/>
        <v/>
      </c>
      <c r="AA130" s="772" t="s">
        <v>552</v>
      </c>
      <c r="AB130" s="804" t="str">
        <f t="shared" ca="1" si="119"/>
        <v/>
      </c>
      <c r="AC130" s="919"/>
      <c r="AD130" s="1188"/>
      <c r="AE130" s="1188"/>
      <c r="AF130" s="1188"/>
      <c r="AG130" s="1188"/>
      <c r="AH130" s="1188"/>
      <c r="AI130" s="1188"/>
      <c r="AJ130" s="1189"/>
      <c r="AK130" s="1188"/>
      <c r="AL130" s="1187"/>
      <c r="AM130" s="1187"/>
      <c r="AN130" s="1187"/>
      <c r="AO130" s="1188"/>
      <c r="AP130" s="1188"/>
      <c r="AQ130" s="1188"/>
      <c r="AR130" s="1188"/>
      <c r="AS130" s="1188"/>
      <c r="AT130" s="1188"/>
      <c r="AU130" s="1188"/>
      <c r="AV130" s="1188"/>
      <c r="AW130" s="1188"/>
      <c r="AX130" s="1188"/>
      <c r="AY130" s="1188"/>
      <c r="AZ130" s="1188"/>
      <c r="BA130" s="1188"/>
      <c r="BB130" s="1188"/>
      <c r="BC130" s="1188"/>
    </row>
    <row r="131" spans="1:55" ht="12.75" customHeight="1" x14ac:dyDescent="0.3">
      <c r="A131" s="2233"/>
      <c r="B131" s="908" t="str">
        <f>'Q1'!O94</f>
        <v>Compressed Natural Gas (CNG)</v>
      </c>
      <c r="C131" s="1183">
        <f t="shared" ca="1" si="122"/>
        <v>0</v>
      </c>
      <c r="D131" s="768">
        <f t="shared" ca="1" si="122"/>
        <v>0</v>
      </c>
      <c r="E131" s="769">
        <f t="shared" ca="1" si="122"/>
        <v>0</v>
      </c>
      <c r="F131" s="769">
        <f t="shared" ca="1" si="122"/>
        <v>0</v>
      </c>
      <c r="G131" s="769">
        <f t="shared" ca="1" si="122"/>
        <v>0</v>
      </c>
      <c r="H131" s="769">
        <f t="shared" ca="1" si="122"/>
        <v>0</v>
      </c>
      <c r="I131" s="770">
        <f t="shared" ca="1" si="107"/>
        <v>0</v>
      </c>
      <c r="J131" s="771" t="str">
        <f t="shared" ca="1" si="123"/>
        <v/>
      </c>
      <c r="K131" s="772" t="s">
        <v>552</v>
      </c>
      <c r="L131" s="909" t="str">
        <f ca="1">IF(C131&gt;0,'Q1'!E141,"")</f>
        <v/>
      </c>
      <c r="M131" s="774" t="str">
        <f ca="1">IF(L131="","",IF('Q1'!I141=0,"fuel type not stated",'Q1'!I141))</f>
        <v/>
      </c>
      <c r="N131" s="910"/>
      <c r="O131" s="810" t="str">
        <f t="shared" ca="1" si="109"/>
        <v/>
      </c>
      <c r="P131" s="783" t="str">
        <f t="shared" ca="1" si="110"/>
        <v/>
      </c>
      <c r="Q131" s="783" t="str">
        <f t="shared" ca="1" si="111"/>
        <v/>
      </c>
      <c r="R131" s="783" t="str">
        <f t="shared" ca="1" si="112"/>
        <v/>
      </c>
      <c r="S131" s="811" t="str">
        <f t="shared" ca="1" si="113"/>
        <v/>
      </c>
      <c r="T131" s="1066" t="str">
        <f t="shared" ca="1" si="124"/>
        <v/>
      </c>
      <c r="U131" s="1165" t="str">
        <f t="shared" ca="1" si="115"/>
        <v/>
      </c>
      <c r="V131" s="1350">
        <f t="shared" ca="1" si="125"/>
        <v>0</v>
      </c>
      <c r="W131" s="1350">
        <f t="shared" ca="1" si="125"/>
        <v>0</v>
      </c>
      <c r="X131" s="1350">
        <f t="shared" ca="1" si="125"/>
        <v>0</v>
      </c>
      <c r="Y131" s="1067" t="str">
        <f t="shared" ca="1" si="117"/>
        <v/>
      </c>
      <c r="Z131" s="1165" t="str">
        <f t="shared" ca="1" si="118"/>
        <v/>
      </c>
      <c r="AA131" s="772" t="s">
        <v>552</v>
      </c>
      <c r="AB131" s="804" t="str">
        <f t="shared" ca="1" si="119"/>
        <v/>
      </c>
      <c r="AC131" s="1164"/>
      <c r="AD131" s="1190"/>
      <c r="AE131" s="1190"/>
      <c r="AF131" s="1190"/>
      <c r="AG131" s="1190"/>
      <c r="AH131" s="1190"/>
      <c r="AI131" s="1190"/>
      <c r="AJ131" s="1191"/>
      <c r="AK131" s="1190"/>
      <c r="AL131" s="1182"/>
      <c r="AM131" s="1182"/>
      <c r="AN131" s="1182"/>
      <c r="AO131" s="1190"/>
      <c r="AP131" s="1190"/>
      <c r="AQ131" s="1190"/>
      <c r="AR131" s="1190"/>
      <c r="AS131" s="1190"/>
      <c r="AT131" s="1190"/>
      <c r="AU131" s="2227"/>
      <c r="AV131" s="2227"/>
      <c r="AW131" s="1164"/>
      <c r="AX131" s="1164"/>
      <c r="AY131" s="1164"/>
      <c r="AZ131" s="710"/>
      <c r="BA131" s="711"/>
      <c r="BB131" s="50"/>
      <c r="BC131" s="1190"/>
    </row>
    <row r="132" spans="1:55" ht="14.4" x14ac:dyDescent="0.3">
      <c r="A132" s="2233"/>
      <c r="B132" s="908" t="str">
        <f>'Q1'!O95</f>
        <v>Liquid Petroleum Gas (LPG)</v>
      </c>
      <c r="C132" s="1183">
        <f t="shared" ca="1" si="122"/>
        <v>0</v>
      </c>
      <c r="D132" s="768">
        <f t="shared" ca="1" si="122"/>
        <v>0</v>
      </c>
      <c r="E132" s="769">
        <f t="shared" ca="1" si="122"/>
        <v>0</v>
      </c>
      <c r="F132" s="769">
        <f t="shared" ca="1" si="122"/>
        <v>0</v>
      </c>
      <c r="G132" s="769">
        <f t="shared" ca="1" si="122"/>
        <v>0</v>
      </c>
      <c r="H132" s="769">
        <f t="shared" ca="1" si="122"/>
        <v>0</v>
      </c>
      <c r="I132" s="770">
        <f t="shared" ca="1" si="107"/>
        <v>0</v>
      </c>
      <c r="J132" s="771" t="str">
        <f t="shared" ca="1" si="123"/>
        <v/>
      </c>
      <c r="K132" s="772" t="s">
        <v>552</v>
      </c>
      <c r="L132" s="909" t="str">
        <f ca="1">IF(C132&gt;0,'Q1'!E142,"")</f>
        <v/>
      </c>
      <c r="M132" s="774" t="str">
        <f ca="1">IF(L132="","",IF('Q1'!I142=0,"fuel type not stated",'Q1'!I142))</f>
        <v/>
      </c>
      <c r="N132" s="910"/>
      <c r="O132" s="810" t="str">
        <f t="shared" ca="1" si="109"/>
        <v/>
      </c>
      <c r="P132" s="783" t="str">
        <f t="shared" ca="1" si="110"/>
        <v/>
      </c>
      <c r="Q132" s="783" t="str">
        <f t="shared" ca="1" si="111"/>
        <v/>
      </c>
      <c r="R132" s="783" t="str">
        <f t="shared" ca="1" si="112"/>
        <v/>
      </c>
      <c r="S132" s="811" t="str">
        <f t="shared" ca="1" si="113"/>
        <v/>
      </c>
      <c r="T132" s="1066" t="str">
        <f t="shared" ca="1" si="124"/>
        <v/>
      </c>
      <c r="U132" s="1165" t="str">
        <f t="shared" ca="1" si="115"/>
        <v/>
      </c>
      <c r="V132" s="1350">
        <f t="shared" ca="1" si="125"/>
        <v>0</v>
      </c>
      <c r="W132" s="1350">
        <f t="shared" ca="1" si="125"/>
        <v>0</v>
      </c>
      <c r="X132" s="1350">
        <f t="shared" ca="1" si="125"/>
        <v>0</v>
      </c>
      <c r="Y132" s="1067" t="str">
        <f t="shared" ca="1" si="117"/>
        <v/>
      </c>
      <c r="Z132" s="1165" t="str">
        <f t="shared" ca="1" si="118"/>
        <v/>
      </c>
      <c r="AA132" s="772" t="s">
        <v>552</v>
      </c>
      <c r="AB132" s="804" t="str">
        <f t="shared" ca="1" si="119"/>
        <v/>
      </c>
      <c r="AC132" s="917"/>
      <c r="AD132" s="917"/>
      <c r="AE132" s="917"/>
      <c r="AF132" s="917"/>
      <c r="AG132" s="917"/>
      <c r="AH132" s="917"/>
      <c r="AI132" s="917"/>
      <c r="AJ132" s="917"/>
      <c r="AK132" s="917"/>
      <c r="AL132" s="917"/>
      <c r="AM132" s="917"/>
      <c r="AN132" s="917"/>
      <c r="AO132" s="917"/>
      <c r="AP132" s="917"/>
      <c r="AQ132" s="917"/>
      <c r="AR132" s="917"/>
      <c r="AS132" s="917"/>
      <c r="AT132" s="917"/>
      <c r="AU132" s="2227"/>
      <c r="AV132" s="2227"/>
      <c r="AW132" s="1164"/>
      <c r="AX132" s="1164"/>
      <c r="AY132" s="1164"/>
      <c r="AZ132" s="710"/>
      <c r="BA132" s="711"/>
      <c r="BB132" s="50"/>
      <c r="BC132" s="917"/>
    </row>
    <row r="133" spans="1:55" thickBot="1" x14ac:dyDescent="0.35">
      <c r="A133" s="2234"/>
      <c r="B133" s="911" t="str">
        <f>'Q1'!O96</f>
        <v>Other (enter CO2 factor and specify fuel in "Notes")</v>
      </c>
      <c r="C133" s="1184">
        <f t="shared" ca="1" si="122"/>
        <v>0</v>
      </c>
      <c r="D133" s="786">
        <f t="shared" ca="1" si="122"/>
        <v>0</v>
      </c>
      <c r="E133" s="787">
        <f t="shared" ca="1" si="122"/>
        <v>0</v>
      </c>
      <c r="F133" s="787">
        <f t="shared" ca="1" si="122"/>
        <v>0</v>
      </c>
      <c r="G133" s="787">
        <f t="shared" ca="1" si="122"/>
        <v>0</v>
      </c>
      <c r="H133" s="787">
        <f t="shared" ca="1" si="122"/>
        <v>0</v>
      </c>
      <c r="I133" s="788">
        <f t="shared" ca="1" si="107"/>
        <v>0</v>
      </c>
      <c r="J133" s="812" t="str">
        <f t="shared" ref="J133" ca="1" si="126">IF(AND(C133&gt;0,SUM(D133:I133)&gt;0),"",IF(AND(C133=0,SUM(C133:I133)=0),"",IF(AND(C133=0,D133&gt;0),"Missing value?",IF(AND(C133=0,I133&gt;0),"Missing value?","New category"))))</f>
        <v/>
      </c>
      <c r="K133" s="790" t="s">
        <v>552</v>
      </c>
      <c r="L133" s="912" t="str">
        <f ca="1">IF(C133&gt;0,'Q1'!E143,"")</f>
        <v/>
      </c>
      <c r="M133" s="913" t="str">
        <f ca="1">IF(L133="","",IF('Q1'!I143=0,"fuel type not stated",'Q1'!I143))</f>
        <v/>
      </c>
      <c r="N133" s="914"/>
      <c r="O133" s="813" t="str">
        <f t="shared" ca="1" si="109"/>
        <v/>
      </c>
      <c r="P133" s="1072" t="str">
        <f t="shared" ca="1" si="110"/>
        <v/>
      </c>
      <c r="Q133" s="1072" t="str">
        <f t="shared" ca="1" si="111"/>
        <v/>
      </c>
      <c r="R133" s="1072" t="str">
        <f t="shared" ca="1" si="112"/>
        <v/>
      </c>
      <c r="S133" s="1075" t="str">
        <f t="shared" ca="1" si="113"/>
        <v/>
      </c>
      <c r="T133" s="1238" t="str">
        <f t="shared" ref="T133" ca="1" si="127">IF(SUM(C133:I133)=0,"",IF(OR(AND(C133=0,SUM(D133:I133)&gt;0),AND(C133&gt;0,SUM(D133:I133)=0)),1,IF(MAX(IF(O133&lt;0,-O133,O133),IF(P133&lt;0,-P133,P133),IF(Q133&lt;0,-Q133,Q133),IF(R133&lt;0,-R133,R133),IF(S133&lt;0,-S133,S133))=0,"",MAX(IF(O133&lt;0,-O133,O133),IF(P133&lt;0,-P133,P133),IF(Q133&lt;0,-Q133,Q133),IF(R133&lt;0,-R133,R133),IF(S133&lt;0,-S133,S133)))))</f>
        <v/>
      </c>
      <c r="U133" s="1163" t="str">
        <f t="shared" ca="1" si="115"/>
        <v/>
      </c>
      <c r="V133" s="1351">
        <f t="shared" ca="1" si="125"/>
        <v>0</v>
      </c>
      <c r="W133" s="1351">
        <f t="shared" ca="1" si="125"/>
        <v>0</v>
      </c>
      <c r="X133" s="1351">
        <f t="shared" ca="1" si="125"/>
        <v>0</v>
      </c>
      <c r="Y133" s="1239" t="str">
        <f t="shared" ca="1" si="117"/>
        <v/>
      </c>
      <c r="Z133" s="1163" t="str">
        <f t="shared" ca="1" si="118"/>
        <v/>
      </c>
      <c r="AA133" s="790" t="s">
        <v>552</v>
      </c>
      <c r="AB133" s="915" t="str">
        <f t="shared" ca="1" si="119"/>
        <v/>
      </c>
      <c r="AC133" s="55"/>
      <c r="AD133" s="193"/>
      <c r="AE133" s="193"/>
      <c r="AF133" s="193"/>
      <c r="AG133" s="193"/>
      <c r="AH133" s="193"/>
      <c r="AI133" s="193"/>
      <c r="AJ133" s="918"/>
      <c r="AK133" s="900"/>
      <c r="AL133" s="900"/>
      <c r="AM133" s="900"/>
      <c r="AN133" s="900"/>
      <c r="AO133" s="900"/>
      <c r="AP133" s="900"/>
      <c r="AQ133" s="900"/>
      <c r="AR133" s="900"/>
      <c r="AS133" s="900"/>
      <c r="AT133" s="900"/>
      <c r="AU133" s="2227"/>
      <c r="AV133" s="2227"/>
      <c r="AW133" s="1164"/>
      <c r="AX133" s="1164"/>
      <c r="AY133" s="1164"/>
      <c r="AZ133" s="710"/>
      <c r="BA133" s="711"/>
      <c r="BB133" s="50"/>
      <c r="BC133" s="900"/>
    </row>
    <row r="134" spans="1:55" ht="14.4" x14ac:dyDescent="0.3">
      <c r="A134" s="55"/>
      <c r="B134" s="55"/>
      <c r="C134" s="920"/>
      <c r="D134" s="920"/>
      <c r="E134" s="920"/>
      <c r="F134" s="920"/>
      <c r="G134" s="920"/>
      <c r="H134" s="920"/>
      <c r="I134" s="920"/>
      <c r="J134" s="1185"/>
      <c r="K134" s="1185"/>
      <c r="L134" s="1185"/>
      <c r="M134" s="1186"/>
      <c r="N134" s="55"/>
      <c r="O134" s="1185"/>
      <c r="P134" s="1185"/>
      <c r="Q134" s="1185"/>
      <c r="R134" s="1185"/>
      <c r="S134" s="1185"/>
      <c r="T134" s="1185"/>
      <c r="U134" s="1185"/>
      <c r="V134" s="1185"/>
      <c r="W134" s="1185"/>
      <c r="X134" s="1185"/>
      <c r="Y134" s="1185"/>
      <c r="Z134" s="1185"/>
      <c r="AA134" s="1185"/>
      <c r="AB134" s="1185"/>
      <c r="AC134" s="55"/>
      <c r="AD134" s="1185"/>
      <c r="AE134" s="1185"/>
      <c r="AF134" s="1185"/>
      <c r="AG134" s="1185"/>
      <c r="AH134" s="1185"/>
      <c r="AI134" s="1185"/>
      <c r="AJ134" s="1185"/>
      <c r="AK134" s="1185"/>
      <c r="AL134" s="1185"/>
      <c r="AM134" s="1185"/>
      <c r="AN134" s="1185"/>
      <c r="AO134" s="1185"/>
      <c r="AP134" s="1185"/>
      <c r="AQ134" s="1185"/>
      <c r="AR134" s="1185"/>
      <c r="AS134" s="1185"/>
      <c r="AT134" s="1185"/>
      <c r="AU134" s="1185"/>
      <c r="AV134" s="1185"/>
      <c r="AW134" s="1185"/>
      <c r="AX134" s="1185"/>
      <c r="AY134" s="1185"/>
      <c r="AZ134" s="1185"/>
      <c r="BA134" s="1185"/>
      <c r="BB134" s="1185"/>
      <c r="BC134" s="1185"/>
    </row>
    <row r="135" spans="1:55" ht="14.4" x14ac:dyDescent="0.3">
      <c r="A135" s="923" t="s">
        <v>143</v>
      </c>
      <c r="B135" s="87"/>
      <c r="C135" s="924"/>
      <c r="D135" s="924"/>
      <c r="E135" s="924"/>
      <c r="F135" s="924"/>
      <c r="G135" s="924"/>
      <c r="H135" s="924"/>
      <c r="I135" s="819" t="s">
        <v>23</v>
      </c>
      <c r="J135" s="819" t="s">
        <v>23</v>
      </c>
      <c r="K135" s="819" t="s">
        <v>23</v>
      </c>
      <c r="L135" s="819" t="s">
        <v>23</v>
      </c>
      <c r="M135" s="819" t="s">
        <v>23</v>
      </c>
      <c r="N135" s="819" t="s">
        <v>23</v>
      </c>
      <c r="O135" s="819" t="s">
        <v>23</v>
      </c>
      <c r="P135" s="819" t="s">
        <v>23</v>
      </c>
      <c r="Q135" s="819" t="s">
        <v>23</v>
      </c>
      <c r="R135" s="819" t="s">
        <v>23</v>
      </c>
      <c r="S135" s="819" t="s">
        <v>23</v>
      </c>
      <c r="T135" s="819" t="s">
        <v>23</v>
      </c>
      <c r="U135" s="819"/>
      <c r="V135" s="819"/>
      <c r="W135" s="819"/>
      <c r="X135" s="819"/>
      <c r="Y135" s="819" t="s">
        <v>23</v>
      </c>
      <c r="Z135" s="819" t="s">
        <v>23</v>
      </c>
      <c r="AA135" s="819" t="s">
        <v>23</v>
      </c>
      <c r="AB135" s="819" t="s">
        <v>23</v>
      </c>
      <c r="AC135" s="1076" t="s">
        <v>144</v>
      </c>
      <c r="AD135" s="1076" t="s">
        <v>144</v>
      </c>
      <c r="AE135" s="1076" t="s">
        <v>144</v>
      </c>
      <c r="AF135" s="1076" t="s">
        <v>144</v>
      </c>
      <c r="AG135" s="1076" t="s">
        <v>144</v>
      </c>
      <c r="AH135" s="1076" t="s">
        <v>144</v>
      </c>
      <c r="AI135" s="1076"/>
      <c r="AJ135" s="1076" t="s">
        <v>144</v>
      </c>
      <c r="AK135" s="1076" t="s">
        <v>144</v>
      </c>
      <c r="AL135" s="1076" t="s">
        <v>144</v>
      </c>
      <c r="AM135" s="1076" t="s">
        <v>144</v>
      </c>
      <c r="AN135" s="1076" t="s">
        <v>144</v>
      </c>
      <c r="AO135" s="1076" t="s">
        <v>144</v>
      </c>
      <c r="AP135" s="1076" t="s">
        <v>144</v>
      </c>
      <c r="AQ135" s="1076" t="s">
        <v>144</v>
      </c>
      <c r="AR135" s="1076" t="s">
        <v>144</v>
      </c>
      <c r="AS135" s="1076" t="s">
        <v>144</v>
      </c>
      <c r="AT135" s="1076" t="s">
        <v>144</v>
      </c>
      <c r="AU135" s="1076" t="s">
        <v>144</v>
      </c>
      <c r="AV135" s="1076"/>
      <c r="AW135" s="1076"/>
      <c r="AX135" s="1076"/>
      <c r="AY135" s="1076"/>
      <c r="AZ135" s="1076" t="s">
        <v>144</v>
      </c>
      <c r="BA135" s="1076" t="s">
        <v>144</v>
      </c>
      <c r="BB135" s="1076" t="s">
        <v>144</v>
      </c>
      <c r="BC135" s="1076" t="s">
        <v>144</v>
      </c>
    </row>
    <row r="136" spans="1:55" ht="14.4" x14ac:dyDescent="0.3">
      <c r="A136" s="1170"/>
      <c r="B136" s="55"/>
      <c r="C136" s="820"/>
      <c r="D136" s="820"/>
      <c r="E136" s="820"/>
      <c r="F136" s="820"/>
      <c r="G136" s="820"/>
      <c r="H136" s="820"/>
      <c r="I136" s="820"/>
      <c r="J136" s="99"/>
      <c r="K136" s="99"/>
      <c r="L136" s="104"/>
      <c r="M136" s="916"/>
      <c r="N136" s="1170"/>
      <c r="O136" s="99"/>
      <c r="P136" s="99"/>
      <c r="Q136" s="99"/>
      <c r="R136" s="110"/>
      <c r="S136" s="104"/>
      <c r="T136" s="104"/>
      <c r="U136" s="104"/>
      <c r="V136" s="104"/>
      <c r="W136" s="104"/>
      <c r="X136" s="104"/>
      <c r="Y136" s="104"/>
      <c r="Z136" s="104"/>
      <c r="AA136" s="104"/>
      <c r="AB136" s="104"/>
      <c r="AC136" s="55"/>
      <c r="AD136" s="55"/>
      <c r="AE136" s="55"/>
      <c r="AF136" s="55"/>
      <c r="AG136" s="55"/>
      <c r="AH136" s="55"/>
      <c r="AI136" s="55"/>
      <c r="AJ136" s="98"/>
      <c r="AK136" s="55"/>
      <c r="AL136" s="99"/>
      <c r="AM136" s="110"/>
      <c r="AN136" s="104"/>
      <c r="AO136" s="55"/>
      <c r="AP136" s="55"/>
      <c r="AQ136" s="55"/>
      <c r="AR136" s="55"/>
      <c r="AS136" s="55"/>
      <c r="AT136" s="55"/>
      <c r="AU136" s="55"/>
      <c r="AV136" s="55"/>
      <c r="AW136" s="55"/>
      <c r="AX136" s="55"/>
      <c r="AY136" s="55"/>
      <c r="AZ136" s="55"/>
      <c r="BA136" s="55"/>
      <c r="BB136" s="55"/>
      <c r="BC136" s="55"/>
    </row>
    <row r="137" spans="1:55" thickBot="1" x14ac:dyDescent="0.35">
      <c r="A137" s="55"/>
      <c r="B137" s="55"/>
      <c r="C137" s="820"/>
      <c r="D137" s="820"/>
      <c r="E137" s="820"/>
      <c r="F137" s="820"/>
      <c r="G137" s="820"/>
      <c r="H137" s="820"/>
      <c r="I137" s="820"/>
      <c r="J137" s="99"/>
      <c r="K137" s="99"/>
      <c r="L137" s="99"/>
      <c r="M137" s="667"/>
      <c r="N137" s="55"/>
      <c r="O137" s="99"/>
      <c r="P137" s="99"/>
      <c r="Q137" s="99"/>
      <c r="R137" s="99"/>
      <c r="S137" s="99"/>
      <c r="T137" s="99"/>
      <c r="U137" s="99"/>
      <c r="V137" s="99"/>
      <c r="W137" s="99"/>
      <c r="X137" s="99"/>
      <c r="Y137" s="99"/>
      <c r="Z137" s="99"/>
      <c r="AA137" s="99"/>
      <c r="AB137" s="99"/>
      <c r="AC137" s="55"/>
      <c r="AD137" s="55"/>
      <c r="AE137" s="55"/>
      <c r="AF137" s="55"/>
      <c r="AG137" s="55"/>
      <c r="AH137" s="55"/>
      <c r="AI137" s="55"/>
      <c r="AJ137" s="55"/>
      <c r="AK137" s="55"/>
      <c r="AL137" s="55"/>
      <c r="AM137" s="55"/>
      <c r="AN137" s="55"/>
      <c r="AO137" s="55"/>
      <c r="AP137" s="55"/>
      <c r="AQ137" s="55"/>
      <c r="AR137" s="55"/>
      <c r="AS137" s="55"/>
      <c r="AT137" s="55"/>
      <c r="AU137" s="55"/>
      <c r="AV137" s="55"/>
      <c r="AW137" s="55"/>
      <c r="AX137" s="55"/>
      <c r="AY137" s="55"/>
      <c r="AZ137" s="55"/>
      <c r="BA137" s="55"/>
      <c r="BB137" s="55"/>
      <c r="BC137" s="55"/>
    </row>
    <row r="138" spans="1:55" ht="27.6" x14ac:dyDescent="0.3">
      <c r="A138" s="1170"/>
      <c r="B138" s="2222"/>
      <c r="C138" s="1244" t="s">
        <v>176</v>
      </c>
      <c r="D138" s="2165" t="s">
        <v>177</v>
      </c>
      <c r="E138" s="2165"/>
      <c r="F138" s="2165"/>
      <c r="G138" s="2166"/>
      <c r="H138" s="2167"/>
      <c r="I138" s="2167"/>
      <c r="J138" s="2168" t="s">
        <v>428</v>
      </c>
      <c r="K138" s="2169"/>
      <c r="L138" s="2170"/>
      <c r="M138" s="2171"/>
      <c r="N138" s="2172"/>
      <c r="O138" s="2173" t="s">
        <v>430</v>
      </c>
      <c r="P138" s="2170"/>
      <c r="Q138" s="2170"/>
      <c r="R138" s="2171"/>
      <c r="S138" s="2174"/>
      <c r="T138" s="2173" t="s">
        <v>418</v>
      </c>
      <c r="U138" s="2171"/>
      <c r="V138" s="2171"/>
      <c r="W138" s="2171"/>
      <c r="X138" s="2171"/>
      <c r="Y138" s="2171"/>
      <c r="Z138" s="2171"/>
      <c r="AA138" s="2174"/>
      <c r="AB138" s="2179" t="s">
        <v>433</v>
      </c>
      <c r="AC138" s="2215" t="s">
        <v>432</v>
      </c>
      <c r="AD138" s="1320" t="s">
        <v>176</v>
      </c>
      <c r="AE138" s="2217" t="s">
        <v>177</v>
      </c>
      <c r="AF138" s="2218"/>
      <c r="AG138" s="2218"/>
      <c r="AH138" s="2219"/>
      <c r="AI138" s="2220"/>
      <c r="AJ138" s="2221"/>
      <c r="AK138" s="2209" t="s">
        <v>428</v>
      </c>
      <c r="AL138" s="2210"/>
      <c r="AM138" s="2185"/>
      <c r="AN138" s="2183"/>
      <c r="AO138" s="2186"/>
      <c r="AP138" s="2182" t="s">
        <v>430</v>
      </c>
      <c r="AQ138" s="2182"/>
      <c r="AR138" s="2182"/>
      <c r="AS138" s="2183"/>
      <c r="AT138" s="2184"/>
      <c r="AU138" s="2185" t="s">
        <v>418</v>
      </c>
      <c r="AV138" s="2183"/>
      <c r="AW138" s="2183"/>
      <c r="AX138" s="2183"/>
      <c r="AY138" s="2183"/>
      <c r="AZ138" s="2183"/>
      <c r="BA138" s="2183"/>
      <c r="BB138" s="2186"/>
      <c r="BC138" s="2211" t="s">
        <v>433</v>
      </c>
    </row>
    <row r="139" spans="1:55" ht="51.75" customHeight="1" thickBot="1" x14ac:dyDescent="0.35">
      <c r="A139" s="94"/>
      <c r="B139" s="2223"/>
      <c r="C139" s="1245" t="str">
        <f>C14</f>
        <v>Q4</v>
      </c>
      <c r="D139" s="925" t="str">
        <f t="shared" ref="D139:I139" si="128">D14</f>
        <v>Q3</v>
      </c>
      <c r="E139" s="925" t="str">
        <f t="shared" si="128"/>
        <v>Q2</v>
      </c>
      <c r="F139" s="925" t="str">
        <f t="shared" si="128"/>
        <v>Q1</v>
      </c>
      <c r="G139" s="722" t="str">
        <f t="shared" si="128"/>
        <v>Q4-19</v>
      </c>
      <c r="H139" s="722" t="str">
        <f t="shared" si="128"/>
        <v>2018-2019</v>
      </c>
      <c r="I139" s="926" t="str">
        <f t="shared" si="128"/>
        <v>25% of previous year total</v>
      </c>
      <c r="J139" s="724" t="s">
        <v>434</v>
      </c>
      <c r="K139" s="725" t="s">
        <v>435</v>
      </c>
      <c r="L139" s="2155"/>
      <c r="M139" s="2224"/>
      <c r="N139" s="2157"/>
      <c r="O139" s="728" t="s">
        <v>438</v>
      </c>
      <c r="P139" s="925" t="s">
        <v>470</v>
      </c>
      <c r="Q139" s="925" t="s">
        <v>471</v>
      </c>
      <c r="R139" s="1169" t="s">
        <v>439</v>
      </c>
      <c r="S139" s="729" t="s">
        <v>440</v>
      </c>
      <c r="T139" s="2156" t="s">
        <v>441</v>
      </c>
      <c r="U139" s="2155"/>
      <c r="V139" s="1394"/>
      <c r="W139" s="1394"/>
      <c r="X139" s="1394"/>
      <c r="Y139" s="2157" t="s">
        <v>443</v>
      </c>
      <c r="Z139" s="2155"/>
      <c r="AA139" s="729" t="s">
        <v>445</v>
      </c>
      <c r="AB139" s="2154"/>
      <c r="AC139" s="2216"/>
      <c r="AD139" s="1321" t="str">
        <f>AD14</f>
        <v>Q4</v>
      </c>
      <c r="AE139" s="832" t="str">
        <f t="shared" ref="AE139:AI139" si="129">AE14</f>
        <v>Q3</v>
      </c>
      <c r="AF139" s="730" t="str">
        <f t="shared" si="129"/>
        <v>Q2</v>
      </c>
      <c r="AG139" s="730" t="str">
        <f t="shared" si="129"/>
        <v>Q1</v>
      </c>
      <c r="AH139" s="833" t="str">
        <f t="shared" si="129"/>
        <v>Q4-19</v>
      </c>
      <c r="AI139" s="833" t="str">
        <f t="shared" si="129"/>
        <v>2018-2019</v>
      </c>
      <c r="AJ139" s="834" t="s">
        <v>178</v>
      </c>
      <c r="AK139" s="835" t="s">
        <v>434</v>
      </c>
      <c r="AL139" s="836" t="s">
        <v>435</v>
      </c>
      <c r="AM139" s="2213" t="s">
        <v>446</v>
      </c>
      <c r="AN139" s="2214"/>
      <c r="AO139" s="927" t="s">
        <v>447</v>
      </c>
      <c r="AP139" s="928" t="s">
        <v>438</v>
      </c>
      <c r="AQ139" s="730" t="s">
        <v>470</v>
      </c>
      <c r="AR139" s="730" t="s">
        <v>471</v>
      </c>
      <c r="AS139" s="1168" t="s">
        <v>439</v>
      </c>
      <c r="AT139" s="1162" t="s">
        <v>440</v>
      </c>
      <c r="AU139" s="2213" t="s">
        <v>441</v>
      </c>
      <c r="AV139" s="2214"/>
      <c r="AW139" s="1406"/>
      <c r="AX139" s="1406"/>
      <c r="AY139" s="1406"/>
      <c r="AZ139" s="2214" t="s">
        <v>443</v>
      </c>
      <c r="BA139" s="2214"/>
      <c r="BB139" s="732" t="s">
        <v>435</v>
      </c>
      <c r="BC139" s="2212"/>
    </row>
    <row r="140" spans="1:55" ht="12.75" customHeight="1" thickBot="1" x14ac:dyDescent="0.35">
      <c r="A140" s="55"/>
      <c r="B140" s="102" t="s">
        <v>183</v>
      </c>
      <c r="C140" s="1177">
        <f t="shared" ref="C140:H140" ca="1" si="130">INDIRECT(CONCATENATE("'",C$14,"'!$D$164"),TRUE)</f>
        <v>0</v>
      </c>
      <c r="D140" s="1192">
        <f t="shared" ca="1" si="130"/>
        <v>0</v>
      </c>
      <c r="E140" s="1193">
        <f t="shared" ca="1" si="130"/>
        <v>2259986.9982851301</v>
      </c>
      <c r="F140" s="1193">
        <f t="shared" ca="1" si="130"/>
        <v>2197087.5279642199</v>
      </c>
      <c r="G140" s="1193">
        <f t="shared" ca="1" si="130"/>
        <v>2296353.4087912301</v>
      </c>
      <c r="H140" s="1193">
        <f t="shared" ca="1" si="130"/>
        <v>8974021.0786053389</v>
      </c>
      <c r="I140" s="1194">
        <f t="shared" ref="I140" ca="1" si="131">H140/4</f>
        <v>2243505.2696513347</v>
      </c>
      <c r="J140" s="789" t="str">
        <f ca="1">IF(AND(C140&gt;0,SUM(D140:I140)&gt;0),"",IF(AND(C140=0,SUM(C140:I140)=0),"",IF(AND(C140=0,D140&gt;0),"Missing value?",IF(AND(C140=0,I140&gt;0),"Missing value?","New category"))))</f>
        <v>Missing value?</v>
      </c>
      <c r="K140" s="929"/>
      <c r="L140" s="2204"/>
      <c r="M140" s="2205"/>
      <c r="N140" s="930"/>
      <c r="O140" s="931" t="str">
        <f ca="1">IF(OR(+$J140="missing?",+$J140="new category"),"",IF($D140=0,"",IF(SUM($C140:$I140)=0,"",IFERROR((($C140-$D140)/$D140),"N/A"))))</f>
        <v/>
      </c>
      <c r="P140" s="739">
        <f t="shared" ref="P140" ca="1" si="132">IF(OR(+$J140="missing?",+$J140="new category"),"",IF($E140=0,"",IF(SUM($C140:$I140)=0,"",IFERROR((($C140-$E140)/$E140),"N/A"))))</f>
        <v>-1</v>
      </c>
      <c r="Q140" s="739">
        <f t="shared" ref="Q140" ca="1" si="133">IF(OR(+$J140="missing?",+$J140="new category"),"",IF($F140=0,"",IF(SUM($C140:$I140)=0,"",IFERROR((($C140-$F140)/$F140),"N/A"))))</f>
        <v>-1</v>
      </c>
      <c r="R140" s="797">
        <f ca="1">IF(OR(+$J140="missing?",+$J140="new category"),"",IF($G140=0,"",IF(SUM($C140:$I140)=0,"",IFERROR((($C140-$G140)/$G140),"N/A"))))</f>
        <v>-1</v>
      </c>
      <c r="S140" s="932">
        <f ca="1">IF(OR(+$J140="missing?",+$J140="new category"),"",IF($I140=0,"",IF(SUM($C140:$I140)=0,"",IFERROR((($C140-$I140)/$I140),"N/A"))))</f>
        <v>-1</v>
      </c>
      <c r="T140" s="1072">
        <f t="shared" ref="T140" ca="1" si="134">IF(SUM(C140:I140)=0,"",IF(OR(AND(C140=0,SUM(D140:I140)&gt;0),AND(C140&gt;0,SUM(D140:I140)=0)),1,IF(MAX(IF(O140&lt;0,-O140,O140),IF(P140&lt;0,-P140,P140),IF(Q140&lt;0,-Q140,Q140),IF(R140&lt;0,-R140,R140),IF(S140&lt;0,-S140,S140))=0,"",MAX(IF(O140&lt;0,-O140,O140),IF(P140&lt;0,-P140,P140),IF(Q140&lt;0,-Q140,Q140),IF(R140&lt;0,-R140,R140),IF(S140&lt;0,-S140,S140)))))</f>
        <v>1</v>
      </c>
      <c r="U140" s="1051">
        <f ca="1">IF(SUM(D140:J140)=0,"",IF(OR(AND(D140=0,SUM(G140:J140)&gt;0),AND(D140&gt;0,SUM(G140:J140)=0)),1,IF(MAX(IF(R140&lt;0,-R140,R140),IF(S140&lt;0,-S140,S140),IF(T140&lt;0,-T140,T140))=0,"",MAX(IF(R140&lt;0,-R140,R140),IF(S140&lt;0,-S140,S140),IF(T140&lt;0,-T140,T140)))))</f>
        <v>1</v>
      </c>
      <c r="V140" s="1402"/>
      <c r="W140" s="1402"/>
      <c r="X140" s="1402"/>
      <c r="Y140" s="2162" t="str">
        <f ca="1">IF(+T140="","",IF(T140&gt;$M$3,"H",IF(T140&gt;$M$4,"M","")))</f>
        <v>H</v>
      </c>
      <c r="Z140" s="2163"/>
      <c r="AA140" s="929" t="s">
        <v>552</v>
      </c>
      <c r="AB140" s="933" t="str">
        <f ca="1">IF(CONCATENATE(IF(K140="OK","",J140), "    ",IF(AND(+AA140="",Y140="M"),"Value change with medium impact",IF(AND(AA140="",Y140="H"),"Value change with high impact",""))," ")="     ","",CONCATENATE(IF(K140="OK","",J140), "    ",IF(AND(+AA140="",Y140="M"),"Value change with medium impact",IF(AND(AA140="",Y140="H"),"Value change with high impact",""))," "))</f>
        <v xml:space="preserve">Missing value?     </v>
      </c>
      <c r="AC140" s="934" t="str">
        <f ca="1">IF(AD140&gt;C140,"Offices only&gt;Total Estate","")</f>
        <v/>
      </c>
      <c r="AD140" s="1195">
        <f t="shared" ref="AD140:AI140" ca="1" si="135">INDIRECT(CONCATENATE("'",AD$14,"'!$G$164"),TRUE)</f>
        <v>0</v>
      </c>
      <c r="AE140" s="1196">
        <f t="shared" ca="1" si="135"/>
        <v>0</v>
      </c>
      <c r="AF140" s="1197">
        <f t="shared" ca="1" si="135"/>
        <v>4777.67864106451</v>
      </c>
      <c r="AG140" s="1197">
        <f t="shared" ca="1" si="135"/>
        <v>7248.8655607535902</v>
      </c>
      <c r="AH140" s="1197">
        <f t="shared" ca="1" si="135"/>
        <v>10509.415973245899</v>
      </c>
      <c r="AI140" s="1197">
        <f t="shared" ca="1" si="135"/>
        <v>41629.236539650978</v>
      </c>
      <c r="AJ140" s="1198">
        <f ca="1">AI140/4</f>
        <v>10407.309134912744</v>
      </c>
      <c r="AK140" s="868" t="str">
        <f ca="1">IF(AND(AD140&gt;0,SUM(AE140:AJ140)&gt;0),"",IF(AND(AD140=0,SUM(AD140:AJ140)=0),"",IF(AND(AD140=0,AE140&gt;0),"Missing value?",IF(AND(AD140=0,AJ140&gt;0),"Missing value?","New category"))))</f>
        <v>Missing value?</v>
      </c>
      <c r="AL140" s="809"/>
      <c r="AM140" s="935"/>
      <c r="AN140" s="936"/>
      <c r="AO140" s="937"/>
      <c r="AP140" s="938" t="str">
        <f ca="1">IF(OR(+$AK140="missing?",+$AK140="new category"),"",IF($AE140=0,"",IF(SUM($AD140:$AJ140)=0,"",IFERROR((($AD140-$AE140)/$AE140),"N/A"))))</f>
        <v/>
      </c>
      <c r="AQ140" s="756">
        <f t="shared" ref="AQ140:AQ142" ca="1" si="136">IF(OR(+$AK140="missing?",+$AK140="new category"),"",IF($AF140=0,"",IF(SUM($AD140:$AJ140)=0,"",IFERROR((($AD140-$AF140)/$AF140),"N/A"))))</f>
        <v>-1</v>
      </c>
      <c r="AR140" s="756">
        <f t="shared" ref="AR140:AR142" ca="1" si="137">IF(OR(+$AK140="missing?",+$AK140="new category"),"",IF($AG140=0,"",IF(SUM($AD140:$AJ140)=0,"",IFERROR((($AD140-$AG140)/$AG140),"N/A"))))</f>
        <v>-1</v>
      </c>
      <c r="AS140" s="756">
        <f ca="1">IF(OR(+$AK140="missing?",+$AK140="new category"),"",IF($AH140=0,"",IF(SUM($AD140:$AJ140)=0,"",IFERROR((($AD140-$AH140)/$AH140),"N/A"))))</f>
        <v>-1</v>
      </c>
      <c r="AT140" s="939">
        <f ca="1">IF(OR(+$AK140="missing?",+$AK140="new category"),"",IF($AJ140=0,"",IF(SUM($AD140:$AJ140)=0,"",IFERROR((($AD140-$AJ140)/$AJ140),"N/A"))))</f>
        <v>-1</v>
      </c>
      <c r="AU140" s="2206">
        <f ca="1">IF(MAX(IF(AP140&lt;0,-AP140,AP140),IF(AS140&lt;0,-AS140,AS140),IF(AT140&lt;0,-AT140,AT140))=0,"",MAX(IF(AP140&lt;0,-AP140,AP140),IF(AQ140&lt;0,-AQ140,AQ140),IF(AR140&lt;0,-AR140,AR140),IF(AS140&lt;0,-AS140,AS140),IF(AT140&lt;0,-AT140,AT140)))</f>
        <v>1</v>
      </c>
      <c r="AV140" s="2207"/>
      <c r="AW140" s="1407"/>
      <c r="AX140" s="1407"/>
      <c r="AY140" s="1407"/>
      <c r="AZ140" s="2208" t="str">
        <f ca="1">IF(+AU140="","",IF(AU140&gt;$AN$3,"H",IF(AU140&gt;$AN$4,"M","")))</f>
        <v>H</v>
      </c>
      <c r="BA140" s="2208"/>
      <c r="BB140" s="751" t="s">
        <v>552</v>
      </c>
      <c r="BC140" s="871" t="str">
        <f ca="1">IF(CONCATENATE(AC140, "    ", IF(AL140="OK","",AK140), "    ",IF(AND(+BB140="",AZ140="M"),"Value change with medium impact",IF(AND(BB140="",AZ140="H"),"Value change with high impact",""))," ")="         ","",CONCATENATE(AC140, "    ", IF(AL140="OK","",AK140), "    ",IF(AND(+BB140="",AZ140="M"),"Value change with medium impact",IF(AND(BB140="",AZ140="H"),"Value change with high impact",""))," "))</f>
        <v xml:space="preserve">    Missing value?     </v>
      </c>
    </row>
    <row r="141" spans="1:55" ht="12.75" customHeight="1" x14ac:dyDescent="0.3">
      <c r="A141" s="55"/>
      <c r="B141" s="1182"/>
      <c r="C141" s="1182"/>
      <c r="D141" s="1182"/>
      <c r="E141" s="1182"/>
      <c r="F141" s="1182"/>
      <c r="G141" s="1182"/>
      <c r="H141" s="1182"/>
      <c r="I141" s="1182"/>
      <c r="J141" s="1182"/>
      <c r="K141" s="1182"/>
      <c r="L141" s="1182"/>
      <c r="M141" s="1182"/>
      <c r="N141" s="1182"/>
      <c r="O141" s="1182"/>
      <c r="P141" s="1182"/>
      <c r="Q141" s="1182"/>
      <c r="R141" s="1182"/>
      <c r="S141" s="1182"/>
      <c r="T141" s="1182"/>
      <c r="U141" s="1182"/>
      <c r="V141" s="1182"/>
      <c r="W141" s="1182"/>
      <c r="X141" s="1182"/>
      <c r="Y141" s="1182"/>
      <c r="Z141" s="1182"/>
      <c r="AA141" s="1182"/>
      <c r="AB141" s="1182"/>
      <c r="AC141" s="940" t="s">
        <v>184</v>
      </c>
      <c r="AD141" s="1199">
        <f t="shared" ref="AD141:AI141" ca="1" si="138">INDIRECT(CONCATENATE("'",AD$14,"'!$E$164"),TRUE)</f>
        <v>0</v>
      </c>
      <c r="AE141" s="1200">
        <f t="shared" ca="1" si="138"/>
        <v>0</v>
      </c>
      <c r="AF141" s="1201">
        <f t="shared" ca="1" si="138"/>
        <v>3304</v>
      </c>
      <c r="AG141" s="1201">
        <f t="shared" ca="1" si="138"/>
        <v>3304</v>
      </c>
      <c r="AH141" s="1201">
        <f t="shared" ca="1" si="138"/>
        <v>3304</v>
      </c>
      <c r="AI141" s="1201">
        <f t="shared" ca="1" si="138"/>
        <v>3304</v>
      </c>
      <c r="AJ141" s="1202">
        <f ca="1">AI141</f>
        <v>3304</v>
      </c>
      <c r="AK141" s="872" t="str">
        <f ca="1">IF(AND(AD141&gt;0,SUM(AE141:AJ141)&gt;0),"",IF(AND(AD141=0,SUM(AD141:AJ141)=0),"",IF(AND(AD141=0,AE141&gt;0),"Missing value?",IF(AND(AD141=0,AJ141&gt;0),"Missing value?","New category"))))</f>
        <v>Missing value?</v>
      </c>
      <c r="AL141" s="782"/>
      <c r="AM141" s="941"/>
      <c r="AN141" s="942"/>
      <c r="AO141" s="943"/>
      <c r="AP141" s="944" t="str">
        <f ca="1">IF(OR(+$AK141="missing?",+$AK141="new category"),"",IF($AE141=0,"",IF(SUM($AD141:$AJ141)=0,"",IFERROR((($AD141-$AE141)/$AE141),"N/A"))))</f>
        <v/>
      </c>
      <c r="AQ141" s="777">
        <f t="shared" ca="1" si="136"/>
        <v>-1</v>
      </c>
      <c r="AR141" s="777">
        <f t="shared" ca="1" si="137"/>
        <v>-1</v>
      </c>
      <c r="AS141" s="777">
        <f t="shared" ref="AS141" ca="1" si="139">IF(OR(+$AK141="missing?",+$AK141="new category"),"",IF($AH141=0,"",IF(SUM($AD141:$AJ141)=0,"",IFERROR((($AD141-$AH141)/$AH141),"N/A"))))</f>
        <v>-1</v>
      </c>
      <c r="AT141" s="945">
        <f ca="1">IF(OR(+$AK141="missing?",+$AK141="new category"),"",IF($AJ141=0,"",IF(SUM($AD141:$AJ141)=0,"",IFERROR((($AD141-$AJ141)/$AJ141),"N/A"))))</f>
        <v>-1</v>
      </c>
      <c r="AU141" s="2206">
        <f t="shared" ref="AU141:AU142" ca="1" si="140">IF(MAX(IF(AP141&lt;0,-AP141,AP141),IF(AS141&lt;0,-AS141,AS141),IF(AT141&lt;0,-AT141,AT141))=0,"",MAX(IF(AP141&lt;0,-AP141,AP141),IF(AQ141&lt;0,-AQ141,AQ141),IF(AR141&lt;0,-AR141,AR141),IF(AS141&lt;0,-AS141,AS141),IF(AT141&lt;0,-AT141,AT141)))</f>
        <v>1</v>
      </c>
      <c r="AV141" s="2207"/>
      <c r="AW141" s="1396"/>
      <c r="AX141" s="1396"/>
      <c r="AY141" s="1396"/>
      <c r="AZ141" s="2207" t="str">
        <f ca="1">IF(+AU141="","",IF(AU141&gt;$AN$3,"H",IF(AU141&gt;$AN$4,"M","")))</f>
        <v>H</v>
      </c>
      <c r="BA141" s="2207"/>
      <c r="BB141" s="772"/>
      <c r="BC141" s="946" t="str">
        <f ca="1">IF(CONCATENATE(IF(AL141="OK","",AK141), "    ",IF(AND(+BB141="",AZ141="M"),"Value change with medium impact",IF(AND(BB141="",AZ141="H"),"Value change with high impact",""))," ")="     ","",CONCATENATE(IF(AL141="OK","",AK141), "    ",IF(AND(+BB141="",AZ141="M"),"Value change with medium impact",IF(AND(BB141="",AZ141="H"),"Value change with high impact",""))," "))</f>
        <v xml:space="preserve">Missing value?    Value change with high impact </v>
      </c>
    </row>
    <row r="142" spans="1:55" ht="12.75" customHeight="1" thickBot="1" x14ac:dyDescent="0.35">
      <c r="A142" s="55"/>
      <c r="B142" s="1182"/>
      <c r="C142" s="1182"/>
      <c r="D142" s="1182"/>
      <c r="E142" s="1182"/>
      <c r="F142" s="1182"/>
      <c r="G142" s="1182"/>
      <c r="H142" s="1182"/>
      <c r="I142" s="1182"/>
      <c r="J142" s="1182"/>
      <c r="K142" s="1182"/>
      <c r="L142" s="1182"/>
      <c r="M142" s="1182"/>
      <c r="N142" s="1182"/>
      <c r="O142" s="1182"/>
      <c r="P142" s="1182"/>
      <c r="Q142" s="1182"/>
      <c r="R142" s="1182"/>
      <c r="S142" s="1182"/>
      <c r="T142" s="1182"/>
      <c r="U142" s="1182"/>
      <c r="V142" s="1182"/>
      <c r="W142" s="1182"/>
      <c r="X142" s="1182"/>
      <c r="Y142" s="1182"/>
      <c r="Z142" s="1182"/>
      <c r="AA142" s="1182"/>
      <c r="AB142" s="1182"/>
      <c r="AC142" s="947" t="s">
        <v>448</v>
      </c>
      <c r="AD142" s="948" t="str">
        <f ca="1">IF(OR(AD140=0,AD141=0),"",AD140/AD141)</f>
        <v/>
      </c>
      <c r="AE142" s="949" t="str">
        <f t="shared" ref="AE142:AJ142" ca="1" si="141">IF(OR(AE140=0,AE141=0),"",AE140/AE141)</f>
        <v/>
      </c>
      <c r="AF142" s="950">
        <f t="shared" ca="1" si="141"/>
        <v>1.4460286443899848</v>
      </c>
      <c r="AG142" s="950">
        <f t="shared" ca="1" si="141"/>
        <v>2.193966574077963</v>
      </c>
      <c r="AH142" s="950">
        <f t="shared" ca="1" si="141"/>
        <v>3.1808159725320517</v>
      </c>
      <c r="AI142" s="950">
        <f t="shared" ca="1" si="141"/>
        <v>12.599647863090489</v>
      </c>
      <c r="AJ142" s="951">
        <f t="shared" ca="1" si="141"/>
        <v>3.1499119657726222</v>
      </c>
      <c r="AK142" s="849" t="str">
        <f ca="1">IF(AND(AD142&gt;0,SUM(AE142:AJ142)&gt;0),"",IF(AND(AD142=0,SUM(AD142:AJ142)=0),"",IF(AND(AD142=0,AE142&gt;0),"Missing value?",IF(AND(AD142=0,AJ142&gt;0),"Missing value?","New category"))))</f>
        <v/>
      </c>
      <c r="AL142" s="796"/>
      <c r="AM142" s="2200" t="str">
        <f ca="1">IF(AD142&lt;'QA config'!D2,CONCATENATE("&lt; ",'QA config'!D2," m3/FTE"),IF(AD142&gt;'QA config'!C2,CONCATENATE("&gt; ",'QA config'!C2," m3/FTE"),""))</f>
        <v>&gt; 20 m3/FTE</v>
      </c>
      <c r="AN142" s="2201"/>
      <c r="AO142" s="790"/>
      <c r="AP142" s="952" t="str">
        <f ca="1">IF(OR(+$AK142="missing?",+$AK142="new category"),"",IF($AE142=0,"",IF(SUM($AD142:$AJ142)=0,"",IFERROR((($AD142-$AE142)/$AE142),"N/A"))))</f>
        <v>N/A</v>
      </c>
      <c r="AQ142" s="1070" t="str">
        <f t="shared" ca="1" si="136"/>
        <v>N/A</v>
      </c>
      <c r="AR142" s="1070" t="str">
        <f t="shared" ca="1" si="137"/>
        <v>N/A</v>
      </c>
      <c r="AS142" s="1070" t="str">
        <f ca="1">IF(OR(+$AK142="missing?",+$AK142="new category"),"",IF($AH142=0,"",IF(SUM($AD142:$AJ142)=0,"",IFERROR((($AD142-$AH142)/$AH142),"N/A"))))</f>
        <v>N/A</v>
      </c>
      <c r="AT142" s="953" t="str">
        <f ca="1">IF(OR(+$AK142="missing?",+$AK142="new category"),"",IF($AJ142=0,"",IF(SUM($AD142:$AJ142)=0,"",IFERROR((($AD142-$AJ142)/$AJ142),"N/A"))))</f>
        <v>N/A</v>
      </c>
      <c r="AU142" s="2202" t="str">
        <f t="shared" ca="1" si="140"/>
        <v/>
      </c>
      <c r="AV142" s="2203"/>
      <c r="AW142" s="1405"/>
      <c r="AX142" s="1405"/>
      <c r="AY142" s="1405"/>
      <c r="AZ142" s="2203" t="str">
        <f ca="1">IF(+AU142="","",IF(AU142&gt;$AN$3,"H",IF(AU142&gt;$AN$4,"M","")))</f>
        <v/>
      </c>
      <c r="BA142" s="2203"/>
      <c r="BB142" s="790" t="s">
        <v>552</v>
      </c>
      <c r="BC142" s="954" t="str">
        <f ca="1">IF(CONCATENATE(IF(AL142="OK","",AK142), "    ",IF(AND(+BB142="",AZ142="M"),"Value change with medium impact",IF(AND(BB142="",AZ142="H"),"Value change with high impact",""))," ")="     ","",CONCATENATE(IF(AL142="OK","",AK142), "    ",IF(AND(+BB142="",AZ142="M"),"Value change with medium impact",IF(AND(BB142="",AZ142="H"),"Value change with high impact",""))," "))</f>
        <v/>
      </c>
    </row>
    <row r="143" spans="1:55" ht="12.75" customHeight="1" x14ac:dyDescent="0.3">
      <c r="A143" s="55"/>
      <c r="B143" s="1182"/>
      <c r="C143" s="1182"/>
      <c r="D143" s="1182"/>
      <c r="E143" s="1182"/>
      <c r="F143" s="1182"/>
      <c r="G143" s="1182"/>
      <c r="H143" s="1182"/>
      <c r="I143" s="1182"/>
      <c r="J143" s="1182"/>
      <c r="K143" s="1182"/>
      <c r="L143" s="1182"/>
      <c r="M143" s="1182"/>
      <c r="N143" s="1182"/>
      <c r="O143" s="1182"/>
      <c r="P143" s="1182"/>
      <c r="Q143" s="1182"/>
      <c r="R143" s="1182"/>
      <c r="S143" s="1182"/>
      <c r="T143" s="1182"/>
      <c r="U143" s="1182"/>
      <c r="V143" s="1182"/>
      <c r="W143" s="1182"/>
      <c r="X143" s="1182"/>
      <c r="Y143" s="1182"/>
      <c r="Z143" s="1182"/>
      <c r="AA143" s="1182"/>
      <c r="AB143" s="1182"/>
      <c r="AC143" s="55"/>
      <c r="AD143" s="1393"/>
      <c r="AE143" s="1393"/>
      <c r="AF143" s="1393"/>
      <c r="AG143" s="1393"/>
      <c r="AH143" s="1393"/>
      <c r="AI143" s="1393"/>
      <c r="AJ143" s="1393"/>
      <c r="AK143" s="192"/>
      <c r="AL143" s="192"/>
      <c r="AM143" s="99"/>
      <c r="AN143" s="99"/>
      <c r="AO143" s="192"/>
      <c r="AP143" s="921"/>
      <c r="AQ143" s="921"/>
      <c r="AR143" s="921"/>
      <c r="AS143" s="921"/>
      <c r="AT143" s="921"/>
      <c r="AU143" s="710"/>
      <c r="AV143" s="710"/>
      <c r="AW143" s="710"/>
      <c r="AX143" s="710"/>
      <c r="AY143" s="710"/>
      <c r="AZ143" s="710"/>
      <c r="BA143" s="710"/>
      <c r="BB143" s="192"/>
      <c r="BC143" s="875"/>
    </row>
    <row r="144" spans="1:55" ht="12.75" customHeight="1" x14ac:dyDescent="0.3">
      <c r="A144" s="55"/>
      <c r="B144" s="1182"/>
      <c r="C144" s="1182"/>
      <c r="D144" s="1182"/>
      <c r="E144" s="1182"/>
      <c r="F144" s="1182"/>
      <c r="G144" s="1182"/>
      <c r="H144" s="1182"/>
      <c r="I144" s="1182"/>
      <c r="J144" s="1182"/>
      <c r="K144" s="1182"/>
      <c r="L144" s="1182"/>
      <c r="M144" s="1182"/>
      <c r="N144" s="1182"/>
      <c r="O144" s="1182"/>
      <c r="P144" s="1182"/>
      <c r="Q144" s="1182"/>
      <c r="R144" s="1182"/>
      <c r="S144" s="1182"/>
      <c r="T144" s="1182"/>
      <c r="U144" s="1182"/>
      <c r="V144" s="1182"/>
      <c r="W144" s="1182"/>
      <c r="X144" s="1182"/>
      <c r="Y144" s="1182"/>
      <c r="Z144" s="1182"/>
      <c r="AA144" s="1182"/>
      <c r="AB144" s="1182"/>
      <c r="AC144" s="55"/>
      <c r="AD144" s="1393"/>
      <c r="AE144" s="1393"/>
      <c r="AF144" s="1393"/>
      <c r="AG144" s="1393"/>
      <c r="AH144" s="1393"/>
      <c r="AI144" s="1393"/>
      <c r="AJ144" s="1393"/>
      <c r="AK144" s="192"/>
      <c r="AL144" s="192"/>
      <c r="AM144" s="99"/>
      <c r="AN144" s="99"/>
      <c r="AO144" s="192"/>
      <c r="AP144" s="921"/>
      <c r="AQ144" s="921"/>
      <c r="AR144" s="921"/>
      <c r="AS144" s="921"/>
      <c r="AT144" s="921"/>
      <c r="AU144" s="710"/>
      <c r="AV144" s="710"/>
      <c r="AW144" s="710"/>
      <c r="AX144" s="710"/>
      <c r="AY144" s="710"/>
      <c r="AZ144" s="710"/>
      <c r="BA144" s="710"/>
      <c r="BB144" s="192"/>
      <c r="BC144" s="875"/>
    </row>
    <row r="145" spans="1:55" ht="13.5" customHeight="1" x14ac:dyDescent="0.3">
      <c r="A145" s="923" t="s">
        <v>147</v>
      </c>
      <c r="B145" s="87"/>
      <c r="C145" s="819" t="s">
        <v>23</v>
      </c>
      <c r="D145" s="819" t="s">
        <v>23</v>
      </c>
      <c r="E145" s="819" t="s">
        <v>23</v>
      </c>
      <c r="F145" s="819" t="s">
        <v>23</v>
      </c>
      <c r="G145" s="819" t="s">
        <v>23</v>
      </c>
      <c r="H145" s="819"/>
      <c r="I145" s="819" t="s">
        <v>23</v>
      </c>
      <c r="J145" s="819" t="s">
        <v>23</v>
      </c>
      <c r="K145" s="819" t="s">
        <v>23</v>
      </c>
      <c r="L145" s="819" t="s">
        <v>23</v>
      </c>
      <c r="M145" s="819" t="s">
        <v>23</v>
      </c>
      <c r="N145" s="819" t="s">
        <v>23</v>
      </c>
      <c r="O145" s="819" t="s">
        <v>23</v>
      </c>
      <c r="P145" s="819" t="s">
        <v>23</v>
      </c>
      <c r="Q145" s="819" t="s">
        <v>23</v>
      </c>
      <c r="R145" s="819" t="s">
        <v>23</v>
      </c>
      <c r="S145" s="819" t="s">
        <v>23</v>
      </c>
      <c r="T145" s="819" t="s">
        <v>23</v>
      </c>
      <c r="U145" s="819"/>
      <c r="V145" s="819"/>
      <c r="W145" s="819"/>
      <c r="X145" s="819"/>
      <c r="Y145" s="819" t="s">
        <v>23</v>
      </c>
      <c r="Z145" s="819" t="s">
        <v>23</v>
      </c>
      <c r="AA145" s="819" t="s">
        <v>23</v>
      </c>
      <c r="AB145" s="819" t="s">
        <v>23</v>
      </c>
      <c r="AC145" s="1076" t="s">
        <v>144</v>
      </c>
      <c r="AD145" s="1076" t="s">
        <v>144</v>
      </c>
      <c r="AE145" s="1076" t="s">
        <v>144</v>
      </c>
      <c r="AF145" s="1076" t="s">
        <v>144</v>
      </c>
      <c r="AG145" s="1076" t="s">
        <v>144</v>
      </c>
      <c r="AH145" s="1076" t="s">
        <v>144</v>
      </c>
      <c r="AI145" s="1076"/>
      <c r="AJ145" s="1076" t="s">
        <v>144</v>
      </c>
      <c r="AK145" s="1076" t="s">
        <v>144</v>
      </c>
      <c r="AL145" s="1076" t="s">
        <v>144</v>
      </c>
      <c r="AM145" s="1076" t="s">
        <v>144</v>
      </c>
      <c r="AN145" s="1076" t="s">
        <v>144</v>
      </c>
      <c r="AO145" s="1076" t="s">
        <v>144</v>
      </c>
      <c r="AP145" s="1076" t="s">
        <v>144</v>
      </c>
      <c r="AQ145" s="1076" t="s">
        <v>144</v>
      </c>
      <c r="AR145" s="1076" t="s">
        <v>144</v>
      </c>
      <c r="AS145" s="1076" t="s">
        <v>144</v>
      </c>
      <c r="AT145" s="1076" t="s">
        <v>144</v>
      </c>
      <c r="AU145" s="1076" t="s">
        <v>144</v>
      </c>
      <c r="AV145" s="1076"/>
      <c r="AW145" s="1076"/>
      <c r="AX145" s="1076"/>
      <c r="AY145" s="1076"/>
      <c r="AZ145" s="1076" t="s">
        <v>144</v>
      </c>
      <c r="BA145" s="1076" t="s">
        <v>144</v>
      </c>
      <c r="BB145" s="1076" t="s">
        <v>144</v>
      </c>
      <c r="BC145" s="1076" t="s">
        <v>144</v>
      </c>
    </row>
    <row r="146" spans="1:55" thickBot="1" x14ac:dyDescent="0.35">
      <c r="A146" s="1170"/>
      <c r="B146" s="50"/>
      <c r="C146" s="671"/>
      <c r="D146" s="671"/>
      <c r="E146" s="671"/>
      <c r="F146" s="671"/>
      <c r="G146" s="671"/>
      <c r="H146" s="671"/>
      <c r="I146" s="671"/>
      <c r="J146" s="88"/>
      <c r="K146" s="88"/>
      <c r="L146" s="88"/>
      <c r="M146" s="88"/>
      <c r="N146" s="1170"/>
      <c r="O146" s="88"/>
      <c r="P146" s="88"/>
      <c r="Q146" s="88"/>
      <c r="R146" s="88"/>
      <c r="S146" s="88"/>
      <c r="T146" s="88"/>
      <c r="U146" s="88"/>
      <c r="V146" s="88"/>
      <c r="W146" s="88"/>
      <c r="X146" s="88"/>
      <c r="Y146" s="88"/>
      <c r="Z146" s="88"/>
      <c r="AA146" s="88"/>
      <c r="AB146" s="88"/>
      <c r="AC146" s="50"/>
      <c r="AD146" s="106"/>
      <c r="AE146" s="106"/>
      <c r="AF146" s="106"/>
      <c r="AG146" s="106"/>
      <c r="AH146" s="106"/>
      <c r="AI146" s="106"/>
      <c r="AJ146" s="197"/>
      <c r="AK146" s="106"/>
      <c r="AL146" s="106"/>
      <c r="AM146" s="106"/>
      <c r="AN146" s="106"/>
      <c r="AO146" s="50"/>
      <c r="AP146" s="50"/>
      <c r="AQ146" s="50"/>
      <c r="AR146" s="50"/>
      <c r="AS146" s="50"/>
      <c r="AT146" s="50"/>
      <c r="AU146" s="50"/>
      <c r="AV146" s="50"/>
      <c r="AW146" s="50"/>
      <c r="AX146" s="50"/>
      <c r="AY146" s="50"/>
      <c r="AZ146" s="50"/>
      <c r="BA146" s="50"/>
      <c r="BB146" s="50"/>
      <c r="BC146" s="50"/>
    </row>
    <row r="147" spans="1:55" ht="27.6" x14ac:dyDescent="0.3">
      <c r="A147" s="100"/>
      <c r="B147" s="101"/>
      <c r="C147" s="1244" t="s">
        <v>176</v>
      </c>
      <c r="D147" s="2165" t="s">
        <v>177</v>
      </c>
      <c r="E147" s="2165"/>
      <c r="F147" s="2165"/>
      <c r="G147" s="2166"/>
      <c r="H147" s="2167"/>
      <c r="I147" s="2167"/>
      <c r="J147" s="2168" t="s">
        <v>428</v>
      </c>
      <c r="K147" s="2169"/>
      <c r="L147" s="2170"/>
      <c r="M147" s="2171"/>
      <c r="N147" s="2172"/>
      <c r="O147" s="2173" t="s">
        <v>430</v>
      </c>
      <c r="P147" s="2170"/>
      <c r="Q147" s="2170"/>
      <c r="R147" s="2171"/>
      <c r="S147" s="2174"/>
      <c r="T147" s="2170" t="s">
        <v>418</v>
      </c>
      <c r="U147" s="2171"/>
      <c r="V147" s="2171"/>
      <c r="W147" s="2171"/>
      <c r="X147" s="2171"/>
      <c r="Y147" s="2171"/>
      <c r="Z147" s="2171"/>
      <c r="AA147" s="2172"/>
      <c r="AB147" s="2192" t="s">
        <v>433</v>
      </c>
      <c r="AC147" s="2194" t="s">
        <v>432</v>
      </c>
      <c r="AD147" s="1408" t="s">
        <v>176</v>
      </c>
      <c r="AE147" s="2195" t="s">
        <v>177</v>
      </c>
      <c r="AF147" s="2195"/>
      <c r="AG147" s="2195"/>
      <c r="AH147" s="2196"/>
      <c r="AI147" s="2197"/>
      <c r="AJ147" s="2197"/>
      <c r="AK147" s="2198" t="s">
        <v>428</v>
      </c>
      <c r="AL147" s="2199"/>
      <c r="AM147" s="2182"/>
      <c r="AN147" s="2183"/>
      <c r="AO147" s="2184"/>
      <c r="AP147" s="2185" t="s">
        <v>430</v>
      </c>
      <c r="AQ147" s="2182"/>
      <c r="AR147" s="2182"/>
      <c r="AS147" s="2183"/>
      <c r="AT147" s="2186"/>
      <c r="AU147" s="2182" t="s">
        <v>418</v>
      </c>
      <c r="AV147" s="2183"/>
      <c r="AW147" s="2183"/>
      <c r="AX147" s="2183"/>
      <c r="AY147" s="2183"/>
      <c r="AZ147" s="2183"/>
      <c r="BA147" s="2183"/>
      <c r="BB147" s="2184"/>
      <c r="BC147" s="2187" t="s">
        <v>433</v>
      </c>
    </row>
    <row r="148" spans="1:55" ht="38.25" customHeight="1" thickBot="1" x14ac:dyDescent="0.35">
      <c r="A148" s="102"/>
      <c r="B148" s="653"/>
      <c r="C148" s="1245" t="str">
        <f>C14</f>
        <v>Q4</v>
      </c>
      <c r="D148" s="925" t="str">
        <f t="shared" ref="D148:I148" si="142">D14</f>
        <v>Q3</v>
      </c>
      <c r="E148" s="925" t="str">
        <f t="shared" si="142"/>
        <v>Q2</v>
      </c>
      <c r="F148" s="925" t="str">
        <f t="shared" si="142"/>
        <v>Q1</v>
      </c>
      <c r="G148" s="722" t="str">
        <f t="shared" si="142"/>
        <v>Q4-19</v>
      </c>
      <c r="H148" s="722" t="str">
        <f t="shared" si="142"/>
        <v>2018-2019</v>
      </c>
      <c r="I148" s="926" t="str">
        <f t="shared" si="142"/>
        <v>25% of previous year total</v>
      </c>
      <c r="J148" s="724" t="s">
        <v>434</v>
      </c>
      <c r="K148" s="725" t="s">
        <v>435</v>
      </c>
      <c r="L148" s="1158"/>
      <c r="M148" s="726"/>
      <c r="N148" s="902"/>
      <c r="O148" s="728" t="s">
        <v>438</v>
      </c>
      <c r="P148" s="925" t="s">
        <v>470</v>
      </c>
      <c r="Q148" s="925" t="s">
        <v>471</v>
      </c>
      <c r="R148" s="1169" t="s">
        <v>439</v>
      </c>
      <c r="S148" s="729" t="s">
        <v>440</v>
      </c>
      <c r="T148" s="2156" t="s">
        <v>441</v>
      </c>
      <c r="U148" s="2155"/>
      <c r="V148" s="1394"/>
      <c r="W148" s="1394"/>
      <c r="X148" s="1394"/>
      <c r="Y148" s="2157" t="s">
        <v>449</v>
      </c>
      <c r="Z148" s="2155"/>
      <c r="AA148" s="1159" t="s">
        <v>445</v>
      </c>
      <c r="AB148" s="2193"/>
      <c r="AC148" s="2189"/>
      <c r="AD148" s="1409" t="str">
        <f>AD14</f>
        <v>Q4</v>
      </c>
      <c r="AE148" s="955" t="str">
        <f t="shared" ref="AE148:AJ148" si="143">AE14</f>
        <v>Q3</v>
      </c>
      <c r="AF148" s="730" t="str">
        <f t="shared" si="143"/>
        <v>Q2</v>
      </c>
      <c r="AG148" s="730" t="str">
        <f t="shared" si="143"/>
        <v>Q1</v>
      </c>
      <c r="AH148" s="956" t="str">
        <f t="shared" si="143"/>
        <v>Q4-19</v>
      </c>
      <c r="AI148" s="957" t="str">
        <f t="shared" si="143"/>
        <v>2018-2019</v>
      </c>
      <c r="AJ148" s="957" t="str">
        <f t="shared" si="143"/>
        <v>25% of previous year total</v>
      </c>
      <c r="AK148" s="958" t="s">
        <v>434</v>
      </c>
      <c r="AL148" s="959" t="s">
        <v>435</v>
      </c>
      <c r="AM148" s="1161"/>
      <c r="AN148" s="837"/>
      <c r="AO148" s="838"/>
      <c r="AP148" s="731" t="s">
        <v>438</v>
      </c>
      <c r="AQ148" s="730" t="s">
        <v>470</v>
      </c>
      <c r="AR148" s="730" t="s">
        <v>471</v>
      </c>
      <c r="AS148" s="1168" t="s">
        <v>439</v>
      </c>
      <c r="AT148" s="732" t="s">
        <v>440</v>
      </c>
      <c r="AU148" s="2189" t="s">
        <v>441</v>
      </c>
      <c r="AV148" s="2190"/>
      <c r="AW148" s="1394"/>
      <c r="AX148" s="1394"/>
      <c r="AY148" s="1394"/>
      <c r="AZ148" s="2191" t="s">
        <v>450</v>
      </c>
      <c r="BA148" s="2190"/>
      <c r="BB148" s="1162" t="s">
        <v>445</v>
      </c>
      <c r="BC148" s="2188"/>
    </row>
    <row r="149" spans="1:55" ht="13.5" customHeight="1" x14ac:dyDescent="0.3">
      <c r="A149" s="960" t="str">
        <f>'Q1'!B171</f>
        <v>Waste recycled externally (excl. ICT waste)</v>
      </c>
      <c r="B149" s="903"/>
      <c r="C149" s="1262">
        <f t="shared" ref="C149:H162" ca="1" si="144">INDEX(INDIRECT(CONCATENATE("'",C$14,"'!$E$171:$E$184"),TRUE),MATCH($A149,INDIRECT(CONCATENATE("'",C$14,"'!$B$171:$B$184"),TRUE),0))</f>
        <v>0</v>
      </c>
      <c r="D149" s="760">
        <f t="shared" ca="1" si="144"/>
        <v>0</v>
      </c>
      <c r="E149" s="761">
        <f t="shared" ca="1" si="144"/>
        <v>9584.11</v>
      </c>
      <c r="F149" s="761">
        <f t="shared" ca="1" si="144"/>
        <v>10210.61</v>
      </c>
      <c r="G149" s="761">
        <f t="shared" ca="1" si="144"/>
        <v>10123.6057666738</v>
      </c>
      <c r="H149" s="761">
        <f t="shared" ca="1" si="144"/>
        <v>39436.597342014502</v>
      </c>
      <c r="I149" s="961">
        <f t="shared" ref="I149:I162" ca="1" si="145">H149/4</f>
        <v>9859.1493355036255</v>
      </c>
      <c r="J149" s="800" t="str">
        <f t="shared" ref="J149:J157" ca="1" si="146">IF(AND(C149&gt;0,SUM(D149:I149)&gt;0),"",IF(AND(C149=0,SUM(C149:I149)=0),"",IF(AND(C149=0,D149&gt;0),"Missing value?",IF(AND(C149=0,I149&gt;0),"Missing value?","New category"))))</f>
        <v>Missing value?</v>
      </c>
      <c r="K149" s="801"/>
      <c r="L149" s="962"/>
      <c r="M149" s="963"/>
      <c r="N149" s="964"/>
      <c r="O149" s="906" t="str">
        <f t="shared" ref="O149:O162" ca="1" si="147">IF(OR(+$J149="missing?",+$J149="new category"),"",IF($D149=0,"",IF(SUM($C149:$I149)=0,"",IFERROR((($C149-$D149)/$D149),"N/A"))))</f>
        <v/>
      </c>
      <c r="P149" s="765">
        <f t="shared" ref="P149:P162" ca="1" si="148">IF(OR(+$J149="missing?",+$J149="new category"),"",IF($E149=0,"",IF(SUM($C149:$I149)=0,"",IFERROR((($C149-$E149)/$E149),"N/A"))))</f>
        <v>-1</v>
      </c>
      <c r="Q149" s="765">
        <f t="shared" ref="Q149:Q162" ca="1" si="149">IF(OR(+$J149="missing?",+$J149="new category"),"",IF($F149=0,"",IF(SUM($C149:$I149)=0,"",IFERROR((($C149-$F149)/$F149),"N/A"))))</f>
        <v>-1</v>
      </c>
      <c r="R149" s="765">
        <f t="shared" ref="R149:R162" ca="1" si="150">IF(OR(+$J149="missing?",+$J149="new category"),"",IF($G149=0,"",IF(SUM($C149:$I149)=0,"",IFERROR((($C149-$G149)/$G149),"N/A"))))</f>
        <v>-1</v>
      </c>
      <c r="S149" s="907">
        <f t="shared" ref="S149:S162" ca="1" si="151">IF(OR(+$J149="missing?",+$J149="new category"),"",IF($I149=0,"",IF(SUM($C149:$I149)=0,"",IFERROR((($C149-$I149)/$I149),"N/A"))))</f>
        <v>-1</v>
      </c>
      <c r="T149" s="1068">
        <f t="shared" ref="T149:T157" ca="1" si="152">IF(SUM(C149:I149)=0,"",IF(OR(AND(C149=0,SUM(D149:I149)&gt;0),AND(C149&gt;0,SUM(D149:I149)=0)),1,IF(MAX(IF(O149&lt;0,-O149,O149),IF(P149&lt;0,-P149,P149),IF(Q149&lt;0,-Q149,Q149),IF(R149&lt;0,-R149,R149),IF(S149&lt;0,-S149,S149))=0,"",MAX(IF(O149&lt;0,-O149,O149),IF(P149&lt;0,-P149,P149),IF(Q149&lt;0,-Q149,Q149),IF(R149&lt;0,-R149,R149),IF(S149&lt;0,-S149,S149)))))</f>
        <v>1</v>
      </c>
      <c r="U149" s="766" t="str">
        <f t="shared" ref="U149:U157" ca="1" si="153">IF(+T149="","",IF(T149&gt;$N$3,"H",IF(T149&gt;$N$4,"M","")))</f>
        <v>H</v>
      </c>
      <c r="V149" s="1395"/>
      <c r="W149" s="1395"/>
      <c r="X149" s="1395"/>
      <c r="Y149" s="1068">
        <f ca="1">IF(OR(C149=0,C$162=0),IF(AND(D149&gt;0,D$162&gt;0), +T149*D149/D$162, IF(AND(I149&gt;0,I$162&gt;0), +T149*I149/I$162, "")), +T149*C149/C$162)</f>
        <v>0.78328974193790701</v>
      </c>
      <c r="Z149" s="766" t="str">
        <f t="shared" ref="Z149:Z157" ca="1" si="154">IF(+Y149="","",IF(Y149&gt;$N$3,"H",IF(Y149&gt;$N$4,"M","")))</f>
        <v>H</v>
      </c>
      <c r="AA149" s="762" t="s">
        <v>552</v>
      </c>
      <c r="AB149" s="758" t="str">
        <f ca="1">IF(CONCATENATE(IF(K149="OK","",J149),"    ",IF(AND(+AA149="",Z149="M"),"Value change with medium impact",IF(AND(AA149="",Z149="H"),"Value change with high impact",""))," ")="     ","",CONCATENATE(IF(K149="OK","",J149),"    ",IF(AND(+AA149="",Z149="M"),"Value change with medium impact",IF(AND(AA149="",Z149="H"),"Value change with high impact",""))," "))</f>
        <v xml:space="preserve">Missing value?     </v>
      </c>
      <c r="AC149" s="965" t="str">
        <f ca="1">IF(AD149&gt;C149,"Offices only&gt;Total Estate","")</f>
        <v/>
      </c>
      <c r="AD149" s="1180">
        <f t="shared" ref="AD149:AI162" ca="1" si="155">INDEX(INDIRECT(CONCATENATE("'",AD$14,"'!$G$171:$G$184"),TRUE),MATCH($A149,INDIRECT(CONCATENATE("'",AD$14,"'!$B$171:$B$184"),TRUE),0))</f>
        <v>0</v>
      </c>
      <c r="AE149" s="760">
        <f t="shared" ca="1" si="155"/>
        <v>0</v>
      </c>
      <c r="AF149" s="761">
        <f t="shared" ca="1" si="155"/>
        <v>143.43</v>
      </c>
      <c r="AG149" s="761">
        <f t="shared" ca="1" si="155"/>
        <v>98.81</v>
      </c>
      <c r="AH149" s="761">
        <f t="shared" ca="1" si="155"/>
        <v>443.85256819385501</v>
      </c>
      <c r="AI149" s="761">
        <f t="shared" ca="1" si="155"/>
        <v>1542.576482537015</v>
      </c>
      <c r="AJ149" s="961">
        <f ca="1">AI149/4</f>
        <v>385.64412063425374</v>
      </c>
      <c r="AK149" s="800" t="str">
        <f ca="1">IF(AND(AD149&gt;0,SUM(AE149:AJ149)&gt;0),"",IF(AND(AD149=0,SUM(AD149:AJ149)=0),"",IF(AND(AD149=0,AE149&gt;0),"missing?",IF(AND(AD149=0,AJ149&gt;0),"missing?","new category"))))</f>
        <v>missing?</v>
      </c>
      <c r="AL149" s="801"/>
      <c r="AM149" s="962"/>
      <c r="AN149" s="963"/>
      <c r="AO149" s="964"/>
      <c r="AP149" s="802" t="str">
        <f t="shared" ref="AP149:AP162" ca="1" si="156">IF(OR(+$AK149="missing?",+$AK149="new category"),"",IF($AE149=0,"",IF(SUM($AD149:$AJ149)=0,"",IFERROR((($AD149-$AE149)/$AE149),"N/A"))))</f>
        <v/>
      </c>
      <c r="AQ149" s="765" t="str">
        <f t="shared" ref="AQ149:AQ162" ca="1" si="157">IF(OR(+$AK149="missing?",+$AK149="new category"),"",IF($AF149=0,"",IF(SUM($AD149:$AJ149)=0,"",IFERROR((($AD149-$AF149)/$AF149),"N/A"))))</f>
        <v/>
      </c>
      <c r="AR149" s="765" t="str">
        <f t="shared" ref="AR149:AR162" ca="1" si="158">IF(OR(+$AK149="missing?",+$AK149="new category"),"",IF($AG149=0,"",IF(SUM($AD149:$AJ149)=0,"",IFERROR((($AD149-$AG149)/$AG149),"N/A"))))</f>
        <v/>
      </c>
      <c r="AS149" s="765" t="str">
        <f t="shared" ref="AS149:AS162" ca="1" si="159">IF(OR(+$AK149="missing?",+$AK149="new category"),"",IF($AH149=0,"",IF(SUM($AD149:$AJ149)=0,"",IFERROR((($AD149-$AH149)/$AH149),"N/A"))))</f>
        <v/>
      </c>
      <c r="AT149" s="907" t="str">
        <f ca="1">IF(OR(+$AK149="missing?",+$AK149="new category"),"",IF($AJ149=0,"",IF(SUM($AD149:$AJ149)=0,"",IFERROR((($AD149-$AJ149)/$AJ149),"N/A"))))</f>
        <v/>
      </c>
      <c r="AU149" s="1068" t="str">
        <f t="shared" ref="AU149:AU157" ca="1" si="160">IF(MAX(IF(AP149&lt;0,-AP149,AP149),IF(AS149&lt;0,-AS149,AS149),IF(AT149&lt;0,-AT149,AT149))=0,"",MAX(IF(AP149&lt;0,-AP149,AP149),IF(AQ149&lt;0,-AQ149,AQ149),IF(AR149&lt;0,-AR149,AR149),IF(AS149&lt;0,-AS149,AS149),IF(AT149&lt;0,-AT149,AT149)))</f>
        <v/>
      </c>
      <c r="AV149" s="766" t="str">
        <f t="shared" ref="AV149:AV157" ca="1" si="161">IF(+AU149="","",IF(AU149&gt;$AO$3,"H",IF(AU149&gt;$AO$4,"M","")))</f>
        <v/>
      </c>
      <c r="AW149" s="1395"/>
      <c r="AX149" s="1395"/>
      <c r="AY149" s="1395"/>
      <c r="AZ149" s="1068" t="e">
        <f ca="1">IF(OR(AD149=0,AD$162=0),IF(AND(AE149&gt;0,AE$162&gt;0), +AU149*AE149/AE$162, IF(AND(AJ149&gt;0,AJ$162&gt;0), +AU149*AJ149/AJ$162, "")), IF(AU149="", "", +AU149*AD149/AD$162))</f>
        <v>#VALUE!</v>
      </c>
      <c r="BA149" s="766" t="e">
        <f t="shared" ref="BA149:BA157" ca="1" si="162">IF(+AZ149="","",IF(AZ149&gt;$AO$3,"H",IF(AZ149&gt;$AO$4,"M","")))</f>
        <v>#VALUE!</v>
      </c>
      <c r="BB149" s="762"/>
      <c r="BC149" s="758" t="e">
        <f ca="1">IF(CONCATENATE(AC149, "    ", IF(AL149="OK","",AK149),"    ",IF(AND(+BB149="",BA149="M"),"Value change with medium impact",IF(AND(BB149="",BA149="H"),"Value change with high impact",""))," ")="         ","",CONCATENATE(AC149, "    ", IF(AL149="OK","",AK149),"    ",IF(AND(+BB149="",BA149="M"),"Value change with medium impact",IF(AND(BB149="",BA149="H"),"Value change with high impact",""))," "))</f>
        <v>#VALUE!</v>
      </c>
    </row>
    <row r="150" spans="1:55" ht="13.5" customHeight="1" x14ac:dyDescent="0.3">
      <c r="A150" s="966" t="str">
        <f>'Q1'!B172</f>
        <v>waste reused externally  (excl. ICT waste)</v>
      </c>
      <c r="B150" s="908"/>
      <c r="C150" s="1179">
        <f t="shared" ca="1" si="144"/>
        <v>0</v>
      </c>
      <c r="D150" s="781">
        <f t="shared" ca="1" si="144"/>
        <v>0</v>
      </c>
      <c r="E150" s="769">
        <f t="shared" ca="1" si="144"/>
        <v>155.63999999999999</v>
      </c>
      <c r="F150" s="769">
        <f t="shared" ca="1" si="144"/>
        <v>34.437230194091804</v>
      </c>
      <c r="G150" s="769">
        <f t="shared" ca="1" si="144"/>
        <v>192.63350514221099</v>
      </c>
      <c r="H150" s="769">
        <f t="shared" ca="1" si="144"/>
        <v>1075.929548987916</v>
      </c>
      <c r="I150" s="967">
        <f t="shared" ca="1" si="145"/>
        <v>268.98238724697899</v>
      </c>
      <c r="J150" s="771" t="str">
        <f t="shared" ca="1" si="146"/>
        <v>Missing value?</v>
      </c>
      <c r="K150" s="772"/>
      <c r="L150" s="968"/>
      <c r="M150" s="969"/>
      <c r="N150" s="970"/>
      <c r="O150" s="810" t="str">
        <f t="shared" ca="1" si="147"/>
        <v/>
      </c>
      <c r="P150" s="783">
        <f t="shared" ca="1" si="148"/>
        <v>-1</v>
      </c>
      <c r="Q150" s="783">
        <f t="shared" ca="1" si="149"/>
        <v>-1</v>
      </c>
      <c r="R150" s="783">
        <f t="shared" ca="1" si="150"/>
        <v>-1</v>
      </c>
      <c r="S150" s="811">
        <f t="shared" ca="1" si="151"/>
        <v>-1</v>
      </c>
      <c r="T150" s="1069">
        <f t="shared" ca="1" si="152"/>
        <v>1</v>
      </c>
      <c r="U150" s="1165" t="str">
        <f t="shared" ca="1" si="153"/>
        <v>H</v>
      </c>
      <c r="V150" s="1396"/>
      <c r="W150" s="1396"/>
      <c r="X150" s="1396"/>
      <c r="Y150" s="1069">
        <f t="shared" ref="Y150:Y157" ca="1" si="163">IF(OR(C150=0,C$162=0),IF(AND(D150&gt;0,D$162&gt;0), +T150*D150/D$162, IF(AND(I150&gt;0,I$162&gt;0), +T150*I150/I$162, "")), +T150*C150/C$162)</f>
        <v>2.1370113944193119E-2</v>
      </c>
      <c r="Z150" s="1165" t="str">
        <f t="shared" ca="1" si="154"/>
        <v/>
      </c>
      <c r="AA150" s="782"/>
      <c r="AB150" s="804" t="str">
        <f t="shared" ref="AB150:AB156" ca="1" si="164">IF(CONCATENATE(IF(K150="OK","",J150),"    ",IF(AND(+AA150="",Z150="M"),"Value change with medium impact",IF(AND(AA150="",Z150="H"),"Value change with high impact",""))," ")="     ","",CONCATENATE(IF(K150="OK","",J150),"    ",IF(AND(+AA150="",Z150="M"),"Value change with medium impact",IF(AND(AA150="",Z150="H"),"Value change with high impact",""))," "))</f>
        <v xml:space="preserve">Missing value?     </v>
      </c>
      <c r="AC150" s="971" t="str">
        <f t="shared" ref="AC150:AC157" ca="1" si="165">IF(AD150&gt;C150,"Offices only&gt;Total Estate","")</f>
        <v/>
      </c>
      <c r="AD150" s="1179">
        <f t="shared" ca="1" si="155"/>
        <v>0</v>
      </c>
      <c r="AE150" s="806">
        <f t="shared" ca="1" si="155"/>
        <v>0</v>
      </c>
      <c r="AF150" s="749">
        <f t="shared" ca="1" si="155"/>
        <v>0</v>
      </c>
      <c r="AG150" s="749">
        <f t="shared" ca="1" si="155"/>
        <v>0</v>
      </c>
      <c r="AH150" s="749">
        <f t="shared" ca="1" si="155"/>
        <v>4</v>
      </c>
      <c r="AI150" s="749">
        <f t="shared" ca="1" si="155"/>
        <v>4</v>
      </c>
      <c r="AJ150" s="972">
        <f t="shared" ref="AJ150:AJ162" ca="1" si="166">AI150/4</f>
        <v>1</v>
      </c>
      <c r="AK150" s="973" t="str">
        <f t="shared" ref="AK150:AK157" ca="1" si="167">IF(AND(AD150&gt;0,SUM(AE150:AJ150)&gt;0),"",IF(AND(AD150=0,SUM(AD150:AJ150)=0),"",IF(AND(AD150=0,AE150&gt;0),"missing?",IF(AND(AD150=0,AJ150&gt;0),"missing?","new category"))))</f>
        <v>missing?</v>
      </c>
      <c r="AL150" s="772"/>
      <c r="AM150" s="968"/>
      <c r="AN150" s="969"/>
      <c r="AO150" s="970"/>
      <c r="AP150" s="755" t="str">
        <f t="shared" ca="1" si="156"/>
        <v/>
      </c>
      <c r="AQ150" s="808" t="str">
        <f t="shared" ca="1" si="157"/>
        <v/>
      </c>
      <c r="AR150" s="808" t="str">
        <f t="shared" ca="1" si="158"/>
        <v/>
      </c>
      <c r="AS150" s="808" t="str">
        <f t="shared" ca="1" si="159"/>
        <v/>
      </c>
      <c r="AT150" s="974" t="str">
        <f t="shared" ref="AT150:AT162" ca="1" si="168">IF(OR(+$AK150="missing?",+$AK150="new category"),"",IF($AJ150=0,"",IF(SUM($AD150:$AJ150)=0,"",IFERROR((($AD150-$AJ150)/$AJ150),"N/A"))))</f>
        <v/>
      </c>
      <c r="AU150" s="1069" t="str">
        <f t="shared" ca="1" si="160"/>
        <v/>
      </c>
      <c r="AV150" s="1165" t="str">
        <f t="shared" ca="1" si="161"/>
        <v/>
      </c>
      <c r="AW150" s="1396"/>
      <c r="AX150" s="1396"/>
      <c r="AY150" s="1396"/>
      <c r="AZ150" s="1069" t="e">
        <f t="shared" ref="AZ150:AZ161" ca="1" si="169">IF(OR(AD150=0,AD$162=0),IF(AND(AE150&gt;0,AE$162&gt;0), +AU150*AE150/AE$162, IF(AND(AJ150&gt;0,AJ$162&gt;0), +AU150*AJ150/AJ$162, "")), IF(AU150="", "", +AU150*AD150/AD$162))</f>
        <v>#VALUE!</v>
      </c>
      <c r="BA150" s="1165" t="e">
        <f t="shared" ca="1" si="162"/>
        <v>#VALUE!</v>
      </c>
      <c r="BB150" s="782"/>
      <c r="BC150" s="804" t="e">
        <f t="shared" ref="BC150:BC161" ca="1" si="170">IF(CONCATENATE(AC150, "    ", IF(AL150="OK","",AK150),"    ",IF(AND(+BB150="",BA150="M"),"Value change with medium impact",IF(AND(BB150="",BA150="H"),"Value change with high impact",""))," ")="         ","",CONCATENATE(AC150, "    ", IF(AL150="OK","",AK150),"    ",IF(AND(+BB150="",BA150="M"),"Value change with medium impact",IF(AND(BB150="",BA150="H"),"Value change with high impact",""))," "))</f>
        <v>#VALUE!</v>
      </c>
    </row>
    <row r="151" spans="1:55" ht="13.5" customHeight="1" x14ac:dyDescent="0.3">
      <c r="A151" s="966" t="str">
        <f>'Q1'!B173</f>
        <v>ICT waste recycled externally</v>
      </c>
      <c r="B151" s="908"/>
      <c r="C151" s="1179">
        <f t="shared" ca="1" si="144"/>
        <v>0</v>
      </c>
      <c r="D151" s="781">
        <f t="shared" ca="1" si="144"/>
        <v>0</v>
      </c>
      <c r="E151" s="769">
        <f t="shared" ca="1" si="144"/>
        <v>1.03</v>
      </c>
      <c r="F151" s="769">
        <f t="shared" ca="1" si="144"/>
        <v>2.3051999511718799</v>
      </c>
      <c r="G151" s="769">
        <f t="shared" ca="1" si="144"/>
        <v>7.766</v>
      </c>
      <c r="H151" s="769">
        <f t="shared" ca="1" si="144"/>
        <v>10.001200000762939</v>
      </c>
      <c r="I151" s="967">
        <f t="shared" ca="1" si="145"/>
        <v>2.5003000001907347</v>
      </c>
      <c r="J151" s="771" t="str">
        <f t="shared" ca="1" si="146"/>
        <v>Missing value?</v>
      </c>
      <c r="K151" s="772"/>
      <c r="L151" s="968"/>
      <c r="M151" s="969"/>
      <c r="N151" s="1203"/>
      <c r="O151" s="810" t="str">
        <f t="shared" ca="1" si="147"/>
        <v/>
      </c>
      <c r="P151" s="783">
        <f t="shared" ca="1" si="148"/>
        <v>-1</v>
      </c>
      <c r="Q151" s="783">
        <f t="shared" ca="1" si="149"/>
        <v>-1</v>
      </c>
      <c r="R151" s="783">
        <f t="shared" ca="1" si="150"/>
        <v>-1</v>
      </c>
      <c r="S151" s="811">
        <f t="shared" ca="1" si="151"/>
        <v>-1</v>
      </c>
      <c r="T151" s="1069">
        <f t="shared" ca="1" si="152"/>
        <v>1</v>
      </c>
      <c r="U151" s="1165" t="str">
        <f t="shared" ca="1" si="153"/>
        <v>H</v>
      </c>
      <c r="V151" s="1396"/>
      <c r="W151" s="1396"/>
      <c r="X151" s="1396"/>
      <c r="Y151" s="1069">
        <f t="shared" ca="1" si="163"/>
        <v>1.9864384596185927E-4</v>
      </c>
      <c r="Z151" s="1165" t="str">
        <f t="shared" ca="1" si="154"/>
        <v/>
      </c>
      <c r="AA151" s="782"/>
      <c r="AB151" s="804" t="str">
        <f t="shared" ca="1" si="164"/>
        <v xml:space="preserve">Missing value?     </v>
      </c>
      <c r="AC151" s="971" t="str">
        <f t="shared" ca="1" si="165"/>
        <v/>
      </c>
      <c r="AD151" s="1179">
        <f t="shared" ca="1" si="155"/>
        <v>0</v>
      </c>
      <c r="AE151" s="806">
        <f t="shared" ca="1" si="155"/>
        <v>0</v>
      </c>
      <c r="AF151" s="749">
        <f t="shared" ca="1" si="155"/>
        <v>0.01</v>
      </c>
      <c r="AG151" s="749">
        <f t="shared" ca="1" si="155"/>
        <v>1.11719995117188</v>
      </c>
      <c r="AH151" s="749">
        <f t="shared" ca="1" si="155"/>
        <v>7.7</v>
      </c>
      <c r="AI151" s="749">
        <f t="shared" ca="1" si="155"/>
        <v>7.71870000076294</v>
      </c>
      <c r="AJ151" s="972">
        <f t="shared" ca="1" si="166"/>
        <v>1.929675000190735</v>
      </c>
      <c r="AK151" s="973" t="str">
        <f ca="1">IF(AND(AD151&gt;0,SUM(AE151:AJ151)&gt;0),"",IF(AND(AD151=0,SUM(AD151:AJ151)=0),"",IF(AND(AD151=0,AE151&gt;0),"missing?",IF(AND(AD151=0,AJ151&gt;0),"missing?","new category"))))</f>
        <v>missing?</v>
      </c>
      <c r="AL151" s="772"/>
      <c r="AM151" s="968"/>
      <c r="AN151" s="969"/>
      <c r="AO151" s="970"/>
      <c r="AP151" s="755" t="str">
        <f ca="1">IF(OR(+$AK151="missing?",+$AK151="new category"),"",IF($AE151=0,"",IF(SUM($AD151:$AJ151)=0,"",IFERROR((($AD151-$AE151)/$AE151),"N/A"))))</f>
        <v/>
      </c>
      <c r="AQ151" s="808" t="str">
        <f t="shared" ca="1" si="157"/>
        <v/>
      </c>
      <c r="AR151" s="808" t="str">
        <f t="shared" ca="1" si="158"/>
        <v/>
      </c>
      <c r="AS151" s="808" t="str">
        <f t="shared" ca="1" si="159"/>
        <v/>
      </c>
      <c r="AT151" s="974" t="str">
        <f t="shared" ca="1" si="168"/>
        <v/>
      </c>
      <c r="AU151" s="1069" t="str">
        <f t="shared" ca="1" si="160"/>
        <v/>
      </c>
      <c r="AV151" s="1165" t="str">
        <f t="shared" ca="1" si="161"/>
        <v/>
      </c>
      <c r="AW151" s="1396"/>
      <c r="AX151" s="1396"/>
      <c r="AY151" s="1396"/>
      <c r="AZ151" s="1069" t="e">
        <f t="shared" ca="1" si="169"/>
        <v>#VALUE!</v>
      </c>
      <c r="BA151" s="1165" t="e">
        <f t="shared" ca="1" si="162"/>
        <v>#VALUE!</v>
      </c>
      <c r="BB151" s="782"/>
      <c r="BC151" s="804" t="e">
        <f ca="1">IF(CONCATENATE(AC151, "    ", IF(AL151="OK","",AK151),"    ",IF(AND(+BB151="",BA151="M"),"Value change with medium impact",IF(AND(BB151="",BA151="H"),"Value change with high impact",""))," ")="         ","",CONCATENATE(AC151, "    ", IF(AL151="OK","",AK151),"    ",IF(AND(+BB151="",BA151="M"),"Value change with medium impact",IF(AND(BB151="",BA151="H"),"Value change with high impact",""))," "))</f>
        <v>#VALUE!</v>
      </c>
    </row>
    <row r="152" spans="1:55" ht="13.5" customHeight="1" x14ac:dyDescent="0.3">
      <c r="A152" s="966" t="str">
        <f>'Q1'!B174</f>
        <v>ICT waste reused externally</v>
      </c>
      <c r="B152" s="908"/>
      <c r="C152" s="1179">
        <f t="shared" ca="1" si="144"/>
        <v>0</v>
      </c>
      <c r="D152" s="781">
        <f t="shared" ca="1" si="144"/>
        <v>0</v>
      </c>
      <c r="E152" s="769">
        <f t="shared" ca="1" si="144"/>
        <v>0</v>
      </c>
      <c r="F152" s="769">
        <f t="shared" ca="1" si="144"/>
        <v>0</v>
      </c>
      <c r="G152" s="769">
        <f t="shared" ca="1" si="144"/>
        <v>0</v>
      </c>
      <c r="H152" s="769">
        <f t="shared" ca="1" si="144"/>
        <v>0</v>
      </c>
      <c r="I152" s="967">
        <f t="shared" ca="1" si="145"/>
        <v>0</v>
      </c>
      <c r="J152" s="771" t="str">
        <f t="shared" ca="1" si="146"/>
        <v/>
      </c>
      <c r="K152" s="772"/>
      <c r="L152" s="968"/>
      <c r="M152" s="969"/>
      <c r="N152" s="1203"/>
      <c r="O152" s="810" t="str">
        <f t="shared" ca="1" si="147"/>
        <v/>
      </c>
      <c r="P152" s="783" t="str">
        <f t="shared" ca="1" si="148"/>
        <v/>
      </c>
      <c r="Q152" s="783" t="str">
        <f t="shared" ca="1" si="149"/>
        <v/>
      </c>
      <c r="R152" s="783" t="str">
        <f t="shared" ca="1" si="150"/>
        <v/>
      </c>
      <c r="S152" s="811" t="str">
        <f t="shared" ca="1" si="151"/>
        <v/>
      </c>
      <c r="T152" s="1069" t="str">
        <f t="shared" ca="1" si="152"/>
        <v/>
      </c>
      <c r="U152" s="1165" t="str">
        <f t="shared" ca="1" si="153"/>
        <v/>
      </c>
      <c r="V152" s="1396"/>
      <c r="W152" s="1396"/>
      <c r="X152" s="1396"/>
      <c r="Y152" s="1069" t="str">
        <f t="shared" ca="1" si="163"/>
        <v/>
      </c>
      <c r="Z152" s="1165" t="str">
        <f t="shared" ca="1" si="154"/>
        <v/>
      </c>
      <c r="AA152" s="782"/>
      <c r="AB152" s="804" t="str">
        <f t="shared" ca="1" si="164"/>
        <v/>
      </c>
      <c r="AC152" s="971" t="str">
        <f t="shared" ca="1" si="165"/>
        <v/>
      </c>
      <c r="AD152" s="1179">
        <f t="shared" ca="1" si="155"/>
        <v>0</v>
      </c>
      <c r="AE152" s="806">
        <f t="shared" ca="1" si="155"/>
        <v>0</v>
      </c>
      <c r="AF152" s="749">
        <f t="shared" ca="1" si="155"/>
        <v>0</v>
      </c>
      <c r="AG152" s="749">
        <f t="shared" ca="1" si="155"/>
        <v>0</v>
      </c>
      <c r="AH152" s="749">
        <f t="shared" ca="1" si="155"/>
        <v>0</v>
      </c>
      <c r="AI152" s="749">
        <f t="shared" ca="1" si="155"/>
        <v>0</v>
      </c>
      <c r="AJ152" s="972">
        <f t="shared" ca="1" si="166"/>
        <v>0</v>
      </c>
      <c r="AK152" s="973" t="str">
        <f t="shared" ca="1" si="167"/>
        <v/>
      </c>
      <c r="AL152" s="772"/>
      <c r="AM152" s="968"/>
      <c r="AN152" s="969"/>
      <c r="AO152" s="970"/>
      <c r="AP152" s="755" t="str">
        <f t="shared" ca="1" si="156"/>
        <v/>
      </c>
      <c r="AQ152" s="808" t="str">
        <f t="shared" ca="1" si="157"/>
        <v/>
      </c>
      <c r="AR152" s="808" t="str">
        <f t="shared" ca="1" si="158"/>
        <v/>
      </c>
      <c r="AS152" s="808" t="str">
        <f t="shared" ca="1" si="159"/>
        <v/>
      </c>
      <c r="AT152" s="974" t="str">
        <f t="shared" ca="1" si="168"/>
        <v/>
      </c>
      <c r="AU152" s="1069" t="str">
        <f t="shared" ca="1" si="160"/>
        <v/>
      </c>
      <c r="AV152" s="1165" t="str">
        <f t="shared" ca="1" si="161"/>
        <v/>
      </c>
      <c r="AW152" s="1396"/>
      <c r="AX152" s="1396"/>
      <c r="AY152" s="1396"/>
      <c r="AZ152" s="1069" t="str">
        <f t="shared" ca="1" si="169"/>
        <v/>
      </c>
      <c r="BA152" s="1165" t="str">
        <f t="shared" ca="1" si="162"/>
        <v/>
      </c>
      <c r="BB152" s="782"/>
      <c r="BC152" s="804" t="str">
        <f t="shared" ca="1" si="170"/>
        <v/>
      </c>
    </row>
    <row r="153" spans="1:55" ht="13.5" customHeight="1" x14ac:dyDescent="0.3">
      <c r="A153" s="966" t="str">
        <f>'Q1'!B175</f>
        <v>ICT waste - other (please describe and explain)</v>
      </c>
      <c r="B153" s="908"/>
      <c r="C153" s="1179">
        <f t="shared" ca="1" si="144"/>
        <v>0</v>
      </c>
      <c r="D153" s="781">
        <f t="shared" ca="1" si="144"/>
        <v>0</v>
      </c>
      <c r="E153" s="769">
        <f t="shared" ca="1" si="144"/>
        <v>0</v>
      </c>
      <c r="F153" s="769">
        <f t="shared" ca="1" si="144"/>
        <v>0</v>
      </c>
      <c r="G153" s="769">
        <f t="shared" ca="1" si="144"/>
        <v>0</v>
      </c>
      <c r="H153" s="769">
        <f t="shared" ca="1" si="144"/>
        <v>0</v>
      </c>
      <c r="I153" s="967">
        <f t="shared" ca="1" si="145"/>
        <v>0</v>
      </c>
      <c r="J153" s="771" t="str">
        <f t="shared" ca="1" si="146"/>
        <v/>
      </c>
      <c r="K153" s="772"/>
      <c r="L153" s="968"/>
      <c r="M153" s="969"/>
      <c r="N153" s="1203"/>
      <c r="O153" s="810" t="str">
        <f t="shared" ca="1" si="147"/>
        <v/>
      </c>
      <c r="P153" s="783" t="str">
        <f t="shared" ca="1" si="148"/>
        <v/>
      </c>
      <c r="Q153" s="783" t="str">
        <f t="shared" ca="1" si="149"/>
        <v/>
      </c>
      <c r="R153" s="783" t="str">
        <f t="shared" ca="1" si="150"/>
        <v/>
      </c>
      <c r="S153" s="811" t="str">
        <f t="shared" ca="1" si="151"/>
        <v/>
      </c>
      <c r="T153" s="1069" t="str">
        <f t="shared" ca="1" si="152"/>
        <v/>
      </c>
      <c r="U153" s="1165" t="str">
        <f t="shared" ca="1" si="153"/>
        <v/>
      </c>
      <c r="V153" s="1396"/>
      <c r="W153" s="1396"/>
      <c r="X153" s="1396"/>
      <c r="Y153" s="1069" t="str">
        <f t="shared" ca="1" si="163"/>
        <v/>
      </c>
      <c r="Z153" s="1165" t="str">
        <f t="shared" ca="1" si="154"/>
        <v/>
      </c>
      <c r="AA153" s="782"/>
      <c r="AB153" s="804" t="str">
        <f t="shared" ca="1" si="164"/>
        <v/>
      </c>
      <c r="AC153" s="971" t="str">
        <f t="shared" ca="1" si="165"/>
        <v/>
      </c>
      <c r="AD153" s="1179">
        <f t="shared" ca="1" si="155"/>
        <v>0</v>
      </c>
      <c r="AE153" s="806">
        <f t="shared" ca="1" si="155"/>
        <v>0</v>
      </c>
      <c r="AF153" s="749">
        <f t="shared" ca="1" si="155"/>
        <v>0</v>
      </c>
      <c r="AG153" s="749">
        <f t="shared" ca="1" si="155"/>
        <v>0</v>
      </c>
      <c r="AH153" s="749">
        <f t="shared" ca="1" si="155"/>
        <v>0</v>
      </c>
      <c r="AI153" s="749">
        <f t="shared" ca="1" si="155"/>
        <v>0</v>
      </c>
      <c r="AJ153" s="972">
        <f t="shared" ca="1" si="166"/>
        <v>0</v>
      </c>
      <c r="AK153" s="973" t="str">
        <f t="shared" ca="1" si="167"/>
        <v/>
      </c>
      <c r="AL153" s="772"/>
      <c r="AM153" s="968"/>
      <c r="AN153" s="969"/>
      <c r="AO153" s="970"/>
      <c r="AP153" s="755" t="str">
        <f t="shared" ca="1" si="156"/>
        <v/>
      </c>
      <c r="AQ153" s="808" t="str">
        <f t="shared" ca="1" si="157"/>
        <v/>
      </c>
      <c r="AR153" s="808" t="str">
        <f t="shared" ca="1" si="158"/>
        <v/>
      </c>
      <c r="AS153" s="808" t="str">
        <f t="shared" ca="1" si="159"/>
        <v/>
      </c>
      <c r="AT153" s="974" t="str">
        <f t="shared" ca="1" si="168"/>
        <v/>
      </c>
      <c r="AU153" s="1069" t="str">
        <f t="shared" ca="1" si="160"/>
        <v/>
      </c>
      <c r="AV153" s="1165" t="str">
        <f t="shared" ca="1" si="161"/>
        <v/>
      </c>
      <c r="AW153" s="1396"/>
      <c r="AX153" s="1396"/>
      <c r="AY153" s="1396"/>
      <c r="AZ153" s="1069" t="str">
        <f t="shared" ca="1" si="169"/>
        <v/>
      </c>
      <c r="BA153" s="1165" t="str">
        <f t="shared" ca="1" si="162"/>
        <v/>
      </c>
      <c r="BB153" s="782"/>
      <c r="BC153" s="804" t="str">
        <f t="shared" ca="1" si="170"/>
        <v/>
      </c>
    </row>
    <row r="154" spans="1:55" ht="13.5" customHeight="1" x14ac:dyDescent="0.3">
      <c r="A154" s="966" t="str">
        <f>'Q1'!B176</f>
        <v>Waste composted or sent to anaerobic digestion</v>
      </c>
      <c r="B154" s="908"/>
      <c r="C154" s="1179">
        <f t="shared" ca="1" si="144"/>
        <v>0</v>
      </c>
      <c r="D154" s="781">
        <f t="shared" ca="1" si="144"/>
        <v>0</v>
      </c>
      <c r="E154" s="769">
        <f t="shared" ca="1" si="144"/>
        <v>861.37</v>
      </c>
      <c r="F154" s="769">
        <f t="shared" ca="1" si="144"/>
        <v>747.00797580645099</v>
      </c>
      <c r="G154" s="769">
        <f t="shared" ca="1" si="144"/>
        <v>663.91750000000002</v>
      </c>
      <c r="H154" s="769">
        <f t="shared" ca="1" si="144"/>
        <v>2544.680415403544</v>
      </c>
      <c r="I154" s="967">
        <f t="shared" ca="1" si="145"/>
        <v>636.17010385088599</v>
      </c>
      <c r="J154" s="771" t="str">
        <f t="shared" ca="1" si="146"/>
        <v>Missing value?</v>
      </c>
      <c r="K154" s="772"/>
      <c r="L154" s="968"/>
      <c r="M154" s="969"/>
      <c r="N154" s="970"/>
      <c r="O154" s="810" t="str">
        <f t="shared" ca="1" si="147"/>
        <v/>
      </c>
      <c r="P154" s="783">
        <f t="shared" ca="1" si="148"/>
        <v>-1</v>
      </c>
      <c r="Q154" s="783">
        <f t="shared" ca="1" si="149"/>
        <v>-1</v>
      </c>
      <c r="R154" s="783">
        <f t="shared" ca="1" si="150"/>
        <v>-1</v>
      </c>
      <c r="S154" s="811">
        <f t="shared" ca="1" si="151"/>
        <v>-1</v>
      </c>
      <c r="T154" s="1069">
        <f t="shared" ca="1" si="152"/>
        <v>1</v>
      </c>
      <c r="U154" s="1165" t="str">
        <f t="shared" ca="1" si="153"/>
        <v>H</v>
      </c>
      <c r="V154" s="1396"/>
      <c r="W154" s="1396"/>
      <c r="X154" s="1396"/>
      <c r="Y154" s="1069">
        <f t="shared" ca="1" si="163"/>
        <v>5.0542445348660245E-2</v>
      </c>
      <c r="Z154" s="1165" t="str">
        <f t="shared" ca="1" si="154"/>
        <v>M</v>
      </c>
      <c r="AA154" s="782" t="s">
        <v>552</v>
      </c>
      <c r="AB154" s="804" t="str">
        <f ca="1">IF(CONCATENATE(IF(K154="OK","",J154),"    ",IF(AND(+AA154="",Z154="M"),"Value change with medium impact",IF(AND(AA154="",Z154="H"),"Value change with high impact",""))," ")="     ","",CONCATENATE(IF(K154="OK","",J154),"    ",IF(AND(+AA154="",Z154="M"),"Value change with medium impact",IF(AND(AA154="",Z154="H"),"Value change with high impact",""))," "))</f>
        <v xml:space="preserve">Missing value?     </v>
      </c>
      <c r="AC154" s="971" t="str">
        <f t="shared" ca="1" si="165"/>
        <v/>
      </c>
      <c r="AD154" s="1179">
        <f t="shared" ca="1" si="155"/>
        <v>0</v>
      </c>
      <c r="AE154" s="806">
        <f t="shared" ca="1" si="155"/>
        <v>0</v>
      </c>
      <c r="AF154" s="749">
        <f t="shared" ca="1" si="155"/>
        <v>6.38</v>
      </c>
      <c r="AG154" s="749">
        <f t="shared" ca="1" si="155"/>
        <v>5.9287499999999902</v>
      </c>
      <c r="AH154" s="749">
        <f t="shared" ca="1" si="155"/>
        <v>0</v>
      </c>
      <c r="AI154" s="749">
        <f t="shared" ca="1" si="155"/>
        <v>48.162722527175603</v>
      </c>
      <c r="AJ154" s="972">
        <f t="shared" ca="1" si="166"/>
        <v>12.040680631793901</v>
      </c>
      <c r="AK154" s="973" t="str">
        <f t="shared" ca="1" si="167"/>
        <v>missing?</v>
      </c>
      <c r="AL154" s="772"/>
      <c r="AM154" s="968"/>
      <c r="AN154" s="969"/>
      <c r="AO154" s="970"/>
      <c r="AP154" s="755" t="str">
        <f t="shared" ca="1" si="156"/>
        <v/>
      </c>
      <c r="AQ154" s="808" t="str">
        <f t="shared" ca="1" si="157"/>
        <v/>
      </c>
      <c r="AR154" s="808" t="str">
        <f t="shared" ca="1" si="158"/>
        <v/>
      </c>
      <c r="AS154" s="808" t="str">
        <f t="shared" ca="1" si="159"/>
        <v/>
      </c>
      <c r="AT154" s="974" t="str">
        <f t="shared" ca="1" si="168"/>
        <v/>
      </c>
      <c r="AU154" s="1069" t="str">
        <f t="shared" ca="1" si="160"/>
        <v/>
      </c>
      <c r="AV154" s="1165" t="str">
        <f t="shared" ca="1" si="161"/>
        <v/>
      </c>
      <c r="AW154" s="1396"/>
      <c r="AX154" s="1396"/>
      <c r="AY154" s="1396"/>
      <c r="AZ154" s="1069" t="e">
        <f t="shared" ca="1" si="169"/>
        <v>#VALUE!</v>
      </c>
      <c r="BA154" s="1165" t="e">
        <f t="shared" ca="1" si="162"/>
        <v>#VALUE!</v>
      </c>
      <c r="BB154" s="782"/>
      <c r="BC154" s="804" t="e">
        <f t="shared" ca="1" si="170"/>
        <v>#VALUE!</v>
      </c>
    </row>
    <row r="155" spans="1:55" ht="13.5" customHeight="1" x14ac:dyDescent="0.3">
      <c r="A155" s="966" t="str">
        <f>'Q1'!B177</f>
        <v>Waste incinerated with energy recovery</v>
      </c>
      <c r="B155" s="908"/>
      <c r="C155" s="1179">
        <f t="shared" ca="1" si="144"/>
        <v>0</v>
      </c>
      <c r="D155" s="781">
        <f t="shared" ca="1" si="144"/>
        <v>0</v>
      </c>
      <c r="E155" s="769">
        <f t="shared" ca="1" si="144"/>
        <v>2157.5</v>
      </c>
      <c r="F155" s="769">
        <f t="shared" ca="1" si="144"/>
        <v>1822.28682709912</v>
      </c>
      <c r="G155" s="769">
        <f t="shared" ca="1" si="144"/>
        <v>1931.62825443829</v>
      </c>
      <c r="H155" s="769">
        <f t="shared" ca="1" si="144"/>
        <v>6871.1899212343542</v>
      </c>
      <c r="I155" s="967">
        <f t="shared" ca="1" si="145"/>
        <v>1717.7974803085885</v>
      </c>
      <c r="J155" s="771" t="str">
        <f t="shared" ca="1" si="146"/>
        <v>Missing value?</v>
      </c>
      <c r="K155" s="772"/>
      <c r="L155" s="968"/>
      <c r="M155" s="969"/>
      <c r="N155" s="970"/>
      <c r="O155" s="810" t="str">
        <f t="shared" ca="1" si="147"/>
        <v/>
      </c>
      <c r="P155" s="783">
        <f t="shared" ca="1" si="148"/>
        <v>-1</v>
      </c>
      <c r="Q155" s="783">
        <f t="shared" ca="1" si="149"/>
        <v>-1</v>
      </c>
      <c r="R155" s="783">
        <f t="shared" ca="1" si="150"/>
        <v>-1</v>
      </c>
      <c r="S155" s="811">
        <f t="shared" ca="1" si="151"/>
        <v>-1</v>
      </c>
      <c r="T155" s="1069">
        <f t="shared" ca="1" si="152"/>
        <v>1</v>
      </c>
      <c r="U155" s="1165" t="str">
        <f t="shared" ca="1" si="153"/>
        <v>H</v>
      </c>
      <c r="V155" s="1396"/>
      <c r="W155" s="1396"/>
      <c r="X155" s="1396"/>
      <c r="Y155" s="1069">
        <f t="shared" ca="1" si="163"/>
        <v>0.13647558214856562</v>
      </c>
      <c r="Z155" s="1165" t="str">
        <f t="shared" ca="1" si="154"/>
        <v>M</v>
      </c>
      <c r="AA155" s="782"/>
      <c r="AB155" s="804" t="str">
        <f t="shared" ca="1" si="164"/>
        <v xml:space="preserve">Missing value?    Value change with medium impact </v>
      </c>
      <c r="AC155" s="971" t="str">
        <f t="shared" ca="1" si="165"/>
        <v/>
      </c>
      <c r="AD155" s="1179">
        <f t="shared" ca="1" si="155"/>
        <v>0</v>
      </c>
      <c r="AE155" s="806">
        <f t="shared" ca="1" si="155"/>
        <v>0</v>
      </c>
      <c r="AF155" s="749">
        <f t="shared" ca="1" si="155"/>
        <v>3.66</v>
      </c>
      <c r="AG155" s="749">
        <f t="shared" ca="1" si="155"/>
        <v>2</v>
      </c>
      <c r="AH155" s="749">
        <f t="shared" ca="1" si="155"/>
        <v>0</v>
      </c>
      <c r="AI155" s="749">
        <f t="shared" ca="1" si="155"/>
        <v>0</v>
      </c>
      <c r="AJ155" s="972">
        <f t="shared" ca="1" si="166"/>
        <v>0</v>
      </c>
      <c r="AK155" s="973" t="str">
        <f t="shared" ca="1" si="167"/>
        <v>new category</v>
      </c>
      <c r="AL155" s="772"/>
      <c r="AM155" s="968"/>
      <c r="AN155" s="969"/>
      <c r="AO155" s="970"/>
      <c r="AP155" s="755" t="str">
        <f t="shared" ca="1" si="156"/>
        <v/>
      </c>
      <c r="AQ155" s="808" t="str">
        <f t="shared" ca="1" si="157"/>
        <v/>
      </c>
      <c r="AR155" s="808" t="str">
        <f t="shared" ca="1" si="158"/>
        <v/>
      </c>
      <c r="AS155" s="808" t="str">
        <f t="shared" ca="1" si="159"/>
        <v/>
      </c>
      <c r="AT155" s="974" t="str">
        <f t="shared" ca="1" si="168"/>
        <v/>
      </c>
      <c r="AU155" s="1069" t="str">
        <f t="shared" ca="1" si="160"/>
        <v/>
      </c>
      <c r="AV155" s="1165" t="str">
        <f t="shared" ca="1" si="161"/>
        <v/>
      </c>
      <c r="AW155" s="1396"/>
      <c r="AX155" s="1396"/>
      <c r="AY155" s="1396"/>
      <c r="AZ155" s="1069" t="str">
        <f t="shared" ca="1" si="169"/>
        <v/>
      </c>
      <c r="BA155" s="1165" t="str">
        <f t="shared" ca="1" si="162"/>
        <v/>
      </c>
      <c r="BB155" s="782"/>
      <c r="BC155" s="804" t="str">
        <f t="shared" ca="1" si="170"/>
        <v xml:space="preserve">    new category     </v>
      </c>
    </row>
    <row r="156" spans="1:55" ht="13.5" customHeight="1" x14ac:dyDescent="0.3">
      <c r="A156" s="966" t="str">
        <f>'Q1'!B178</f>
        <v>Waste incinerated without energy recovery</v>
      </c>
      <c r="B156" s="908"/>
      <c r="C156" s="1179">
        <f t="shared" ca="1" si="144"/>
        <v>0</v>
      </c>
      <c r="D156" s="781">
        <f t="shared" ca="1" si="144"/>
        <v>0</v>
      </c>
      <c r="E156" s="769">
        <f t="shared" ca="1" si="144"/>
        <v>0</v>
      </c>
      <c r="F156" s="769">
        <f t="shared" ca="1" si="144"/>
        <v>0</v>
      </c>
      <c r="G156" s="769">
        <f t="shared" ca="1" si="144"/>
        <v>0</v>
      </c>
      <c r="H156" s="769">
        <f t="shared" ca="1" si="144"/>
        <v>4.0000000000000001E-3</v>
      </c>
      <c r="I156" s="967">
        <f t="shared" ca="1" si="145"/>
        <v>1E-3</v>
      </c>
      <c r="J156" s="771" t="str">
        <f t="shared" ca="1" si="146"/>
        <v>Missing value?</v>
      </c>
      <c r="K156" s="772" t="s">
        <v>552</v>
      </c>
      <c r="L156" s="968"/>
      <c r="M156" s="969"/>
      <c r="N156" s="970"/>
      <c r="O156" s="810" t="str">
        <f t="shared" ca="1" si="147"/>
        <v/>
      </c>
      <c r="P156" s="783" t="str">
        <f t="shared" ca="1" si="148"/>
        <v/>
      </c>
      <c r="Q156" s="783" t="str">
        <f t="shared" ca="1" si="149"/>
        <v/>
      </c>
      <c r="R156" s="783" t="str">
        <f t="shared" ca="1" si="150"/>
        <v/>
      </c>
      <c r="S156" s="811">
        <f t="shared" ca="1" si="151"/>
        <v>-1</v>
      </c>
      <c r="T156" s="1069">
        <f t="shared" ca="1" si="152"/>
        <v>1</v>
      </c>
      <c r="U156" s="1165" t="str">
        <f t="shared" ca="1" si="153"/>
        <v>H</v>
      </c>
      <c r="V156" s="1396"/>
      <c r="W156" s="1396"/>
      <c r="X156" s="1396"/>
      <c r="Y156" s="1069">
        <f t="shared" ca="1" si="163"/>
        <v>7.9448004618128142E-8</v>
      </c>
      <c r="Z156" s="1165" t="str">
        <f t="shared" ca="1" si="154"/>
        <v/>
      </c>
      <c r="AA156" s="782" t="s">
        <v>552</v>
      </c>
      <c r="AB156" s="804" t="str">
        <f t="shared" ca="1" si="164"/>
        <v/>
      </c>
      <c r="AC156" s="971" t="str">
        <f t="shared" ca="1" si="165"/>
        <v/>
      </c>
      <c r="AD156" s="1179">
        <f t="shared" ca="1" si="155"/>
        <v>0</v>
      </c>
      <c r="AE156" s="806">
        <f t="shared" ca="1" si="155"/>
        <v>0</v>
      </c>
      <c r="AF156" s="749">
        <f t="shared" ca="1" si="155"/>
        <v>0</v>
      </c>
      <c r="AG156" s="749">
        <f t="shared" ca="1" si="155"/>
        <v>0</v>
      </c>
      <c r="AH156" s="749">
        <f t="shared" ca="1" si="155"/>
        <v>0</v>
      </c>
      <c r="AI156" s="749">
        <f t="shared" ca="1" si="155"/>
        <v>0</v>
      </c>
      <c r="AJ156" s="972">
        <f t="shared" ca="1" si="166"/>
        <v>0</v>
      </c>
      <c r="AK156" s="973" t="str">
        <f t="shared" ca="1" si="167"/>
        <v/>
      </c>
      <c r="AL156" s="772"/>
      <c r="AM156" s="968"/>
      <c r="AN156" s="969"/>
      <c r="AO156" s="970"/>
      <c r="AP156" s="755" t="str">
        <f t="shared" ca="1" si="156"/>
        <v/>
      </c>
      <c r="AQ156" s="808" t="str">
        <f t="shared" ca="1" si="157"/>
        <v/>
      </c>
      <c r="AR156" s="808" t="str">
        <f t="shared" ca="1" si="158"/>
        <v/>
      </c>
      <c r="AS156" s="808" t="str">
        <f t="shared" ca="1" si="159"/>
        <v/>
      </c>
      <c r="AT156" s="974" t="str">
        <f t="shared" ca="1" si="168"/>
        <v/>
      </c>
      <c r="AU156" s="1069" t="str">
        <f t="shared" ca="1" si="160"/>
        <v/>
      </c>
      <c r="AV156" s="1165" t="str">
        <f t="shared" ca="1" si="161"/>
        <v/>
      </c>
      <c r="AW156" s="1396"/>
      <c r="AX156" s="1396"/>
      <c r="AY156" s="1396"/>
      <c r="AZ156" s="1069" t="str">
        <f t="shared" ca="1" si="169"/>
        <v/>
      </c>
      <c r="BA156" s="1165" t="str">
        <f t="shared" ca="1" si="162"/>
        <v/>
      </c>
      <c r="BB156" s="782"/>
      <c r="BC156" s="804" t="str">
        <f t="shared" ca="1" si="170"/>
        <v/>
      </c>
    </row>
    <row r="157" spans="1:55" ht="13.5" customHeight="1" x14ac:dyDescent="0.3">
      <c r="A157" s="966" t="str">
        <f>'Q1'!B179</f>
        <v>Preparation for reuse</v>
      </c>
      <c r="B157" s="908"/>
      <c r="C157" s="1179">
        <f t="shared" ca="1" si="144"/>
        <v>0</v>
      </c>
      <c r="D157" s="781">
        <f t="shared" ca="1" si="144"/>
        <v>0</v>
      </c>
      <c r="E157" s="769">
        <f t="shared" ca="1" si="144"/>
        <v>0</v>
      </c>
      <c r="F157" s="769">
        <f t="shared" ca="1" si="144"/>
        <v>0</v>
      </c>
      <c r="G157" s="769">
        <f t="shared" ca="1" si="144"/>
        <v>0</v>
      </c>
      <c r="H157" s="769">
        <f t="shared" ca="1" si="144"/>
        <v>0</v>
      </c>
      <c r="I157" s="967">
        <f t="shared" ca="1" si="145"/>
        <v>0</v>
      </c>
      <c r="J157" s="771" t="str">
        <f t="shared" ca="1" si="146"/>
        <v/>
      </c>
      <c r="K157" s="772"/>
      <c r="L157" s="968"/>
      <c r="M157" s="969"/>
      <c r="N157" s="970"/>
      <c r="O157" s="810" t="str">
        <f t="shared" ca="1" si="147"/>
        <v/>
      </c>
      <c r="P157" s="783" t="str">
        <f t="shared" ca="1" si="148"/>
        <v/>
      </c>
      <c r="Q157" s="783" t="str">
        <f t="shared" ca="1" si="149"/>
        <v/>
      </c>
      <c r="R157" s="783" t="str">
        <f t="shared" ca="1" si="150"/>
        <v/>
      </c>
      <c r="S157" s="811" t="str">
        <f t="shared" ca="1" si="151"/>
        <v/>
      </c>
      <c r="T157" s="1069" t="str">
        <f t="shared" ca="1" si="152"/>
        <v/>
      </c>
      <c r="U157" s="1165" t="str">
        <f t="shared" ca="1" si="153"/>
        <v/>
      </c>
      <c r="V157" s="1396"/>
      <c r="W157" s="1396"/>
      <c r="X157" s="1396"/>
      <c r="Y157" s="1069" t="str">
        <f t="shared" ca="1" si="163"/>
        <v/>
      </c>
      <c r="Z157" s="1165" t="str">
        <f t="shared" ca="1" si="154"/>
        <v/>
      </c>
      <c r="AA157" s="782"/>
      <c r="AB157" s="804" t="str">
        <f ca="1">IF(CONCATENATE(IF(K157="OK","",J157),"    ",IF(AND(+AA157="",Z157="M"),"Value change with medium impact",IF(AND(AA157="",Z157="H"),"Value change with high impact",""))," ")="     ","",CONCATENATE(IF(K157="OK","",J157),"    ",IF(AND(+AA157="",Z157="M"),"Value change with medium impact",IF(AND(AA157="",Z157="H"),"Value change with high impact",""))," "))</f>
        <v/>
      </c>
      <c r="AC157" s="971" t="str">
        <f t="shared" ca="1" si="165"/>
        <v/>
      </c>
      <c r="AD157" s="1179">
        <f t="shared" ca="1" si="155"/>
        <v>0</v>
      </c>
      <c r="AE157" s="806">
        <f t="shared" ca="1" si="155"/>
        <v>0</v>
      </c>
      <c r="AF157" s="749">
        <f t="shared" ca="1" si="155"/>
        <v>0</v>
      </c>
      <c r="AG157" s="749">
        <f t="shared" ca="1" si="155"/>
        <v>0</v>
      </c>
      <c r="AH157" s="749">
        <f t="shared" ca="1" si="155"/>
        <v>0</v>
      </c>
      <c r="AI157" s="749">
        <f t="shared" ca="1" si="155"/>
        <v>0</v>
      </c>
      <c r="AJ157" s="972">
        <f t="shared" ca="1" si="166"/>
        <v>0</v>
      </c>
      <c r="AK157" s="973" t="str">
        <f t="shared" ca="1" si="167"/>
        <v/>
      </c>
      <c r="AL157" s="772"/>
      <c r="AM157" s="968"/>
      <c r="AN157" s="969"/>
      <c r="AO157" s="970"/>
      <c r="AP157" s="755" t="str">
        <f t="shared" ca="1" si="156"/>
        <v/>
      </c>
      <c r="AQ157" s="808" t="str">
        <f t="shared" ca="1" si="157"/>
        <v/>
      </c>
      <c r="AR157" s="808" t="str">
        <f t="shared" ca="1" si="158"/>
        <v/>
      </c>
      <c r="AS157" s="808" t="str">
        <f t="shared" ca="1" si="159"/>
        <v/>
      </c>
      <c r="AT157" s="974" t="str">
        <f t="shared" ca="1" si="168"/>
        <v/>
      </c>
      <c r="AU157" s="1069" t="str">
        <f t="shared" ca="1" si="160"/>
        <v/>
      </c>
      <c r="AV157" s="1165" t="str">
        <f t="shared" ca="1" si="161"/>
        <v/>
      </c>
      <c r="AW157" s="1396"/>
      <c r="AX157" s="1396"/>
      <c r="AY157" s="1396"/>
      <c r="AZ157" s="1069" t="str">
        <f t="shared" ca="1" si="169"/>
        <v/>
      </c>
      <c r="BA157" s="1165" t="str">
        <f t="shared" ca="1" si="162"/>
        <v/>
      </c>
      <c r="BB157" s="782"/>
      <c r="BC157" s="804" t="str">
        <f t="shared" ca="1" si="170"/>
        <v/>
      </c>
    </row>
    <row r="158" spans="1:55" ht="13.5" customHeight="1" x14ac:dyDescent="0.3">
      <c r="A158" s="966" t="str">
        <f>'Q1'!B180</f>
        <v>TOTAL WASTE RECYCLED</v>
      </c>
      <c r="B158" s="908"/>
      <c r="C158" s="1179">
        <f t="shared" ca="1" si="144"/>
        <v>0</v>
      </c>
      <c r="D158" s="781">
        <f t="shared" ca="1" si="144"/>
        <v>0</v>
      </c>
      <c r="E158" s="769">
        <f t="shared" ca="1" si="144"/>
        <v>10446.510000000002</v>
      </c>
      <c r="F158" s="769">
        <f t="shared" ca="1" si="144"/>
        <v>10959.923175757624</v>
      </c>
      <c r="G158" s="769">
        <f t="shared" ca="1" si="144"/>
        <v>10795.289266673799</v>
      </c>
      <c r="H158" s="769">
        <f t="shared" ca="1" si="144"/>
        <v>41991.278957418806</v>
      </c>
      <c r="I158" s="967">
        <f t="shared" ca="1" si="145"/>
        <v>10497.819739354702</v>
      </c>
      <c r="J158" s="873"/>
      <c r="K158" s="775"/>
      <c r="L158" s="968"/>
      <c r="M158" s="969"/>
      <c r="N158" s="975"/>
      <c r="O158" s="810" t="str">
        <f t="shared" ca="1" si="147"/>
        <v/>
      </c>
      <c r="P158" s="783">
        <f t="shared" ca="1" si="148"/>
        <v>-1</v>
      </c>
      <c r="Q158" s="783">
        <f t="shared" ca="1" si="149"/>
        <v>-1</v>
      </c>
      <c r="R158" s="783">
        <f t="shared" ca="1" si="150"/>
        <v>-1</v>
      </c>
      <c r="S158" s="811">
        <f t="shared" ca="1" si="151"/>
        <v>-1</v>
      </c>
      <c r="T158" s="1077"/>
      <c r="U158" s="1077"/>
      <c r="V158" s="1397"/>
      <c r="W158" s="1397"/>
      <c r="X158" s="1397"/>
      <c r="Y158" s="1077"/>
      <c r="Z158" s="1077"/>
      <c r="AA158" s="976"/>
      <c r="AB158" s="977"/>
      <c r="AC158" s="978"/>
      <c r="AD158" s="1179">
        <f t="shared" ca="1" si="155"/>
        <v>0</v>
      </c>
      <c r="AE158" s="806">
        <f t="shared" ca="1" si="155"/>
        <v>0</v>
      </c>
      <c r="AF158" s="749">
        <f t="shared" ca="1" si="155"/>
        <v>149.82</v>
      </c>
      <c r="AG158" s="749">
        <f t="shared" ca="1" si="155"/>
        <v>105.85594995117188</v>
      </c>
      <c r="AH158" s="749">
        <f t="shared" ca="1" si="155"/>
        <v>451.552568193855</v>
      </c>
      <c r="AI158" s="749">
        <f t="shared" ca="1" si="155"/>
        <v>1598.4579050649536</v>
      </c>
      <c r="AJ158" s="972">
        <f t="shared" ca="1" si="166"/>
        <v>399.6144762662384</v>
      </c>
      <c r="AK158" s="979"/>
      <c r="AL158" s="980"/>
      <c r="AM158" s="968"/>
      <c r="AN158" s="981"/>
      <c r="AO158" s="976"/>
      <c r="AP158" s="755" t="str">
        <f t="shared" ca="1" si="156"/>
        <v/>
      </c>
      <c r="AQ158" s="808">
        <f t="shared" ca="1" si="157"/>
        <v>-1</v>
      </c>
      <c r="AR158" s="808">
        <f t="shared" ca="1" si="158"/>
        <v>-1</v>
      </c>
      <c r="AS158" s="808">
        <f t="shared" ca="1" si="159"/>
        <v>-1</v>
      </c>
      <c r="AT158" s="974">
        <f t="shared" ca="1" si="168"/>
        <v>-1</v>
      </c>
      <c r="AU158" s="1078"/>
      <c r="AV158" s="982"/>
      <c r="AW158" s="1396"/>
      <c r="AX158" s="1396"/>
      <c r="AY158" s="1396"/>
      <c r="AZ158" s="1078"/>
      <c r="BA158" s="982"/>
      <c r="BB158" s="983"/>
      <c r="BC158" s="984"/>
    </row>
    <row r="159" spans="1:55" ht="13.5" customHeight="1" x14ac:dyDescent="0.3">
      <c r="A159" s="966" t="str">
        <f>'Q1'!B181</f>
        <v>TOTAL ICT WASTE (excl. waste reused)</v>
      </c>
      <c r="B159" s="908"/>
      <c r="C159" s="1179">
        <f t="shared" ca="1" si="144"/>
        <v>0</v>
      </c>
      <c r="D159" s="781">
        <f t="shared" ca="1" si="144"/>
        <v>0</v>
      </c>
      <c r="E159" s="769">
        <f t="shared" ca="1" si="144"/>
        <v>1.03</v>
      </c>
      <c r="F159" s="769">
        <f t="shared" ca="1" si="144"/>
        <v>2.3051999511718799</v>
      </c>
      <c r="G159" s="769">
        <f t="shared" ca="1" si="144"/>
        <v>7.766</v>
      </c>
      <c r="H159" s="769">
        <f t="shared" ca="1" si="144"/>
        <v>10.001200000762939</v>
      </c>
      <c r="I159" s="967">
        <f t="shared" ca="1" si="145"/>
        <v>2.5003000001907347</v>
      </c>
      <c r="J159" s="873"/>
      <c r="K159" s="775"/>
      <c r="L159" s="968"/>
      <c r="M159" s="969"/>
      <c r="N159" s="975"/>
      <c r="O159" s="810" t="str">
        <f t="shared" ca="1" si="147"/>
        <v/>
      </c>
      <c r="P159" s="783">
        <f t="shared" ca="1" si="148"/>
        <v>-1</v>
      </c>
      <c r="Q159" s="783">
        <f t="shared" ca="1" si="149"/>
        <v>-1</v>
      </c>
      <c r="R159" s="783">
        <f t="shared" ca="1" si="150"/>
        <v>-1</v>
      </c>
      <c r="S159" s="811">
        <f t="shared" ca="1" si="151"/>
        <v>-1</v>
      </c>
      <c r="T159" s="1077"/>
      <c r="U159" s="1077"/>
      <c r="V159" s="1397"/>
      <c r="W159" s="1397"/>
      <c r="X159" s="1397"/>
      <c r="Y159" s="1077"/>
      <c r="Z159" s="1077"/>
      <c r="AA159" s="976"/>
      <c r="AB159" s="977"/>
      <c r="AC159" s="978"/>
      <c r="AD159" s="1179">
        <f t="shared" ca="1" si="155"/>
        <v>0</v>
      </c>
      <c r="AE159" s="806">
        <f t="shared" ca="1" si="155"/>
        <v>0</v>
      </c>
      <c r="AF159" s="749">
        <f t="shared" ca="1" si="155"/>
        <v>0.01</v>
      </c>
      <c r="AG159" s="749">
        <f t="shared" ca="1" si="155"/>
        <v>1.11719995117188</v>
      </c>
      <c r="AH159" s="749">
        <f t="shared" ca="1" si="155"/>
        <v>7.7</v>
      </c>
      <c r="AI159" s="749">
        <f t="shared" ca="1" si="155"/>
        <v>7.71870000076294</v>
      </c>
      <c r="AJ159" s="972">
        <f t="shared" ca="1" si="166"/>
        <v>1.929675000190735</v>
      </c>
      <c r="AK159" s="979"/>
      <c r="AL159" s="980"/>
      <c r="AM159" s="968"/>
      <c r="AN159" s="981"/>
      <c r="AO159" s="976"/>
      <c r="AP159" s="755" t="str">
        <f t="shared" ca="1" si="156"/>
        <v/>
      </c>
      <c r="AQ159" s="808">
        <f t="shared" ca="1" si="157"/>
        <v>-1</v>
      </c>
      <c r="AR159" s="808">
        <f t="shared" ca="1" si="158"/>
        <v>-1</v>
      </c>
      <c r="AS159" s="808">
        <f t="shared" ca="1" si="159"/>
        <v>-1</v>
      </c>
      <c r="AT159" s="974">
        <f t="shared" ca="1" si="168"/>
        <v>-1</v>
      </c>
      <c r="AU159" s="1078"/>
      <c r="AV159" s="982"/>
      <c r="AW159" s="1396"/>
      <c r="AX159" s="1396"/>
      <c r="AY159" s="1396"/>
      <c r="AZ159" s="1078"/>
      <c r="BA159" s="982"/>
      <c r="BB159" s="983"/>
      <c r="BC159" s="984"/>
    </row>
    <row r="160" spans="1:55" ht="13.5" customHeight="1" x14ac:dyDescent="0.3">
      <c r="A160" s="966" t="str">
        <f>'Q1'!B182</f>
        <v>TOTAL WASTE NOT TO LANDFILL (excl. waste reused)</v>
      </c>
      <c r="B160" s="908"/>
      <c r="C160" s="1179">
        <f t="shared" ca="1" si="144"/>
        <v>0</v>
      </c>
      <c r="D160" s="781">
        <f t="shared" ca="1" si="144"/>
        <v>0</v>
      </c>
      <c r="E160" s="769">
        <f t="shared" ca="1" si="144"/>
        <v>12604.010000000002</v>
      </c>
      <c r="F160" s="769">
        <f t="shared" ca="1" si="144"/>
        <v>12782.210002856744</v>
      </c>
      <c r="G160" s="769">
        <f t="shared" ca="1" si="144"/>
        <v>12726.917521112089</v>
      </c>
      <c r="H160" s="769">
        <f t="shared" ca="1" si="144"/>
        <v>48862.472878653163</v>
      </c>
      <c r="I160" s="967">
        <f t="shared" ca="1" si="145"/>
        <v>12215.618219663291</v>
      </c>
      <c r="J160" s="873"/>
      <c r="K160" s="775"/>
      <c r="L160" s="968"/>
      <c r="M160" s="969"/>
      <c r="N160" s="975"/>
      <c r="O160" s="810" t="str">
        <f t="shared" ca="1" si="147"/>
        <v/>
      </c>
      <c r="P160" s="783">
        <f t="shared" ca="1" si="148"/>
        <v>-1</v>
      </c>
      <c r="Q160" s="783">
        <f t="shared" ca="1" si="149"/>
        <v>-1</v>
      </c>
      <c r="R160" s="783">
        <f t="shared" ca="1" si="150"/>
        <v>-1</v>
      </c>
      <c r="S160" s="811">
        <f t="shared" ca="1" si="151"/>
        <v>-1</v>
      </c>
      <c r="T160" s="1077"/>
      <c r="U160" s="1077"/>
      <c r="V160" s="1397"/>
      <c r="W160" s="1397"/>
      <c r="X160" s="1397"/>
      <c r="Y160" s="1077"/>
      <c r="Z160" s="1077"/>
      <c r="AA160" s="976"/>
      <c r="AB160" s="977"/>
      <c r="AC160" s="978"/>
      <c r="AD160" s="1179">
        <f t="shared" ca="1" si="155"/>
        <v>0</v>
      </c>
      <c r="AE160" s="806">
        <f t="shared" ca="1" si="155"/>
        <v>0</v>
      </c>
      <c r="AF160" s="749">
        <f t="shared" ca="1" si="155"/>
        <v>153.47999999999999</v>
      </c>
      <c r="AG160" s="749">
        <f t="shared" ca="1" si="155"/>
        <v>107.85594995117188</v>
      </c>
      <c r="AH160" s="749">
        <f t="shared" ca="1" si="155"/>
        <v>451.552568193855</v>
      </c>
      <c r="AI160" s="749">
        <f t="shared" ca="1" si="155"/>
        <v>1598.4579050649536</v>
      </c>
      <c r="AJ160" s="972">
        <f t="shared" ca="1" si="166"/>
        <v>399.6144762662384</v>
      </c>
      <c r="AK160" s="979"/>
      <c r="AL160" s="980"/>
      <c r="AM160" s="968"/>
      <c r="AN160" s="981"/>
      <c r="AO160" s="976"/>
      <c r="AP160" s="755" t="str">
        <f t="shared" ca="1" si="156"/>
        <v/>
      </c>
      <c r="AQ160" s="808">
        <f t="shared" ca="1" si="157"/>
        <v>-1</v>
      </c>
      <c r="AR160" s="808">
        <f t="shared" ca="1" si="158"/>
        <v>-1</v>
      </c>
      <c r="AS160" s="808">
        <f t="shared" ca="1" si="159"/>
        <v>-1</v>
      </c>
      <c r="AT160" s="974">
        <f t="shared" ca="1" si="168"/>
        <v>-1</v>
      </c>
      <c r="AU160" s="1078"/>
      <c r="AV160" s="982"/>
      <c r="AW160" s="1396"/>
      <c r="AX160" s="1396"/>
      <c r="AY160" s="1396"/>
      <c r="AZ160" s="1078"/>
      <c r="BA160" s="982"/>
      <c r="BB160" s="983"/>
      <c r="BC160" s="984"/>
    </row>
    <row r="161" spans="1:55" ht="13.5" customHeight="1" x14ac:dyDescent="0.3">
      <c r="A161" s="966" t="str">
        <f>'Q1'!B183</f>
        <v>TOTAL WASTE SENT TO LANDFILL</v>
      </c>
      <c r="B161" s="908"/>
      <c r="C161" s="1179">
        <f t="shared" ca="1" si="144"/>
        <v>0</v>
      </c>
      <c r="D161" s="781">
        <f t="shared" ca="1" si="144"/>
        <v>0</v>
      </c>
      <c r="E161" s="769">
        <f t="shared" ca="1" si="144"/>
        <v>328.76</v>
      </c>
      <c r="F161" s="769">
        <f t="shared" ca="1" si="144"/>
        <v>370.83551995239202</v>
      </c>
      <c r="G161" s="769">
        <f t="shared" ca="1" si="144"/>
        <v>381.57792798966898</v>
      </c>
      <c r="H161" s="769">
        <f t="shared" ca="1" si="144"/>
        <v>1484.921234342537</v>
      </c>
      <c r="I161" s="967">
        <f t="shared" ca="1" si="145"/>
        <v>371.23030858563425</v>
      </c>
      <c r="J161" s="771" t="str">
        <f ca="1">IF(AND(C161&gt;0,SUM(D161:I161)&gt;0),"",IF(AND(C161=0,SUM(C161:I161)=0),"",IF(AND(C161=0,D161&gt;0),"Missing value?",IF(AND(C161=0,I161&gt;0),"Missing value?","New category"))))</f>
        <v>Missing value?</v>
      </c>
      <c r="K161" s="772"/>
      <c r="L161" s="968"/>
      <c r="M161" s="969"/>
      <c r="N161" s="975"/>
      <c r="O161" s="810" t="str">
        <f t="shared" ca="1" si="147"/>
        <v/>
      </c>
      <c r="P161" s="783">
        <f t="shared" ca="1" si="148"/>
        <v>-1</v>
      </c>
      <c r="Q161" s="783">
        <f t="shared" ca="1" si="149"/>
        <v>-1</v>
      </c>
      <c r="R161" s="783">
        <f t="shared" ca="1" si="150"/>
        <v>-1</v>
      </c>
      <c r="S161" s="811">
        <f t="shared" ca="1" si="151"/>
        <v>-1</v>
      </c>
      <c r="T161" s="1069">
        <f t="shared" ref="T161" ca="1" si="171">IF(SUM(C161:I161)=0,"",IF(OR(AND(C161=0,SUM(D161:I161)&gt;0),AND(C161&gt;0,SUM(D161:I161)=0)),1,IF(MAX(IF(O161&lt;0,-O161,O161),IF(P161&lt;0,-P161,P161),IF(Q161&lt;0,-Q161,Q161),IF(R161&lt;0,-R161,R161),IF(S161&lt;0,-S161,S161))=0,"",MAX(IF(O161&lt;0,-O161,O161),IF(P161&lt;0,-P161,P161),IF(Q161&lt;0,-Q161,Q161),IF(R161&lt;0,-R161,R161),IF(S161&lt;0,-S161,S161)))))</f>
        <v>1</v>
      </c>
      <c r="U161" s="1165" t="str">
        <f ca="1">IF(+T161="","",IF(T161&gt;$N$3,"H",IF(T161&gt;$N$4,"M","")))</f>
        <v>H</v>
      </c>
      <c r="V161" s="1396"/>
      <c r="W161" s="1396"/>
      <c r="X161" s="1396"/>
      <c r="Y161" s="1069">
        <f t="shared" ref="Y161" ca="1" si="172">IF(OR(C161=0,C$162=0),IF(AND(D161&gt;0,D$162&gt;0), +T161*D161/D$162, IF(AND(I161&gt;0,I$162&gt;0), +T161*I161/I$162, "")), +T161*C161/C$162)</f>
        <v>2.9493507270900603E-2</v>
      </c>
      <c r="Z161" s="1165" t="str">
        <f ca="1">IF(+Y161="","",IF(Y161&gt;$N$3,"H",IF(Y161&gt;$N$4,"M","")))</f>
        <v/>
      </c>
      <c r="AA161" s="782" t="s">
        <v>552</v>
      </c>
      <c r="AB161" s="804" t="str">
        <f t="shared" ref="AB161" ca="1" si="173">IF(CONCATENATE(IF(K161="OK","",J161),"    ",IF(AND(+AA161="",Z161="M"),"Value change with medium impact",IF(AND(AA161="",Z161="H"),"Value change with high impact",""))," ")="     ","",CONCATENATE(IF(K161="OK","",J161),"    ",IF(AND(+AA161="",Z161="M"),"Value change with medium impact",IF(AND(AA161="",Z161="H"),"Value change with high impact",""))," "))</f>
        <v xml:space="preserve">Missing value?     </v>
      </c>
      <c r="AC161" s="971" t="str">
        <f ca="1">IF(AD161&gt;C161,"Offices only&gt;Total Estate","")</f>
        <v/>
      </c>
      <c r="AD161" s="1179">
        <f t="shared" ca="1" si="155"/>
        <v>0</v>
      </c>
      <c r="AE161" s="806">
        <f t="shared" ca="1" si="155"/>
        <v>0</v>
      </c>
      <c r="AF161" s="749">
        <f t="shared" ca="1" si="155"/>
        <v>3.86</v>
      </c>
      <c r="AG161" s="749">
        <f t="shared" ca="1" si="155"/>
        <v>6.5211999816894499</v>
      </c>
      <c r="AH161" s="749">
        <f t="shared" ca="1" si="155"/>
        <v>40.726291525889202</v>
      </c>
      <c r="AI161" s="749">
        <f t="shared" ca="1" si="155"/>
        <v>212.7427011538347</v>
      </c>
      <c r="AJ161" s="972">
        <f t="shared" ca="1" si="166"/>
        <v>53.185675288458675</v>
      </c>
      <c r="AK161" s="771" t="str">
        <f ca="1">IF(AND(AD161&gt;0,SUM(AE161:AJ161)&gt;0),"",IF(AND(AD161=0,SUM(AD161:AJ161)=0),"",IF(AND(AD161=0,AE161&gt;0),"missing?",IF(AND(AD161=0,AJ161&gt;0),"missing?","new category"))))</f>
        <v>missing?</v>
      </c>
      <c r="AL161" s="772"/>
      <c r="AM161" s="968"/>
      <c r="AN161" s="969"/>
      <c r="AO161" s="970"/>
      <c r="AP161" s="755" t="str">
        <f t="shared" ca="1" si="156"/>
        <v/>
      </c>
      <c r="AQ161" s="808" t="str">
        <f t="shared" ca="1" si="157"/>
        <v/>
      </c>
      <c r="AR161" s="808" t="str">
        <f t="shared" ca="1" si="158"/>
        <v/>
      </c>
      <c r="AS161" s="808" t="str">
        <f t="shared" ca="1" si="159"/>
        <v/>
      </c>
      <c r="AT161" s="974" t="str">
        <f t="shared" ca="1" si="168"/>
        <v/>
      </c>
      <c r="AU161" s="1069" t="str">
        <f t="shared" ref="AU161" ca="1" si="174">IF(MAX(IF(AP161&lt;0,-AP161,AP161),IF(AS161&lt;0,-AS161,AS161),IF(AT161&lt;0,-AT161,AT161))=0,"",MAX(IF(AP161&lt;0,-AP161,AP161),IF(AQ161&lt;0,-AQ161,AQ161),IF(AR161&lt;0,-AR161,AR161),IF(AS161&lt;0,-AS161,AS161),IF(AT161&lt;0,-AT161,AT161)))</f>
        <v/>
      </c>
      <c r="AV161" s="1165" t="str">
        <f ca="1">IF(+AU161="","",IF(AU161&gt;$AO$3,"H",IF(AU161&gt;$AO$4,"M","")))</f>
        <v/>
      </c>
      <c r="AW161" s="1396"/>
      <c r="AX161" s="1396"/>
      <c r="AY161" s="1396"/>
      <c r="AZ161" s="1069" t="e">
        <f t="shared" ca="1" si="169"/>
        <v>#VALUE!</v>
      </c>
      <c r="BA161" s="1165" t="e">
        <f ca="1">IF(+AZ161="","",IF(AZ161&gt;$AO$3,"H",IF(AZ161&gt;$AO$4,"M","")))</f>
        <v>#VALUE!</v>
      </c>
      <c r="BB161" s="782"/>
      <c r="BC161" s="804" t="e">
        <f t="shared" ca="1" si="170"/>
        <v>#VALUE!</v>
      </c>
    </row>
    <row r="162" spans="1:55" ht="13.5" customHeight="1" thickBot="1" x14ac:dyDescent="0.35">
      <c r="A162" s="985" t="str">
        <f>'Q1'!B184</f>
        <v>TOTAL WASTE (excl. waste reused)</v>
      </c>
      <c r="B162" s="911"/>
      <c r="C162" s="1181">
        <f t="shared" ca="1" si="144"/>
        <v>0</v>
      </c>
      <c r="D162" s="795">
        <f t="shared" ca="1" si="144"/>
        <v>0</v>
      </c>
      <c r="E162" s="787">
        <f t="shared" ca="1" si="144"/>
        <v>12932.770000000002</v>
      </c>
      <c r="F162" s="787">
        <f t="shared" ca="1" si="144"/>
        <v>13153.045522809136</v>
      </c>
      <c r="G162" s="787">
        <f t="shared" ca="1" si="144"/>
        <v>13108.495449101758</v>
      </c>
      <c r="H162" s="787">
        <f t="shared" ca="1" si="144"/>
        <v>50347.394112995702</v>
      </c>
      <c r="I162" s="986">
        <f t="shared" ca="1" si="145"/>
        <v>12586.848528248926</v>
      </c>
      <c r="J162" s="987"/>
      <c r="K162" s="988"/>
      <c r="L162" s="989"/>
      <c r="M162" s="990"/>
      <c r="N162" s="991"/>
      <c r="O162" s="813" t="str">
        <f t="shared" ca="1" si="147"/>
        <v/>
      </c>
      <c r="P162" s="1072">
        <f t="shared" ca="1" si="148"/>
        <v>-1</v>
      </c>
      <c r="Q162" s="1072">
        <f t="shared" ca="1" si="149"/>
        <v>-1</v>
      </c>
      <c r="R162" s="1072">
        <f t="shared" ca="1" si="150"/>
        <v>-1</v>
      </c>
      <c r="S162" s="1075">
        <f t="shared" ca="1" si="151"/>
        <v>-1</v>
      </c>
      <c r="T162" s="1079"/>
      <c r="U162" s="1079"/>
      <c r="V162" s="1398"/>
      <c r="W162" s="1398"/>
      <c r="X162" s="1398"/>
      <c r="Y162" s="1079"/>
      <c r="Z162" s="1079"/>
      <c r="AA162" s="992"/>
      <c r="AB162" s="993"/>
      <c r="AC162" s="994"/>
      <c r="AD162" s="1181">
        <f t="shared" ca="1" si="155"/>
        <v>0</v>
      </c>
      <c r="AE162" s="995">
        <f t="shared" ca="1" si="155"/>
        <v>0</v>
      </c>
      <c r="AF162" s="996">
        <f t="shared" ca="1" si="155"/>
        <v>157.34</v>
      </c>
      <c r="AG162" s="996">
        <f t="shared" ca="1" si="155"/>
        <v>114.37714993286133</v>
      </c>
      <c r="AH162" s="996">
        <f t="shared" ca="1" si="155"/>
        <v>492.27885971974422</v>
      </c>
      <c r="AI162" s="996">
        <f t="shared" ca="1" si="155"/>
        <v>1811.2006062187884</v>
      </c>
      <c r="AJ162" s="997">
        <f t="shared" ca="1" si="166"/>
        <v>452.80015155469709</v>
      </c>
      <c r="AK162" s="987"/>
      <c r="AL162" s="988"/>
      <c r="AM162" s="989"/>
      <c r="AN162" s="990"/>
      <c r="AO162" s="998"/>
      <c r="AP162" s="931" t="str">
        <f t="shared" ca="1" si="156"/>
        <v/>
      </c>
      <c r="AQ162" s="999">
        <f t="shared" ca="1" si="157"/>
        <v>-1</v>
      </c>
      <c r="AR162" s="999">
        <f t="shared" ca="1" si="158"/>
        <v>-1</v>
      </c>
      <c r="AS162" s="999">
        <f t="shared" ca="1" si="159"/>
        <v>-1</v>
      </c>
      <c r="AT162" s="1000">
        <f t="shared" ca="1" si="168"/>
        <v>-1</v>
      </c>
      <c r="AU162" s="1080"/>
      <c r="AV162" s="1001"/>
      <c r="AW162" s="1405"/>
      <c r="AX162" s="1405"/>
      <c r="AY162" s="1405"/>
      <c r="AZ162" s="1080"/>
      <c r="BA162" s="1001"/>
      <c r="BB162" s="992"/>
      <c r="BC162" s="1002"/>
    </row>
    <row r="163" spans="1:55" ht="14.4" x14ac:dyDescent="0.3">
      <c r="A163" s="50"/>
      <c r="B163" s="302"/>
      <c r="C163" s="820"/>
      <c r="D163" s="820"/>
      <c r="E163" s="820"/>
      <c r="F163" s="820"/>
      <c r="G163" s="820"/>
      <c r="H163" s="820"/>
      <c r="I163" s="820"/>
      <c r="J163" s="191"/>
      <c r="K163" s="191"/>
      <c r="L163" s="104"/>
      <c r="M163" s="916"/>
      <c r="N163" s="113"/>
      <c r="O163" s="191"/>
      <c r="P163" s="191"/>
      <c r="Q163" s="191"/>
      <c r="R163" s="110"/>
      <c r="S163" s="104"/>
      <c r="T163" s="104"/>
      <c r="U163" s="104"/>
      <c r="V163" s="104"/>
      <c r="W163" s="104"/>
      <c r="X163" s="104"/>
      <c r="Y163" s="104"/>
      <c r="Z163" s="104"/>
      <c r="AA163" s="104"/>
      <c r="AB163" s="104"/>
      <c r="AC163" s="1204"/>
      <c r="AD163" s="1204"/>
      <c r="AE163" s="1204"/>
      <c r="AF163" s="1204"/>
      <c r="AG163" s="1204"/>
      <c r="AH163" s="1204"/>
      <c r="AI163" s="1204"/>
      <c r="AJ163" s="1204"/>
      <c r="AK163" s="1204"/>
      <c r="AL163" s="191"/>
      <c r="AM163" s="110"/>
      <c r="AN163" s="104"/>
      <c r="AO163" s="50"/>
      <c r="AP163" s="50"/>
      <c r="AQ163" s="50"/>
      <c r="AR163" s="50"/>
      <c r="AS163" s="50"/>
      <c r="AT163" s="50"/>
      <c r="AU163" s="50"/>
      <c r="AV163" s="50"/>
      <c r="AW163" s="50"/>
      <c r="AX163" s="50"/>
      <c r="AY163" s="50"/>
      <c r="AZ163" s="50"/>
      <c r="BA163" s="50"/>
      <c r="BB163" s="50"/>
      <c r="BC163" s="50"/>
    </row>
    <row r="164" spans="1:55" ht="12.75" customHeight="1" x14ac:dyDescent="0.3">
      <c r="A164" s="113"/>
      <c r="B164" s="1204"/>
      <c r="C164" s="820"/>
      <c r="D164" s="820"/>
      <c r="E164" s="820"/>
      <c r="F164" s="820"/>
      <c r="G164" s="820"/>
      <c r="H164" s="820"/>
      <c r="I164" s="820"/>
      <c r="J164" s="191"/>
      <c r="K164" s="191"/>
      <c r="L164" s="104"/>
      <c r="M164" s="916"/>
      <c r="N164" s="113"/>
      <c r="O164" s="191"/>
      <c r="P164" s="191"/>
      <c r="Q164" s="191"/>
      <c r="R164" s="110"/>
      <c r="S164" s="104"/>
      <c r="T164" s="919"/>
      <c r="U164" s="919"/>
      <c r="V164" s="919"/>
      <c r="W164" s="919"/>
      <c r="X164" s="919"/>
      <c r="Y164" s="710"/>
      <c r="Z164" s="711"/>
      <c r="AA164" s="196"/>
      <c r="AB164" s="104"/>
      <c r="AC164" s="113"/>
      <c r="AD164" s="113"/>
      <c r="AE164" s="113"/>
      <c r="AF164" s="113"/>
      <c r="AG164" s="113"/>
      <c r="AH164" s="113"/>
      <c r="AI164" s="113"/>
      <c r="AJ164" s="113"/>
      <c r="AK164" s="113"/>
      <c r="AL164" s="113"/>
      <c r="AM164" s="113"/>
      <c r="AN164" s="113"/>
      <c r="AO164" s="113"/>
      <c r="AP164" s="113"/>
      <c r="AQ164" s="113"/>
      <c r="AR164" s="113"/>
      <c r="AS164" s="113"/>
      <c r="AT164" s="113"/>
      <c r="AU164" s="113"/>
      <c r="AV164" s="113"/>
      <c r="AW164" s="113"/>
      <c r="AX164" s="113"/>
      <c r="AY164" s="113"/>
      <c r="AZ164" s="113"/>
      <c r="BA164" s="113"/>
      <c r="BB164" s="113"/>
      <c r="BC164" s="113"/>
    </row>
    <row r="165" spans="1:55" ht="14.55" customHeight="1" x14ac:dyDescent="0.3">
      <c r="A165" s="923" t="s">
        <v>164</v>
      </c>
      <c r="B165" s="87"/>
      <c r="C165" s="819" t="s">
        <v>23</v>
      </c>
      <c r="D165" s="819" t="s">
        <v>23</v>
      </c>
      <c r="E165" s="819" t="s">
        <v>23</v>
      </c>
      <c r="F165" s="819" t="s">
        <v>23</v>
      </c>
      <c r="G165" s="819" t="s">
        <v>23</v>
      </c>
      <c r="H165" s="819"/>
      <c r="I165" s="819" t="s">
        <v>23</v>
      </c>
      <c r="J165" s="819" t="s">
        <v>23</v>
      </c>
      <c r="K165" s="819" t="s">
        <v>23</v>
      </c>
      <c r="L165" s="819" t="s">
        <v>23</v>
      </c>
      <c r="M165" s="819" t="s">
        <v>23</v>
      </c>
      <c r="N165" s="819" t="s">
        <v>23</v>
      </c>
      <c r="O165" s="819" t="s">
        <v>23</v>
      </c>
      <c r="P165" s="819" t="s">
        <v>23</v>
      </c>
      <c r="Q165" s="819" t="s">
        <v>23</v>
      </c>
      <c r="R165" s="819" t="s">
        <v>23</v>
      </c>
      <c r="S165" s="819" t="s">
        <v>23</v>
      </c>
      <c r="T165" s="1003"/>
      <c r="U165" s="1003"/>
      <c r="V165" s="1003"/>
      <c r="W165" s="1003"/>
      <c r="X165" s="1003"/>
      <c r="Y165" s="1004"/>
      <c r="Z165" s="1005"/>
      <c r="AA165" s="1006"/>
      <c r="AB165" s="819" t="s">
        <v>23</v>
      </c>
      <c r="AC165" s="113"/>
      <c r="AD165" s="113"/>
      <c r="AE165" s="113"/>
      <c r="AF165" s="113"/>
      <c r="AG165" s="113"/>
      <c r="AH165" s="113"/>
      <c r="AI165" s="113"/>
      <c r="AJ165" s="113"/>
      <c r="AK165" s="113"/>
      <c r="AL165" s="113"/>
      <c r="AM165" s="113"/>
      <c r="AN165" s="113"/>
      <c r="AO165" s="113"/>
      <c r="AP165" s="113"/>
      <c r="AQ165" s="113"/>
      <c r="AR165" s="113"/>
      <c r="AS165" s="113"/>
      <c r="AT165" s="113"/>
      <c r="AU165" s="113"/>
      <c r="AV165" s="113"/>
      <c r="AW165" s="113"/>
      <c r="AX165" s="113"/>
      <c r="AY165" s="113"/>
      <c r="AZ165" s="113"/>
      <c r="BA165" s="113"/>
      <c r="BB165" s="113"/>
      <c r="BC165" s="113"/>
    </row>
    <row r="166" spans="1:55" ht="12.75" customHeight="1" thickBot="1" x14ac:dyDescent="0.35">
      <c r="A166" s="1170"/>
      <c r="B166" s="50"/>
      <c r="C166" s="671"/>
      <c r="D166" s="671"/>
      <c r="E166" s="671"/>
      <c r="F166" s="671"/>
      <c r="G166" s="671"/>
      <c r="H166" s="671"/>
      <c r="I166" s="671"/>
      <c r="J166" s="88"/>
      <c r="K166" s="88"/>
      <c r="L166" s="88"/>
      <c r="M166" s="88"/>
      <c r="N166" s="113"/>
      <c r="O166" s="88"/>
      <c r="P166" s="88"/>
      <c r="Q166" s="88"/>
      <c r="R166" s="88"/>
      <c r="S166" s="88"/>
      <c r="T166" s="919"/>
      <c r="U166" s="919"/>
      <c r="V166" s="919"/>
      <c r="W166" s="919"/>
      <c r="X166" s="919"/>
      <c r="Y166" s="710"/>
      <c r="Z166" s="711"/>
      <c r="AA166" s="106"/>
      <c r="AB166" s="88"/>
      <c r="AC166" s="113"/>
      <c r="AD166" s="113"/>
      <c r="AE166" s="113"/>
      <c r="AF166" s="113"/>
      <c r="AG166" s="113"/>
      <c r="AH166" s="113"/>
      <c r="AI166" s="113"/>
      <c r="AJ166" s="113"/>
      <c r="AK166" s="113"/>
      <c r="AL166" s="113"/>
      <c r="AM166" s="113"/>
      <c r="AN166" s="113"/>
      <c r="AO166" s="113"/>
      <c r="AP166" s="113"/>
      <c r="AQ166" s="113"/>
      <c r="AR166" s="113"/>
      <c r="AS166" s="113"/>
      <c r="AT166" s="113"/>
      <c r="AU166" s="113"/>
      <c r="AV166" s="113"/>
      <c r="AW166" s="113"/>
      <c r="AX166" s="113"/>
      <c r="AY166" s="113"/>
      <c r="AZ166" s="113"/>
      <c r="BA166" s="113"/>
      <c r="BB166" s="113"/>
      <c r="BC166" s="113"/>
    </row>
    <row r="167" spans="1:55" ht="27.6" x14ac:dyDescent="0.3">
      <c r="A167" s="100"/>
      <c r="B167" s="101"/>
      <c r="C167" s="1008" t="s">
        <v>176</v>
      </c>
      <c r="D167" s="2175" t="s">
        <v>177</v>
      </c>
      <c r="E167" s="2176"/>
      <c r="F167" s="2176"/>
      <c r="G167" s="2176"/>
      <c r="H167" s="2176"/>
      <c r="I167" s="2177"/>
      <c r="J167" s="2168" t="s">
        <v>428</v>
      </c>
      <c r="K167" s="2169"/>
      <c r="L167" s="2173"/>
      <c r="M167" s="2171"/>
      <c r="N167" s="2174"/>
      <c r="O167" s="2173" t="s">
        <v>430</v>
      </c>
      <c r="P167" s="2170"/>
      <c r="Q167" s="2170"/>
      <c r="R167" s="2171"/>
      <c r="S167" s="2174"/>
      <c r="T167" s="2178" t="s">
        <v>418</v>
      </c>
      <c r="U167" s="2179"/>
      <c r="V167" s="2179"/>
      <c r="W167" s="2179"/>
      <c r="X167" s="2179"/>
      <c r="Y167" s="2179"/>
      <c r="Z167" s="2179"/>
      <c r="AA167" s="2152"/>
      <c r="AB167" s="2180" t="s">
        <v>433</v>
      </c>
      <c r="AC167" s="113"/>
      <c r="AD167" s="113"/>
      <c r="AE167" s="113"/>
      <c r="AF167" s="113"/>
      <c r="AG167" s="113"/>
      <c r="AH167" s="113"/>
      <c r="AI167" s="113"/>
      <c r="AJ167" s="113"/>
      <c r="AK167" s="113"/>
      <c r="AL167" s="113"/>
      <c r="AM167" s="113"/>
      <c r="AN167" s="113"/>
      <c r="AO167" s="113"/>
      <c r="AP167" s="113"/>
      <c r="AQ167" s="113"/>
      <c r="AR167" s="113"/>
      <c r="AS167" s="113"/>
      <c r="AT167" s="113"/>
      <c r="AU167" s="113"/>
      <c r="AV167" s="113"/>
      <c r="AW167" s="113"/>
      <c r="AX167" s="113"/>
      <c r="AY167" s="113"/>
      <c r="AZ167" s="113"/>
      <c r="BA167" s="113"/>
      <c r="BB167" s="113"/>
      <c r="BC167" s="113"/>
    </row>
    <row r="168" spans="1:55" ht="42" thickBot="1" x14ac:dyDescent="0.35">
      <c r="A168" s="901"/>
      <c r="B168" s="103"/>
      <c r="C168" s="1225" t="str">
        <f>C14</f>
        <v>Q4</v>
      </c>
      <c r="D168" s="821" t="str">
        <f t="shared" ref="D168:I168" si="175">D14</f>
        <v>Q3</v>
      </c>
      <c r="E168" s="925" t="str">
        <f t="shared" si="175"/>
        <v>Q2</v>
      </c>
      <c r="F168" s="925" t="str">
        <f t="shared" si="175"/>
        <v>Q1</v>
      </c>
      <c r="G168" s="822" t="str">
        <f t="shared" si="175"/>
        <v>Q4-19</v>
      </c>
      <c r="H168" s="822" t="str">
        <f t="shared" si="175"/>
        <v>2018-2019</v>
      </c>
      <c r="I168" s="823" t="str">
        <f t="shared" si="175"/>
        <v>25% of previous year total</v>
      </c>
      <c r="J168" s="824" t="s">
        <v>434</v>
      </c>
      <c r="K168" s="825" t="s">
        <v>435</v>
      </c>
      <c r="L168" s="831"/>
      <c r="M168" s="826"/>
      <c r="N168" s="860"/>
      <c r="O168" s="828" t="s">
        <v>438</v>
      </c>
      <c r="P168" s="925" t="s">
        <v>470</v>
      </c>
      <c r="Q168" s="925" t="s">
        <v>471</v>
      </c>
      <c r="R168" s="829" t="s">
        <v>439</v>
      </c>
      <c r="S168" s="830" t="s">
        <v>440</v>
      </c>
      <c r="T168" s="2156" t="s">
        <v>441</v>
      </c>
      <c r="U168" s="2155"/>
      <c r="V168" s="1394"/>
      <c r="W168" s="1394"/>
      <c r="X168" s="1394"/>
      <c r="Y168" s="2157" t="s">
        <v>451</v>
      </c>
      <c r="Z168" s="2155"/>
      <c r="AA168" s="830" t="s">
        <v>445</v>
      </c>
      <c r="AB168" s="2181"/>
      <c r="AC168" s="113"/>
      <c r="AD168" s="113"/>
      <c r="AE168" s="113"/>
      <c r="AF168" s="113"/>
      <c r="AG168" s="113"/>
      <c r="AH168" s="113"/>
      <c r="AI168" s="113"/>
      <c r="AJ168" s="113"/>
      <c r="AK168" s="113"/>
      <c r="AL168" s="113"/>
      <c r="AM168" s="113"/>
      <c r="AN168" s="113"/>
      <c r="AO168" s="113"/>
      <c r="AP168" s="113"/>
      <c r="AQ168" s="113"/>
      <c r="AR168" s="113"/>
      <c r="AS168" s="113"/>
      <c r="AT168" s="113"/>
      <c r="AU168" s="113"/>
      <c r="AV168" s="113"/>
      <c r="AW168" s="113"/>
      <c r="AX168" s="113"/>
      <c r="AY168" s="113"/>
      <c r="AZ168" s="113"/>
      <c r="BA168" s="113"/>
      <c r="BB168" s="113"/>
      <c r="BC168" s="113"/>
    </row>
    <row r="169" spans="1:55" ht="12.75" customHeight="1" thickBot="1" x14ac:dyDescent="0.35">
      <c r="A169" s="1009" t="s">
        <v>186</v>
      </c>
      <c r="B169" s="1010"/>
      <c r="C169" s="1177">
        <f t="shared" ref="C169:H169" ca="1" si="176">INDIRECT(CONCATENATE("'",C$14,"'!$E$191"),TRUE)</f>
        <v>0</v>
      </c>
      <c r="D169" s="1205">
        <f t="shared" ca="1" si="176"/>
        <v>0</v>
      </c>
      <c r="E169" s="1206">
        <f t="shared" ca="1" si="176"/>
        <v>269613</v>
      </c>
      <c r="F169" s="1206">
        <f t="shared" ca="1" si="176"/>
        <v>265900.5</v>
      </c>
      <c r="G169" s="1206">
        <f t="shared" ca="1" si="176"/>
        <v>285494</v>
      </c>
      <c r="H169" s="1206">
        <f t="shared" ca="1" si="176"/>
        <v>1075816</v>
      </c>
      <c r="I169" s="1207">
        <f t="shared" ref="I169" ca="1" si="177">H169/4</f>
        <v>268954</v>
      </c>
      <c r="J169" s="842" t="str">
        <f ca="1">IF(AND(C169&gt;0,SUM(D169:I169)&gt;0),"",IF(AND(C169=0,SUM(C169:I169)=0),"",IF(AND(C169=0,D169&gt;0),"Missing value?",IF(AND(C169=0,I169&gt;0),"Missing value?","New category"))))</f>
        <v>Missing value?</v>
      </c>
      <c r="K169" s="843"/>
      <c r="L169" s="1011"/>
      <c r="M169" s="1012"/>
      <c r="N169" s="1013"/>
      <c r="O169" s="738" t="str">
        <f ca="1">IF(OR(+$J169="missing?",+$J169="new category"),"",IF($D169=0,"",IF(SUM($C169:$I169)=0,"",IFERROR((($C169-$D169)/$D169),"N/A"))))</f>
        <v/>
      </c>
      <c r="P169" s="1072">
        <f t="shared" ref="P169" ca="1" si="178">IF(OR(+$J169="missing?",+$J169="new category"),"",IF($E169=0,"",IF(SUM($C169:$I169)=0,"",IFERROR((($C169-$E169)/$E169),"N/A"))))</f>
        <v>-1</v>
      </c>
      <c r="Q169" s="1072">
        <f t="shared" ref="Q169" ca="1" si="179">IF(OR(+$J169="missing?",+$J169="new category"),"",IF($F169=0,"",IF(SUM($C169:$I169)=0,"",IFERROR((($C169-$F169)/$F169),"N/A"))))</f>
        <v>-1</v>
      </c>
      <c r="R169" s="739">
        <f ca="1">IF(OR(+$J169="missing?",+$J169="new category"),"",IF($G169=0,"",IF(SUM($C169:$I169)=0,"",IFERROR((($C169-$G169)/$G169),"N/A"))))</f>
        <v>-1</v>
      </c>
      <c r="S169" s="740">
        <f ca="1">IF(OR(+$J169="missing?",+$J169="new category"),"",IF($I169=0,"",IF(SUM($C169:$I169)=0,"",IFERROR((($C169-$I169)/$I169),"N/A"))))</f>
        <v>-1</v>
      </c>
      <c r="T169" s="1070">
        <f t="shared" ref="T169" ca="1" si="180">IF(SUM(C169:I169)=0,"",IF(OR(AND(C169=0,SUM(D169:I169)&gt;0),AND(C169&gt;0,SUM(D169:I169)=0)),1,IF(MAX(IF(O169&lt;0,-O169,O169),IF(P169&lt;0,-P169,P169),IF(Q169&lt;0,-Q169,Q169),IF(R169&lt;0,-R169,R169),IF(S169&lt;0,-S169,S169))=0,"",MAX(IF(O169&lt;0,-O169,O169),IF(P169&lt;0,-P169,P169),IF(Q169&lt;0,-Q169,Q169),IF(R169&lt;0,-R169,R169),IF(S169&lt;0,-S169,S169)))))</f>
        <v>1</v>
      </c>
      <c r="U169" s="1160">
        <f ca="1">IF(SUM(D169:J169)=0,"",IF(OR(AND(D169=0,SUM(G169:J169)&gt;0),AND(D169&gt;0,SUM(G169:J169)=0)),1,IF(MAX(IF(R169&lt;0,-R169,R169),IF(S169&lt;0,-S169,S169),IF(T169&lt;0,-T169,T169))=0,"",MAX(IF(R169&lt;0,-R169,R169),IF(S169&lt;0,-S169,S169),IF(T169&lt;0,-T169,T169)))))</f>
        <v>1</v>
      </c>
      <c r="V169" s="1399"/>
      <c r="W169" s="1399"/>
      <c r="X169" s="1399"/>
      <c r="Y169" s="2162" t="str">
        <f ca="1">IF(+T169="","",IF(T169&gt;$O$3,"H",IF(T169&gt;$O$4,"M","")))</f>
        <v>H</v>
      </c>
      <c r="Z169" s="2163"/>
      <c r="AA169" s="843" t="s">
        <v>552</v>
      </c>
      <c r="AB169" s="1014" t="str">
        <f ca="1">IF(CONCATENATE(IF(K169="OK","",J169),"    ",IF(L169="","",IF(N169="OK","",CONCATENATE(M169," = ",ROUND(L169,3),"kgCO2e/kWh"))),"    ",IF(AND(+AA169="",Y169="M"),"Value change with medium impact",IF(AND(AA169="",Y169="H"),"Value change with high impact",""))," ")="         ","",CONCATENATE(IF(K169="OK","",J169),"    ",IF(L169="","",IF(N169="OK","",CONCATENATE(M169," = ",ROUND(L169,3),"kgCO2e/kWh"))),"    ",IF(AND(+AA169="",Y169="M"),"Value change with medium impact",IF(AND(AA169="",Y169="H"),"Value change with high impact",""))," "))</f>
        <v xml:space="preserve">Missing value?         </v>
      </c>
      <c r="AC169" s="113"/>
      <c r="AD169" s="113"/>
      <c r="AE169" s="113"/>
      <c r="AF169" s="113"/>
      <c r="AG169" s="113"/>
      <c r="AH169" s="113"/>
      <c r="AI169" s="113"/>
      <c r="AJ169" s="113"/>
      <c r="AK169" s="113"/>
      <c r="AL169" s="113"/>
      <c r="AM169" s="113"/>
      <c r="AN169" s="113"/>
      <c r="AO169" s="113"/>
      <c r="AP169" s="113"/>
      <c r="AQ169" s="113"/>
      <c r="AR169" s="113"/>
      <c r="AS169" s="113"/>
      <c r="AT169" s="113"/>
      <c r="AU169" s="113"/>
      <c r="AV169" s="113"/>
      <c r="AW169" s="113"/>
      <c r="AX169" s="113"/>
      <c r="AY169" s="113"/>
      <c r="AZ169" s="113"/>
      <c r="BA169" s="113"/>
      <c r="BB169" s="113"/>
      <c r="BC169" s="113"/>
    </row>
    <row r="170" spans="1:55" ht="14.4" x14ac:dyDescent="0.3">
      <c r="A170" s="90"/>
      <c r="B170" s="90"/>
      <c r="C170" s="814"/>
      <c r="D170" s="814"/>
      <c r="E170" s="814"/>
      <c r="F170" s="814"/>
      <c r="G170" s="814"/>
      <c r="H170" s="814"/>
      <c r="I170" s="671"/>
      <c r="J170" s="88"/>
      <c r="K170" s="88"/>
      <c r="L170" s="1015"/>
      <c r="M170" s="1016"/>
      <c r="N170" s="113"/>
      <c r="O170" s="93"/>
      <c r="P170" s="93"/>
      <c r="Q170" s="93"/>
      <c r="R170" s="93"/>
      <c r="S170" s="1015">
        <f ca="1">G169</f>
        <v>285494</v>
      </c>
      <c r="T170" s="1015"/>
      <c r="U170" s="1015"/>
      <c r="V170" s="1015"/>
      <c r="W170" s="1015"/>
      <c r="X170" s="1015"/>
      <c r="Y170" s="1015"/>
      <c r="Z170" s="1015"/>
      <c r="AA170" s="1015"/>
      <c r="AB170" s="1015"/>
      <c r="AC170" s="113"/>
      <c r="AD170" s="113"/>
      <c r="AE170" s="113"/>
      <c r="AF170" s="113"/>
      <c r="AG170" s="113"/>
      <c r="AH170" s="113"/>
      <c r="AI170" s="113"/>
      <c r="AJ170" s="113"/>
      <c r="AK170" s="113"/>
      <c r="AL170" s="113"/>
      <c r="AM170" s="113"/>
      <c r="AN170" s="113"/>
      <c r="AO170" s="113"/>
      <c r="AP170" s="113"/>
      <c r="AQ170" s="113"/>
      <c r="AR170" s="113"/>
      <c r="AS170" s="113"/>
      <c r="AT170" s="113"/>
      <c r="AU170" s="113"/>
      <c r="AV170" s="113"/>
      <c r="AW170" s="113"/>
      <c r="AX170" s="113"/>
      <c r="AY170" s="113"/>
      <c r="AZ170" s="113"/>
      <c r="BA170" s="113"/>
      <c r="BB170" s="113"/>
      <c r="BC170" s="113"/>
    </row>
    <row r="171" spans="1:55" ht="14.4" x14ac:dyDescent="0.3">
      <c r="A171" s="923" t="s">
        <v>169</v>
      </c>
      <c r="B171" s="87"/>
      <c r="C171" s="819" t="s">
        <v>23</v>
      </c>
      <c r="D171" s="819" t="s">
        <v>23</v>
      </c>
      <c r="E171" s="819" t="s">
        <v>23</v>
      </c>
      <c r="F171" s="819" t="s">
        <v>23</v>
      </c>
      <c r="G171" s="819" t="s">
        <v>23</v>
      </c>
      <c r="H171" s="819"/>
      <c r="I171" s="819" t="s">
        <v>23</v>
      </c>
      <c r="J171" s="819" t="s">
        <v>23</v>
      </c>
      <c r="K171" s="819" t="s">
        <v>23</v>
      </c>
      <c r="L171" s="819" t="s">
        <v>23</v>
      </c>
      <c r="M171" s="819" t="s">
        <v>23</v>
      </c>
      <c r="N171" s="819" t="s">
        <v>23</v>
      </c>
      <c r="O171" s="819" t="s">
        <v>23</v>
      </c>
      <c r="P171" s="819" t="s">
        <v>23</v>
      </c>
      <c r="Q171" s="819" t="s">
        <v>23</v>
      </c>
      <c r="R171" s="819" t="s">
        <v>23</v>
      </c>
      <c r="S171" s="819" t="s">
        <v>23</v>
      </c>
      <c r="T171" s="819" t="s">
        <v>23</v>
      </c>
      <c r="U171" s="819"/>
      <c r="V171" s="819"/>
      <c r="W171" s="819"/>
      <c r="X171" s="819"/>
      <c r="Y171" s="819" t="s">
        <v>23</v>
      </c>
      <c r="Z171" s="819" t="s">
        <v>23</v>
      </c>
      <c r="AA171" s="819" t="s">
        <v>23</v>
      </c>
      <c r="AB171" s="819" t="s">
        <v>23</v>
      </c>
      <c r="AC171" s="113"/>
      <c r="AD171" s="113"/>
      <c r="AE171" s="113"/>
      <c r="AF171" s="113"/>
      <c r="AG171" s="113"/>
      <c r="AH171" s="113"/>
      <c r="AI171" s="113"/>
      <c r="AJ171" s="113"/>
      <c r="AK171" s="113"/>
      <c r="AL171" s="113"/>
      <c r="AM171" s="113"/>
      <c r="AN171" s="113"/>
      <c r="AO171" s="113"/>
      <c r="AP171" s="113"/>
      <c r="AQ171" s="113"/>
      <c r="AR171" s="113"/>
      <c r="AS171" s="113"/>
      <c r="AT171" s="113"/>
      <c r="AU171" s="113"/>
      <c r="AV171" s="113"/>
      <c r="AW171" s="113"/>
      <c r="AX171" s="113"/>
      <c r="AY171" s="113"/>
      <c r="AZ171" s="113"/>
      <c r="BA171" s="113"/>
      <c r="BB171" s="113"/>
      <c r="BC171" s="113"/>
    </row>
    <row r="172" spans="1:55" ht="12.75" customHeight="1" x14ac:dyDescent="0.3">
      <c r="A172" s="1170"/>
      <c r="B172" s="90"/>
      <c r="C172" s="814"/>
      <c r="D172" s="814"/>
      <c r="E172" s="814"/>
      <c r="F172" s="814"/>
      <c r="G172" s="814"/>
      <c r="H172" s="814"/>
      <c r="I172" s="814"/>
      <c r="J172" s="93"/>
      <c r="K172" s="93"/>
      <c r="L172" s="93"/>
      <c r="M172" s="718"/>
      <c r="N172" s="113"/>
      <c r="O172" s="93"/>
      <c r="P172" s="93"/>
      <c r="Q172" s="93"/>
      <c r="R172" s="93"/>
      <c r="S172" s="93"/>
      <c r="T172" s="919"/>
      <c r="U172" s="919"/>
      <c r="V172" s="919"/>
      <c r="W172" s="919"/>
      <c r="X172" s="919"/>
      <c r="Y172" s="710"/>
      <c r="Z172" s="711"/>
      <c r="AA172" s="196"/>
      <c r="AB172" s="93"/>
      <c r="AC172" s="113"/>
      <c r="AD172" s="113"/>
      <c r="AE172" s="113"/>
      <c r="AF172" s="113"/>
      <c r="AG172" s="113"/>
      <c r="AH172" s="113"/>
      <c r="AI172" s="113"/>
      <c r="AJ172" s="113"/>
      <c r="AK172" s="113"/>
      <c r="AL172" s="113"/>
      <c r="AM172" s="113"/>
      <c r="AN172" s="113"/>
      <c r="AO172" s="113"/>
      <c r="AP172" s="113"/>
      <c r="AQ172" s="113"/>
      <c r="AR172" s="113"/>
      <c r="AS172" s="113"/>
      <c r="AT172" s="113"/>
      <c r="AU172" s="113"/>
      <c r="AV172" s="113"/>
      <c r="AW172" s="113"/>
      <c r="AX172" s="113"/>
      <c r="AY172" s="113"/>
      <c r="AZ172" s="113"/>
      <c r="BA172" s="113"/>
      <c r="BB172" s="113"/>
      <c r="BC172" s="113"/>
    </row>
    <row r="173" spans="1:55" ht="14.55" customHeight="1" x14ac:dyDescent="0.3">
      <c r="A173" s="673"/>
      <c r="B173" s="673"/>
      <c r="C173" s="671"/>
      <c r="D173" s="671"/>
      <c r="E173" s="671"/>
      <c r="F173" s="671"/>
      <c r="G173" s="814"/>
      <c r="H173" s="814"/>
      <c r="I173" s="814"/>
      <c r="J173" s="93"/>
      <c r="K173" s="1007"/>
      <c r="L173" s="1017"/>
      <c r="M173" s="1017"/>
      <c r="N173" s="113"/>
      <c r="O173" s="93"/>
      <c r="P173" s="93"/>
      <c r="Q173" s="93"/>
      <c r="R173" s="93"/>
      <c r="S173" s="93"/>
      <c r="T173" s="919"/>
      <c r="U173" s="919"/>
      <c r="V173" s="919"/>
      <c r="W173" s="919"/>
      <c r="X173" s="919"/>
      <c r="Y173" s="710"/>
      <c r="Z173" s="711"/>
      <c r="AA173" s="196"/>
      <c r="AB173" s="93"/>
      <c r="AC173" s="113"/>
      <c r="AD173" s="113"/>
      <c r="AE173" s="113"/>
      <c r="AF173" s="113"/>
      <c r="AG173" s="113"/>
      <c r="AH173" s="113"/>
      <c r="AI173" s="113"/>
      <c r="AJ173" s="113"/>
      <c r="AK173" s="113"/>
      <c r="AL173" s="113"/>
      <c r="AM173" s="113"/>
      <c r="AN173" s="113"/>
      <c r="AO173" s="113"/>
      <c r="AP173" s="113"/>
      <c r="AQ173" s="113"/>
      <c r="AR173" s="113"/>
      <c r="AS173" s="113"/>
      <c r="AT173" s="113"/>
      <c r="AU173" s="113"/>
      <c r="AV173" s="113"/>
      <c r="AW173" s="113"/>
      <c r="AX173" s="113"/>
      <c r="AY173" s="113"/>
      <c r="AZ173" s="113"/>
      <c r="BA173" s="113"/>
      <c r="BB173" s="113"/>
      <c r="BC173" s="113"/>
    </row>
    <row r="174" spans="1:55" ht="12" customHeight="1" thickBot="1" x14ac:dyDescent="0.35">
      <c r="A174" s="673"/>
      <c r="B174" s="673"/>
      <c r="C174" s="671"/>
      <c r="D174" s="671"/>
      <c r="E174" s="671"/>
      <c r="F174" s="671"/>
      <c r="G174" s="814"/>
      <c r="H174" s="814"/>
      <c r="I174" s="814"/>
      <c r="J174" s="93"/>
      <c r="K174" s="1007"/>
      <c r="L174" s="1007"/>
      <c r="M174" s="1007"/>
      <c r="N174" s="1170"/>
      <c r="O174" s="93"/>
      <c r="P174" s="93"/>
      <c r="Q174" s="93"/>
      <c r="R174" s="93"/>
      <c r="S174" s="93"/>
      <c r="T174" s="919"/>
      <c r="U174" s="919"/>
      <c r="V174" s="919"/>
      <c r="W174" s="919"/>
      <c r="X174" s="919"/>
      <c r="Y174" s="710"/>
      <c r="Z174" s="711"/>
      <c r="AA174" s="106"/>
      <c r="AB174" s="93"/>
      <c r="AC174" s="1170"/>
      <c r="AD174" s="1170"/>
      <c r="AE174" s="1170"/>
      <c r="AF174" s="1170"/>
      <c r="AG174" s="1170"/>
      <c r="AH174" s="1170"/>
      <c r="AI174" s="1170"/>
      <c r="AJ174" s="1170"/>
      <c r="AK174" s="1170"/>
      <c r="AL174" s="1170"/>
      <c r="AM174" s="1170"/>
      <c r="AN174" s="1170"/>
      <c r="AO174" s="1170"/>
      <c r="AP174" s="1170"/>
      <c r="AQ174" s="1170"/>
      <c r="AR174" s="1170"/>
      <c r="AS174" s="1170"/>
      <c r="AT174" s="1170"/>
      <c r="AU174" s="1170"/>
      <c r="AV174" s="1170"/>
      <c r="AW174" s="1170"/>
      <c r="AX174" s="1170"/>
      <c r="AY174" s="1170"/>
      <c r="AZ174" s="1170"/>
      <c r="BA174" s="1170"/>
      <c r="BB174" s="1170"/>
      <c r="BC174" s="1170"/>
    </row>
    <row r="175" spans="1:55" ht="27.6" x14ac:dyDescent="0.3">
      <c r="A175" s="100"/>
      <c r="B175" s="1018"/>
      <c r="C175" s="1282" t="s">
        <v>176</v>
      </c>
      <c r="D175" s="2164" t="s">
        <v>177</v>
      </c>
      <c r="E175" s="2165"/>
      <c r="F175" s="2165"/>
      <c r="G175" s="2166"/>
      <c r="H175" s="2167"/>
      <c r="I175" s="2167"/>
      <c r="J175" s="2168" t="s">
        <v>428</v>
      </c>
      <c r="K175" s="2169"/>
      <c r="L175" s="2170" t="s">
        <v>452</v>
      </c>
      <c r="M175" s="2171"/>
      <c r="N175" s="2172"/>
      <c r="O175" s="2173" t="s">
        <v>430</v>
      </c>
      <c r="P175" s="2170"/>
      <c r="Q175" s="2170"/>
      <c r="R175" s="2171"/>
      <c r="S175" s="2174"/>
      <c r="T175" s="2170" t="s">
        <v>418</v>
      </c>
      <c r="U175" s="2171"/>
      <c r="V175" s="2171"/>
      <c r="W175" s="2171"/>
      <c r="X175" s="2171"/>
      <c r="Y175" s="2171"/>
      <c r="Z175" s="2171"/>
      <c r="AA175" s="2174"/>
      <c r="AB175" s="2152" t="s">
        <v>433</v>
      </c>
      <c r="AC175" s="1170"/>
      <c r="AD175" s="1170"/>
      <c r="AE175" s="1170"/>
      <c r="AF175" s="1170"/>
      <c r="AG175" s="1170"/>
      <c r="AH175" s="1170"/>
      <c r="AI175" s="1170"/>
      <c r="AJ175" s="1170"/>
      <c r="AK175" s="1170"/>
      <c r="AL175" s="1170"/>
      <c r="AM175" s="1170"/>
      <c r="AN175" s="1170"/>
      <c r="AO175" s="1170"/>
      <c r="AP175" s="1170"/>
      <c r="AQ175" s="1170"/>
      <c r="AR175" s="1170"/>
      <c r="AS175" s="1170"/>
      <c r="AT175" s="1170"/>
      <c r="AU175" s="1170"/>
      <c r="AV175" s="1170"/>
      <c r="AW175" s="1170"/>
      <c r="AX175" s="1170"/>
      <c r="AY175" s="1170"/>
      <c r="AZ175" s="1170"/>
      <c r="BA175" s="1170"/>
      <c r="BB175" s="1170"/>
      <c r="BC175" s="1170"/>
    </row>
    <row r="176" spans="1:55" ht="47.55" customHeight="1" thickBot="1" x14ac:dyDescent="0.35">
      <c r="A176" s="102"/>
      <c r="B176" s="1019"/>
      <c r="C176" s="1283" t="str">
        <f>C14</f>
        <v>Q4</v>
      </c>
      <c r="D176" s="721" t="str">
        <f t="shared" ref="D176:I176" si="181">D14</f>
        <v>Q3</v>
      </c>
      <c r="E176" s="925" t="str">
        <f t="shared" si="181"/>
        <v>Q2</v>
      </c>
      <c r="F176" s="925" t="str">
        <f t="shared" si="181"/>
        <v>Q1</v>
      </c>
      <c r="G176" s="722" t="str">
        <f t="shared" si="181"/>
        <v>Q4-19</v>
      </c>
      <c r="H176" s="722" t="str">
        <f t="shared" si="181"/>
        <v>2018-2019</v>
      </c>
      <c r="I176" s="926" t="str">
        <f t="shared" si="181"/>
        <v>25% of previous year total</v>
      </c>
      <c r="J176" s="724" t="s">
        <v>434</v>
      </c>
      <c r="K176" s="725" t="s">
        <v>435</v>
      </c>
      <c r="L176" s="2154" t="str">
        <f>CONCATENATE("Average flight distance = ",+O8," to ",+O9," km")</f>
        <v>Average flight distance = 100 to 800 km</v>
      </c>
      <c r="M176" s="2155"/>
      <c r="N176" s="1020" t="s">
        <v>435</v>
      </c>
      <c r="O176" s="728" t="s">
        <v>438</v>
      </c>
      <c r="P176" s="925" t="s">
        <v>470</v>
      </c>
      <c r="Q176" s="925" t="s">
        <v>471</v>
      </c>
      <c r="R176" s="1169" t="s">
        <v>439</v>
      </c>
      <c r="S176" s="729" t="s">
        <v>440</v>
      </c>
      <c r="T176" s="2156" t="s">
        <v>441</v>
      </c>
      <c r="U176" s="2155"/>
      <c r="V176" s="1394"/>
      <c r="W176" s="1394"/>
      <c r="X176" s="1394"/>
      <c r="Y176" s="2157" t="s">
        <v>453</v>
      </c>
      <c r="Z176" s="2155"/>
      <c r="AA176" s="729" t="s">
        <v>445</v>
      </c>
      <c r="AB176" s="2153"/>
      <c r="AC176" s="1170"/>
      <c r="AD176" s="1170"/>
      <c r="AE176" s="1170"/>
      <c r="AF176" s="1170"/>
      <c r="AG176" s="1170"/>
      <c r="AH176" s="1170"/>
      <c r="AI176" s="1170"/>
      <c r="AJ176" s="1170"/>
      <c r="AK176" s="1170"/>
      <c r="AL176" s="1170"/>
      <c r="AM176" s="1170"/>
      <c r="AN176" s="1170"/>
      <c r="AO176" s="1170"/>
      <c r="AP176" s="1170"/>
      <c r="AQ176" s="1170"/>
      <c r="AR176" s="1170"/>
      <c r="AS176" s="1170"/>
      <c r="AT176" s="1170"/>
      <c r="AU176" s="1170"/>
      <c r="AV176" s="1170"/>
      <c r="AW176" s="1170"/>
      <c r="AX176" s="1170"/>
      <c r="AY176" s="1170"/>
      <c r="AZ176" s="1170"/>
      <c r="BA176" s="1170"/>
      <c r="BB176" s="1170"/>
      <c r="BC176" s="1170"/>
    </row>
    <row r="177" spans="1:55" ht="12" customHeight="1" x14ac:dyDescent="0.3">
      <c r="A177" s="1021" t="s">
        <v>187</v>
      </c>
      <c r="B177" s="1022"/>
      <c r="C177" s="1195">
        <f t="shared" ref="C177:H177" ca="1" si="182">INDIRECT(CONCATENATE("'",C$14,"'!$D$197"),TRUE)</f>
        <v>0</v>
      </c>
      <c r="D177" s="1196">
        <f t="shared" ca="1" si="182"/>
        <v>0</v>
      </c>
      <c r="E177" s="1197">
        <f t="shared" ca="1" si="182"/>
        <v>772</v>
      </c>
      <c r="F177" s="1197">
        <f t="shared" ca="1" si="182"/>
        <v>976</v>
      </c>
      <c r="G177" s="1197">
        <f t="shared" ca="1" si="182"/>
        <v>1088</v>
      </c>
      <c r="H177" s="1197">
        <f t="shared" ca="1" si="182"/>
        <v>4200</v>
      </c>
      <c r="I177" s="1208">
        <f t="shared" ref="I177" ca="1" si="183">H177/4</f>
        <v>1050</v>
      </c>
      <c r="J177" s="973" t="str">
        <f ca="1">IF(AND(C177&gt;0,SUM(D177:I177)&gt;0),"",IF(AND(C177=0,SUM(C177:I177)=0),"",IF(AND(C177=0,D177&gt;0),"missing?",IF(AND(C177=0,I177&gt;0),"missing?","new category"))))</f>
        <v>missing?</v>
      </c>
      <c r="K177" s="751"/>
      <c r="L177" s="2158"/>
      <c r="M177" s="2159"/>
      <c r="N177" s="1023"/>
      <c r="O177" s="1024" t="str">
        <f ca="1">IF(OR(+$J177="missing?",+$J177="new category"),"",IF($D177=0,"",IF(SUM($C177:$I177)=0,"",IFERROR((($C177-$D177)/$D177),"N/A"))))</f>
        <v/>
      </c>
      <c r="P177" s="808" t="str">
        <f t="shared" ref="P177:P178" ca="1" si="184">IF(OR(+$J177="missing?",+$J177="new category"),"",IF($E177=0,"",IF(SUM($C177:$I177)=0,"",IFERROR((($C177-$E177)/$E177),"N/A"))))</f>
        <v/>
      </c>
      <c r="Q177" s="808" t="str">
        <f t="shared" ref="Q177:Q178" ca="1" si="185">IF(OR(+$J177="missing?",+$J177="new category"),"",IF($F177=0,"",IF(SUM($C177:$I177)=0,"",IFERROR((($C177-$F177)/$F177),"N/A"))))</f>
        <v/>
      </c>
      <c r="R177" s="808" t="str">
        <f ca="1">IF(OR(+$J177="missing?",+$J177="new category"),"",IF($G177=0,"",IF(SUM($C177:$I177)=0,"",IFERROR((($C177-$G177)/$G177),"N/A"))))</f>
        <v/>
      </c>
      <c r="S177" s="974" t="str">
        <f ca="1">IF(OR(+$J177="missing?",+$J177="new category"),"",IF($I177=0,"",IF(SUM($C177:$I177)=0,"",IFERROR((($C177-$I177)/$I177),"N/A"))))</f>
        <v/>
      </c>
      <c r="T177" s="1166">
        <f t="shared" ref="T177:T178" ca="1" si="186">IF(SUM(C177:I177)=0,"",IF(OR(AND(C177=0,SUM(D177:I177)&gt;0),AND(C177&gt;0,SUM(D177:I177)=0)),1,IF(MAX(IF(O177&lt;0,-O177,O177),IF(P177&lt;0,-P177,P177),IF(Q177&lt;0,-Q177,Q177),IF(R177&lt;0,-R177,R177),IF(S177&lt;0,-S177,S177))=0,"",MAX(IF(O177&lt;0,-O177,O177),IF(P177&lt;0,-P177,P177),IF(Q177&lt;0,-Q177,Q177),IF(R177&lt;0,-R177,R177),IF(S177&lt;0,-S177,S177)))))</f>
        <v>1</v>
      </c>
      <c r="U177" s="1166">
        <f ca="1">IF(SUM(D177:J177)=0,"",IF(OR(AND(D177=0,SUM(G177:J177)&gt;0),AND(D177&gt;0,SUM(G177:J177)=0)),1,IF(MAX(IF(R177&lt;0,-R177,R177),IF(S177&lt;0,-S177,S177),IF(T177&lt;0,-T177,T177))=0,"",MAX(IF(R177&lt;0,-R177,R177),IF(S177&lt;0,-S177,S177),IF(T177&lt;0,-T177,T177)))))</f>
        <v>1</v>
      </c>
      <c r="V177" s="1400"/>
      <c r="W177" s="1400"/>
      <c r="X177" s="1400"/>
      <c r="Y177" s="2160" t="str">
        <f ca="1">IF(+T177="","",IF(T177&gt;$P$3,"H",IF(T177&gt;$P$4,"M","")))</f>
        <v>H</v>
      </c>
      <c r="Z177" s="2161"/>
      <c r="AA177" s="751" t="s">
        <v>552</v>
      </c>
      <c r="AB177" s="871" t="str">
        <f t="shared" ref="AB177" ca="1" si="187">IF(CONCATENATE(IF(K177="OK","",J177),"    ",IF(L177="","",IF(N177="OK","",CONCATENATE(M177," = ",ROUND(L177,3),"kgCO2e/kWh"))),"    ",IF(AND(+AA177="",Y177="M"),"Value change with medium impact",IF(AND(AA177="",Y177="H"),"Value change with high impact",""))," ")="         ","",CONCATENATE(IF(K177="OK","",J177),"    ",IF(L177="","",IF(N177="OK","",CONCATENATE(M177," = ",ROUND(L177,3),"kgCO2e/kWh"))),"    ",IF(AND(+AA177="",Y177="M"),"Value change with medium impact",IF(AND(AA177="",Y177="H"),"Value change with high impact",""))," "))</f>
        <v xml:space="preserve">missing?         </v>
      </c>
      <c r="AC177" s="1170"/>
      <c r="AD177" s="1170"/>
      <c r="AE177" s="1170"/>
      <c r="AF177" s="1170"/>
      <c r="AG177" s="1170"/>
      <c r="AH177" s="1170"/>
      <c r="AI177" s="1170"/>
      <c r="AJ177" s="1170"/>
      <c r="AK177" s="1170"/>
      <c r="AL177" s="1170"/>
      <c r="AM177" s="1170"/>
      <c r="AN177" s="1170"/>
      <c r="AO177" s="1170"/>
      <c r="AP177" s="1170"/>
      <c r="AQ177" s="1170"/>
      <c r="AR177" s="1170"/>
      <c r="AS177" s="1170"/>
      <c r="AT177" s="1170"/>
      <c r="AU177" s="1170"/>
      <c r="AV177" s="1170"/>
      <c r="AW177" s="1170"/>
      <c r="AX177" s="1170"/>
      <c r="AY177" s="1170"/>
      <c r="AZ177" s="1170"/>
      <c r="BA177" s="1170"/>
      <c r="BB177" s="1170"/>
      <c r="BC177" s="1170"/>
    </row>
    <row r="178" spans="1:55" ht="12" customHeight="1" thickBot="1" x14ac:dyDescent="0.35">
      <c r="A178" s="1025" t="s">
        <v>188</v>
      </c>
      <c r="B178" s="1026"/>
      <c r="C178" s="1027" t="str">
        <f t="shared" ref="C178:H178" ca="1" si="188">INDIRECT(CONCATENATE("'",C$14,"'!$D$198"),TRUE)</f>
        <v/>
      </c>
      <c r="D178" s="1028" t="str">
        <f t="shared" ca="1" si="188"/>
        <v/>
      </c>
      <c r="E178" s="1029">
        <f t="shared" ca="1" si="188"/>
        <v>460.77093264248703</v>
      </c>
      <c r="F178" s="1029">
        <f t="shared" ca="1" si="188"/>
        <v>445.94013081485554</v>
      </c>
      <c r="G178" s="1029">
        <f t="shared" ca="1" si="188"/>
        <v>427.86793783900828</v>
      </c>
      <c r="H178" s="1029">
        <f t="shared" ca="1" si="188"/>
        <v>437.63966523215277</v>
      </c>
      <c r="I178" s="1030">
        <f ca="1">H178</f>
        <v>437.63966523215277</v>
      </c>
      <c r="J178" s="812" t="str">
        <f ca="1">IF(AND(C178&gt;0,SUM(D178:I178)&gt;0),"",IF(AND(C178=0,SUM(C178:I178)=0),"",IF(AND(C178=0,D178&gt;0),"missing?",IF(AND(C178=0,I178&gt;0),"missing?","new category"))))</f>
        <v/>
      </c>
      <c r="K178" s="790"/>
      <c r="L178" s="2148" t="str">
        <f ca="1">IF(C178&gt;+O9,"too high?",IF(C178&lt;+O8,"too low?",""))</f>
        <v>too high?</v>
      </c>
      <c r="M178" s="2149"/>
      <c r="N178" s="796"/>
      <c r="O178" s="813" t="str">
        <f ca="1">IF(OR(+$J178="missing?",+$J178="new category"),"",IF($D178=0,"",IF(SUM($C178:$I178)=0,"",IFERROR((($C178-$D178)/$D178),"N/A"))))</f>
        <v>N/A</v>
      </c>
      <c r="P178" s="1072" t="str">
        <f t="shared" ca="1" si="184"/>
        <v>N/A</v>
      </c>
      <c r="Q178" s="1072" t="str">
        <f t="shared" ca="1" si="185"/>
        <v>N/A</v>
      </c>
      <c r="R178" s="1072" t="str">
        <f ca="1">IF(OR(+$J178="missing?",+$J178="new category"),"",IF($G178=0,"",IF(SUM($C178:$I178)=0,"",IFERROR((($C178-$G178)/$G178),"N/A"))))</f>
        <v>N/A</v>
      </c>
      <c r="S178" s="1075" t="str">
        <f ca="1">IF(OR(+$J178="missing?",+$J178="new category"),"",IF($I178=0,"",IF(SUM($C178:$I178)=0,"",IFERROR((($C178-$I178)/$I178),"N/A"))))</f>
        <v>N/A</v>
      </c>
      <c r="T178" s="1163" t="str">
        <f t="shared" ca="1" si="186"/>
        <v/>
      </c>
      <c r="U178" s="1163" t="str">
        <f ca="1">IF(SUM(D178:J178)=0,"",IF(OR(AND(D178=0,SUM(G178:J178)&gt;0),AND(D178&gt;0,SUM(G178:J178)=0)),1,IF(MAX(IF(R178&lt;0,-R178,R178),IF(S178&lt;0,-S178,S178),IF(T178&lt;0,-T178,T178))=0,"",MAX(IF(R178&lt;0,-R178,R178),IF(S178&lt;0,-S178,S178),IF(T178&lt;0,-T178,T178)))))</f>
        <v/>
      </c>
      <c r="V178" s="1401"/>
      <c r="W178" s="1401"/>
      <c r="X178" s="1401"/>
      <c r="Y178" s="2150" t="str">
        <f ca="1">IF(+T178="","",IF(T178&gt;$P$3,"H",IF(T178&gt;$P$4,"M","")))</f>
        <v/>
      </c>
      <c r="Z178" s="2151"/>
      <c r="AA178" s="790" t="s">
        <v>552</v>
      </c>
      <c r="AB178" s="954" t="str">
        <f ca="1">+L178</f>
        <v>too high?</v>
      </c>
      <c r="AC178" s="1170"/>
      <c r="AD178" s="1170"/>
      <c r="AE178" s="1170"/>
      <c r="AF178" s="1170"/>
      <c r="AG178" s="1170"/>
      <c r="AH178" s="1170"/>
      <c r="AI178" s="1170"/>
      <c r="AJ178" s="1170"/>
      <c r="AK178" s="1170"/>
      <c r="AL178" s="1170"/>
      <c r="AM178" s="1170"/>
      <c r="AN178" s="1170"/>
      <c r="AO178" s="1170"/>
      <c r="AP178" s="1170"/>
      <c r="AQ178" s="1170"/>
      <c r="AR178" s="1170"/>
      <c r="AS178" s="1170"/>
      <c r="AT178" s="1170"/>
      <c r="AU178" s="1170"/>
      <c r="AV178" s="1170"/>
      <c r="AW178" s="1170"/>
      <c r="AX178" s="1170"/>
      <c r="AY178" s="1170"/>
      <c r="AZ178" s="1170"/>
      <c r="BA178" s="1170"/>
      <c r="BB178" s="1170"/>
      <c r="BC178" s="1170"/>
    </row>
  </sheetData>
  <sheetProtection algorithmName="SHA-512" hashValue="60AHu3ygEXzetLif9BXyIQQXJu+YRjnZkZYeXbij2WTUA0ouTYWOCwZ6tljRiPrYQGMLz+DnVT+6v4yi9CZHRA==" saltValue="w4t0MYfviJX7IBYZwKAaXg==" spinCount="100000" sheet="1" objects="1" scenarios="1"/>
  <mergeCells count="136">
    <mergeCell ref="L178:M178"/>
    <mergeCell ref="Y178:Z178"/>
    <mergeCell ref="AB175:AB176"/>
    <mergeCell ref="L176:M176"/>
    <mergeCell ref="T176:U176"/>
    <mergeCell ref="Y176:Z176"/>
    <mergeCell ref="L177:M177"/>
    <mergeCell ref="Y177:Z177"/>
    <mergeCell ref="T168:U168"/>
    <mergeCell ref="Y168:Z168"/>
    <mergeCell ref="Y169:Z169"/>
    <mergeCell ref="D175:I175"/>
    <mergeCell ref="J175:K175"/>
    <mergeCell ref="L175:N175"/>
    <mergeCell ref="O175:S175"/>
    <mergeCell ref="T175:AA175"/>
    <mergeCell ref="T148:U148"/>
    <mergeCell ref="Y148:Z148"/>
    <mergeCell ref="AU148:AV148"/>
    <mergeCell ref="AZ148:BA148"/>
    <mergeCell ref="D167:I167"/>
    <mergeCell ref="J167:K167"/>
    <mergeCell ref="L167:N167"/>
    <mergeCell ref="O167:S167"/>
    <mergeCell ref="T167:AA167"/>
    <mergeCell ref="AB167:AB168"/>
    <mergeCell ref="AE147:AJ147"/>
    <mergeCell ref="AK147:AL147"/>
    <mergeCell ref="AM147:AO147"/>
    <mergeCell ref="AP147:AT147"/>
    <mergeCell ref="AU147:BB147"/>
    <mergeCell ref="BC147:BC148"/>
    <mergeCell ref="AM142:AN142"/>
    <mergeCell ref="AU142:AV142"/>
    <mergeCell ref="AZ142:BA142"/>
    <mergeCell ref="D147:I147"/>
    <mergeCell ref="J147:K147"/>
    <mergeCell ref="L147:N147"/>
    <mergeCell ref="O147:S147"/>
    <mergeCell ref="T147:AA147"/>
    <mergeCell ref="AB147:AB148"/>
    <mergeCell ref="AC147:AC148"/>
    <mergeCell ref="L140:M140"/>
    <mergeCell ref="Y140:Z140"/>
    <mergeCell ref="AU140:AV140"/>
    <mergeCell ref="AZ140:BA140"/>
    <mergeCell ref="AU141:AV141"/>
    <mergeCell ref="AZ141:BA141"/>
    <mergeCell ref="BC138:BC139"/>
    <mergeCell ref="T139:U139"/>
    <mergeCell ref="Y139:Z139"/>
    <mergeCell ref="AM139:AN139"/>
    <mergeCell ref="AU139:AV139"/>
    <mergeCell ref="AZ139:BA139"/>
    <mergeCell ref="AC138:AC139"/>
    <mergeCell ref="AE138:AJ138"/>
    <mergeCell ref="AK138:AL138"/>
    <mergeCell ref="AM138:AO138"/>
    <mergeCell ref="AP138:AT138"/>
    <mergeCell ref="AU138:BB138"/>
    <mergeCell ref="A127:A133"/>
    <mergeCell ref="AU131:AV133"/>
    <mergeCell ref="B138:B139"/>
    <mergeCell ref="D138:I138"/>
    <mergeCell ref="J138:K138"/>
    <mergeCell ref="L138:M139"/>
    <mergeCell ref="N138:N139"/>
    <mergeCell ref="O138:S138"/>
    <mergeCell ref="T138:AA138"/>
    <mergeCell ref="AB138:AB139"/>
    <mergeCell ref="O118:S118"/>
    <mergeCell ref="T118:AA118"/>
    <mergeCell ref="AB118:AB119"/>
    <mergeCell ref="T119:U119"/>
    <mergeCell ref="Y119:Z119"/>
    <mergeCell ref="A120:A126"/>
    <mergeCell ref="A79:A99"/>
    <mergeCell ref="A100:B100"/>
    <mergeCell ref="A101:A113"/>
    <mergeCell ref="D118:I118"/>
    <mergeCell ref="J118:K118"/>
    <mergeCell ref="L118:N118"/>
    <mergeCell ref="AB54:AB55"/>
    <mergeCell ref="T55:U55"/>
    <mergeCell ref="Y55:Z55"/>
    <mergeCell ref="A56:B56"/>
    <mergeCell ref="A57:A77"/>
    <mergeCell ref="A78:B78"/>
    <mergeCell ref="A54:B55"/>
    <mergeCell ref="D54:I54"/>
    <mergeCell ref="J54:K54"/>
    <mergeCell ref="L54:N54"/>
    <mergeCell ref="O54:S54"/>
    <mergeCell ref="T54:AA54"/>
    <mergeCell ref="BC47:BC48"/>
    <mergeCell ref="T48:U48"/>
    <mergeCell ref="Y48:Z48"/>
    <mergeCell ref="A49:B49"/>
    <mergeCell ref="T47:AA47"/>
    <mergeCell ref="AB47:AB48"/>
    <mergeCell ref="AC47:AC48"/>
    <mergeCell ref="AE47:AJ47"/>
    <mergeCell ref="AK47:AL47"/>
    <mergeCell ref="AM47:AO47"/>
    <mergeCell ref="BC13:BC14"/>
    <mergeCell ref="T14:U14"/>
    <mergeCell ref="Y14:Z14"/>
    <mergeCell ref="A15:B15"/>
    <mergeCell ref="A16:A31"/>
    <mergeCell ref="AB13:AB14"/>
    <mergeCell ref="AC13:AC14"/>
    <mergeCell ref="AE13:AJ13"/>
    <mergeCell ref="AK13:AL13"/>
    <mergeCell ref="AM13:AO13"/>
    <mergeCell ref="AP13:AT13"/>
    <mergeCell ref="A13:B14"/>
    <mergeCell ref="D13:I13"/>
    <mergeCell ref="J13:K13"/>
    <mergeCell ref="L13:N13"/>
    <mergeCell ref="O13:S13"/>
    <mergeCell ref="T13:AA13"/>
    <mergeCell ref="J2:K2"/>
    <mergeCell ref="AK2:AL2"/>
    <mergeCell ref="J7:J10"/>
    <mergeCell ref="AK7:AK10"/>
    <mergeCell ref="AU9:AV11"/>
    <mergeCell ref="AU12:BA12"/>
    <mergeCell ref="A32:A43"/>
    <mergeCell ref="A47:B48"/>
    <mergeCell ref="D47:I47"/>
    <mergeCell ref="J47:K47"/>
    <mergeCell ref="L47:N47"/>
    <mergeCell ref="O47:S47"/>
    <mergeCell ref="AU13:BB13"/>
    <mergeCell ref="AP47:AT47"/>
    <mergeCell ref="AU47:BB47"/>
  </mergeCells>
  <conditionalFormatting sqref="K15 J53 J15:J43">
    <cfRule type="expression" dxfId="454" priority="303" stopIfTrue="1">
      <formula>K15="OK"</formula>
    </cfRule>
    <cfRule type="containsText" dxfId="453" priority="304" operator="containsText" text="g">
      <formula>NOT(ISERROR(SEARCH("g",J15)))</formula>
    </cfRule>
  </conditionalFormatting>
  <conditionalFormatting sqref="L53 L15:L37">
    <cfRule type="expression" dxfId="452" priority="302" stopIfTrue="1">
      <formula>N15="OK"</formula>
    </cfRule>
    <cfRule type="notContainsBlanks" dxfId="451" priority="305">
      <formula>LEN(TRIM(L15))&gt;0</formula>
    </cfRule>
  </conditionalFormatting>
  <conditionalFormatting sqref="K16:K43">
    <cfRule type="expression" dxfId="450" priority="297">
      <formula>J16=""</formula>
    </cfRule>
  </conditionalFormatting>
  <conditionalFormatting sqref="L38:L43">
    <cfRule type="expression" dxfId="449" priority="300" stopIfTrue="1">
      <formula>N38="OK"</formula>
    </cfRule>
    <cfRule type="notContainsBlanks" dxfId="448" priority="301">
      <formula>LEN(TRIM(L38))&gt;0</formula>
    </cfRule>
  </conditionalFormatting>
  <conditionalFormatting sqref="AM15:AM20">
    <cfRule type="expression" dxfId="447" priority="298" stopIfTrue="1">
      <formula>AO15="OK"</formula>
    </cfRule>
    <cfRule type="notContainsBlanks" dxfId="446" priority="299">
      <formula>LEN(TRIM(AM15))&gt;0</formula>
    </cfRule>
  </conditionalFormatting>
  <conditionalFormatting sqref="N24:N43">
    <cfRule type="expression" dxfId="445" priority="296">
      <formula>M24=""</formula>
    </cfRule>
  </conditionalFormatting>
  <conditionalFormatting sqref="AA16:AA43">
    <cfRule type="expression" dxfId="444" priority="295">
      <formula>Z16=""</formula>
    </cfRule>
  </conditionalFormatting>
  <conditionalFormatting sqref="AL16:AL20">
    <cfRule type="expression" dxfId="443" priority="294">
      <formula>AK16=""</formula>
    </cfRule>
  </conditionalFormatting>
  <conditionalFormatting sqref="BB16:BB20">
    <cfRule type="expression" dxfId="442" priority="293">
      <formula>BA16=""</formula>
    </cfRule>
  </conditionalFormatting>
  <conditionalFormatting sqref="J50:J51 J56 J114:J117">
    <cfRule type="expression" dxfId="441" priority="290" stopIfTrue="1">
      <formula>K50="OK"</formula>
    </cfRule>
    <cfRule type="containsText" dxfId="440" priority="291" operator="containsText" text="g">
      <formula>NOT(ISERROR(SEARCH("g",J50)))</formula>
    </cfRule>
  </conditionalFormatting>
  <conditionalFormatting sqref="L49:L51 L114:L115">
    <cfRule type="expression" dxfId="439" priority="289" stopIfTrue="1">
      <formula>N49="OK"</formula>
    </cfRule>
    <cfRule type="notContainsBlanks" dxfId="438" priority="292">
      <formula>LEN(TRIM(L49))&gt;0</formula>
    </cfRule>
  </conditionalFormatting>
  <conditionalFormatting sqref="J158:J160">
    <cfRule type="expression" dxfId="437" priority="287" stopIfTrue="1">
      <formula>K158="OK"</formula>
    </cfRule>
    <cfRule type="containsText" dxfId="436" priority="288" operator="containsText" text="g">
      <formula>NOT(ISERROR(SEARCH("g",J158)))</formula>
    </cfRule>
  </conditionalFormatting>
  <conditionalFormatting sqref="J100">
    <cfRule type="expression" dxfId="435" priority="285" stopIfTrue="1">
      <formula>K100="OK"</formula>
    </cfRule>
    <cfRule type="containsText" dxfId="434" priority="286" operator="containsText" text="g">
      <formula>NOT(ISERROR(SEARCH("g",J100)))</formula>
    </cfRule>
  </conditionalFormatting>
  <conditionalFormatting sqref="L111:L113 J78:K78 L73:L99">
    <cfRule type="expression" dxfId="433" priority="283" stopIfTrue="1">
      <formula>L73="OK"</formula>
    </cfRule>
    <cfRule type="notContainsBlanks" dxfId="432" priority="284">
      <formula>LEN(TRIM(J73))&gt;0</formula>
    </cfRule>
  </conditionalFormatting>
  <conditionalFormatting sqref="L100:L110">
    <cfRule type="expression" dxfId="431" priority="281" stopIfTrue="1">
      <formula>N100="OK"</formula>
    </cfRule>
    <cfRule type="notContainsBlanks" dxfId="430" priority="282">
      <formula>LEN(TRIM(L100))&gt;0</formula>
    </cfRule>
  </conditionalFormatting>
  <conditionalFormatting sqref="L120:L124">
    <cfRule type="expression" dxfId="429" priority="279" stopIfTrue="1">
      <formula>N120="OK"</formula>
    </cfRule>
    <cfRule type="notContainsBlanks" dxfId="428" priority="280">
      <formula>LEN(TRIM(L120))&gt;0</formula>
    </cfRule>
  </conditionalFormatting>
  <conditionalFormatting sqref="AK149:AK157">
    <cfRule type="expression" dxfId="427" priority="277" stopIfTrue="1">
      <formula>AL149="OK"</formula>
    </cfRule>
    <cfRule type="containsText" dxfId="426" priority="278" operator="containsText" text="g">
      <formula>NOT(ISERROR(SEARCH("g",AK149)))</formula>
    </cfRule>
  </conditionalFormatting>
  <conditionalFormatting sqref="AK161">
    <cfRule type="expression" dxfId="425" priority="275" stopIfTrue="1">
      <formula>AL161="OK"</formula>
    </cfRule>
    <cfRule type="containsText" dxfId="424" priority="276" operator="containsText" text="g">
      <formula>NOT(ISERROR(SEARCH("g",AK161)))</formula>
    </cfRule>
  </conditionalFormatting>
  <conditionalFormatting sqref="K49">
    <cfRule type="expression" dxfId="423" priority="274">
      <formula>J49=""</formula>
    </cfRule>
  </conditionalFormatting>
  <conditionalFormatting sqref="K57:K77">
    <cfRule type="expression" dxfId="422" priority="273">
      <formula>J57=""</formula>
    </cfRule>
  </conditionalFormatting>
  <conditionalFormatting sqref="K79:K99">
    <cfRule type="expression" dxfId="421" priority="272">
      <formula>J79=""</formula>
    </cfRule>
  </conditionalFormatting>
  <conditionalFormatting sqref="K101:K113">
    <cfRule type="expression" dxfId="420" priority="271">
      <formula>J101=""</formula>
    </cfRule>
  </conditionalFormatting>
  <conditionalFormatting sqref="K120:K124">
    <cfRule type="expression" dxfId="419" priority="270">
      <formula>J120=""</formula>
    </cfRule>
  </conditionalFormatting>
  <conditionalFormatting sqref="K140">
    <cfRule type="expression" dxfId="418" priority="269">
      <formula>J140=""</formula>
    </cfRule>
  </conditionalFormatting>
  <conditionalFormatting sqref="K149:K157">
    <cfRule type="expression" dxfId="417" priority="268">
      <formula>J149=""</formula>
    </cfRule>
  </conditionalFormatting>
  <conditionalFormatting sqref="K161">
    <cfRule type="expression" dxfId="416" priority="267">
      <formula>J161=""</formula>
    </cfRule>
  </conditionalFormatting>
  <conditionalFormatting sqref="K169">
    <cfRule type="expression" dxfId="415" priority="266">
      <formula>J169=""</formula>
    </cfRule>
  </conditionalFormatting>
  <conditionalFormatting sqref="N73:N77">
    <cfRule type="expression" dxfId="414" priority="265">
      <formula>M73=""</formula>
    </cfRule>
  </conditionalFormatting>
  <conditionalFormatting sqref="N95:N99">
    <cfRule type="expression" dxfId="413" priority="264">
      <formula>M95=""</formula>
    </cfRule>
  </conditionalFormatting>
  <conditionalFormatting sqref="N111:N113">
    <cfRule type="expression" dxfId="412" priority="263">
      <formula>M111=""</formula>
    </cfRule>
  </conditionalFormatting>
  <conditionalFormatting sqref="AA49">
    <cfRule type="expression" dxfId="411" priority="262">
      <formula>Z49=""</formula>
    </cfRule>
  </conditionalFormatting>
  <conditionalFormatting sqref="AA57:AA77">
    <cfRule type="expression" dxfId="410" priority="261">
      <formula>Z57=""</formula>
    </cfRule>
  </conditionalFormatting>
  <conditionalFormatting sqref="AA79:AA99">
    <cfRule type="expression" dxfId="409" priority="260">
      <formula>Z79=""</formula>
    </cfRule>
  </conditionalFormatting>
  <conditionalFormatting sqref="AA101:AA113">
    <cfRule type="expression" dxfId="408" priority="259">
      <formula>Z101=""</formula>
    </cfRule>
  </conditionalFormatting>
  <conditionalFormatting sqref="AA120:AA124">
    <cfRule type="expression" dxfId="407" priority="258">
      <formula>Z120=""</formula>
    </cfRule>
  </conditionalFormatting>
  <conditionalFormatting sqref="BB149:BB157">
    <cfRule type="expression" dxfId="406" priority="257">
      <formula>BA149=""</formula>
    </cfRule>
  </conditionalFormatting>
  <conditionalFormatting sqref="J49">
    <cfRule type="expression" dxfId="405" priority="255" stopIfTrue="1">
      <formula>K49="OK"</formula>
    </cfRule>
    <cfRule type="containsText" dxfId="404" priority="256" operator="containsText" text="g">
      <formula>NOT(ISERROR(SEARCH("g",J49)))</formula>
    </cfRule>
  </conditionalFormatting>
  <conditionalFormatting sqref="J57:J77">
    <cfRule type="expression" dxfId="403" priority="253" stopIfTrue="1">
      <formula>K57="OK"</formula>
    </cfRule>
    <cfRule type="containsText" dxfId="402" priority="254" operator="containsText" text="g">
      <formula>NOT(ISERROR(SEARCH("g",J57)))</formula>
    </cfRule>
  </conditionalFormatting>
  <conditionalFormatting sqref="J79:J99">
    <cfRule type="expression" dxfId="401" priority="251" stopIfTrue="1">
      <formula>K79="OK"</formula>
    </cfRule>
    <cfRule type="containsText" dxfId="400" priority="252" operator="containsText" text="g">
      <formula>NOT(ISERROR(SEARCH("g",J79)))</formula>
    </cfRule>
  </conditionalFormatting>
  <conditionalFormatting sqref="J101:J113">
    <cfRule type="expression" dxfId="399" priority="249" stopIfTrue="1">
      <formula>K101="OK"</formula>
    </cfRule>
    <cfRule type="containsText" dxfId="398" priority="250" operator="containsText" text="g">
      <formula>NOT(ISERROR(SEARCH("g",J101)))</formula>
    </cfRule>
  </conditionalFormatting>
  <conditionalFormatting sqref="J120:J124">
    <cfRule type="expression" dxfId="397" priority="247" stopIfTrue="1">
      <formula>K120="OK"</formula>
    </cfRule>
    <cfRule type="containsText" dxfId="396" priority="248" operator="containsText" text="g">
      <formula>NOT(ISERROR(SEARCH("g",J120)))</formula>
    </cfRule>
  </conditionalFormatting>
  <conditionalFormatting sqref="J140">
    <cfRule type="expression" dxfId="395" priority="245" stopIfTrue="1">
      <formula>K140="OK"</formula>
    </cfRule>
    <cfRule type="containsText" dxfId="394" priority="246" operator="containsText" text="g">
      <formula>NOT(ISERROR(SEARCH("g",J140)))</formula>
    </cfRule>
  </conditionalFormatting>
  <conditionalFormatting sqref="J149:J157">
    <cfRule type="expression" dxfId="393" priority="243" stopIfTrue="1">
      <formula>K149="OK"</formula>
    </cfRule>
    <cfRule type="containsText" dxfId="392" priority="244" operator="containsText" text="g">
      <formula>NOT(ISERROR(SEARCH("g",J149)))</formula>
    </cfRule>
  </conditionalFormatting>
  <conditionalFormatting sqref="J161">
    <cfRule type="expression" dxfId="391" priority="241" stopIfTrue="1">
      <formula>K161="OK"</formula>
    </cfRule>
    <cfRule type="containsText" dxfId="390" priority="242" operator="containsText" text="g">
      <formula>NOT(ISERROR(SEARCH("g",J161)))</formula>
    </cfRule>
  </conditionalFormatting>
  <conditionalFormatting sqref="J169">
    <cfRule type="expression" dxfId="389" priority="239" stopIfTrue="1">
      <formula>K169="OK"</formula>
    </cfRule>
    <cfRule type="containsText" dxfId="388" priority="240" operator="containsText" text="g">
      <formula>NOT(ISERROR(SEARCH("g",J169)))</formula>
    </cfRule>
  </conditionalFormatting>
  <conditionalFormatting sqref="AK16:AK20">
    <cfRule type="expression" dxfId="387" priority="237" stopIfTrue="1">
      <formula>AL16="OK"</formula>
    </cfRule>
    <cfRule type="containsText" dxfId="386" priority="238" operator="containsText" text="g">
      <formula>NOT(ISERROR(SEARCH("g",AK16)))</formula>
    </cfRule>
  </conditionalFormatting>
  <conditionalFormatting sqref="K177">
    <cfRule type="expression" dxfId="385" priority="236">
      <formula>J177=""</formula>
    </cfRule>
  </conditionalFormatting>
  <conditionalFormatting sqref="J177:J178">
    <cfRule type="expression" dxfId="384" priority="234" stopIfTrue="1">
      <formula>K177="OK"</formula>
    </cfRule>
    <cfRule type="containsText" dxfId="383" priority="235" operator="containsText" text="g">
      <formula>NOT(ISERROR(SEARCH("g",J177)))</formula>
    </cfRule>
  </conditionalFormatting>
  <conditionalFormatting sqref="AA140 AA169 AA177 BB161">
    <cfRule type="expression" dxfId="382" priority="306">
      <formula>Y140=""</formula>
    </cfRule>
  </conditionalFormatting>
  <conditionalFormatting sqref="AA150 AA152:AA157">
    <cfRule type="expression" dxfId="381" priority="233">
      <formula>Y150=""</formula>
    </cfRule>
  </conditionalFormatting>
  <conditionalFormatting sqref="AA149">
    <cfRule type="expression" dxfId="380" priority="232">
      <formula>Z149=""</formula>
    </cfRule>
  </conditionalFormatting>
  <conditionalFormatting sqref="AA151">
    <cfRule type="expression" dxfId="379" priority="231">
      <formula>Z151=""</formula>
    </cfRule>
  </conditionalFormatting>
  <conditionalFormatting sqref="AA161">
    <cfRule type="expression" dxfId="378" priority="230">
      <formula>Y161=""</formula>
    </cfRule>
  </conditionalFormatting>
  <conditionalFormatting sqref="K178">
    <cfRule type="expression" dxfId="377" priority="228">
      <formula>J178=""</formula>
    </cfRule>
  </conditionalFormatting>
  <conditionalFormatting sqref="N178">
    <cfRule type="expression" dxfId="376" priority="227">
      <formula>L178=""</formula>
    </cfRule>
  </conditionalFormatting>
  <conditionalFormatting sqref="AA178">
    <cfRule type="expression" dxfId="375" priority="229">
      <formula>Y178=""</formula>
    </cfRule>
  </conditionalFormatting>
  <conditionalFormatting sqref="AL49">
    <cfRule type="expression" dxfId="374" priority="226">
      <formula>AK49=""</formula>
    </cfRule>
  </conditionalFormatting>
  <conditionalFormatting sqref="BB49">
    <cfRule type="expression" dxfId="373" priority="225">
      <formula>BA49=""</formula>
    </cfRule>
  </conditionalFormatting>
  <conditionalFormatting sqref="AK49">
    <cfRule type="expression" dxfId="372" priority="223" stopIfTrue="1">
      <formula>AL49="OK"</formula>
    </cfRule>
    <cfRule type="containsText" dxfId="371" priority="224" operator="containsText" text="g">
      <formula>NOT(ISERROR(SEARCH("g",AK49)))</formula>
    </cfRule>
  </conditionalFormatting>
  <conditionalFormatting sqref="AO16:AO20">
    <cfRule type="expression" dxfId="370" priority="221" stopIfTrue="1">
      <formula>AS16="OK"</formula>
    </cfRule>
    <cfRule type="notContainsBlanks" dxfId="369" priority="222">
      <formula>LEN(TRIM(AO16))&gt;0</formula>
    </cfRule>
  </conditionalFormatting>
  <conditionalFormatting sqref="AM49">
    <cfRule type="expression" dxfId="368" priority="219" stopIfTrue="1">
      <formula>AO49="OK"</formula>
    </cfRule>
    <cfRule type="notContainsBlanks" dxfId="367" priority="220">
      <formula>LEN(TRIM(AM49))&gt;0</formula>
    </cfRule>
  </conditionalFormatting>
  <conditionalFormatting sqref="AO49">
    <cfRule type="expression" dxfId="366" priority="217" stopIfTrue="1">
      <formula>AS49="OK"</formula>
    </cfRule>
    <cfRule type="notContainsBlanks" dxfId="365" priority="218">
      <formula>LEN(TRIM(AO49))&gt;0</formula>
    </cfRule>
  </conditionalFormatting>
  <conditionalFormatting sqref="AL140:AL141">
    <cfRule type="expression" dxfId="364" priority="214">
      <formula>AK140=""</formula>
    </cfRule>
  </conditionalFormatting>
  <conditionalFormatting sqref="AK140:AK141">
    <cfRule type="expression" dxfId="363" priority="215" stopIfTrue="1">
      <formula>AL140="OK"</formula>
    </cfRule>
    <cfRule type="containsText" dxfId="362" priority="216" operator="containsText" text="g">
      <formula>NOT(ISERROR(SEARCH("g",AK140)))</formula>
    </cfRule>
  </conditionalFormatting>
  <conditionalFormatting sqref="AM142:AM144">
    <cfRule type="containsText" dxfId="361" priority="213" operator="containsText" text="f">
      <formula>NOT(ISERROR(SEARCH("f",AM142)))</formula>
    </cfRule>
  </conditionalFormatting>
  <conditionalFormatting sqref="AO142:AO144">
    <cfRule type="expression" dxfId="360" priority="307">
      <formula>AM142=""</formula>
    </cfRule>
  </conditionalFormatting>
  <conditionalFormatting sqref="AL142:AL144">
    <cfRule type="expression" dxfId="359" priority="210">
      <formula>AK142=""</formula>
    </cfRule>
  </conditionalFormatting>
  <conditionalFormatting sqref="AK142:AK144">
    <cfRule type="expression" dxfId="358" priority="211" stopIfTrue="1">
      <formula>AL142="OK"</formula>
    </cfRule>
    <cfRule type="containsText" dxfId="357" priority="212" operator="containsText" text="g">
      <formula>NOT(ISERROR(SEARCH("g",AK142)))</formula>
    </cfRule>
  </conditionalFormatting>
  <conditionalFormatting sqref="BB140:BB144">
    <cfRule type="expression" dxfId="356" priority="209">
      <formula>AZ140=""</formula>
    </cfRule>
  </conditionalFormatting>
  <conditionalFormatting sqref="AL149:AL157">
    <cfRule type="expression" dxfId="355" priority="208">
      <formula>AK149=""</formula>
    </cfRule>
  </conditionalFormatting>
  <conditionalFormatting sqref="AL161">
    <cfRule type="expression" dxfId="354" priority="207">
      <formula>AK161=""</formula>
    </cfRule>
  </conditionalFormatting>
  <conditionalFormatting sqref="L178:M178">
    <cfRule type="containsText" dxfId="353" priority="206" operator="containsText" text="too">
      <formula>NOT(ISERROR(SEARCH("too",L178)))</formula>
    </cfRule>
  </conditionalFormatting>
  <conditionalFormatting sqref="Z15:Z43">
    <cfRule type="colorScale" priority="205">
      <colorScale>
        <cfvo type="min"/>
        <cfvo type="percentile" val="50"/>
        <cfvo type="max"/>
        <color rgb="FF63BE7B"/>
        <color rgb="FFFFEB84"/>
        <color rgb="FFF8696B"/>
      </colorScale>
    </cfRule>
  </conditionalFormatting>
  <conditionalFormatting sqref="Y140 Y177 Z53 Z16:Z43">
    <cfRule type="containsText" dxfId="352" priority="203" operator="containsText" text="M">
      <formula>NOT(ISERROR(SEARCH("M",Y16)))</formula>
    </cfRule>
    <cfRule type="containsText" dxfId="351" priority="204" operator="containsText" text="H">
      <formula>NOT(ISERROR(SEARCH("H",Y16)))</formula>
    </cfRule>
  </conditionalFormatting>
  <conditionalFormatting sqref="Z17:Z43">
    <cfRule type="containsText" dxfId="350" priority="201" operator="containsText" text="M">
      <formula>NOT(ISERROR(SEARCH("M",Z17)))</formula>
    </cfRule>
    <cfRule type="containsText" dxfId="349" priority="202" operator="containsText" text="H">
      <formula>NOT(ISERROR(SEARCH("H",Z17)))</formula>
    </cfRule>
  </conditionalFormatting>
  <conditionalFormatting sqref="Z114:Z117 Z53 Z50:Z51">
    <cfRule type="colorScale" priority="200">
      <colorScale>
        <cfvo type="min"/>
        <cfvo type="percentile" val="50"/>
        <cfvo type="max"/>
        <color rgb="FF63BE7B"/>
        <color rgb="FFFFEB84"/>
        <color rgb="FFF8696B"/>
      </colorScale>
    </cfRule>
  </conditionalFormatting>
  <conditionalFormatting sqref="Z50:Z51 Z114:Z117">
    <cfRule type="containsText" dxfId="348" priority="198" operator="containsText" text="M">
      <formula>NOT(ISERROR(SEARCH("M",Z50)))</formula>
    </cfRule>
    <cfRule type="containsText" dxfId="347" priority="199" operator="containsText" text="H">
      <formula>NOT(ISERROR(SEARCH("H",Z50)))</formula>
    </cfRule>
  </conditionalFormatting>
  <conditionalFormatting sqref="Z78 Z56 Z100">
    <cfRule type="colorScale" priority="197">
      <colorScale>
        <cfvo type="min"/>
        <cfvo type="percentile" val="50"/>
        <cfvo type="max"/>
        <color rgb="FF63BE7B"/>
        <color rgb="FFFFEB84"/>
        <color rgb="FFF8696B"/>
      </colorScale>
    </cfRule>
  </conditionalFormatting>
  <conditionalFormatting sqref="Z56 Z78 Z100">
    <cfRule type="containsText" dxfId="346" priority="195" operator="containsText" text="M">
      <formula>NOT(ISERROR(SEARCH("M",Z56)))</formula>
    </cfRule>
    <cfRule type="containsText" dxfId="345" priority="196" operator="containsText" text="H">
      <formula>NOT(ISERROR(SEARCH("H",Z56)))</formula>
    </cfRule>
  </conditionalFormatting>
  <conditionalFormatting sqref="Z49">
    <cfRule type="colorScale" priority="194">
      <colorScale>
        <cfvo type="min"/>
        <cfvo type="percentile" val="50"/>
        <cfvo type="max"/>
        <color rgb="FF63BE7B"/>
        <color rgb="FFFFEB84"/>
        <color rgb="FFF8696B"/>
      </colorScale>
    </cfRule>
  </conditionalFormatting>
  <conditionalFormatting sqref="Z49">
    <cfRule type="containsText" dxfId="344" priority="192" operator="containsText" text="M">
      <formula>NOT(ISERROR(SEARCH("M",Z49)))</formula>
    </cfRule>
    <cfRule type="containsText" dxfId="343" priority="193" operator="containsText" text="H">
      <formula>NOT(ISERROR(SEARCH("H",Z49)))</formula>
    </cfRule>
  </conditionalFormatting>
  <conditionalFormatting sqref="Z49">
    <cfRule type="containsText" dxfId="342" priority="190" operator="containsText" text="M">
      <formula>NOT(ISERROR(SEARCH("M",Z49)))</formula>
    </cfRule>
    <cfRule type="containsText" dxfId="341" priority="191" operator="containsText" text="H">
      <formula>NOT(ISERROR(SEARCH("H",Z49)))</formula>
    </cfRule>
  </conditionalFormatting>
  <conditionalFormatting sqref="Z57:Z77">
    <cfRule type="colorScale" priority="189">
      <colorScale>
        <cfvo type="min"/>
        <cfvo type="percentile" val="50"/>
        <cfvo type="max"/>
        <color rgb="FF63BE7B"/>
        <color rgb="FFFFEB84"/>
        <color rgb="FFF8696B"/>
      </colorScale>
    </cfRule>
  </conditionalFormatting>
  <conditionalFormatting sqref="Z57:Z77">
    <cfRule type="containsText" dxfId="340" priority="187" operator="containsText" text="M">
      <formula>NOT(ISERROR(SEARCH("M",Z57)))</formula>
    </cfRule>
    <cfRule type="containsText" dxfId="339" priority="188" operator="containsText" text="H">
      <formula>NOT(ISERROR(SEARCH("H",Z57)))</formula>
    </cfRule>
  </conditionalFormatting>
  <conditionalFormatting sqref="Z57:Z77">
    <cfRule type="containsText" dxfId="338" priority="185" operator="containsText" text="M">
      <formula>NOT(ISERROR(SEARCH("M",Z57)))</formula>
    </cfRule>
    <cfRule type="containsText" dxfId="337" priority="186" operator="containsText" text="H">
      <formula>NOT(ISERROR(SEARCH("H",Z57)))</formula>
    </cfRule>
  </conditionalFormatting>
  <conditionalFormatting sqref="Z79:Z99">
    <cfRule type="colorScale" priority="184">
      <colorScale>
        <cfvo type="min"/>
        <cfvo type="percentile" val="50"/>
        <cfvo type="max"/>
        <color rgb="FF63BE7B"/>
        <color rgb="FFFFEB84"/>
        <color rgb="FFF8696B"/>
      </colorScale>
    </cfRule>
  </conditionalFormatting>
  <conditionalFormatting sqref="Z79:Z99">
    <cfRule type="containsText" dxfId="336" priority="182" operator="containsText" text="M">
      <formula>NOT(ISERROR(SEARCH("M",Z79)))</formula>
    </cfRule>
    <cfRule type="containsText" dxfId="335" priority="183" operator="containsText" text="H">
      <formula>NOT(ISERROR(SEARCH("H",Z79)))</formula>
    </cfRule>
  </conditionalFormatting>
  <conditionalFormatting sqref="Z79:Z99">
    <cfRule type="containsText" dxfId="334" priority="180" operator="containsText" text="M">
      <formula>NOT(ISERROR(SEARCH("M",Z79)))</formula>
    </cfRule>
    <cfRule type="containsText" dxfId="333" priority="181" operator="containsText" text="H">
      <formula>NOT(ISERROR(SEARCH("H",Z79)))</formula>
    </cfRule>
  </conditionalFormatting>
  <conditionalFormatting sqref="Z101:Z113">
    <cfRule type="colorScale" priority="179">
      <colorScale>
        <cfvo type="min"/>
        <cfvo type="percentile" val="50"/>
        <cfvo type="max"/>
        <color rgb="FF63BE7B"/>
        <color rgb="FFFFEB84"/>
        <color rgb="FFF8696B"/>
      </colorScale>
    </cfRule>
  </conditionalFormatting>
  <conditionalFormatting sqref="Z101:Z113">
    <cfRule type="containsText" dxfId="332" priority="177" operator="containsText" text="M">
      <formula>NOT(ISERROR(SEARCH("M",Z101)))</formula>
    </cfRule>
    <cfRule type="containsText" dxfId="331" priority="178" operator="containsText" text="H">
      <formula>NOT(ISERROR(SEARCH("H",Z101)))</formula>
    </cfRule>
  </conditionalFormatting>
  <conditionalFormatting sqref="Z101:Z113">
    <cfRule type="containsText" dxfId="330" priority="175" operator="containsText" text="M">
      <formula>NOT(ISERROR(SEARCH("M",Z101)))</formula>
    </cfRule>
    <cfRule type="containsText" dxfId="329" priority="176" operator="containsText" text="H">
      <formula>NOT(ISERROR(SEARCH("H",Z101)))</formula>
    </cfRule>
  </conditionalFormatting>
  <conditionalFormatting sqref="Z120:Z124">
    <cfRule type="colorScale" priority="174">
      <colorScale>
        <cfvo type="min"/>
        <cfvo type="percentile" val="50"/>
        <cfvo type="max"/>
        <color rgb="FF63BE7B"/>
        <color rgb="FFFFEB84"/>
        <color rgb="FFF8696B"/>
      </colorScale>
    </cfRule>
  </conditionalFormatting>
  <conditionalFormatting sqref="Z120:Z124">
    <cfRule type="containsText" dxfId="328" priority="172" operator="containsText" text="M">
      <formula>NOT(ISERROR(SEARCH("M",Z120)))</formula>
    </cfRule>
    <cfRule type="containsText" dxfId="327" priority="173" operator="containsText" text="H">
      <formula>NOT(ISERROR(SEARCH("H",Z120)))</formula>
    </cfRule>
  </conditionalFormatting>
  <conditionalFormatting sqref="Z120:Z124">
    <cfRule type="containsText" dxfId="326" priority="170" operator="containsText" text="M">
      <formula>NOT(ISERROR(SEARCH("M",Z120)))</formula>
    </cfRule>
    <cfRule type="containsText" dxfId="325" priority="171" operator="containsText" text="H">
      <formula>NOT(ISERROR(SEARCH("H",Z120)))</formula>
    </cfRule>
  </conditionalFormatting>
  <conditionalFormatting sqref="Y140">
    <cfRule type="colorScale" priority="169">
      <colorScale>
        <cfvo type="min"/>
        <cfvo type="percentile" val="50"/>
        <cfvo type="max"/>
        <color rgb="FF63BE7B"/>
        <color rgb="FFFFEB84"/>
        <color rgb="FFF8696B"/>
      </colorScale>
    </cfRule>
  </conditionalFormatting>
  <conditionalFormatting sqref="Y169">
    <cfRule type="colorScale" priority="168">
      <colorScale>
        <cfvo type="min"/>
        <cfvo type="percentile" val="50"/>
        <cfvo type="max"/>
        <color rgb="FF63BE7B"/>
        <color rgb="FFFFEB84"/>
        <color rgb="FFF8696B"/>
      </colorScale>
    </cfRule>
  </conditionalFormatting>
  <conditionalFormatting sqref="Y169">
    <cfRule type="containsText" dxfId="324" priority="166" operator="containsText" text="M">
      <formula>NOT(ISERROR(SEARCH("M",Y169)))</formula>
    </cfRule>
    <cfRule type="containsText" dxfId="323" priority="167" operator="containsText" text="H">
      <formula>NOT(ISERROR(SEARCH("H",Y169)))</formula>
    </cfRule>
  </conditionalFormatting>
  <conditionalFormatting sqref="Y169">
    <cfRule type="containsText" dxfId="322" priority="164" operator="containsText" text="M">
      <formula>NOT(ISERROR(SEARCH("M",Y169)))</formula>
    </cfRule>
    <cfRule type="containsText" dxfId="321" priority="165" operator="containsText" text="H">
      <formula>NOT(ISERROR(SEARCH("H",Y169)))</formula>
    </cfRule>
  </conditionalFormatting>
  <conditionalFormatting sqref="Y177">
    <cfRule type="colorScale" priority="163">
      <colorScale>
        <cfvo type="min"/>
        <cfvo type="percentile" val="50"/>
        <cfvo type="max"/>
        <color rgb="FF63BE7B"/>
        <color rgb="FFFFEB84"/>
        <color rgb="FFF8696B"/>
      </colorScale>
    </cfRule>
  </conditionalFormatting>
  <conditionalFormatting sqref="U16:U43">
    <cfRule type="colorScale" priority="162">
      <colorScale>
        <cfvo type="min"/>
        <cfvo type="percentile" val="50"/>
        <cfvo type="max"/>
        <color rgb="FF63BE7B"/>
        <color rgb="FFFFEB84"/>
        <color rgb="FFF8696B"/>
      </colorScale>
    </cfRule>
  </conditionalFormatting>
  <conditionalFormatting sqref="U16:U43">
    <cfRule type="containsText" dxfId="320" priority="160" operator="containsText" text="M">
      <formula>NOT(ISERROR(SEARCH("M",U16)))</formula>
    </cfRule>
    <cfRule type="containsText" dxfId="319" priority="161" operator="containsText" text="H">
      <formula>NOT(ISERROR(SEARCH("H",U16)))</formula>
    </cfRule>
  </conditionalFormatting>
  <conditionalFormatting sqref="U49:X49">
    <cfRule type="colorScale" priority="159">
      <colorScale>
        <cfvo type="min"/>
        <cfvo type="percentile" val="50"/>
        <cfvo type="max"/>
        <color rgb="FF63BE7B"/>
        <color rgb="FFFFEB84"/>
        <color rgb="FFF8696B"/>
      </colorScale>
    </cfRule>
  </conditionalFormatting>
  <conditionalFormatting sqref="U49:X49">
    <cfRule type="containsText" dxfId="318" priority="157" operator="containsText" text="M">
      <formula>NOT(ISERROR(SEARCH("M",U49)))</formula>
    </cfRule>
    <cfRule type="containsText" dxfId="317" priority="158" operator="containsText" text="H">
      <formula>NOT(ISERROR(SEARCH("H",U49)))</formula>
    </cfRule>
  </conditionalFormatting>
  <conditionalFormatting sqref="U49:X49">
    <cfRule type="containsText" dxfId="316" priority="155" operator="containsText" text="M">
      <formula>NOT(ISERROR(SEARCH("M",U49)))</formula>
    </cfRule>
    <cfRule type="containsText" dxfId="315" priority="156" operator="containsText" text="H">
      <formula>NOT(ISERROR(SEARCH("H",U49)))</formula>
    </cfRule>
  </conditionalFormatting>
  <conditionalFormatting sqref="U57:U77">
    <cfRule type="colorScale" priority="154">
      <colorScale>
        <cfvo type="min"/>
        <cfvo type="percentile" val="50"/>
        <cfvo type="max"/>
        <color rgb="FF63BE7B"/>
        <color rgb="FFFFEB84"/>
        <color rgb="FFF8696B"/>
      </colorScale>
    </cfRule>
  </conditionalFormatting>
  <conditionalFormatting sqref="U57:U77">
    <cfRule type="containsText" dxfId="314" priority="152" operator="containsText" text="M">
      <formula>NOT(ISERROR(SEARCH("M",U57)))</formula>
    </cfRule>
    <cfRule type="containsText" dxfId="313" priority="153" operator="containsText" text="H">
      <formula>NOT(ISERROR(SEARCH("H",U57)))</formula>
    </cfRule>
  </conditionalFormatting>
  <conditionalFormatting sqref="U57:U77">
    <cfRule type="containsText" dxfId="312" priority="150" operator="containsText" text="M">
      <formula>NOT(ISERROR(SEARCH("M",U57)))</formula>
    </cfRule>
    <cfRule type="containsText" dxfId="311" priority="151" operator="containsText" text="H">
      <formula>NOT(ISERROR(SEARCH("H",U57)))</formula>
    </cfRule>
  </conditionalFormatting>
  <conditionalFormatting sqref="U79:U99">
    <cfRule type="colorScale" priority="149">
      <colorScale>
        <cfvo type="min"/>
        <cfvo type="percentile" val="50"/>
        <cfvo type="max"/>
        <color rgb="FF63BE7B"/>
        <color rgb="FFFFEB84"/>
        <color rgb="FFF8696B"/>
      </colorScale>
    </cfRule>
  </conditionalFormatting>
  <conditionalFormatting sqref="U79:U99">
    <cfRule type="containsText" dxfId="310" priority="147" operator="containsText" text="M">
      <formula>NOT(ISERROR(SEARCH("M",U79)))</formula>
    </cfRule>
    <cfRule type="containsText" dxfId="309" priority="148" operator="containsText" text="H">
      <formula>NOT(ISERROR(SEARCH("H",U79)))</formula>
    </cfRule>
  </conditionalFormatting>
  <conditionalFormatting sqref="U79:U99">
    <cfRule type="containsText" dxfId="308" priority="145" operator="containsText" text="M">
      <formula>NOT(ISERROR(SEARCH("M",U79)))</formula>
    </cfRule>
    <cfRule type="containsText" dxfId="307" priority="146" operator="containsText" text="H">
      <formula>NOT(ISERROR(SEARCH("H",U79)))</formula>
    </cfRule>
  </conditionalFormatting>
  <conditionalFormatting sqref="U101:U113">
    <cfRule type="colorScale" priority="144">
      <colorScale>
        <cfvo type="min"/>
        <cfvo type="percentile" val="50"/>
        <cfvo type="max"/>
        <color rgb="FF63BE7B"/>
        <color rgb="FFFFEB84"/>
        <color rgb="FFF8696B"/>
      </colorScale>
    </cfRule>
  </conditionalFormatting>
  <conditionalFormatting sqref="U101:U113">
    <cfRule type="containsText" dxfId="306" priority="142" operator="containsText" text="M">
      <formula>NOT(ISERROR(SEARCH("M",U101)))</formula>
    </cfRule>
    <cfRule type="containsText" dxfId="305" priority="143" operator="containsText" text="H">
      <formula>NOT(ISERROR(SEARCH("H",U101)))</formula>
    </cfRule>
  </conditionalFormatting>
  <conditionalFormatting sqref="U101:U113">
    <cfRule type="containsText" dxfId="304" priority="140" operator="containsText" text="M">
      <formula>NOT(ISERROR(SEARCH("M",U101)))</formula>
    </cfRule>
    <cfRule type="containsText" dxfId="303" priority="141" operator="containsText" text="H">
      <formula>NOT(ISERROR(SEARCH("H",U101)))</formula>
    </cfRule>
  </conditionalFormatting>
  <conditionalFormatting sqref="U120:U124">
    <cfRule type="colorScale" priority="139">
      <colorScale>
        <cfvo type="min"/>
        <cfvo type="percentile" val="50"/>
        <cfvo type="max"/>
        <color rgb="FF63BE7B"/>
        <color rgb="FFFFEB84"/>
        <color rgb="FFF8696B"/>
      </colorScale>
    </cfRule>
  </conditionalFormatting>
  <conditionalFormatting sqref="U120:U124">
    <cfRule type="containsText" dxfId="302" priority="137" operator="containsText" text="M">
      <formula>NOT(ISERROR(SEARCH("M",U120)))</formula>
    </cfRule>
    <cfRule type="containsText" dxfId="301" priority="138" operator="containsText" text="H">
      <formula>NOT(ISERROR(SEARCH("H",U120)))</formula>
    </cfRule>
  </conditionalFormatting>
  <conditionalFormatting sqref="U120:U124">
    <cfRule type="containsText" dxfId="300" priority="135" operator="containsText" text="M">
      <formula>NOT(ISERROR(SEARCH("M",U120)))</formula>
    </cfRule>
    <cfRule type="containsText" dxfId="299" priority="136" operator="containsText" text="H">
      <formula>NOT(ISERROR(SEARCH("H",U120)))</formula>
    </cfRule>
  </conditionalFormatting>
  <conditionalFormatting sqref="Z149:Z157">
    <cfRule type="colorScale" priority="134">
      <colorScale>
        <cfvo type="min"/>
        <cfvo type="percentile" val="50"/>
        <cfvo type="max"/>
        <color rgb="FF63BE7B"/>
        <color rgb="FFFFEB84"/>
        <color rgb="FFF8696B"/>
      </colorScale>
    </cfRule>
  </conditionalFormatting>
  <conditionalFormatting sqref="Z149:Z157">
    <cfRule type="containsText" dxfId="298" priority="132" operator="containsText" text="M">
      <formula>NOT(ISERROR(SEARCH("M",Z149)))</formula>
    </cfRule>
    <cfRule type="containsText" dxfId="297" priority="133" operator="containsText" text="H">
      <formula>NOT(ISERROR(SEARCH("H",Z149)))</formula>
    </cfRule>
  </conditionalFormatting>
  <conditionalFormatting sqref="U149:X157">
    <cfRule type="colorScale" priority="131">
      <colorScale>
        <cfvo type="min"/>
        <cfvo type="percentile" val="50"/>
        <cfvo type="max"/>
        <color rgb="FF63BE7B"/>
        <color rgb="FFFFEB84"/>
        <color rgb="FFF8696B"/>
      </colorScale>
    </cfRule>
  </conditionalFormatting>
  <conditionalFormatting sqref="U149:X157">
    <cfRule type="containsText" dxfId="296" priority="129" operator="containsText" text="M">
      <formula>NOT(ISERROR(SEARCH("M",U149)))</formula>
    </cfRule>
    <cfRule type="containsText" dxfId="295" priority="130" operator="containsText" text="H">
      <formula>NOT(ISERROR(SEARCH("H",U149)))</formula>
    </cfRule>
  </conditionalFormatting>
  <conditionalFormatting sqref="U161:X161">
    <cfRule type="colorScale" priority="128">
      <colorScale>
        <cfvo type="min"/>
        <cfvo type="percentile" val="50"/>
        <cfvo type="max"/>
        <color rgb="FF63BE7B"/>
        <color rgb="FFFFEB84"/>
        <color rgb="FFF8696B"/>
      </colorScale>
    </cfRule>
  </conditionalFormatting>
  <conditionalFormatting sqref="U161:X161">
    <cfRule type="containsText" dxfId="294" priority="126" operator="containsText" text="M">
      <formula>NOT(ISERROR(SEARCH("M",U161)))</formula>
    </cfRule>
    <cfRule type="containsText" dxfId="293" priority="127" operator="containsText" text="H">
      <formula>NOT(ISERROR(SEARCH("H",U161)))</formula>
    </cfRule>
  </conditionalFormatting>
  <conditionalFormatting sqref="Y178">
    <cfRule type="containsText" dxfId="292" priority="124" operator="containsText" text="M">
      <formula>NOT(ISERROR(SEARCH("M",Y178)))</formula>
    </cfRule>
    <cfRule type="containsText" dxfId="291" priority="125" operator="containsText" text="H">
      <formula>NOT(ISERROR(SEARCH("H",Y178)))</formula>
    </cfRule>
  </conditionalFormatting>
  <conditionalFormatting sqref="Y178">
    <cfRule type="colorScale" priority="123">
      <colorScale>
        <cfvo type="min"/>
        <cfvo type="percentile" val="50"/>
        <cfvo type="max"/>
        <color rgb="FF63BE7B"/>
        <color rgb="FFFFEB84"/>
        <color rgb="FFF8696B"/>
      </colorScale>
    </cfRule>
  </conditionalFormatting>
  <conditionalFormatting sqref="Z161">
    <cfRule type="colorScale" priority="122">
      <colorScale>
        <cfvo type="min"/>
        <cfvo type="percentile" val="50"/>
        <cfvo type="max"/>
        <color rgb="FF63BE7B"/>
        <color rgb="FFFFEB84"/>
        <color rgb="FFF8696B"/>
      </colorScale>
    </cfRule>
  </conditionalFormatting>
  <conditionalFormatting sqref="Z161">
    <cfRule type="containsText" dxfId="290" priority="120" operator="containsText" text="M">
      <formula>NOT(ISERROR(SEARCH("M",Z161)))</formula>
    </cfRule>
    <cfRule type="containsText" dxfId="289" priority="121" operator="containsText" text="H">
      <formula>NOT(ISERROR(SEARCH("H",Z161)))</formula>
    </cfRule>
  </conditionalFormatting>
  <conditionalFormatting sqref="BA15">
    <cfRule type="colorScale" priority="119">
      <colorScale>
        <cfvo type="min"/>
        <cfvo type="percentile" val="50"/>
        <cfvo type="max"/>
        <color rgb="FF63BE7B"/>
        <color rgb="FFFFEB84"/>
        <color rgb="FFF8696B"/>
      </colorScale>
    </cfRule>
  </conditionalFormatting>
  <conditionalFormatting sqref="BA16:BA20">
    <cfRule type="colorScale" priority="118">
      <colorScale>
        <cfvo type="min"/>
        <cfvo type="percentile" val="50"/>
        <cfvo type="max"/>
        <color rgb="FF63BE7B"/>
        <color rgb="FFFFEB84"/>
        <color rgb="FFF8696B"/>
      </colorScale>
    </cfRule>
  </conditionalFormatting>
  <conditionalFormatting sqref="BA16:BA20">
    <cfRule type="containsText" dxfId="288" priority="116" operator="containsText" text="M">
      <formula>NOT(ISERROR(SEARCH("M",BA16)))</formula>
    </cfRule>
    <cfRule type="containsText" dxfId="287" priority="117" operator="containsText" text="H">
      <formula>NOT(ISERROR(SEARCH("H",BA16)))</formula>
    </cfRule>
  </conditionalFormatting>
  <conditionalFormatting sqref="AV16:AV20">
    <cfRule type="colorScale" priority="115">
      <colorScale>
        <cfvo type="min"/>
        <cfvo type="percentile" val="50"/>
        <cfvo type="max"/>
        <color rgb="FF63BE7B"/>
        <color rgb="FFFFEB84"/>
        <color rgb="FFF8696B"/>
      </colorScale>
    </cfRule>
  </conditionalFormatting>
  <conditionalFormatting sqref="AV16:AV20">
    <cfRule type="containsText" dxfId="286" priority="113" operator="containsText" text="M">
      <formula>NOT(ISERROR(SEARCH("M",AV16)))</formula>
    </cfRule>
    <cfRule type="containsText" dxfId="285" priority="114" operator="containsText" text="H">
      <formula>NOT(ISERROR(SEARCH("H",AV16)))</formula>
    </cfRule>
  </conditionalFormatting>
  <conditionalFormatting sqref="BA49">
    <cfRule type="colorScale" priority="112">
      <colorScale>
        <cfvo type="min"/>
        <cfvo type="percentile" val="50"/>
        <cfvo type="max"/>
        <color rgb="FF63BE7B"/>
        <color rgb="FFFFEB84"/>
        <color rgb="FFF8696B"/>
      </colorScale>
    </cfRule>
  </conditionalFormatting>
  <conditionalFormatting sqref="BA49">
    <cfRule type="containsText" dxfId="284" priority="110" operator="containsText" text="M">
      <formula>NOT(ISERROR(SEARCH("M",BA49)))</formula>
    </cfRule>
    <cfRule type="containsText" dxfId="283" priority="111" operator="containsText" text="H">
      <formula>NOT(ISERROR(SEARCH("H",BA49)))</formula>
    </cfRule>
  </conditionalFormatting>
  <conditionalFormatting sqref="AV49:AY49">
    <cfRule type="colorScale" priority="109">
      <colorScale>
        <cfvo type="min"/>
        <cfvo type="percentile" val="50"/>
        <cfvo type="max"/>
        <color rgb="FF63BE7B"/>
        <color rgb="FFFFEB84"/>
        <color rgb="FFF8696B"/>
      </colorScale>
    </cfRule>
  </conditionalFormatting>
  <conditionalFormatting sqref="AV49:AY49">
    <cfRule type="containsText" dxfId="282" priority="107" operator="containsText" text="M">
      <formula>NOT(ISERROR(SEARCH("M",AV49)))</formula>
    </cfRule>
    <cfRule type="containsText" dxfId="281" priority="108" operator="containsText" text="H">
      <formula>NOT(ISERROR(SEARCH("H",AV49)))</formula>
    </cfRule>
  </conditionalFormatting>
  <conditionalFormatting sqref="AZ140:AZ144">
    <cfRule type="containsText" dxfId="280" priority="105" operator="containsText" text="M">
      <formula>NOT(ISERROR(SEARCH("M",AZ140)))</formula>
    </cfRule>
    <cfRule type="containsText" dxfId="279" priority="106" operator="containsText" text="H">
      <formula>NOT(ISERROR(SEARCH("H",AZ140)))</formula>
    </cfRule>
  </conditionalFormatting>
  <conditionalFormatting sqref="AZ140:AZ144">
    <cfRule type="colorScale" priority="104">
      <colorScale>
        <cfvo type="min"/>
        <cfvo type="percentile" val="50"/>
        <cfvo type="max"/>
        <color rgb="FF63BE7B"/>
        <color rgb="FFFFEB84"/>
        <color rgb="FFF8696B"/>
      </colorScale>
    </cfRule>
  </conditionalFormatting>
  <conditionalFormatting sqref="AV149:AY162">
    <cfRule type="colorScale" priority="103">
      <colorScale>
        <cfvo type="min"/>
        <cfvo type="percentile" val="50"/>
        <cfvo type="max"/>
        <color rgb="FF63BE7B"/>
        <color rgb="FFFFEB84"/>
        <color rgb="FFF8696B"/>
      </colorScale>
    </cfRule>
  </conditionalFormatting>
  <conditionalFormatting sqref="AV149:AY162">
    <cfRule type="containsText" dxfId="278" priority="101" operator="containsText" text="M">
      <formula>NOT(ISERROR(SEARCH("M",AV149)))</formula>
    </cfRule>
    <cfRule type="containsText" dxfId="277" priority="102" operator="containsText" text="H">
      <formula>NOT(ISERROR(SEARCH("H",AV149)))</formula>
    </cfRule>
  </conditionalFormatting>
  <conditionalFormatting sqref="BA149:BA162">
    <cfRule type="colorScale" priority="100">
      <colorScale>
        <cfvo type="min"/>
        <cfvo type="percentile" val="50"/>
        <cfvo type="max"/>
        <color rgb="FF63BE7B"/>
        <color rgb="FFFFEB84"/>
        <color rgb="FFF8696B"/>
      </colorScale>
    </cfRule>
  </conditionalFormatting>
  <conditionalFormatting sqref="BA149:BA162">
    <cfRule type="containsText" dxfId="276" priority="98" operator="containsText" text="M">
      <formula>NOT(ISERROR(SEARCH("M",BA149)))</formula>
    </cfRule>
    <cfRule type="containsText" dxfId="275" priority="99" operator="containsText" text="H">
      <formula>NOT(ISERROR(SEARCH("H",BA149)))</formula>
    </cfRule>
  </conditionalFormatting>
  <conditionalFormatting sqref="N56:N72">
    <cfRule type="expression" dxfId="274" priority="308" stopIfTrue="1">
      <formula>R56="OK"</formula>
    </cfRule>
    <cfRule type="notContainsBlanks" dxfId="273" priority="309">
      <formula>LEN(TRIM(N56))&gt;0</formula>
    </cfRule>
  </conditionalFormatting>
  <conditionalFormatting sqref="L127:L131">
    <cfRule type="expression" dxfId="272" priority="96" stopIfTrue="1">
      <formula>N127="OK"</formula>
    </cfRule>
    <cfRule type="notContainsBlanks" dxfId="271" priority="97">
      <formula>LEN(TRIM(L127))&gt;0</formula>
    </cfRule>
  </conditionalFormatting>
  <conditionalFormatting sqref="K127:K131">
    <cfRule type="expression" dxfId="270" priority="95">
      <formula>J127=""</formula>
    </cfRule>
  </conditionalFormatting>
  <conditionalFormatting sqref="AA127:AA131">
    <cfRule type="expression" dxfId="269" priority="94">
      <formula>Z127=""</formula>
    </cfRule>
  </conditionalFormatting>
  <conditionalFormatting sqref="J127:J131">
    <cfRule type="expression" dxfId="268" priority="92" stopIfTrue="1">
      <formula>K127="OK"</formula>
    </cfRule>
    <cfRule type="containsText" dxfId="267" priority="93" operator="containsText" text="g">
      <formula>NOT(ISERROR(SEARCH("g",J127)))</formula>
    </cfRule>
  </conditionalFormatting>
  <conditionalFormatting sqref="Z127:Z131">
    <cfRule type="colorScale" priority="91">
      <colorScale>
        <cfvo type="min"/>
        <cfvo type="percentile" val="50"/>
        <cfvo type="max"/>
        <color rgb="FF63BE7B"/>
        <color rgb="FFFFEB84"/>
        <color rgb="FFF8696B"/>
      </colorScale>
    </cfRule>
  </conditionalFormatting>
  <conditionalFormatting sqref="Z127:Z131">
    <cfRule type="containsText" dxfId="266" priority="89" operator="containsText" text="M">
      <formula>NOT(ISERROR(SEARCH("M",Z127)))</formula>
    </cfRule>
    <cfRule type="containsText" dxfId="265" priority="90" operator="containsText" text="H">
      <formula>NOT(ISERROR(SEARCH("H",Z127)))</formula>
    </cfRule>
  </conditionalFormatting>
  <conditionalFormatting sqref="Z127:Z131">
    <cfRule type="containsText" dxfId="264" priority="87" operator="containsText" text="M">
      <formula>NOT(ISERROR(SEARCH("M",Z127)))</formula>
    </cfRule>
    <cfRule type="containsText" dxfId="263" priority="88" operator="containsText" text="H">
      <formula>NOT(ISERROR(SEARCH("H",Z127)))</formula>
    </cfRule>
  </conditionalFormatting>
  <conditionalFormatting sqref="U127:U131">
    <cfRule type="colorScale" priority="86">
      <colorScale>
        <cfvo type="min"/>
        <cfvo type="percentile" val="50"/>
        <cfvo type="max"/>
        <color rgb="FF63BE7B"/>
        <color rgb="FFFFEB84"/>
        <color rgb="FFF8696B"/>
      </colorScale>
    </cfRule>
  </conditionalFormatting>
  <conditionalFormatting sqref="U127:U131">
    <cfRule type="containsText" dxfId="262" priority="84" operator="containsText" text="M">
      <formula>NOT(ISERROR(SEARCH("M",U127)))</formula>
    </cfRule>
    <cfRule type="containsText" dxfId="261" priority="85" operator="containsText" text="H">
      <formula>NOT(ISERROR(SEARCH("H",U127)))</formula>
    </cfRule>
  </conditionalFormatting>
  <conditionalFormatting sqref="U127:U131">
    <cfRule type="containsText" dxfId="260" priority="82" operator="containsText" text="M">
      <formula>NOT(ISERROR(SEARCH("M",U127)))</formula>
    </cfRule>
    <cfRule type="containsText" dxfId="259" priority="83" operator="containsText" text="H">
      <formula>NOT(ISERROR(SEARCH("H",U127)))</formula>
    </cfRule>
  </conditionalFormatting>
  <conditionalFormatting sqref="L125">
    <cfRule type="expression" dxfId="258" priority="80" stopIfTrue="1">
      <formula>N125="OK"</formula>
    </cfRule>
    <cfRule type="notContainsBlanks" dxfId="257" priority="81">
      <formula>LEN(TRIM(L125))&gt;0</formula>
    </cfRule>
  </conditionalFormatting>
  <conditionalFormatting sqref="K125">
    <cfRule type="expression" dxfId="256" priority="79">
      <formula>J125=""</formula>
    </cfRule>
  </conditionalFormatting>
  <conditionalFormatting sqref="AA125:AA126">
    <cfRule type="expression" dxfId="255" priority="78">
      <formula>Z125=""</formula>
    </cfRule>
  </conditionalFormatting>
  <conditionalFormatting sqref="J125">
    <cfRule type="expression" dxfId="254" priority="76" stopIfTrue="1">
      <formula>K125="OK"</formula>
    </cfRule>
    <cfRule type="containsText" dxfId="253" priority="77" operator="containsText" text="g">
      <formula>NOT(ISERROR(SEARCH("g",J125)))</formula>
    </cfRule>
  </conditionalFormatting>
  <conditionalFormatting sqref="Z125">
    <cfRule type="colorScale" priority="75">
      <colorScale>
        <cfvo type="min"/>
        <cfvo type="percentile" val="50"/>
        <cfvo type="max"/>
        <color rgb="FF63BE7B"/>
        <color rgb="FFFFEB84"/>
        <color rgb="FFF8696B"/>
      </colorScale>
    </cfRule>
  </conditionalFormatting>
  <conditionalFormatting sqref="Z125">
    <cfRule type="containsText" dxfId="252" priority="73" operator="containsText" text="M">
      <formula>NOT(ISERROR(SEARCH("M",Z125)))</formula>
    </cfRule>
    <cfRule type="containsText" dxfId="251" priority="74" operator="containsText" text="H">
      <formula>NOT(ISERROR(SEARCH("H",Z125)))</formula>
    </cfRule>
  </conditionalFormatting>
  <conditionalFormatting sqref="Z125:Z126">
    <cfRule type="containsText" dxfId="250" priority="71" operator="containsText" text="M">
      <formula>NOT(ISERROR(SEARCH("M",Z125)))</formula>
    </cfRule>
    <cfRule type="containsText" dxfId="249" priority="72" operator="containsText" text="H">
      <formula>NOT(ISERROR(SEARCH("H",Z125)))</formula>
    </cfRule>
  </conditionalFormatting>
  <conditionalFormatting sqref="U125">
    <cfRule type="colorScale" priority="70">
      <colorScale>
        <cfvo type="min"/>
        <cfvo type="percentile" val="50"/>
        <cfvo type="max"/>
        <color rgb="FF63BE7B"/>
        <color rgb="FFFFEB84"/>
        <color rgb="FFF8696B"/>
      </colorScale>
    </cfRule>
  </conditionalFormatting>
  <conditionalFormatting sqref="U125">
    <cfRule type="containsText" dxfId="248" priority="68" operator="containsText" text="M">
      <formula>NOT(ISERROR(SEARCH("M",U125)))</formula>
    </cfRule>
    <cfRule type="containsText" dxfId="247" priority="69" operator="containsText" text="H">
      <formula>NOT(ISERROR(SEARCH("H",U125)))</formula>
    </cfRule>
  </conditionalFormatting>
  <conditionalFormatting sqref="U125:U126">
    <cfRule type="containsText" dxfId="246" priority="66" operator="containsText" text="M">
      <formula>NOT(ISERROR(SEARCH("M",U125)))</formula>
    </cfRule>
    <cfRule type="containsText" dxfId="245" priority="67" operator="containsText" text="H">
      <formula>NOT(ISERROR(SEARCH("H",U125)))</formula>
    </cfRule>
  </conditionalFormatting>
  <conditionalFormatting sqref="L126">
    <cfRule type="expression" dxfId="244" priority="64" stopIfTrue="1">
      <formula>N126="OK"</formula>
    </cfRule>
    <cfRule type="notContainsBlanks" dxfId="243" priority="65">
      <formula>LEN(TRIM(L126))&gt;0</formula>
    </cfRule>
  </conditionalFormatting>
  <conditionalFormatting sqref="K126">
    <cfRule type="expression" dxfId="242" priority="63">
      <formula>J126=""</formula>
    </cfRule>
  </conditionalFormatting>
  <conditionalFormatting sqref="AA126">
    <cfRule type="expression" dxfId="241" priority="62">
      <formula>Z126=""</formula>
    </cfRule>
  </conditionalFormatting>
  <conditionalFormatting sqref="J126">
    <cfRule type="expression" dxfId="240" priority="60" stopIfTrue="1">
      <formula>K126="OK"</formula>
    </cfRule>
    <cfRule type="containsText" dxfId="239" priority="61" operator="containsText" text="g">
      <formula>NOT(ISERROR(SEARCH("g",J126)))</formula>
    </cfRule>
  </conditionalFormatting>
  <conditionalFormatting sqref="Z126">
    <cfRule type="colorScale" priority="59">
      <colorScale>
        <cfvo type="min"/>
        <cfvo type="percentile" val="50"/>
        <cfvo type="max"/>
        <color rgb="FF63BE7B"/>
        <color rgb="FFFFEB84"/>
        <color rgb="FFF8696B"/>
      </colorScale>
    </cfRule>
  </conditionalFormatting>
  <conditionalFormatting sqref="Z126">
    <cfRule type="containsText" dxfId="238" priority="57" operator="containsText" text="M">
      <formula>NOT(ISERROR(SEARCH("M",Z126)))</formula>
    </cfRule>
    <cfRule type="containsText" dxfId="237" priority="58" operator="containsText" text="H">
      <formula>NOT(ISERROR(SEARCH("H",Z126)))</formula>
    </cfRule>
  </conditionalFormatting>
  <conditionalFormatting sqref="Z126">
    <cfRule type="containsText" dxfId="236" priority="55" operator="containsText" text="M">
      <formula>NOT(ISERROR(SEARCH("M",Z126)))</formula>
    </cfRule>
    <cfRule type="containsText" dxfId="235" priority="56" operator="containsText" text="H">
      <formula>NOT(ISERROR(SEARCH("H",Z126)))</formula>
    </cfRule>
  </conditionalFormatting>
  <conditionalFormatting sqref="U126">
    <cfRule type="colorScale" priority="54">
      <colorScale>
        <cfvo type="min"/>
        <cfvo type="percentile" val="50"/>
        <cfvo type="max"/>
        <color rgb="FF63BE7B"/>
        <color rgb="FFFFEB84"/>
        <color rgb="FFF8696B"/>
      </colorScale>
    </cfRule>
  </conditionalFormatting>
  <conditionalFormatting sqref="U126">
    <cfRule type="containsText" dxfId="234" priority="52" operator="containsText" text="M">
      <formula>NOT(ISERROR(SEARCH("M",U126)))</formula>
    </cfRule>
    <cfRule type="containsText" dxfId="233" priority="53" operator="containsText" text="H">
      <formula>NOT(ISERROR(SEARCH("H",U126)))</formula>
    </cfRule>
  </conditionalFormatting>
  <conditionalFormatting sqref="U126">
    <cfRule type="containsText" dxfId="232" priority="50" operator="containsText" text="M">
      <formula>NOT(ISERROR(SEARCH("M",U126)))</formula>
    </cfRule>
    <cfRule type="containsText" dxfId="231" priority="51" operator="containsText" text="H">
      <formula>NOT(ISERROR(SEARCH("H",U126)))</formula>
    </cfRule>
  </conditionalFormatting>
  <conditionalFormatting sqref="L132">
    <cfRule type="expression" dxfId="230" priority="32" stopIfTrue="1">
      <formula>N132="OK"</formula>
    </cfRule>
    <cfRule type="notContainsBlanks" dxfId="229" priority="33">
      <formula>LEN(TRIM(L132))&gt;0</formula>
    </cfRule>
  </conditionalFormatting>
  <conditionalFormatting sqref="K132">
    <cfRule type="expression" dxfId="228" priority="31">
      <formula>J132=""</formula>
    </cfRule>
  </conditionalFormatting>
  <conditionalFormatting sqref="AA132:AA133">
    <cfRule type="expression" dxfId="227" priority="30">
      <formula>Z132=""</formula>
    </cfRule>
  </conditionalFormatting>
  <conditionalFormatting sqref="J132">
    <cfRule type="expression" dxfId="226" priority="28" stopIfTrue="1">
      <formula>K132="OK"</formula>
    </cfRule>
    <cfRule type="containsText" dxfId="225" priority="29" operator="containsText" text="g">
      <formula>NOT(ISERROR(SEARCH("g",J132)))</formula>
    </cfRule>
  </conditionalFormatting>
  <conditionalFormatting sqref="Z132">
    <cfRule type="containsText" dxfId="224" priority="25" operator="containsText" text="M">
      <formula>NOT(ISERROR(SEARCH("M",Z132)))</formula>
    </cfRule>
    <cfRule type="containsText" dxfId="223" priority="26" operator="containsText" text="H">
      <formula>NOT(ISERROR(SEARCH("H",Z132)))</formula>
    </cfRule>
  </conditionalFormatting>
  <conditionalFormatting sqref="Z132:Z133">
    <cfRule type="containsText" dxfId="222" priority="23" operator="containsText" text="M">
      <formula>NOT(ISERROR(SEARCH("M",Z132)))</formula>
    </cfRule>
    <cfRule type="containsText" dxfId="221" priority="24" operator="containsText" text="H">
      <formula>NOT(ISERROR(SEARCH("H",Z132)))</formula>
    </cfRule>
  </conditionalFormatting>
  <conditionalFormatting sqref="U132:U133">
    <cfRule type="containsText" dxfId="220" priority="20" operator="containsText" text="M">
      <formula>NOT(ISERROR(SEARCH("M",U132)))</formula>
    </cfRule>
    <cfRule type="containsText" dxfId="219" priority="21" operator="containsText" text="H">
      <formula>NOT(ISERROR(SEARCH("H",U132)))</formula>
    </cfRule>
  </conditionalFormatting>
  <conditionalFormatting sqref="U132:U133">
    <cfRule type="containsText" dxfId="218" priority="18" operator="containsText" text="M">
      <formula>NOT(ISERROR(SEARCH("M",U132)))</formula>
    </cfRule>
    <cfRule type="containsText" dxfId="217" priority="19" operator="containsText" text="H">
      <formula>NOT(ISERROR(SEARCH("H",U132)))</formula>
    </cfRule>
  </conditionalFormatting>
  <conditionalFormatting sqref="L133">
    <cfRule type="expression" dxfId="216" priority="48" stopIfTrue="1">
      <formula>N133="OK"</formula>
    </cfRule>
    <cfRule type="notContainsBlanks" dxfId="215" priority="49">
      <formula>LEN(TRIM(L133))&gt;0</formula>
    </cfRule>
  </conditionalFormatting>
  <conditionalFormatting sqref="K133">
    <cfRule type="expression" dxfId="214" priority="47">
      <formula>J133=""</formula>
    </cfRule>
  </conditionalFormatting>
  <conditionalFormatting sqref="AA133">
    <cfRule type="expression" dxfId="213" priority="46">
      <formula>Z133=""</formula>
    </cfRule>
  </conditionalFormatting>
  <conditionalFormatting sqref="J133">
    <cfRule type="expression" dxfId="212" priority="44" stopIfTrue="1">
      <formula>K133="OK"</formula>
    </cfRule>
    <cfRule type="containsText" dxfId="211" priority="45" operator="containsText" text="g">
      <formula>NOT(ISERROR(SEARCH("g",J133)))</formula>
    </cfRule>
  </conditionalFormatting>
  <conditionalFormatting sqref="Z133">
    <cfRule type="colorScale" priority="43">
      <colorScale>
        <cfvo type="min"/>
        <cfvo type="percentile" val="50"/>
        <cfvo type="max"/>
        <color rgb="FF63BE7B"/>
        <color rgb="FFFFEB84"/>
        <color rgb="FFF8696B"/>
      </colorScale>
    </cfRule>
  </conditionalFormatting>
  <conditionalFormatting sqref="Z133">
    <cfRule type="containsText" dxfId="210" priority="41" operator="containsText" text="M">
      <formula>NOT(ISERROR(SEARCH("M",Z133)))</formula>
    </cfRule>
    <cfRule type="containsText" dxfId="209" priority="42" operator="containsText" text="H">
      <formula>NOT(ISERROR(SEARCH("H",Z133)))</formula>
    </cfRule>
  </conditionalFormatting>
  <conditionalFormatting sqref="Z133">
    <cfRule type="containsText" dxfId="208" priority="39" operator="containsText" text="M">
      <formula>NOT(ISERROR(SEARCH("M",Z133)))</formula>
    </cfRule>
    <cfRule type="containsText" dxfId="207" priority="40" operator="containsText" text="H">
      <formula>NOT(ISERROR(SEARCH("H",Z133)))</formula>
    </cfRule>
  </conditionalFormatting>
  <conditionalFormatting sqref="U133">
    <cfRule type="colorScale" priority="38">
      <colorScale>
        <cfvo type="min"/>
        <cfvo type="percentile" val="50"/>
        <cfvo type="max"/>
        <color rgb="FF63BE7B"/>
        <color rgb="FFFFEB84"/>
        <color rgb="FFF8696B"/>
      </colorScale>
    </cfRule>
  </conditionalFormatting>
  <conditionalFormatting sqref="U133">
    <cfRule type="containsText" dxfId="206" priority="36" operator="containsText" text="M">
      <formula>NOT(ISERROR(SEARCH("M",U133)))</formula>
    </cfRule>
    <cfRule type="containsText" dxfId="205" priority="37" operator="containsText" text="H">
      <formula>NOT(ISERROR(SEARCH("H",U133)))</formula>
    </cfRule>
  </conditionalFormatting>
  <conditionalFormatting sqref="U133">
    <cfRule type="containsText" dxfId="204" priority="34" operator="containsText" text="M">
      <formula>NOT(ISERROR(SEARCH("M",U133)))</formula>
    </cfRule>
    <cfRule type="containsText" dxfId="203" priority="35" operator="containsText" text="H">
      <formula>NOT(ISERROR(SEARCH("H",U133)))</formula>
    </cfRule>
  </conditionalFormatting>
  <conditionalFormatting sqref="Z132">
    <cfRule type="colorScale" priority="27">
      <colorScale>
        <cfvo type="min"/>
        <cfvo type="percentile" val="50"/>
        <cfvo type="max"/>
        <color rgb="FF63BE7B"/>
        <color rgb="FFFFEB84"/>
        <color rgb="FFF8696B"/>
      </colorScale>
    </cfRule>
  </conditionalFormatting>
  <conditionalFormatting sqref="U132">
    <cfRule type="colorScale" priority="22">
      <colorScale>
        <cfvo type="min"/>
        <cfvo type="percentile" val="50"/>
        <cfvo type="max"/>
        <color rgb="FF63BE7B"/>
        <color rgb="FFFFEB84"/>
        <color rgb="FFF8696B"/>
      </colorScale>
    </cfRule>
  </conditionalFormatting>
  <conditionalFormatting sqref="AK21:AK43">
    <cfRule type="expression" dxfId="202" priority="15" stopIfTrue="1">
      <formula>AL21="OK"</formula>
    </cfRule>
    <cfRule type="containsText" dxfId="201" priority="16" operator="containsText" text="g">
      <formula>NOT(ISERROR(SEARCH("g",AK21)))</formula>
    </cfRule>
  </conditionalFormatting>
  <conditionalFormatting sqref="AM21:AM37">
    <cfRule type="expression" dxfId="200" priority="14" stopIfTrue="1">
      <formula>AO21="OK"</formula>
    </cfRule>
    <cfRule type="notContainsBlanks" dxfId="199" priority="17">
      <formula>LEN(TRIM(AM21))&gt;0</formula>
    </cfRule>
  </conditionalFormatting>
  <conditionalFormatting sqref="AL21:AL43">
    <cfRule type="expression" dxfId="198" priority="11">
      <formula>AK21=""</formula>
    </cfRule>
  </conditionalFormatting>
  <conditionalFormatting sqref="AM38:AM43">
    <cfRule type="expression" dxfId="197" priority="12" stopIfTrue="1">
      <formula>AO38="OK"</formula>
    </cfRule>
    <cfRule type="notContainsBlanks" dxfId="196" priority="13">
      <formula>LEN(TRIM(AM38))&gt;0</formula>
    </cfRule>
  </conditionalFormatting>
  <conditionalFormatting sqref="AO24:AO43">
    <cfRule type="expression" dxfId="195" priority="10">
      <formula>AN24=""</formula>
    </cfRule>
  </conditionalFormatting>
  <conditionalFormatting sqref="BB21:BB43">
    <cfRule type="expression" dxfId="194" priority="9">
      <formula>BA21=""</formula>
    </cfRule>
  </conditionalFormatting>
  <conditionalFormatting sqref="BA21:BA43">
    <cfRule type="colorScale" priority="8">
      <colorScale>
        <cfvo type="min"/>
        <cfvo type="percentile" val="50"/>
        <cfvo type="max"/>
        <color rgb="FF63BE7B"/>
        <color rgb="FFFFEB84"/>
        <color rgb="FFF8696B"/>
      </colorScale>
    </cfRule>
  </conditionalFormatting>
  <conditionalFormatting sqref="BA21:BA43">
    <cfRule type="containsText" dxfId="193" priority="6" operator="containsText" text="M">
      <formula>NOT(ISERROR(SEARCH("M",BA21)))</formula>
    </cfRule>
    <cfRule type="containsText" dxfId="192" priority="7" operator="containsText" text="H">
      <formula>NOT(ISERROR(SEARCH("H",BA21)))</formula>
    </cfRule>
  </conditionalFormatting>
  <conditionalFormatting sqref="BA21:BA43">
    <cfRule type="containsText" dxfId="191" priority="4" operator="containsText" text="M">
      <formula>NOT(ISERROR(SEARCH("M",BA21)))</formula>
    </cfRule>
    <cfRule type="containsText" dxfId="190" priority="5" operator="containsText" text="H">
      <formula>NOT(ISERROR(SEARCH("H",BA21)))</formula>
    </cfRule>
  </conditionalFormatting>
  <conditionalFormatting sqref="AV21:AV43">
    <cfRule type="colorScale" priority="3">
      <colorScale>
        <cfvo type="min"/>
        <cfvo type="percentile" val="50"/>
        <cfvo type="max"/>
        <color rgb="FF63BE7B"/>
        <color rgb="FFFFEB84"/>
        <color rgb="FFF8696B"/>
      </colorScale>
    </cfRule>
  </conditionalFormatting>
  <conditionalFormatting sqref="AV21:AV43">
    <cfRule type="containsText" dxfId="189" priority="1" operator="containsText" text="M">
      <formula>NOT(ISERROR(SEARCH("M",AV21)))</formula>
    </cfRule>
    <cfRule type="containsText" dxfId="188" priority="2" operator="containsText" text="H">
      <formula>NOT(ISERROR(SEARCH("H",AV21)))</formula>
    </cfRule>
  </conditionalFormatting>
  <dataValidations count="2">
    <dataValidation type="list" allowBlank="1" showInputMessage="1" sqref="AL161 AO142:AO144 AL140:AL144 BB49 N178 AA149:AA157 AA161 K149:K157 AL149:AL157 AL49 AA57:AA77 BB140:BB144 BB161 K101:K113 AA79:AA99 K49 K177:K178 AK15 K79:K99 BB149:BB157 AA169 AA140 AA177:AA178 K161 AA101:AA113 N15:N43 AA49 K169 N53 N49:N51 K140 N120:N133 K120:K133 AA120:AA133 AA16:AA43 K16:K43 K57:K77 N73:N115 BB16:BB43 AO24:AO43 AL15:AL43">
      <formula1>#REF!</formula1>
    </dataValidation>
    <dataValidation allowBlank="1" showInputMessage="1" sqref="A167:A168 A175:A176 AZ6:AZ11 AB149:AB161 AK120:AN125 AD118:AN119 BB15 D5:I6 Z6:AB6 AC163:AC166 L167:L168 L175:L178 N116:S116 O117:S117 K114:K117 BB158:BB160 AA100 L118:L126 BJ13:XFD27 BG11:BG12 L147:L148 T163:AA163 A78:A79 H32:H46 B33:B46 AO52:AO134 K48 P48:S48 C177:I178 N52:Z52 J138:J144 AA14:AA15 AA139 O167:O168 P55:S55 N176:N177 N56:S56 AA114:AB116 AA50:AA52 O49:S51 N57:N72 K50:K52 K119 P119:S119 C10:I11 M119:M126 P54:Q54 AB118 O147:O148 D134:H137 K139 P139:S139 P118:Q118 C118:F118 AC135:BC135 J147:J157 AB163:AB167 K168 P168:S168 M168 J161 P147:Q147 AD149:AK149 AA168 AE163:AL166 K148 P148:S148 M148 P138:Q138 D138:F138 AC167:BC178 AA55:AA56 AA78 AA170:AA171 AD6:AJ10 K176 P176:S176 AO15:AO23 P167:Q167 BA6:BB8 L149:S166 O177:S178 C175:F175 M141:X144 AD11:AS11 BA162:BB162 AK47:AK49 AL14 AB13:AG13 D167:F167 AO49 A100:A101 K44:K46 K55:K56 K100 AF138:AG138 O54:O55 AM147:AM148 AA148 BC147 AL148 AN148 AK147:AK148 AP47:AR49 G1:I4 AC147:AG147 AK13:AK14 AK161:AK162 AD150:AD166 AL162 AM149:AO166 AA162:AC162 AC148:AC161 AU126:BB130 AB169:AB175 L169:S169 B145:S146 AK6:AL6 N44:N46 M6:X6 AD12:AY12 AK150:AK157 A170:M172 O118:O119 O138:O139 K78 L140:L144 O31:O48 N170:S174 J158:K160 J162:K166 BB148 A44:A47 D79:F113 C49:F54 A114:F116 P175:Q175 A15:A16 B134:C138 A13 C13 B141:B144 O140:S140 V55:Y55 AA176 C147:F147 J167:J169 C56:C113 C12:T12 O175:O176 AB47:AB52 BC149:BC162 K14:K15 AA158:AA160 AB177:AB178 BC136:BC138 AB140:AB147 AZ48:BB48 J175:J178 AD50:BC51 D168:I169 BH6:XFD12 AP147:AR162 AC48:AC51 BC47 AS48:AT49 AC47:AD47 AL48 AP138:AR144 AD49:AJ49 AC136:BB137 AN48:AN49 AC45:BC46 BC49 AM47:AM49 BB139 AC139:AC144 AS139:AT144 AC138:AD138 AL139 AF47:AG47 BC140:BC144 AN140:AO140 AM140:AM144 AK138:AK144 AU134:BB134 K141:K144 AA141:AA146 Z7:AA8 N8:Q8 AK158:AL160 AS148:AT162 AB7:AB12 B4:F4 A4:A6 A173:J174 I133:I137 AA119 K1 B5:B6 AC6:AC12 O10:S10 A1:F3 N11:R11 O7:O9 K6 AC145:BC146 AA48 Z141:Z145 AK44:BC44 BA1:BC5 AF139:AH139 AP163:BC166 U7:X8 R44:AB46 AM2:AZ5 U101:X113 Z171 T170:Z170 T11 Y171:Y174 U171:X171 Y164:Y166 T146:Z146 T164 J134:AA137 Y176:Y178 T145:X145 U49 T171:T172 U161:Z161 Y168:Y169 T158:T160 T162 Y162 Z149:Z157 U149:X157 Y148:Y160 AZ14:BB14 AZ15 BA149:BA161 AU158:AU160 AV149:AY161 AV16:AZ43 AZ139:AZ144 AZ131:AZ133 AU131 AZ148:AZ162 AU162:AY162 C140:I144 C33:F47 C167:C169 AE47:AE48 AE138:AE139 AI139:AJ144 AF48:AJ48 AV6:AY8 AU6:AU9 Y6:Y8 BC6:BC13 AP6:AT10 C120:H133 O120:S133 Y14:Y43 L127:M133 AP126:AT134 BC126:BC134 AC126:AN134 A134:A147 Y139:Y145 A49:A54 B50:B53 O53:S53 J53:K53 M48:M53 P31:Q47 AP52:BC116 AC52:AN116 Y53:AB53 B16:B31 C15:C31 L6:L10 D13:F31 O13:Q30 R14:S43 AB15:AB43 M14:M46 J13:J52 U16:X43 V14:X14 I14:I46 H56:I116 B57:B77 U57:X77 A56:A57 B79:B99 J54:J133 M55:M116 AB54:AB113 U120:Z133 L13:L116 O57:S115 G49:I53 B101:B113 D56:G78 I126 AB120:AB138 AN14:AN43 AK16:AK43 BC15:BC43 AM13:AM43 AS14:AT43 AP13:AR43 AV49:BA49 Y56:Z117 J1:J7 I7:I9 A149:I166 G14:H31 G33:G46 A32:G32 G79:G116 V48:X49 Z49:Z51 L1:Z4 U79:X99 V119:Y119 Y48:Y51 AM6:AM10 Z15:Z43 L5:AG5 AK2:AK5 AC1:AZ1 AC2:AG4 AN10 AK7 AN6:AO9 BA15:BA43 AC14:AC44 AD140:AH144 AD15:AJ44 AE150:AJ162"/>
  </dataValidation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
  <sheetViews>
    <sheetView workbookViewId="0"/>
  </sheetViews>
  <sheetFormatPr defaultRowHeight="15" customHeight="1" x14ac:dyDescent="0.3"/>
  <sheetData>
    <row r="1" spans="1:1" ht="15" customHeight="1" x14ac:dyDescent="0.3">
      <c r="A1" t="s">
        <v>398</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9" tint="-0.249977111117893"/>
  </sheetPr>
  <dimension ref="A1:DL1048576"/>
  <sheetViews>
    <sheetView topLeftCell="E1" zoomScaleNormal="100" workbookViewId="0">
      <pane ySplit="3" topLeftCell="A4" activePane="bottomLeft" state="frozen"/>
      <selection pane="bottomLeft" activeCell="P31" sqref="P31"/>
    </sheetView>
  </sheetViews>
  <sheetFormatPr defaultRowHeight="13.8" x14ac:dyDescent="0.3"/>
  <cols>
    <col min="1" max="1" width="9.109375" style="115"/>
    <col min="2" max="3" width="9.109375" style="114"/>
    <col min="4" max="4" width="15.109375" style="114" customWidth="1"/>
    <col min="5" max="5" width="15.6640625" style="114" customWidth="1"/>
    <col min="6" max="6" width="10.33203125" style="114" bestFit="1" customWidth="1"/>
    <col min="7" max="7" width="8.109375" style="116" customWidth="1"/>
    <col min="8" max="9" width="15.6640625" style="116" bestFit="1" customWidth="1"/>
    <col min="10" max="10" width="39.77734375" style="117" customWidth="1"/>
    <col min="11" max="11" width="15.6640625" style="116" customWidth="1"/>
    <col min="12" max="12" width="14.77734375" style="114" bestFit="1" customWidth="1"/>
    <col min="13" max="13" width="15.6640625" style="116" bestFit="1" customWidth="1"/>
    <col min="14" max="14" width="11.6640625" style="116" bestFit="1" customWidth="1"/>
    <col min="15" max="15" width="43.77734375" style="119" customWidth="1"/>
    <col min="16" max="16" width="14.77734375" style="118" customWidth="1"/>
    <col min="17" max="17" width="10.33203125" style="114" bestFit="1" customWidth="1"/>
    <col min="18" max="261" width="9.109375" style="114"/>
    <col min="262" max="262" width="16.109375" style="114" customWidth="1"/>
    <col min="263" max="263" width="17" style="114" customWidth="1"/>
    <col min="264" max="264" width="25" style="114" customWidth="1"/>
    <col min="265" max="265" width="44.77734375" style="114" customWidth="1"/>
    <col min="266" max="266" width="15.6640625" style="114" bestFit="1" customWidth="1"/>
    <col min="267" max="267" width="11.6640625" style="114" bestFit="1" customWidth="1"/>
    <col min="268" max="268" width="95.77734375" style="114" customWidth="1"/>
    <col min="269" max="269" width="11.77734375" style="114" customWidth="1"/>
    <col min="270" max="270" width="14.77734375" style="114" customWidth="1"/>
    <col min="271" max="517" width="9.109375" style="114"/>
    <col min="518" max="518" width="16.109375" style="114" customWidth="1"/>
    <col min="519" max="519" width="17" style="114" customWidth="1"/>
    <col min="520" max="520" width="25" style="114" customWidth="1"/>
    <col min="521" max="521" width="44.77734375" style="114" customWidth="1"/>
    <col min="522" max="522" width="15.6640625" style="114" bestFit="1" customWidth="1"/>
    <col min="523" max="523" width="11.6640625" style="114" bestFit="1" customWidth="1"/>
    <col min="524" max="524" width="95.77734375" style="114" customWidth="1"/>
    <col min="525" max="525" width="11.77734375" style="114" customWidth="1"/>
    <col min="526" max="526" width="14.77734375" style="114" customWidth="1"/>
    <col min="527" max="773" width="9.109375" style="114"/>
    <col min="774" max="774" width="16.109375" style="114" customWidth="1"/>
    <col min="775" max="775" width="17" style="114" customWidth="1"/>
    <col min="776" max="776" width="25" style="114" customWidth="1"/>
    <col min="777" max="777" width="44.77734375" style="114" customWidth="1"/>
    <col min="778" max="778" width="15.6640625" style="114" bestFit="1" customWidth="1"/>
    <col min="779" max="779" width="11.6640625" style="114" bestFit="1" customWidth="1"/>
    <col min="780" max="780" width="95.77734375" style="114" customWidth="1"/>
    <col min="781" max="781" width="11.77734375" style="114" customWidth="1"/>
    <col min="782" max="782" width="14.77734375" style="114" customWidth="1"/>
    <col min="783" max="1029" width="9.109375" style="114"/>
    <col min="1030" max="1030" width="16.109375" style="114" customWidth="1"/>
    <col min="1031" max="1031" width="17" style="114" customWidth="1"/>
    <col min="1032" max="1032" width="25" style="114" customWidth="1"/>
    <col min="1033" max="1033" width="44.77734375" style="114" customWidth="1"/>
    <col min="1034" max="1034" width="15.6640625" style="114" bestFit="1" customWidth="1"/>
    <col min="1035" max="1035" width="11.6640625" style="114" bestFit="1" customWidth="1"/>
    <col min="1036" max="1036" width="95.77734375" style="114" customWidth="1"/>
    <col min="1037" max="1037" width="11.77734375" style="114" customWidth="1"/>
    <col min="1038" max="1038" width="14.77734375" style="114" customWidth="1"/>
    <col min="1039" max="1285" width="9.109375" style="114"/>
    <col min="1286" max="1286" width="16.109375" style="114" customWidth="1"/>
    <col min="1287" max="1287" width="17" style="114" customWidth="1"/>
    <col min="1288" max="1288" width="25" style="114" customWidth="1"/>
    <col min="1289" max="1289" width="44.77734375" style="114" customWidth="1"/>
    <col min="1290" max="1290" width="15.6640625" style="114" bestFit="1" customWidth="1"/>
    <col min="1291" max="1291" width="11.6640625" style="114" bestFit="1" customWidth="1"/>
    <col min="1292" max="1292" width="95.77734375" style="114" customWidth="1"/>
    <col min="1293" max="1293" width="11.77734375" style="114" customWidth="1"/>
    <col min="1294" max="1294" width="14.77734375" style="114" customWidth="1"/>
    <col min="1295" max="1541" width="9.109375" style="114"/>
    <col min="1542" max="1542" width="16.109375" style="114" customWidth="1"/>
    <col min="1543" max="1543" width="17" style="114" customWidth="1"/>
    <col min="1544" max="1544" width="25" style="114" customWidth="1"/>
    <col min="1545" max="1545" width="44.77734375" style="114" customWidth="1"/>
    <col min="1546" max="1546" width="15.6640625" style="114" bestFit="1" customWidth="1"/>
    <col min="1547" max="1547" width="11.6640625" style="114" bestFit="1" customWidth="1"/>
    <col min="1548" max="1548" width="95.77734375" style="114" customWidth="1"/>
    <col min="1549" max="1549" width="11.77734375" style="114" customWidth="1"/>
    <col min="1550" max="1550" width="14.77734375" style="114" customWidth="1"/>
    <col min="1551" max="1797" width="9.109375" style="114"/>
    <col min="1798" max="1798" width="16.109375" style="114" customWidth="1"/>
    <col min="1799" max="1799" width="17" style="114" customWidth="1"/>
    <col min="1800" max="1800" width="25" style="114" customWidth="1"/>
    <col min="1801" max="1801" width="44.77734375" style="114" customWidth="1"/>
    <col min="1802" max="1802" width="15.6640625" style="114" bestFit="1" customWidth="1"/>
    <col min="1803" max="1803" width="11.6640625" style="114" bestFit="1" customWidth="1"/>
    <col min="1804" max="1804" width="95.77734375" style="114" customWidth="1"/>
    <col min="1805" max="1805" width="11.77734375" style="114" customWidth="1"/>
    <col min="1806" max="1806" width="14.77734375" style="114" customWidth="1"/>
    <col min="1807" max="2053" width="9.109375" style="114"/>
    <col min="2054" max="2054" width="16.109375" style="114" customWidth="1"/>
    <col min="2055" max="2055" width="17" style="114" customWidth="1"/>
    <col min="2056" max="2056" width="25" style="114" customWidth="1"/>
    <col min="2057" max="2057" width="44.77734375" style="114" customWidth="1"/>
    <col min="2058" max="2058" width="15.6640625" style="114" bestFit="1" customWidth="1"/>
    <col min="2059" max="2059" width="11.6640625" style="114" bestFit="1" customWidth="1"/>
    <col min="2060" max="2060" width="95.77734375" style="114" customWidth="1"/>
    <col min="2061" max="2061" width="11.77734375" style="114" customWidth="1"/>
    <col min="2062" max="2062" width="14.77734375" style="114" customWidth="1"/>
    <col min="2063" max="2309" width="9.109375" style="114"/>
    <col min="2310" max="2310" width="16.109375" style="114" customWidth="1"/>
    <col min="2311" max="2311" width="17" style="114" customWidth="1"/>
    <col min="2312" max="2312" width="25" style="114" customWidth="1"/>
    <col min="2313" max="2313" width="44.77734375" style="114" customWidth="1"/>
    <col min="2314" max="2314" width="15.6640625" style="114" bestFit="1" customWidth="1"/>
    <col min="2315" max="2315" width="11.6640625" style="114" bestFit="1" customWidth="1"/>
    <col min="2316" max="2316" width="95.77734375" style="114" customWidth="1"/>
    <col min="2317" max="2317" width="11.77734375" style="114" customWidth="1"/>
    <col min="2318" max="2318" width="14.77734375" style="114" customWidth="1"/>
    <col min="2319" max="2565" width="9.109375" style="114"/>
    <col min="2566" max="2566" width="16.109375" style="114" customWidth="1"/>
    <col min="2567" max="2567" width="17" style="114" customWidth="1"/>
    <col min="2568" max="2568" width="25" style="114" customWidth="1"/>
    <col min="2569" max="2569" width="44.77734375" style="114" customWidth="1"/>
    <col min="2570" max="2570" width="15.6640625" style="114" bestFit="1" customWidth="1"/>
    <col min="2571" max="2571" width="11.6640625" style="114" bestFit="1" customWidth="1"/>
    <col min="2572" max="2572" width="95.77734375" style="114" customWidth="1"/>
    <col min="2573" max="2573" width="11.77734375" style="114" customWidth="1"/>
    <col min="2574" max="2574" width="14.77734375" style="114" customWidth="1"/>
    <col min="2575" max="2821" width="9.109375" style="114"/>
    <col min="2822" max="2822" width="16.109375" style="114" customWidth="1"/>
    <col min="2823" max="2823" width="17" style="114" customWidth="1"/>
    <col min="2824" max="2824" width="25" style="114" customWidth="1"/>
    <col min="2825" max="2825" width="44.77734375" style="114" customWidth="1"/>
    <col min="2826" max="2826" width="15.6640625" style="114" bestFit="1" customWidth="1"/>
    <col min="2827" max="2827" width="11.6640625" style="114" bestFit="1" customWidth="1"/>
    <col min="2828" max="2828" width="95.77734375" style="114" customWidth="1"/>
    <col min="2829" max="2829" width="11.77734375" style="114" customWidth="1"/>
    <col min="2830" max="2830" width="14.77734375" style="114" customWidth="1"/>
    <col min="2831" max="3077" width="9.109375" style="114"/>
    <col min="3078" max="3078" width="16.109375" style="114" customWidth="1"/>
    <col min="3079" max="3079" width="17" style="114" customWidth="1"/>
    <col min="3080" max="3080" width="25" style="114" customWidth="1"/>
    <col min="3081" max="3081" width="44.77734375" style="114" customWidth="1"/>
    <col min="3082" max="3082" width="15.6640625" style="114" bestFit="1" customWidth="1"/>
    <col min="3083" max="3083" width="11.6640625" style="114" bestFit="1" customWidth="1"/>
    <col min="3084" max="3084" width="95.77734375" style="114" customWidth="1"/>
    <col min="3085" max="3085" width="11.77734375" style="114" customWidth="1"/>
    <col min="3086" max="3086" width="14.77734375" style="114" customWidth="1"/>
    <col min="3087" max="3333" width="9.109375" style="114"/>
    <col min="3334" max="3334" width="16.109375" style="114" customWidth="1"/>
    <col min="3335" max="3335" width="17" style="114" customWidth="1"/>
    <col min="3336" max="3336" width="25" style="114" customWidth="1"/>
    <col min="3337" max="3337" width="44.77734375" style="114" customWidth="1"/>
    <col min="3338" max="3338" width="15.6640625" style="114" bestFit="1" customWidth="1"/>
    <col min="3339" max="3339" width="11.6640625" style="114" bestFit="1" customWidth="1"/>
    <col min="3340" max="3340" width="95.77734375" style="114" customWidth="1"/>
    <col min="3341" max="3341" width="11.77734375" style="114" customWidth="1"/>
    <col min="3342" max="3342" width="14.77734375" style="114" customWidth="1"/>
    <col min="3343" max="3589" width="9.109375" style="114"/>
    <col min="3590" max="3590" width="16.109375" style="114" customWidth="1"/>
    <col min="3591" max="3591" width="17" style="114" customWidth="1"/>
    <col min="3592" max="3592" width="25" style="114" customWidth="1"/>
    <col min="3593" max="3593" width="44.77734375" style="114" customWidth="1"/>
    <col min="3594" max="3594" width="15.6640625" style="114" bestFit="1" customWidth="1"/>
    <col min="3595" max="3595" width="11.6640625" style="114" bestFit="1" customWidth="1"/>
    <col min="3596" max="3596" width="95.77734375" style="114" customWidth="1"/>
    <col min="3597" max="3597" width="11.77734375" style="114" customWidth="1"/>
    <col min="3598" max="3598" width="14.77734375" style="114" customWidth="1"/>
    <col min="3599" max="3845" width="9.109375" style="114"/>
    <col min="3846" max="3846" width="16.109375" style="114" customWidth="1"/>
    <col min="3847" max="3847" width="17" style="114" customWidth="1"/>
    <col min="3848" max="3848" width="25" style="114" customWidth="1"/>
    <col min="3849" max="3849" width="44.77734375" style="114" customWidth="1"/>
    <col min="3850" max="3850" width="15.6640625" style="114" bestFit="1" customWidth="1"/>
    <col min="3851" max="3851" width="11.6640625" style="114" bestFit="1" customWidth="1"/>
    <col min="3852" max="3852" width="95.77734375" style="114" customWidth="1"/>
    <col min="3853" max="3853" width="11.77734375" style="114" customWidth="1"/>
    <col min="3854" max="3854" width="14.77734375" style="114" customWidth="1"/>
    <col min="3855" max="4101" width="9.109375" style="114"/>
    <col min="4102" max="4102" width="16.109375" style="114" customWidth="1"/>
    <col min="4103" max="4103" width="17" style="114" customWidth="1"/>
    <col min="4104" max="4104" width="25" style="114" customWidth="1"/>
    <col min="4105" max="4105" width="44.77734375" style="114" customWidth="1"/>
    <col min="4106" max="4106" width="15.6640625" style="114" bestFit="1" customWidth="1"/>
    <col min="4107" max="4107" width="11.6640625" style="114" bestFit="1" customWidth="1"/>
    <col min="4108" max="4108" width="95.77734375" style="114" customWidth="1"/>
    <col min="4109" max="4109" width="11.77734375" style="114" customWidth="1"/>
    <col min="4110" max="4110" width="14.77734375" style="114" customWidth="1"/>
    <col min="4111" max="4357" width="9.109375" style="114"/>
    <col min="4358" max="4358" width="16.109375" style="114" customWidth="1"/>
    <col min="4359" max="4359" width="17" style="114" customWidth="1"/>
    <col min="4360" max="4360" width="25" style="114" customWidth="1"/>
    <col min="4361" max="4361" width="44.77734375" style="114" customWidth="1"/>
    <col min="4362" max="4362" width="15.6640625" style="114" bestFit="1" customWidth="1"/>
    <col min="4363" max="4363" width="11.6640625" style="114" bestFit="1" customWidth="1"/>
    <col min="4364" max="4364" width="95.77734375" style="114" customWidth="1"/>
    <col min="4365" max="4365" width="11.77734375" style="114" customWidth="1"/>
    <col min="4366" max="4366" width="14.77734375" style="114" customWidth="1"/>
    <col min="4367" max="4613" width="9.109375" style="114"/>
    <col min="4614" max="4614" width="16.109375" style="114" customWidth="1"/>
    <col min="4615" max="4615" width="17" style="114" customWidth="1"/>
    <col min="4616" max="4616" width="25" style="114" customWidth="1"/>
    <col min="4617" max="4617" width="44.77734375" style="114" customWidth="1"/>
    <col min="4618" max="4618" width="15.6640625" style="114" bestFit="1" customWidth="1"/>
    <col min="4619" max="4619" width="11.6640625" style="114" bestFit="1" customWidth="1"/>
    <col min="4620" max="4620" width="95.77734375" style="114" customWidth="1"/>
    <col min="4621" max="4621" width="11.77734375" style="114" customWidth="1"/>
    <col min="4622" max="4622" width="14.77734375" style="114" customWidth="1"/>
    <col min="4623" max="4869" width="9.109375" style="114"/>
    <col min="4870" max="4870" width="16.109375" style="114" customWidth="1"/>
    <col min="4871" max="4871" width="17" style="114" customWidth="1"/>
    <col min="4872" max="4872" width="25" style="114" customWidth="1"/>
    <col min="4873" max="4873" width="44.77734375" style="114" customWidth="1"/>
    <col min="4874" max="4874" width="15.6640625" style="114" bestFit="1" customWidth="1"/>
    <col min="4875" max="4875" width="11.6640625" style="114" bestFit="1" customWidth="1"/>
    <col min="4876" max="4876" width="95.77734375" style="114" customWidth="1"/>
    <col min="4877" max="4877" width="11.77734375" style="114" customWidth="1"/>
    <col min="4878" max="4878" width="14.77734375" style="114" customWidth="1"/>
    <col min="4879" max="5125" width="9.109375" style="114"/>
    <col min="5126" max="5126" width="16.109375" style="114" customWidth="1"/>
    <col min="5127" max="5127" width="17" style="114" customWidth="1"/>
    <col min="5128" max="5128" width="25" style="114" customWidth="1"/>
    <col min="5129" max="5129" width="44.77734375" style="114" customWidth="1"/>
    <col min="5130" max="5130" width="15.6640625" style="114" bestFit="1" customWidth="1"/>
    <col min="5131" max="5131" width="11.6640625" style="114" bestFit="1" customWidth="1"/>
    <col min="5132" max="5132" width="95.77734375" style="114" customWidth="1"/>
    <col min="5133" max="5133" width="11.77734375" style="114" customWidth="1"/>
    <col min="5134" max="5134" width="14.77734375" style="114" customWidth="1"/>
    <col min="5135" max="5381" width="9.109375" style="114"/>
    <col min="5382" max="5382" width="16.109375" style="114" customWidth="1"/>
    <col min="5383" max="5383" width="17" style="114" customWidth="1"/>
    <col min="5384" max="5384" width="25" style="114" customWidth="1"/>
    <col min="5385" max="5385" width="44.77734375" style="114" customWidth="1"/>
    <col min="5386" max="5386" width="15.6640625" style="114" bestFit="1" customWidth="1"/>
    <col min="5387" max="5387" width="11.6640625" style="114" bestFit="1" customWidth="1"/>
    <col min="5388" max="5388" width="95.77734375" style="114" customWidth="1"/>
    <col min="5389" max="5389" width="11.77734375" style="114" customWidth="1"/>
    <col min="5390" max="5390" width="14.77734375" style="114" customWidth="1"/>
    <col min="5391" max="5637" width="9.109375" style="114"/>
    <col min="5638" max="5638" width="16.109375" style="114" customWidth="1"/>
    <col min="5639" max="5639" width="17" style="114" customWidth="1"/>
    <col min="5640" max="5640" width="25" style="114" customWidth="1"/>
    <col min="5641" max="5641" width="44.77734375" style="114" customWidth="1"/>
    <col min="5642" max="5642" width="15.6640625" style="114" bestFit="1" customWidth="1"/>
    <col min="5643" max="5643" width="11.6640625" style="114" bestFit="1" customWidth="1"/>
    <col min="5644" max="5644" width="95.77734375" style="114" customWidth="1"/>
    <col min="5645" max="5645" width="11.77734375" style="114" customWidth="1"/>
    <col min="5646" max="5646" width="14.77734375" style="114" customWidth="1"/>
    <col min="5647" max="5893" width="9.109375" style="114"/>
    <col min="5894" max="5894" width="16.109375" style="114" customWidth="1"/>
    <col min="5895" max="5895" width="17" style="114" customWidth="1"/>
    <col min="5896" max="5896" width="25" style="114" customWidth="1"/>
    <col min="5897" max="5897" width="44.77734375" style="114" customWidth="1"/>
    <col min="5898" max="5898" width="15.6640625" style="114" bestFit="1" customWidth="1"/>
    <col min="5899" max="5899" width="11.6640625" style="114" bestFit="1" customWidth="1"/>
    <col min="5900" max="5900" width="95.77734375" style="114" customWidth="1"/>
    <col min="5901" max="5901" width="11.77734375" style="114" customWidth="1"/>
    <col min="5902" max="5902" width="14.77734375" style="114" customWidth="1"/>
    <col min="5903" max="6149" width="9.109375" style="114"/>
    <col min="6150" max="6150" width="16.109375" style="114" customWidth="1"/>
    <col min="6151" max="6151" width="17" style="114" customWidth="1"/>
    <col min="6152" max="6152" width="25" style="114" customWidth="1"/>
    <col min="6153" max="6153" width="44.77734375" style="114" customWidth="1"/>
    <col min="6154" max="6154" width="15.6640625" style="114" bestFit="1" customWidth="1"/>
    <col min="6155" max="6155" width="11.6640625" style="114" bestFit="1" customWidth="1"/>
    <col min="6156" max="6156" width="95.77734375" style="114" customWidth="1"/>
    <col min="6157" max="6157" width="11.77734375" style="114" customWidth="1"/>
    <col min="6158" max="6158" width="14.77734375" style="114" customWidth="1"/>
    <col min="6159" max="6405" width="9.109375" style="114"/>
    <col min="6406" max="6406" width="16.109375" style="114" customWidth="1"/>
    <col min="6407" max="6407" width="17" style="114" customWidth="1"/>
    <col min="6408" max="6408" width="25" style="114" customWidth="1"/>
    <col min="6409" max="6409" width="44.77734375" style="114" customWidth="1"/>
    <col min="6410" max="6410" width="15.6640625" style="114" bestFit="1" customWidth="1"/>
    <col min="6411" max="6411" width="11.6640625" style="114" bestFit="1" customWidth="1"/>
    <col min="6412" max="6412" width="95.77734375" style="114" customWidth="1"/>
    <col min="6413" max="6413" width="11.77734375" style="114" customWidth="1"/>
    <col min="6414" max="6414" width="14.77734375" style="114" customWidth="1"/>
    <col min="6415" max="6661" width="9.109375" style="114"/>
    <col min="6662" max="6662" width="16.109375" style="114" customWidth="1"/>
    <col min="6663" max="6663" width="17" style="114" customWidth="1"/>
    <col min="6664" max="6664" width="25" style="114" customWidth="1"/>
    <col min="6665" max="6665" width="44.77734375" style="114" customWidth="1"/>
    <col min="6666" max="6666" width="15.6640625" style="114" bestFit="1" customWidth="1"/>
    <col min="6667" max="6667" width="11.6640625" style="114" bestFit="1" customWidth="1"/>
    <col min="6668" max="6668" width="95.77734375" style="114" customWidth="1"/>
    <col min="6669" max="6669" width="11.77734375" style="114" customWidth="1"/>
    <col min="6670" max="6670" width="14.77734375" style="114" customWidth="1"/>
    <col min="6671" max="6917" width="9.109375" style="114"/>
    <col min="6918" max="6918" width="16.109375" style="114" customWidth="1"/>
    <col min="6919" max="6919" width="17" style="114" customWidth="1"/>
    <col min="6920" max="6920" width="25" style="114" customWidth="1"/>
    <col min="6921" max="6921" width="44.77734375" style="114" customWidth="1"/>
    <col min="6922" max="6922" width="15.6640625" style="114" bestFit="1" customWidth="1"/>
    <col min="6923" max="6923" width="11.6640625" style="114" bestFit="1" customWidth="1"/>
    <col min="6924" max="6924" width="95.77734375" style="114" customWidth="1"/>
    <col min="6925" max="6925" width="11.77734375" style="114" customWidth="1"/>
    <col min="6926" max="6926" width="14.77734375" style="114" customWidth="1"/>
    <col min="6927" max="7173" width="9.109375" style="114"/>
    <col min="7174" max="7174" width="16.109375" style="114" customWidth="1"/>
    <col min="7175" max="7175" width="17" style="114" customWidth="1"/>
    <col min="7176" max="7176" width="25" style="114" customWidth="1"/>
    <col min="7177" max="7177" width="44.77734375" style="114" customWidth="1"/>
    <col min="7178" max="7178" width="15.6640625" style="114" bestFit="1" customWidth="1"/>
    <col min="7179" max="7179" width="11.6640625" style="114" bestFit="1" customWidth="1"/>
    <col min="7180" max="7180" width="95.77734375" style="114" customWidth="1"/>
    <col min="7181" max="7181" width="11.77734375" style="114" customWidth="1"/>
    <col min="7182" max="7182" width="14.77734375" style="114" customWidth="1"/>
    <col min="7183" max="7429" width="9.109375" style="114"/>
    <col min="7430" max="7430" width="16.109375" style="114" customWidth="1"/>
    <col min="7431" max="7431" width="17" style="114" customWidth="1"/>
    <col min="7432" max="7432" width="25" style="114" customWidth="1"/>
    <col min="7433" max="7433" width="44.77734375" style="114" customWidth="1"/>
    <col min="7434" max="7434" width="15.6640625" style="114" bestFit="1" customWidth="1"/>
    <col min="7435" max="7435" width="11.6640625" style="114" bestFit="1" customWidth="1"/>
    <col min="7436" max="7436" width="95.77734375" style="114" customWidth="1"/>
    <col min="7437" max="7437" width="11.77734375" style="114" customWidth="1"/>
    <col min="7438" max="7438" width="14.77734375" style="114" customWidth="1"/>
    <col min="7439" max="7685" width="9.109375" style="114"/>
    <col min="7686" max="7686" width="16.109375" style="114" customWidth="1"/>
    <col min="7687" max="7687" width="17" style="114" customWidth="1"/>
    <col min="7688" max="7688" width="25" style="114" customWidth="1"/>
    <col min="7689" max="7689" width="44.77734375" style="114" customWidth="1"/>
    <col min="7690" max="7690" width="15.6640625" style="114" bestFit="1" customWidth="1"/>
    <col min="7691" max="7691" width="11.6640625" style="114" bestFit="1" customWidth="1"/>
    <col min="7692" max="7692" width="95.77734375" style="114" customWidth="1"/>
    <col min="7693" max="7693" width="11.77734375" style="114" customWidth="1"/>
    <col min="7694" max="7694" width="14.77734375" style="114" customWidth="1"/>
    <col min="7695" max="7941" width="9.109375" style="114"/>
    <col min="7942" max="7942" width="16.109375" style="114" customWidth="1"/>
    <col min="7943" max="7943" width="17" style="114" customWidth="1"/>
    <col min="7944" max="7944" width="25" style="114" customWidth="1"/>
    <col min="7945" max="7945" width="44.77734375" style="114" customWidth="1"/>
    <col min="7946" max="7946" width="15.6640625" style="114" bestFit="1" customWidth="1"/>
    <col min="7947" max="7947" width="11.6640625" style="114" bestFit="1" customWidth="1"/>
    <col min="7948" max="7948" width="95.77734375" style="114" customWidth="1"/>
    <col min="7949" max="7949" width="11.77734375" style="114" customWidth="1"/>
    <col min="7950" max="7950" width="14.77734375" style="114" customWidth="1"/>
    <col min="7951" max="8197" width="9.109375" style="114"/>
    <col min="8198" max="8198" width="16.109375" style="114" customWidth="1"/>
    <col min="8199" max="8199" width="17" style="114" customWidth="1"/>
    <col min="8200" max="8200" width="25" style="114" customWidth="1"/>
    <col min="8201" max="8201" width="44.77734375" style="114" customWidth="1"/>
    <col min="8202" max="8202" width="15.6640625" style="114" bestFit="1" customWidth="1"/>
    <col min="8203" max="8203" width="11.6640625" style="114" bestFit="1" customWidth="1"/>
    <col min="8204" max="8204" width="95.77734375" style="114" customWidth="1"/>
    <col min="8205" max="8205" width="11.77734375" style="114" customWidth="1"/>
    <col min="8206" max="8206" width="14.77734375" style="114" customWidth="1"/>
    <col min="8207" max="8453" width="9.109375" style="114"/>
    <col min="8454" max="8454" width="16.109375" style="114" customWidth="1"/>
    <col min="8455" max="8455" width="17" style="114" customWidth="1"/>
    <col min="8456" max="8456" width="25" style="114" customWidth="1"/>
    <col min="8457" max="8457" width="44.77734375" style="114" customWidth="1"/>
    <col min="8458" max="8458" width="15.6640625" style="114" bestFit="1" customWidth="1"/>
    <col min="8459" max="8459" width="11.6640625" style="114" bestFit="1" customWidth="1"/>
    <col min="8460" max="8460" width="95.77734375" style="114" customWidth="1"/>
    <col min="8461" max="8461" width="11.77734375" style="114" customWidth="1"/>
    <col min="8462" max="8462" width="14.77734375" style="114" customWidth="1"/>
    <col min="8463" max="8709" width="9.109375" style="114"/>
    <col min="8710" max="8710" width="16.109375" style="114" customWidth="1"/>
    <col min="8711" max="8711" width="17" style="114" customWidth="1"/>
    <col min="8712" max="8712" width="25" style="114" customWidth="1"/>
    <col min="8713" max="8713" width="44.77734375" style="114" customWidth="1"/>
    <col min="8714" max="8714" width="15.6640625" style="114" bestFit="1" customWidth="1"/>
    <col min="8715" max="8715" width="11.6640625" style="114" bestFit="1" customWidth="1"/>
    <col min="8716" max="8716" width="95.77734375" style="114" customWidth="1"/>
    <col min="8717" max="8717" width="11.77734375" style="114" customWidth="1"/>
    <col min="8718" max="8718" width="14.77734375" style="114" customWidth="1"/>
    <col min="8719" max="8965" width="9.109375" style="114"/>
    <col min="8966" max="8966" width="16.109375" style="114" customWidth="1"/>
    <col min="8967" max="8967" width="17" style="114" customWidth="1"/>
    <col min="8968" max="8968" width="25" style="114" customWidth="1"/>
    <col min="8969" max="8969" width="44.77734375" style="114" customWidth="1"/>
    <col min="8970" max="8970" width="15.6640625" style="114" bestFit="1" customWidth="1"/>
    <col min="8971" max="8971" width="11.6640625" style="114" bestFit="1" customWidth="1"/>
    <col min="8972" max="8972" width="95.77734375" style="114" customWidth="1"/>
    <col min="8973" max="8973" width="11.77734375" style="114" customWidth="1"/>
    <col min="8974" max="8974" width="14.77734375" style="114" customWidth="1"/>
    <col min="8975" max="9221" width="9.109375" style="114"/>
    <col min="9222" max="9222" width="16.109375" style="114" customWidth="1"/>
    <col min="9223" max="9223" width="17" style="114" customWidth="1"/>
    <col min="9224" max="9224" width="25" style="114" customWidth="1"/>
    <col min="9225" max="9225" width="44.77734375" style="114" customWidth="1"/>
    <col min="9226" max="9226" width="15.6640625" style="114" bestFit="1" customWidth="1"/>
    <col min="9227" max="9227" width="11.6640625" style="114" bestFit="1" customWidth="1"/>
    <col min="9228" max="9228" width="95.77734375" style="114" customWidth="1"/>
    <col min="9229" max="9229" width="11.77734375" style="114" customWidth="1"/>
    <col min="9230" max="9230" width="14.77734375" style="114" customWidth="1"/>
    <col min="9231" max="9477" width="9.109375" style="114"/>
    <col min="9478" max="9478" width="16.109375" style="114" customWidth="1"/>
    <col min="9479" max="9479" width="17" style="114" customWidth="1"/>
    <col min="9480" max="9480" width="25" style="114" customWidth="1"/>
    <col min="9481" max="9481" width="44.77734375" style="114" customWidth="1"/>
    <col min="9482" max="9482" width="15.6640625" style="114" bestFit="1" customWidth="1"/>
    <col min="9483" max="9483" width="11.6640625" style="114" bestFit="1" customWidth="1"/>
    <col min="9484" max="9484" width="95.77734375" style="114" customWidth="1"/>
    <col min="9485" max="9485" width="11.77734375" style="114" customWidth="1"/>
    <col min="9486" max="9486" width="14.77734375" style="114" customWidth="1"/>
    <col min="9487" max="9733" width="9.109375" style="114"/>
    <col min="9734" max="9734" width="16.109375" style="114" customWidth="1"/>
    <col min="9735" max="9735" width="17" style="114" customWidth="1"/>
    <col min="9736" max="9736" width="25" style="114" customWidth="1"/>
    <col min="9737" max="9737" width="44.77734375" style="114" customWidth="1"/>
    <col min="9738" max="9738" width="15.6640625" style="114" bestFit="1" customWidth="1"/>
    <col min="9739" max="9739" width="11.6640625" style="114" bestFit="1" customWidth="1"/>
    <col min="9740" max="9740" width="95.77734375" style="114" customWidth="1"/>
    <col min="9741" max="9741" width="11.77734375" style="114" customWidth="1"/>
    <col min="9742" max="9742" width="14.77734375" style="114" customWidth="1"/>
    <col min="9743" max="9989" width="9.109375" style="114"/>
    <col min="9990" max="9990" width="16.109375" style="114" customWidth="1"/>
    <col min="9991" max="9991" width="17" style="114" customWidth="1"/>
    <col min="9992" max="9992" width="25" style="114" customWidth="1"/>
    <col min="9993" max="9993" width="44.77734375" style="114" customWidth="1"/>
    <col min="9994" max="9994" width="15.6640625" style="114" bestFit="1" customWidth="1"/>
    <col min="9995" max="9995" width="11.6640625" style="114" bestFit="1" customWidth="1"/>
    <col min="9996" max="9996" width="95.77734375" style="114" customWidth="1"/>
    <col min="9997" max="9997" width="11.77734375" style="114" customWidth="1"/>
    <col min="9998" max="9998" width="14.77734375" style="114" customWidth="1"/>
    <col min="9999" max="10245" width="9.109375" style="114"/>
    <col min="10246" max="10246" width="16.109375" style="114" customWidth="1"/>
    <col min="10247" max="10247" width="17" style="114" customWidth="1"/>
    <col min="10248" max="10248" width="25" style="114" customWidth="1"/>
    <col min="10249" max="10249" width="44.77734375" style="114" customWidth="1"/>
    <col min="10250" max="10250" width="15.6640625" style="114" bestFit="1" customWidth="1"/>
    <col min="10251" max="10251" width="11.6640625" style="114" bestFit="1" customWidth="1"/>
    <col min="10252" max="10252" width="95.77734375" style="114" customWidth="1"/>
    <col min="10253" max="10253" width="11.77734375" style="114" customWidth="1"/>
    <col min="10254" max="10254" width="14.77734375" style="114" customWidth="1"/>
    <col min="10255" max="10501" width="9.109375" style="114"/>
    <col min="10502" max="10502" width="16.109375" style="114" customWidth="1"/>
    <col min="10503" max="10503" width="17" style="114" customWidth="1"/>
    <col min="10504" max="10504" width="25" style="114" customWidth="1"/>
    <col min="10505" max="10505" width="44.77734375" style="114" customWidth="1"/>
    <col min="10506" max="10506" width="15.6640625" style="114" bestFit="1" customWidth="1"/>
    <col min="10507" max="10507" width="11.6640625" style="114" bestFit="1" customWidth="1"/>
    <col min="10508" max="10508" width="95.77734375" style="114" customWidth="1"/>
    <col min="10509" max="10509" width="11.77734375" style="114" customWidth="1"/>
    <col min="10510" max="10510" width="14.77734375" style="114" customWidth="1"/>
    <col min="10511" max="10757" width="9.109375" style="114"/>
    <col min="10758" max="10758" width="16.109375" style="114" customWidth="1"/>
    <col min="10759" max="10759" width="17" style="114" customWidth="1"/>
    <col min="10760" max="10760" width="25" style="114" customWidth="1"/>
    <col min="10761" max="10761" width="44.77734375" style="114" customWidth="1"/>
    <col min="10762" max="10762" width="15.6640625" style="114" bestFit="1" customWidth="1"/>
    <col min="10763" max="10763" width="11.6640625" style="114" bestFit="1" customWidth="1"/>
    <col min="10764" max="10764" width="95.77734375" style="114" customWidth="1"/>
    <col min="10765" max="10765" width="11.77734375" style="114" customWidth="1"/>
    <col min="10766" max="10766" width="14.77734375" style="114" customWidth="1"/>
    <col min="10767" max="11013" width="9.109375" style="114"/>
    <col min="11014" max="11014" width="16.109375" style="114" customWidth="1"/>
    <col min="11015" max="11015" width="17" style="114" customWidth="1"/>
    <col min="11016" max="11016" width="25" style="114" customWidth="1"/>
    <col min="11017" max="11017" width="44.77734375" style="114" customWidth="1"/>
    <col min="11018" max="11018" width="15.6640625" style="114" bestFit="1" customWidth="1"/>
    <col min="11019" max="11019" width="11.6640625" style="114" bestFit="1" customWidth="1"/>
    <col min="11020" max="11020" width="95.77734375" style="114" customWidth="1"/>
    <col min="11021" max="11021" width="11.77734375" style="114" customWidth="1"/>
    <col min="11022" max="11022" width="14.77734375" style="114" customWidth="1"/>
    <col min="11023" max="11269" width="9.109375" style="114"/>
    <col min="11270" max="11270" width="16.109375" style="114" customWidth="1"/>
    <col min="11271" max="11271" width="17" style="114" customWidth="1"/>
    <col min="11272" max="11272" width="25" style="114" customWidth="1"/>
    <col min="11273" max="11273" width="44.77734375" style="114" customWidth="1"/>
    <col min="11274" max="11274" width="15.6640625" style="114" bestFit="1" customWidth="1"/>
    <col min="11275" max="11275" width="11.6640625" style="114" bestFit="1" customWidth="1"/>
    <col min="11276" max="11276" width="95.77734375" style="114" customWidth="1"/>
    <col min="11277" max="11277" width="11.77734375" style="114" customWidth="1"/>
    <col min="11278" max="11278" width="14.77734375" style="114" customWidth="1"/>
    <col min="11279" max="11525" width="9.109375" style="114"/>
    <col min="11526" max="11526" width="16.109375" style="114" customWidth="1"/>
    <col min="11527" max="11527" width="17" style="114" customWidth="1"/>
    <col min="11528" max="11528" width="25" style="114" customWidth="1"/>
    <col min="11529" max="11529" width="44.77734375" style="114" customWidth="1"/>
    <col min="11530" max="11530" width="15.6640625" style="114" bestFit="1" customWidth="1"/>
    <col min="11531" max="11531" width="11.6640625" style="114" bestFit="1" customWidth="1"/>
    <col min="11532" max="11532" width="95.77734375" style="114" customWidth="1"/>
    <col min="11533" max="11533" width="11.77734375" style="114" customWidth="1"/>
    <col min="11534" max="11534" width="14.77734375" style="114" customWidth="1"/>
    <col min="11535" max="11781" width="9.109375" style="114"/>
    <col min="11782" max="11782" width="16.109375" style="114" customWidth="1"/>
    <col min="11783" max="11783" width="17" style="114" customWidth="1"/>
    <col min="11784" max="11784" width="25" style="114" customWidth="1"/>
    <col min="11785" max="11785" width="44.77734375" style="114" customWidth="1"/>
    <col min="11786" max="11786" width="15.6640625" style="114" bestFit="1" customWidth="1"/>
    <col min="11787" max="11787" width="11.6640625" style="114" bestFit="1" customWidth="1"/>
    <col min="11788" max="11788" width="95.77734375" style="114" customWidth="1"/>
    <col min="11789" max="11789" width="11.77734375" style="114" customWidth="1"/>
    <col min="11790" max="11790" width="14.77734375" style="114" customWidth="1"/>
    <col min="11791" max="12037" width="9.109375" style="114"/>
    <col min="12038" max="12038" width="16.109375" style="114" customWidth="1"/>
    <col min="12039" max="12039" width="17" style="114" customWidth="1"/>
    <col min="12040" max="12040" width="25" style="114" customWidth="1"/>
    <col min="12041" max="12041" width="44.77734375" style="114" customWidth="1"/>
    <col min="12042" max="12042" width="15.6640625" style="114" bestFit="1" customWidth="1"/>
    <col min="12043" max="12043" width="11.6640625" style="114" bestFit="1" customWidth="1"/>
    <col min="12044" max="12044" width="95.77734375" style="114" customWidth="1"/>
    <col min="12045" max="12045" width="11.77734375" style="114" customWidth="1"/>
    <col min="12046" max="12046" width="14.77734375" style="114" customWidth="1"/>
    <col min="12047" max="12293" width="9.109375" style="114"/>
    <col min="12294" max="12294" width="16.109375" style="114" customWidth="1"/>
    <col min="12295" max="12295" width="17" style="114" customWidth="1"/>
    <col min="12296" max="12296" width="25" style="114" customWidth="1"/>
    <col min="12297" max="12297" width="44.77734375" style="114" customWidth="1"/>
    <col min="12298" max="12298" width="15.6640625" style="114" bestFit="1" customWidth="1"/>
    <col min="12299" max="12299" width="11.6640625" style="114" bestFit="1" customWidth="1"/>
    <col min="12300" max="12300" width="95.77734375" style="114" customWidth="1"/>
    <col min="12301" max="12301" width="11.77734375" style="114" customWidth="1"/>
    <col min="12302" max="12302" width="14.77734375" style="114" customWidth="1"/>
    <col min="12303" max="12549" width="9.109375" style="114"/>
    <col min="12550" max="12550" width="16.109375" style="114" customWidth="1"/>
    <col min="12551" max="12551" width="17" style="114" customWidth="1"/>
    <col min="12552" max="12552" width="25" style="114" customWidth="1"/>
    <col min="12553" max="12553" width="44.77734375" style="114" customWidth="1"/>
    <col min="12554" max="12554" width="15.6640625" style="114" bestFit="1" customWidth="1"/>
    <col min="12555" max="12555" width="11.6640625" style="114" bestFit="1" customWidth="1"/>
    <col min="12556" max="12556" width="95.77734375" style="114" customWidth="1"/>
    <col min="12557" max="12557" width="11.77734375" style="114" customWidth="1"/>
    <col min="12558" max="12558" width="14.77734375" style="114" customWidth="1"/>
    <col min="12559" max="12805" width="9.109375" style="114"/>
    <col min="12806" max="12806" width="16.109375" style="114" customWidth="1"/>
    <col min="12807" max="12807" width="17" style="114" customWidth="1"/>
    <col min="12808" max="12808" width="25" style="114" customWidth="1"/>
    <col min="12809" max="12809" width="44.77734375" style="114" customWidth="1"/>
    <col min="12810" max="12810" width="15.6640625" style="114" bestFit="1" customWidth="1"/>
    <col min="12811" max="12811" width="11.6640625" style="114" bestFit="1" customWidth="1"/>
    <col min="12812" max="12812" width="95.77734375" style="114" customWidth="1"/>
    <col min="12813" max="12813" width="11.77734375" style="114" customWidth="1"/>
    <col min="12814" max="12814" width="14.77734375" style="114" customWidth="1"/>
    <col min="12815" max="13061" width="9.109375" style="114"/>
    <col min="13062" max="13062" width="16.109375" style="114" customWidth="1"/>
    <col min="13063" max="13063" width="17" style="114" customWidth="1"/>
    <col min="13064" max="13064" width="25" style="114" customWidth="1"/>
    <col min="13065" max="13065" width="44.77734375" style="114" customWidth="1"/>
    <col min="13066" max="13066" width="15.6640625" style="114" bestFit="1" customWidth="1"/>
    <col min="13067" max="13067" width="11.6640625" style="114" bestFit="1" customWidth="1"/>
    <col min="13068" max="13068" width="95.77734375" style="114" customWidth="1"/>
    <col min="13069" max="13069" width="11.77734375" style="114" customWidth="1"/>
    <col min="13070" max="13070" width="14.77734375" style="114" customWidth="1"/>
    <col min="13071" max="13317" width="9.109375" style="114"/>
    <col min="13318" max="13318" width="16.109375" style="114" customWidth="1"/>
    <col min="13319" max="13319" width="17" style="114" customWidth="1"/>
    <col min="13320" max="13320" width="25" style="114" customWidth="1"/>
    <col min="13321" max="13321" width="44.77734375" style="114" customWidth="1"/>
    <col min="13322" max="13322" width="15.6640625" style="114" bestFit="1" customWidth="1"/>
    <col min="13323" max="13323" width="11.6640625" style="114" bestFit="1" customWidth="1"/>
    <col min="13324" max="13324" width="95.77734375" style="114" customWidth="1"/>
    <col min="13325" max="13325" width="11.77734375" style="114" customWidth="1"/>
    <col min="13326" max="13326" width="14.77734375" style="114" customWidth="1"/>
    <col min="13327" max="13573" width="9.109375" style="114"/>
    <col min="13574" max="13574" width="16.109375" style="114" customWidth="1"/>
    <col min="13575" max="13575" width="17" style="114" customWidth="1"/>
    <col min="13576" max="13576" width="25" style="114" customWidth="1"/>
    <col min="13577" max="13577" width="44.77734375" style="114" customWidth="1"/>
    <col min="13578" max="13578" width="15.6640625" style="114" bestFit="1" customWidth="1"/>
    <col min="13579" max="13579" width="11.6640625" style="114" bestFit="1" customWidth="1"/>
    <col min="13580" max="13580" width="95.77734375" style="114" customWidth="1"/>
    <col min="13581" max="13581" width="11.77734375" style="114" customWidth="1"/>
    <col min="13582" max="13582" width="14.77734375" style="114" customWidth="1"/>
    <col min="13583" max="13829" width="9.109375" style="114"/>
    <col min="13830" max="13830" width="16.109375" style="114" customWidth="1"/>
    <col min="13831" max="13831" width="17" style="114" customWidth="1"/>
    <col min="13832" max="13832" width="25" style="114" customWidth="1"/>
    <col min="13833" max="13833" width="44.77734375" style="114" customWidth="1"/>
    <col min="13834" max="13834" width="15.6640625" style="114" bestFit="1" customWidth="1"/>
    <col min="13835" max="13835" width="11.6640625" style="114" bestFit="1" customWidth="1"/>
    <col min="13836" max="13836" width="95.77734375" style="114" customWidth="1"/>
    <col min="13837" max="13837" width="11.77734375" style="114" customWidth="1"/>
    <col min="13838" max="13838" width="14.77734375" style="114" customWidth="1"/>
    <col min="13839" max="14085" width="9.109375" style="114"/>
    <col min="14086" max="14086" width="16.109375" style="114" customWidth="1"/>
    <col min="14087" max="14087" width="17" style="114" customWidth="1"/>
    <col min="14088" max="14088" width="25" style="114" customWidth="1"/>
    <col min="14089" max="14089" width="44.77734375" style="114" customWidth="1"/>
    <col min="14090" max="14090" width="15.6640625" style="114" bestFit="1" customWidth="1"/>
    <col min="14091" max="14091" width="11.6640625" style="114" bestFit="1" customWidth="1"/>
    <col min="14092" max="14092" width="95.77734375" style="114" customWidth="1"/>
    <col min="14093" max="14093" width="11.77734375" style="114" customWidth="1"/>
    <col min="14094" max="14094" width="14.77734375" style="114" customWidth="1"/>
    <col min="14095" max="14341" width="9.109375" style="114"/>
    <col min="14342" max="14342" width="16.109375" style="114" customWidth="1"/>
    <col min="14343" max="14343" width="17" style="114" customWidth="1"/>
    <col min="14344" max="14344" width="25" style="114" customWidth="1"/>
    <col min="14345" max="14345" width="44.77734375" style="114" customWidth="1"/>
    <col min="14346" max="14346" width="15.6640625" style="114" bestFit="1" customWidth="1"/>
    <col min="14347" max="14347" width="11.6640625" style="114" bestFit="1" customWidth="1"/>
    <col min="14348" max="14348" width="95.77734375" style="114" customWidth="1"/>
    <col min="14349" max="14349" width="11.77734375" style="114" customWidth="1"/>
    <col min="14350" max="14350" width="14.77734375" style="114" customWidth="1"/>
    <col min="14351" max="14597" width="9.109375" style="114"/>
    <col min="14598" max="14598" width="16.109375" style="114" customWidth="1"/>
    <col min="14599" max="14599" width="17" style="114" customWidth="1"/>
    <col min="14600" max="14600" width="25" style="114" customWidth="1"/>
    <col min="14601" max="14601" width="44.77734375" style="114" customWidth="1"/>
    <col min="14602" max="14602" width="15.6640625" style="114" bestFit="1" customWidth="1"/>
    <col min="14603" max="14603" width="11.6640625" style="114" bestFit="1" customWidth="1"/>
    <col min="14604" max="14604" width="95.77734375" style="114" customWidth="1"/>
    <col min="14605" max="14605" width="11.77734375" style="114" customWidth="1"/>
    <col min="14606" max="14606" width="14.77734375" style="114" customWidth="1"/>
    <col min="14607" max="14853" width="9.109375" style="114"/>
    <col min="14854" max="14854" width="16.109375" style="114" customWidth="1"/>
    <col min="14855" max="14855" width="17" style="114" customWidth="1"/>
    <col min="14856" max="14856" width="25" style="114" customWidth="1"/>
    <col min="14857" max="14857" width="44.77734375" style="114" customWidth="1"/>
    <col min="14858" max="14858" width="15.6640625" style="114" bestFit="1" customWidth="1"/>
    <col min="14859" max="14859" width="11.6640625" style="114" bestFit="1" customWidth="1"/>
    <col min="14860" max="14860" width="95.77734375" style="114" customWidth="1"/>
    <col min="14861" max="14861" width="11.77734375" style="114" customWidth="1"/>
    <col min="14862" max="14862" width="14.77734375" style="114" customWidth="1"/>
    <col min="14863" max="15109" width="9.109375" style="114"/>
    <col min="15110" max="15110" width="16.109375" style="114" customWidth="1"/>
    <col min="15111" max="15111" width="17" style="114" customWidth="1"/>
    <col min="15112" max="15112" width="25" style="114" customWidth="1"/>
    <col min="15113" max="15113" width="44.77734375" style="114" customWidth="1"/>
    <col min="15114" max="15114" width="15.6640625" style="114" bestFit="1" customWidth="1"/>
    <col min="15115" max="15115" width="11.6640625" style="114" bestFit="1" customWidth="1"/>
    <col min="15116" max="15116" width="95.77734375" style="114" customWidth="1"/>
    <col min="15117" max="15117" width="11.77734375" style="114" customWidth="1"/>
    <col min="15118" max="15118" width="14.77734375" style="114" customWidth="1"/>
    <col min="15119" max="15365" width="9.109375" style="114"/>
    <col min="15366" max="15366" width="16.109375" style="114" customWidth="1"/>
    <col min="15367" max="15367" width="17" style="114" customWidth="1"/>
    <col min="15368" max="15368" width="25" style="114" customWidth="1"/>
    <col min="15369" max="15369" width="44.77734375" style="114" customWidth="1"/>
    <col min="15370" max="15370" width="15.6640625" style="114" bestFit="1" customWidth="1"/>
    <col min="15371" max="15371" width="11.6640625" style="114" bestFit="1" customWidth="1"/>
    <col min="15372" max="15372" width="95.77734375" style="114" customWidth="1"/>
    <col min="15373" max="15373" width="11.77734375" style="114" customWidth="1"/>
    <col min="15374" max="15374" width="14.77734375" style="114" customWidth="1"/>
    <col min="15375" max="15621" width="9.109375" style="114"/>
    <col min="15622" max="15622" width="16.109375" style="114" customWidth="1"/>
    <col min="15623" max="15623" width="17" style="114" customWidth="1"/>
    <col min="15624" max="15624" width="25" style="114" customWidth="1"/>
    <col min="15625" max="15625" width="44.77734375" style="114" customWidth="1"/>
    <col min="15626" max="15626" width="15.6640625" style="114" bestFit="1" customWidth="1"/>
    <col min="15627" max="15627" width="11.6640625" style="114" bestFit="1" customWidth="1"/>
    <col min="15628" max="15628" width="95.77734375" style="114" customWidth="1"/>
    <col min="15629" max="15629" width="11.77734375" style="114" customWidth="1"/>
    <col min="15630" max="15630" width="14.77734375" style="114" customWidth="1"/>
    <col min="15631" max="15877" width="9.109375" style="114"/>
    <col min="15878" max="15878" width="16.109375" style="114" customWidth="1"/>
    <col min="15879" max="15879" width="17" style="114" customWidth="1"/>
    <col min="15880" max="15880" width="25" style="114" customWidth="1"/>
    <col min="15881" max="15881" width="44.77734375" style="114" customWidth="1"/>
    <col min="15882" max="15882" width="15.6640625" style="114" bestFit="1" customWidth="1"/>
    <col min="15883" max="15883" width="11.6640625" style="114" bestFit="1" customWidth="1"/>
    <col min="15884" max="15884" width="95.77734375" style="114" customWidth="1"/>
    <col min="15885" max="15885" width="11.77734375" style="114" customWidth="1"/>
    <col min="15886" max="15886" width="14.77734375" style="114" customWidth="1"/>
    <col min="15887" max="16133" width="9.109375" style="114"/>
    <col min="16134" max="16134" width="16.109375" style="114" customWidth="1"/>
    <col min="16135" max="16135" width="17" style="114" customWidth="1"/>
    <col min="16136" max="16136" width="25" style="114" customWidth="1"/>
    <col min="16137" max="16137" width="44.77734375" style="114" customWidth="1"/>
    <col min="16138" max="16138" width="15.6640625" style="114" bestFit="1" customWidth="1"/>
    <col min="16139" max="16139" width="11.6640625" style="114" bestFit="1" customWidth="1"/>
    <col min="16140" max="16140" width="95.77734375" style="114" customWidth="1"/>
    <col min="16141" max="16141" width="11.77734375" style="114" customWidth="1"/>
    <col min="16142" max="16142" width="14.77734375" style="114" customWidth="1"/>
    <col min="16143" max="16384" width="9.109375" style="114"/>
  </cols>
  <sheetData>
    <row r="1" spans="1:116" ht="18" x14ac:dyDescent="0.3">
      <c r="A1" s="1140" t="s">
        <v>189</v>
      </c>
      <c r="G1" s="1141"/>
      <c r="H1" s="114"/>
      <c r="I1" s="1142"/>
      <c r="J1" s="1143"/>
      <c r="K1" s="1142"/>
      <c r="M1" s="1142"/>
      <c r="N1" s="1142"/>
      <c r="O1" s="1144"/>
    </row>
    <row r="2" spans="1:116" ht="18" x14ac:dyDescent="0.3">
      <c r="A2" s="1140" t="str">
        <f>+Performance!C2</f>
        <v>MINISTRY OF JUSTICE (MoJ)</v>
      </c>
      <c r="G2" s="1142"/>
      <c r="H2" s="1142"/>
      <c r="I2" s="1142"/>
      <c r="J2" s="1143"/>
      <c r="K2" s="1142"/>
      <c r="M2" s="1142"/>
      <c r="N2" s="1142"/>
      <c r="O2" s="1144"/>
    </row>
    <row r="3" spans="1:116" ht="31.95" customHeight="1" x14ac:dyDescent="0.3">
      <c r="A3" s="1145" t="s">
        <v>190</v>
      </c>
      <c r="B3" s="1146" t="s">
        <v>191</v>
      </c>
      <c r="C3" s="1146" t="s">
        <v>196</v>
      </c>
      <c r="D3" s="1146" t="s">
        <v>474</v>
      </c>
      <c r="E3" s="1146" t="s">
        <v>473</v>
      </c>
      <c r="F3" s="1146" t="s">
        <v>472</v>
      </c>
      <c r="G3" s="1147" t="s">
        <v>192</v>
      </c>
      <c r="H3" s="1147" t="s">
        <v>193</v>
      </c>
      <c r="I3" s="1147" t="s">
        <v>194</v>
      </c>
      <c r="J3" s="1147" t="s">
        <v>399</v>
      </c>
      <c r="K3" s="1147" t="s">
        <v>195</v>
      </c>
      <c r="L3" s="1147" t="s">
        <v>196</v>
      </c>
      <c r="M3" s="1147" t="s">
        <v>400</v>
      </c>
      <c r="N3" s="1147" t="s">
        <v>401</v>
      </c>
      <c r="O3" s="1148" t="s">
        <v>402</v>
      </c>
      <c r="P3" s="1149" t="s">
        <v>403</v>
      </c>
      <c r="Q3" s="1150" t="s">
        <v>404</v>
      </c>
    </row>
    <row r="4" spans="1:116" ht="55.2" x14ac:dyDescent="0.3">
      <c r="A4" s="115" t="s">
        <v>563</v>
      </c>
      <c r="B4" s="114">
        <v>1</v>
      </c>
      <c r="C4" s="1151" t="s">
        <v>616</v>
      </c>
      <c r="E4" s="114" t="s">
        <v>588</v>
      </c>
      <c r="F4" s="1152">
        <v>43721</v>
      </c>
      <c r="G4" s="116">
        <v>1</v>
      </c>
      <c r="H4" s="116" t="s">
        <v>595</v>
      </c>
      <c r="I4" s="116" t="s">
        <v>590</v>
      </c>
      <c r="J4" s="117" t="s">
        <v>600</v>
      </c>
      <c r="K4" s="1153" t="s">
        <v>395</v>
      </c>
      <c r="L4" s="116" t="s">
        <v>601</v>
      </c>
      <c r="M4" s="116" t="s">
        <v>602</v>
      </c>
      <c r="N4" s="1154">
        <v>43710</v>
      </c>
      <c r="O4" s="1487"/>
      <c r="P4" s="1155"/>
      <c r="Q4" s="1156"/>
    </row>
    <row r="5" spans="1:116" ht="82.8" x14ac:dyDescent="0.3">
      <c r="A5" s="115" t="str">
        <f>A4</f>
        <v>2019-20</v>
      </c>
      <c r="B5" s="114">
        <f t="shared" ref="B5:B36" si="0">B4</f>
        <v>1</v>
      </c>
      <c r="C5" s="1151" t="s">
        <v>616</v>
      </c>
      <c r="E5" s="114" t="s">
        <v>588</v>
      </c>
      <c r="F5" s="1152">
        <v>43721</v>
      </c>
      <c r="G5" s="116">
        <v>2</v>
      </c>
      <c r="H5" s="116" t="s">
        <v>589</v>
      </c>
      <c r="I5" s="116" t="s">
        <v>590</v>
      </c>
      <c r="J5" s="117" t="s">
        <v>603</v>
      </c>
      <c r="K5" s="1153" t="s">
        <v>395</v>
      </c>
      <c r="L5" s="116" t="s">
        <v>601</v>
      </c>
      <c r="M5" s="116" t="s">
        <v>602</v>
      </c>
      <c r="N5" s="1154">
        <v>43710</v>
      </c>
      <c r="O5" s="1485"/>
      <c r="P5" s="1155"/>
      <c r="Q5" s="1156"/>
    </row>
    <row r="6" spans="1:116" s="198" customFormat="1" ht="28.2" thickBot="1" x14ac:dyDescent="0.35">
      <c r="A6" s="115" t="str">
        <f t="shared" ref="A6:A69" si="1">A5</f>
        <v>2019-20</v>
      </c>
      <c r="B6" s="114">
        <f t="shared" si="0"/>
        <v>1</v>
      </c>
      <c r="C6" s="1151" t="s">
        <v>614</v>
      </c>
      <c r="D6" s="114"/>
      <c r="E6" s="114" t="s">
        <v>588</v>
      </c>
      <c r="F6" s="1152">
        <v>43721</v>
      </c>
      <c r="G6" s="116">
        <v>3</v>
      </c>
      <c r="H6" s="116" t="s">
        <v>595</v>
      </c>
      <c r="I6" s="116" t="s">
        <v>590</v>
      </c>
      <c r="J6" s="117" t="s">
        <v>604</v>
      </c>
      <c r="K6" s="1153" t="s">
        <v>395</v>
      </c>
      <c r="L6" s="116" t="s">
        <v>605</v>
      </c>
      <c r="M6" s="114" t="s">
        <v>588</v>
      </c>
      <c r="N6" s="1152">
        <v>43721</v>
      </c>
      <c r="O6" s="1486"/>
      <c r="P6" s="1155"/>
      <c r="Q6" s="1156"/>
      <c r="R6" s="114"/>
      <c r="S6" s="114"/>
      <c r="T6" s="114"/>
      <c r="U6" s="114"/>
      <c r="V6" s="114"/>
      <c r="W6" s="114"/>
      <c r="X6" s="114"/>
      <c r="Y6" s="114"/>
      <c r="Z6" s="114"/>
      <c r="AA6" s="114"/>
      <c r="AB6" s="114"/>
      <c r="AC6" s="114"/>
      <c r="AD6" s="114"/>
      <c r="AE6" s="114"/>
      <c r="AF6" s="114"/>
      <c r="AG6" s="114"/>
      <c r="AH6" s="114"/>
      <c r="AI6" s="114"/>
      <c r="AJ6" s="114"/>
      <c r="AK6" s="114"/>
      <c r="AL6" s="114"/>
      <c r="AM6" s="114"/>
      <c r="AN6" s="114"/>
      <c r="AO6" s="114"/>
      <c r="AP6" s="114"/>
      <c r="AQ6" s="114"/>
      <c r="AR6" s="114"/>
      <c r="AS6" s="114"/>
      <c r="AT6" s="114"/>
      <c r="AU6" s="114"/>
      <c r="AV6" s="114"/>
      <c r="AW6" s="114"/>
      <c r="AX6" s="114"/>
      <c r="AY6" s="114"/>
      <c r="AZ6" s="114"/>
      <c r="BA6" s="114"/>
      <c r="BB6" s="114"/>
      <c r="BC6" s="114"/>
      <c r="BD6" s="114"/>
      <c r="BE6" s="114"/>
      <c r="BF6" s="114"/>
      <c r="BG6" s="114"/>
      <c r="BH6" s="114"/>
      <c r="BI6" s="114"/>
      <c r="BJ6" s="114"/>
      <c r="BK6" s="114"/>
      <c r="BL6" s="114"/>
      <c r="BM6" s="114"/>
      <c r="BN6" s="114"/>
      <c r="BO6" s="114"/>
      <c r="BP6" s="114"/>
      <c r="BQ6" s="114"/>
      <c r="BR6" s="114"/>
      <c r="BS6" s="114"/>
      <c r="BT6" s="114"/>
      <c r="BU6" s="114"/>
      <c r="BV6" s="114"/>
      <c r="BW6" s="114"/>
      <c r="BX6" s="114"/>
      <c r="BY6" s="114"/>
      <c r="BZ6" s="114"/>
      <c r="CA6" s="114"/>
      <c r="CB6" s="114"/>
      <c r="CC6" s="114"/>
      <c r="CD6" s="114"/>
      <c r="CE6" s="114"/>
      <c r="CF6" s="114"/>
      <c r="CG6" s="114"/>
      <c r="CH6" s="114"/>
      <c r="CI6" s="114"/>
      <c r="CJ6" s="114"/>
      <c r="CK6" s="114"/>
      <c r="CL6" s="114"/>
      <c r="CM6" s="114"/>
      <c r="CN6" s="114"/>
      <c r="CO6" s="114"/>
      <c r="CP6" s="114"/>
      <c r="CQ6" s="114"/>
      <c r="CR6" s="114"/>
      <c r="CS6" s="114"/>
      <c r="CT6" s="114"/>
      <c r="CU6" s="114"/>
      <c r="CV6" s="114"/>
      <c r="CW6" s="114"/>
      <c r="CX6" s="114"/>
      <c r="CY6" s="114"/>
      <c r="CZ6" s="114"/>
      <c r="DA6" s="114"/>
      <c r="DB6" s="114"/>
      <c r="DC6" s="114"/>
      <c r="DD6" s="114"/>
      <c r="DE6" s="114"/>
      <c r="DF6" s="114"/>
      <c r="DG6" s="114"/>
      <c r="DH6" s="114"/>
      <c r="DI6" s="114"/>
      <c r="DJ6" s="114"/>
      <c r="DK6" s="114"/>
      <c r="DL6" s="114"/>
    </row>
    <row r="7" spans="1:116" ht="41.4" x14ac:dyDescent="0.3">
      <c r="A7" s="115" t="str">
        <f t="shared" si="1"/>
        <v>2019-20</v>
      </c>
      <c r="B7" s="114">
        <f t="shared" si="0"/>
        <v>1</v>
      </c>
      <c r="C7" s="1151" t="s">
        <v>614</v>
      </c>
      <c r="E7" s="114" t="s">
        <v>588</v>
      </c>
      <c r="F7" s="1152">
        <v>43721</v>
      </c>
      <c r="G7" s="116">
        <v>4</v>
      </c>
      <c r="H7" s="116" t="s">
        <v>595</v>
      </c>
      <c r="I7" s="116" t="s">
        <v>606</v>
      </c>
      <c r="J7" s="1489" t="s">
        <v>607</v>
      </c>
      <c r="K7" s="1153" t="s">
        <v>395</v>
      </c>
      <c r="L7" s="116" t="s">
        <v>605</v>
      </c>
      <c r="M7" s="114" t="s">
        <v>588</v>
      </c>
      <c r="N7" s="1152">
        <v>43721</v>
      </c>
      <c r="O7" s="1486"/>
      <c r="P7" s="1155"/>
      <c r="Q7" s="1156"/>
    </row>
    <row r="8" spans="1:116" ht="27.6" x14ac:dyDescent="0.3">
      <c r="A8" s="115" t="s">
        <v>475</v>
      </c>
      <c r="B8" s="114">
        <f t="shared" si="0"/>
        <v>1</v>
      </c>
      <c r="C8" s="1151" t="s">
        <v>614</v>
      </c>
      <c r="E8" s="114" t="s">
        <v>588</v>
      </c>
      <c r="F8" s="1152">
        <v>43721</v>
      </c>
      <c r="G8" s="116">
        <v>5</v>
      </c>
      <c r="H8" s="116" t="s">
        <v>595</v>
      </c>
      <c r="I8" s="116" t="s">
        <v>596</v>
      </c>
      <c r="J8" s="117" t="s">
        <v>608</v>
      </c>
      <c r="K8" s="1153" t="s">
        <v>395</v>
      </c>
      <c r="L8" s="116" t="s">
        <v>605</v>
      </c>
      <c r="M8" s="114" t="s">
        <v>588</v>
      </c>
      <c r="N8" s="1152">
        <v>43721</v>
      </c>
      <c r="O8" s="1486"/>
      <c r="P8" s="1155"/>
      <c r="Q8" s="1156"/>
    </row>
    <row r="9" spans="1:116" ht="41.4" x14ac:dyDescent="0.3">
      <c r="A9" s="115" t="s">
        <v>475</v>
      </c>
      <c r="B9" s="114">
        <f t="shared" si="0"/>
        <v>1</v>
      </c>
      <c r="C9" s="1151" t="s">
        <v>614</v>
      </c>
      <c r="E9" s="114" t="s">
        <v>588</v>
      </c>
      <c r="F9" s="1152">
        <v>43721</v>
      </c>
      <c r="G9" s="116">
        <v>6</v>
      </c>
      <c r="H9" s="116" t="s">
        <v>592</v>
      </c>
      <c r="I9" s="116" t="s">
        <v>596</v>
      </c>
      <c r="J9" s="117" t="s">
        <v>609</v>
      </c>
      <c r="K9" s="1153" t="s">
        <v>395</v>
      </c>
      <c r="L9" s="116" t="s">
        <v>605</v>
      </c>
      <c r="M9" s="114" t="s">
        <v>588</v>
      </c>
      <c r="N9" s="1152">
        <v>43721</v>
      </c>
      <c r="O9" s="1486"/>
      <c r="P9" s="1155"/>
      <c r="Q9" s="1156"/>
    </row>
    <row r="10" spans="1:116" ht="55.2" x14ac:dyDescent="0.3">
      <c r="A10" s="115" t="str">
        <f t="shared" si="1"/>
        <v>2017-18</v>
      </c>
      <c r="B10" s="114">
        <f t="shared" si="0"/>
        <v>1</v>
      </c>
      <c r="C10" s="1151" t="s">
        <v>614</v>
      </c>
      <c r="E10" s="114" t="s">
        <v>588</v>
      </c>
      <c r="F10" s="1152">
        <v>43721</v>
      </c>
      <c r="G10" s="116">
        <v>7</v>
      </c>
      <c r="H10" s="116" t="s">
        <v>595</v>
      </c>
      <c r="I10" s="116" t="s">
        <v>610</v>
      </c>
      <c r="J10" s="117" t="s">
        <v>611</v>
      </c>
      <c r="K10" s="1153" t="s">
        <v>395</v>
      </c>
      <c r="L10" s="116" t="s">
        <v>605</v>
      </c>
      <c r="M10" s="114" t="s">
        <v>588</v>
      </c>
      <c r="N10" s="1152">
        <v>43721</v>
      </c>
      <c r="O10" s="1821" t="s">
        <v>617</v>
      </c>
      <c r="P10" s="1155" t="s">
        <v>625</v>
      </c>
      <c r="Q10" s="1156">
        <v>43798</v>
      </c>
    </row>
    <row r="11" spans="1:116" ht="55.2" x14ac:dyDescent="0.3">
      <c r="A11" s="115" t="str">
        <f t="shared" si="1"/>
        <v>2017-18</v>
      </c>
      <c r="B11" s="114">
        <f t="shared" si="0"/>
        <v>1</v>
      </c>
      <c r="C11" s="1151" t="s">
        <v>614</v>
      </c>
      <c r="E11" s="114" t="s">
        <v>588</v>
      </c>
      <c r="F11" s="1152">
        <v>43721</v>
      </c>
      <c r="G11" s="116">
        <v>8</v>
      </c>
      <c r="H11" s="116" t="s">
        <v>592</v>
      </c>
      <c r="I11" s="116" t="s">
        <v>593</v>
      </c>
      <c r="J11" s="117" t="s">
        <v>612</v>
      </c>
      <c r="K11" s="1153" t="s">
        <v>395</v>
      </c>
      <c r="L11" s="116" t="s">
        <v>605</v>
      </c>
      <c r="M11" s="114" t="s">
        <v>588</v>
      </c>
      <c r="N11" s="1152">
        <v>43721</v>
      </c>
      <c r="O11" s="1821" t="s">
        <v>618</v>
      </c>
      <c r="P11" s="1155" t="s">
        <v>625</v>
      </c>
      <c r="Q11" s="1156">
        <v>43798</v>
      </c>
    </row>
    <row r="12" spans="1:116" ht="41.4" x14ac:dyDescent="0.3">
      <c r="A12" s="115" t="str">
        <f t="shared" si="1"/>
        <v>2017-18</v>
      </c>
      <c r="B12" s="114">
        <f t="shared" si="0"/>
        <v>1</v>
      </c>
      <c r="C12" s="1151" t="s">
        <v>614</v>
      </c>
      <c r="E12" s="114" t="s">
        <v>588</v>
      </c>
      <c r="F12" s="1152">
        <v>43724</v>
      </c>
      <c r="G12" s="116">
        <v>9</v>
      </c>
      <c r="H12" s="116" t="s">
        <v>589</v>
      </c>
      <c r="I12" s="116" t="s">
        <v>590</v>
      </c>
      <c r="J12" s="117" t="s">
        <v>591</v>
      </c>
      <c r="K12" s="1153" t="s">
        <v>395</v>
      </c>
      <c r="L12" s="116" t="s">
        <v>605</v>
      </c>
      <c r="M12" s="114" t="s">
        <v>588</v>
      </c>
      <c r="N12" s="1152">
        <v>43721</v>
      </c>
      <c r="O12" s="1821" t="s">
        <v>619</v>
      </c>
      <c r="P12" s="1155" t="s">
        <v>625</v>
      </c>
      <c r="Q12" s="1156">
        <v>43798</v>
      </c>
    </row>
    <row r="13" spans="1:116" s="198" customFormat="1" ht="55.8" thickBot="1" x14ac:dyDescent="0.35">
      <c r="A13" s="115" t="str">
        <f t="shared" si="1"/>
        <v>2017-18</v>
      </c>
      <c r="B13" s="114">
        <f t="shared" si="0"/>
        <v>1</v>
      </c>
      <c r="C13" s="1151" t="s">
        <v>614</v>
      </c>
      <c r="D13" s="114"/>
      <c r="E13" s="114" t="s">
        <v>588</v>
      </c>
      <c r="F13" s="1152">
        <v>43724</v>
      </c>
      <c r="G13" s="116">
        <v>10</v>
      </c>
      <c r="H13" s="116" t="s">
        <v>592</v>
      </c>
      <c r="I13" s="116" t="s">
        <v>593</v>
      </c>
      <c r="J13" s="117" t="s">
        <v>594</v>
      </c>
      <c r="K13" s="1153" t="s">
        <v>395</v>
      </c>
      <c r="L13" s="116" t="s">
        <v>605</v>
      </c>
      <c r="M13" s="114" t="s">
        <v>588</v>
      </c>
      <c r="N13" s="1152">
        <v>43721</v>
      </c>
      <c r="O13" s="1821" t="s">
        <v>620</v>
      </c>
      <c r="P13" s="1155" t="s">
        <v>625</v>
      </c>
      <c r="Q13" s="1156">
        <v>43798</v>
      </c>
      <c r="R13" s="114"/>
      <c r="S13" s="114"/>
      <c r="T13" s="114"/>
      <c r="U13" s="114"/>
      <c r="V13" s="114"/>
      <c r="W13" s="114"/>
      <c r="X13" s="114"/>
      <c r="Y13" s="114"/>
      <c r="Z13" s="114"/>
      <c r="AA13" s="114"/>
      <c r="AB13" s="114"/>
      <c r="AC13" s="114"/>
      <c r="AD13" s="114"/>
      <c r="AE13" s="114"/>
      <c r="AF13" s="114"/>
      <c r="AG13" s="114"/>
      <c r="AH13" s="114"/>
      <c r="AI13" s="114"/>
      <c r="AJ13" s="114"/>
      <c r="AK13" s="114"/>
      <c r="AL13" s="114"/>
      <c r="AM13" s="114"/>
      <c r="AN13" s="114"/>
      <c r="AO13" s="114"/>
      <c r="AP13" s="114"/>
      <c r="AQ13" s="114"/>
      <c r="AR13" s="114"/>
      <c r="AS13" s="114"/>
      <c r="AT13" s="114"/>
      <c r="AU13" s="114"/>
      <c r="AV13" s="114"/>
      <c r="AW13" s="114"/>
      <c r="AX13" s="114"/>
      <c r="AY13" s="114"/>
      <c r="AZ13" s="114"/>
      <c r="BA13" s="114"/>
      <c r="BB13" s="114"/>
      <c r="BC13" s="114"/>
      <c r="BD13" s="114"/>
      <c r="BE13" s="114"/>
      <c r="BF13" s="114"/>
      <c r="BG13" s="114"/>
      <c r="BH13" s="114"/>
      <c r="BI13" s="114"/>
      <c r="BJ13" s="114"/>
      <c r="BK13" s="114"/>
      <c r="BL13" s="114"/>
      <c r="BM13" s="114"/>
      <c r="BN13" s="114"/>
      <c r="BO13" s="114"/>
      <c r="BP13" s="114"/>
      <c r="BQ13" s="114"/>
      <c r="BR13" s="114"/>
      <c r="BS13" s="114"/>
      <c r="BT13" s="114"/>
      <c r="BU13" s="114"/>
      <c r="BV13" s="114"/>
      <c r="BW13" s="114"/>
      <c r="BX13" s="114"/>
      <c r="BY13" s="114"/>
      <c r="BZ13" s="114"/>
      <c r="CA13" s="114"/>
      <c r="CB13" s="114"/>
      <c r="CC13" s="114"/>
      <c r="CD13" s="114"/>
      <c r="CE13" s="114"/>
      <c r="CF13" s="114"/>
      <c r="CG13" s="114"/>
      <c r="CH13" s="114"/>
      <c r="CI13" s="114"/>
      <c r="CJ13" s="114"/>
      <c r="CK13" s="114"/>
      <c r="CL13" s="114"/>
      <c r="CM13" s="114"/>
      <c r="CN13" s="114"/>
      <c r="CO13" s="114"/>
      <c r="CP13" s="114"/>
      <c r="CQ13" s="114"/>
      <c r="CR13" s="114"/>
      <c r="CS13" s="114"/>
      <c r="CT13" s="114"/>
      <c r="CU13" s="114"/>
      <c r="CV13" s="114"/>
      <c r="CW13" s="114"/>
      <c r="CX13" s="114"/>
      <c r="CY13" s="114"/>
      <c r="CZ13" s="114"/>
      <c r="DA13" s="114"/>
      <c r="DB13" s="114"/>
      <c r="DC13" s="114"/>
      <c r="DD13" s="114"/>
      <c r="DE13" s="114"/>
      <c r="DF13" s="114"/>
      <c r="DG13" s="114"/>
      <c r="DH13" s="114"/>
      <c r="DI13" s="114"/>
      <c r="DJ13" s="114"/>
      <c r="DK13" s="114"/>
      <c r="DL13" s="114"/>
    </row>
    <row r="14" spans="1:116" ht="41.4" x14ac:dyDescent="0.3">
      <c r="A14" s="115" t="str">
        <f t="shared" si="1"/>
        <v>2017-18</v>
      </c>
      <c r="B14" s="114">
        <f t="shared" si="0"/>
        <v>1</v>
      </c>
      <c r="C14" s="1151" t="s">
        <v>614</v>
      </c>
      <c r="E14" s="114" t="s">
        <v>588</v>
      </c>
      <c r="F14" s="1152">
        <v>43724</v>
      </c>
      <c r="G14" s="116">
        <v>11</v>
      </c>
      <c r="H14" s="116" t="s">
        <v>595</v>
      </c>
      <c r="I14" s="116" t="s">
        <v>596</v>
      </c>
      <c r="J14" s="117" t="s">
        <v>597</v>
      </c>
      <c r="K14" s="1153" t="s">
        <v>395</v>
      </c>
      <c r="L14" s="116" t="s">
        <v>605</v>
      </c>
      <c r="M14" s="114" t="s">
        <v>602</v>
      </c>
      <c r="N14" s="1154">
        <v>43710</v>
      </c>
      <c r="O14" s="1821" t="s">
        <v>621</v>
      </c>
      <c r="P14" s="1155" t="s">
        <v>625</v>
      </c>
      <c r="Q14" s="1156">
        <v>43798</v>
      </c>
    </row>
    <row r="15" spans="1:116" ht="69" x14ac:dyDescent="0.3">
      <c r="A15" s="115" t="str">
        <f t="shared" si="1"/>
        <v>2017-18</v>
      </c>
      <c r="B15" s="114">
        <f t="shared" si="0"/>
        <v>1</v>
      </c>
      <c r="C15" s="1151" t="s">
        <v>614</v>
      </c>
      <c r="E15" s="114" t="s">
        <v>588</v>
      </c>
      <c r="F15" s="1152">
        <v>43724</v>
      </c>
      <c r="G15" s="116">
        <v>12</v>
      </c>
      <c r="H15" s="116" t="s">
        <v>589</v>
      </c>
      <c r="I15" s="116" t="s">
        <v>249</v>
      </c>
      <c r="J15" s="117" t="s">
        <v>598</v>
      </c>
      <c r="K15" s="1153" t="s">
        <v>395</v>
      </c>
      <c r="L15" s="116" t="s">
        <v>605</v>
      </c>
      <c r="M15" s="116" t="s">
        <v>602</v>
      </c>
      <c r="N15" s="1154">
        <v>43710</v>
      </c>
      <c r="O15" s="1821" t="s">
        <v>622</v>
      </c>
      <c r="P15" s="1155" t="s">
        <v>625</v>
      </c>
      <c r="Q15" s="1156">
        <v>43798</v>
      </c>
    </row>
    <row r="16" spans="1:116" ht="41.4" x14ac:dyDescent="0.3">
      <c r="A16" s="115" t="str">
        <f t="shared" si="1"/>
        <v>2017-18</v>
      </c>
      <c r="B16" s="114">
        <f t="shared" si="0"/>
        <v>1</v>
      </c>
      <c r="C16" s="1151" t="s">
        <v>614</v>
      </c>
      <c r="E16" s="114" t="s">
        <v>588</v>
      </c>
      <c r="F16" s="1152">
        <v>43724</v>
      </c>
      <c r="G16" s="116">
        <v>13</v>
      </c>
      <c r="H16" s="116" t="s">
        <v>592</v>
      </c>
      <c r="I16" s="116" t="s">
        <v>249</v>
      </c>
      <c r="J16" s="117" t="s">
        <v>599</v>
      </c>
      <c r="K16" s="1153" t="s">
        <v>395</v>
      </c>
      <c r="L16" s="116" t="s">
        <v>605</v>
      </c>
      <c r="M16" s="114" t="s">
        <v>588</v>
      </c>
      <c r="N16" s="1152">
        <v>43721</v>
      </c>
      <c r="O16" s="1155" t="s">
        <v>623</v>
      </c>
      <c r="P16" s="1155" t="s">
        <v>625</v>
      </c>
      <c r="Q16" s="1156">
        <v>43798</v>
      </c>
    </row>
    <row r="17" spans="1:116" ht="82.8" x14ac:dyDescent="0.3">
      <c r="A17" s="115" t="str">
        <f t="shared" si="1"/>
        <v>2017-18</v>
      </c>
      <c r="B17" s="114">
        <f t="shared" si="0"/>
        <v>1</v>
      </c>
      <c r="C17" s="1151" t="s">
        <v>614</v>
      </c>
      <c r="E17" s="114" t="s">
        <v>588</v>
      </c>
      <c r="F17" s="1152">
        <v>43724</v>
      </c>
      <c r="G17" s="116">
        <v>14</v>
      </c>
      <c r="H17" s="116" t="s">
        <v>592</v>
      </c>
      <c r="I17" s="116" t="s">
        <v>249</v>
      </c>
      <c r="J17" s="117" t="s">
        <v>613</v>
      </c>
      <c r="K17" s="1153" t="s">
        <v>395</v>
      </c>
      <c r="L17" s="116" t="s">
        <v>605</v>
      </c>
      <c r="M17" s="114" t="s">
        <v>588</v>
      </c>
      <c r="N17" s="1152">
        <v>43721</v>
      </c>
      <c r="O17" s="1155" t="s">
        <v>624</v>
      </c>
      <c r="P17" s="1155" t="s">
        <v>625</v>
      </c>
      <c r="Q17" s="1156">
        <v>43798</v>
      </c>
    </row>
    <row r="18" spans="1:116" x14ac:dyDescent="0.3">
      <c r="A18" s="115" t="str">
        <f t="shared" si="1"/>
        <v>2017-18</v>
      </c>
      <c r="B18" s="114">
        <f t="shared" si="0"/>
        <v>1</v>
      </c>
      <c r="C18" s="1151"/>
      <c r="F18" s="1152"/>
      <c r="K18" s="1153"/>
      <c r="L18" s="116"/>
      <c r="N18" s="1154"/>
      <c r="O18" s="1155"/>
      <c r="P18" s="1155"/>
      <c r="Q18" s="1156"/>
    </row>
    <row r="19" spans="1:116" s="198" customFormat="1" ht="14.4" thickBot="1" x14ac:dyDescent="0.35">
      <c r="A19" s="115" t="str">
        <f t="shared" si="1"/>
        <v>2017-18</v>
      </c>
      <c r="B19" s="114">
        <f t="shared" si="0"/>
        <v>1</v>
      </c>
      <c r="C19" s="1151"/>
      <c r="D19" s="114"/>
      <c r="E19" s="114"/>
      <c r="F19" s="1152"/>
      <c r="G19" s="116"/>
      <c r="H19" s="116"/>
      <c r="I19" s="116"/>
      <c r="J19" s="117"/>
      <c r="K19" s="1153"/>
      <c r="L19" s="116"/>
      <c r="M19" s="114"/>
      <c r="N19" s="1152"/>
      <c r="O19" s="1155"/>
      <c r="P19" s="1155"/>
      <c r="Q19" s="1156"/>
      <c r="R19" s="114"/>
      <c r="S19" s="114"/>
      <c r="T19" s="114"/>
      <c r="U19" s="114"/>
      <c r="V19" s="114"/>
      <c r="W19" s="114"/>
      <c r="X19" s="114"/>
      <c r="Y19" s="114"/>
      <c r="Z19" s="114"/>
      <c r="AA19" s="114"/>
      <c r="AB19" s="114"/>
      <c r="AC19" s="114"/>
      <c r="AD19" s="114"/>
      <c r="AE19" s="114"/>
      <c r="AF19" s="114"/>
      <c r="AG19" s="114"/>
      <c r="AH19" s="114"/>
      <c r="AI19" s="114"/>
      <c r="AJ19" s="114"/>
      <c r="AK19" s="114"/>
      <c r="AL19" s="114"/>
      <c r="AM19" s="114"/>
      <c r="AN19" s="114"/>
      <c r="AO19" s="114"/>
      <c r="AP19" s="114"/>
      <c r="AQ19" s="114"/>
      <c r="AR19" s="114"/>
      <c r="AS19" s="114"/>
      <c r="AT19" s="114"/>
      <c r="AU19" s="114"/>
      <c r="AV19" s="114"/>
      <c r="AW19" s="114"/>
      <c r="AX19" s="114"/>
      <c r="AY19" s="114"/>
      <c r="AZ19" s="114"/>
      <c r="BA19" s="114"/>
      <c r="BB19" s="114"/>
      <c r="BC19" s="114"/>
      <c r="BD19" s="114"/>
      <c r="BE19" s="114"/>
      <c r="BF19" s="114"/>
      <c r="BG19" s="114"/>
      <c r="BH19" s="114"/>
      <c r="BI19" s="114"/>
      <c r="BJ19" s="114"/>
      <c r="BK19" s="114"/>
      <c r="BL19" s="114"/>
      <c r="BM19" s="114"/>
      <c r="BN19" s="114"/>
      <c r="BO19" s="114"/>
      <c r="BP19" s="114"/>
      <c r="BQ19" s="114"/>
      <c r="BR19" s="114"/>
      <c r="BS19" s="114"/>
      <c r="BT19" s="114"/>
      <c r="BU19" s="114"/>
      <c r="BV19" s="114"/>
      <c r="BW19" s="114"/>
      <c r="BX19" s="114"/>
      <c r="BY19" s="114"/>
      <c r="BZ19" s="114"/>
      <c r="CA19" s="114"/>
      <c r="CB19" s="114"/>
      <c r="CC19" s="114"/>
      <c r="CD19" s="114"/>
      <c r="CE19" s="114"/>
      <c r="CF19" s="114"/>
      <c r="CG19" s="114"/>
      <c r="CH19" s="114"/>
      <c r="CI19" s="114"/>
      <c r="CJ19" s="114"/>
      <c r="CK19" s="114"/>
      <c r="CL19" s="114"/>
      <c r="CM19" s="114"/>
      <c r="CN19" s="114"/>
      <c r="CO19" s="114"/>
      <c r="CP19" s="114"/>
      <c r="CQ19" s="114"/>
      <c r="CR19" s="114"/>
      <c r="CS19" s="114"/>
      <c r="CT19" s="114"/>
      <c r="CU19" s="114"/>
      <c r="CV19" s="114"/>
      <c r="CW19" s="114"/>
      <c r="CX19" s="114"/>
      <c r="CY19" s="114"/>
      <c r="CZ19" s="114"/>
      <c r="DA19" s="114"/>
      <c r="DB19" s="114"/>
      <c r="DC19" s="114"/>
      <c r="DD19" s="114"/>
      <c r="DE19" s="114"/>
      <c r="DF19" s="114"/>
      <c r="DG19" s="114"/>
      <c r="DH19" s="114"/>
      <c r="DI19" s="114"/>
      <c r="DJ19" s="114"/>
      <c r="DK19" s="114"/>
      <c r="DL19" s="114"/>
    </row>
    <row r="20" spans="1:116" x14ac:dyDescent="0.3">
      <c r="A20" s="115" t="str">
        <f t="shared" si="1"/>
        <v>2017-18</v>
      </c>
      <c r="B20" s="114">
        <f t="shared" si="0"/>
        <v>1</v>
      </c>
      <c r="C20" s="1151"/>
      <c r="F20" s="1152"/>
      <c r="J20" s="1489"/>
      <c r="K20" s="1153"/>
      <c r="L20" s="116"/>
      <c r="M20" s="114"/>
      <c r="N20" s="1152"/>
      <c r="O20" s="1155"/>
      <c r="P20" s="1155"/>
      <c r="Q20" s="1156"/>
    </row>
    <row r="21" spans="1:116" x14ac:dyDescent="0.3">
      <c r="A21" s="115" t="str">
        <f t="shared" si="1"/>
        <v>2017-18</v>
      </c>
      <c r="B21" s="114">
        <f t="shared" si="0"/>
        <v>1</v>
      </c>
      <c r="C21" s="1151"/>
      <c r="F21" s="1152"/>
      <c r="K21" s="1153"/>
      <c r="L21" s="116"/>
      <c r="M21" s="114"/>
      <c r="N21" s="1152"/>
      <c r="O21" s="1821" t="s">
        <v>655</v>
      </c>
      <c r="P21" s="1155" t="s">
        <v>625</v>
      </c>
      <c r="Q21" s="1156">
        <v>43798</v>
      </c>
    </row>
    <row r="22" spans="1:116" x14ac:dyDescent="0.3">
      <c r="A22" s="115" t="str">
        <f t="shared" si="1"/>
        <v>2017-18</v>
      </c>
      <c r="B22" s="114">
        <f t="shared" si="0"/>
        <v>1</v>
      </c>
      <c r="C22" s="1151"/>
      <c r="F22" s="1152"/>
      <c r="K22" s="1153"/>
      <c r="L22" s="116"/>
      <c r="M22" s="114"/>
      <c r="N22" s="1152"/>
      <c r="O22" s="1821" t="s">
        <v>656</v>
      </c>
      <c r="P22" s="1155" t="s">
        <v>625</v>
      </c>
      <c r="Q22" s="1156">
        <v>43798</v>
      </c>
    </row>
    <row r="23" spans="1:116" ht="27.6" x14ac:dyDescent="0.3">
      <c r="A23" s="115" t="str">
        <f t="shared" si="1"/>
        <v>2017-18</v>
      </c>
      <c r="B23" s="114">
        <f t="shared" si="0"/>
        <v>1</v>
      </c>
      <c r="C23" s="1151"/>
      <c r="F23" s="1152"/>
      <c r="K23" s="1153"/>
      <c r="L23" s="116"/>
      <c r="M23" s="114"/>
      <c r="N23" s="1152"/>
      <c r="O23" s="1821" t="s">
        <v>657</v>
      </c>
      <c r="P23" s="1155" t="s">
        <v>625</v>
      </c>
      <c r="Q23" s="1156">
        <v>43798</v>
      </c>
    </row>
    <row r="24" spans="1:116" x14ac:dyDescent="0.3">
      <c r="A24" s="115" t="str">
        <f t="shared" si="1"/>
        <v>2017-18</v>
      </c>
      <c r="B24" s="114">
        <f t="shared" si="0"/>
        <v>1</v>
      </c>
      <c r="C24" s="1151"/>
      <c r="F24" s="1152"/>
      <c r="K24" s="1153"/>
      <c r="L24" s="116"/>
      <c r="M24" s="114"/>
      <c r="N24" s="1152"/>
      <c r="O24" s="1821" t="s">
        <v>658</v>
      </c>
      <c r="P24" s="1155" t="s">
        <v>625</v>
      </c>
      <c r="Q24" s="1156">
        <v>43798</v>
      </c>
    </row>
    <row r="25" spans="1:116" ht="82.8" x14ac:dyDescent="0.3">
      <c r="A25" s="115" t="str">
        <f t="shared" si="1"/>
        <v>2017-18</v>
      </c>
      <c r="B25" s="114">
        <f t="shared" si="0"/>
        <v>1</v>
      </c>
      <c r="C25" s="1151"/>
      <c r="F25" s="1152"/>
      <c r="K25" s="1153"/>
      <c r="L25" s="116"/>
      <c r="M25" s="114"/>
      <c r="N25" s="1152"/>
      <c r="O25" s="1821" t="s">
        <v>659</v>
      </c>
      <c r="P25" s="1155" t="s">
        <v>625</v>
      </c>
      <c r="Q25" s="1156">
        <v>43798</v>
      </c>
    </row>
    <row r="26" spans="1:116" s="198" customFormat="1" ht="42" thickBot="1" x14ac:dyDescent="0.35">
      <c r="A26" s="115" t="str">
        <f t="shared" si="1"/>
        <v>2017-18</v>
      </c>
      <c r="B26" s="114">
        <f t="shared" si="0"/>
        <v>1</v>
      </c>
      <c r="C26" s="1151"/>
      <c r="D26" s="114"/>
      <c r="E26" s="114"/>
      <c r="F26" s="1152"/>
      <c r="G26" s="116"/>
      <c r="H26" s="116"/>
      <c r="I26" s="116"/>
      <c r="J26" s="117"/>
      <c r="K26" s="1153"/>
      <c r="L26" s="116"/>
      <c r="M26" s="114"/>
      <c r="N26" s="1152"/>
      <c r="O26" s="1821" t="s">
        <v>660</v>
      </c>
      <c r="P26" s="1155" t="s">
        <v>625</v>
      </c>
      <c r="Q26" s="1156">
        <v>43798</v>
      </c>
      <c r="R26" s="114"/>
      <c r="S26" s="114"/>
      <c r="T26" s="114"/>
      <c r="U26" s="114"/>
      <c r="V26" s="114"/>
      <c r="W26" s="114"/>
      <c r="X26" s="114"/>
      <c r="Y26" s="114"/>
      <c r="Z26" s="114"/>
      <c r="AA26" s="114"/>
      <c r="AB26" s="114"/>
      <c r="AC26" s="114"/>
      <c r="AD26" s="114"/>
      <c r="AE26" s="114"/>
      <c r="AF26" s="114"/>
      <c r="AG26" s="114"/>
      <c r="AH26" s="114"/>
      <c r="AI26" s="114"/>
      <c r="AJ26" s="114"/>
      <c r="AK26" s="114"/>
      <c r="AL26" s="114"/>
      <c r="AM26" s="114"/>
      <c r="AN26" s="114"/>
      <c r="AO26" s="114"/>
      <c r="AP26" s="114"/>
      <c r="AQ26" s="114"/>
      <c r="AR26" s="114"/>
      <c r="AS26" s="114"/>
      <c r="AT26" s="114"/>
      <c r="AU26" s="114"/>
      <c r="AV26" s="114"/>
      <c r="AW26" s="114"/>
      <c r="AX26" s="114"/>
      <c r="AY26" s="114"/>
      <c r="AZ26" s="114"/>
      <c r="BA26" s="114"/>
      <c r="BB26" s="114"/>
      <c r="BC26" s="114"/>
      <c r="BD26" s="114"/>
      <c r="BE26" s="114"/>
      <c r="BF26" s="114"/>
      <c r="BG26" s="114"/>
      <c r="BH26" s="114"/>
      <c r="BI26" s="114"/>
      <c r="BJ26" s="114"/>
      <c r="BK26" s="114"/>
      <c r="BL26" s="114"/>
      <c r="BM26" s="114"/>
      <c r="BN26" s="114"/>
      <c r="BO26" s="114"/>
      <c r="BP26" s="114"/>
      <c r="BQ26" s="114"/>
      <c r="BR26" s="114"/>
      <c r="BS26" s="114"/>
      <c r="BT26" s="114"/>
      <c r="BU26" s="114"/>
      <c r="BV26" s="114"/>
      <c r="BW26" s="114"/>
      <c r="BX26" s="114"/>
      <c r="BY26" s="114"/>
      <c r="BZ26" s="114"/>
      <c r="CA26" s="114"/>
      <c r="CB26" s="114"/>
      <c r="CC26" s="114"/>
      <c r="CD26" s="114"/>
      <c r="CE26" s="114"/>
      <c r="CF26" s="114"/>
      <c r="CG26" s="114"/>
      <c r="CH26" s="114"/>
      <c r="CI26" s="114"/>
      <c r="CJ26" s="114"/>
      <c r="CK26" s="114"/>
      <c r="CL26" s="114"/>
      <c r="CM26" s="114"/>
      <c r="CN26" s="114"/>
      <c r="CO26" s="114"/>
      <c r="CP26" s="114"/>
      <c r="CQ26" s="114"/>
      <c r="CR26" s="114"/>
      <c r="CS26" s="114"/>
      <c r="CT26" s="114"/>
      <c r="CU26" s="114"/>
      <c r="CV26" s="114"/>
      <c r="CW26" s="114"/>
      <c r="CX26" s="114"/>
      <c r="CY26" s="114"/>
      <c r="CZ26" s="114"/>
      <c r="DA26" s="114"/>
      <c r="DB26" s="114"/>
      <c r="DC26" s="114"/>
      <c r="DD26" s="114"/>
      <c r="DE26" s="114"/>
      <c r="DF26" s="114"/>
      <c r="DG26" s="114"/>
      <c r="DH26" s="114"/>
      <c r="DI26" s="114"/>
      <c r="DJ26" s="114"/>
      <c r="DK26" s="114"/>
      <c r="DL26" s="114"/>
    </row>
    <row r="27" spans="1:116" x14ac:dyDescent="0.3">
      <c r="A27" s="115" t="str">
        <f t="shared" si="1"/>
        <v>2017-18</v>
      </c>
      <c r="B27" s="114">
        <f t="shared" si="0"/>
        <v>1</v>
      </c>
      <c r="C27" s="1151"/>
      <c r="F27" s="1152"/>
      <c r="K27" s="1153"/>
      <c r="L27" s="116"/>
      <c r="M27" s="114"/>
      <c r="N27" s="1154"/>
      <c r="O27" s="1155"/>
      <c r="P27" s="1155"/>
      <c r="Q27" s="1156"/>
    </row>
    <row r="28" spans="1:116" x14ac:dyDescent="0.3">
      <c r="A28" s="115" t="str">
        <f t="shared" si="1"/>
        <v>2017-18</v>
      </c>
      <c r="B28" s="114">
        <f t="shared" si="0"/>
        <v>1</v>
      </c>
      <c r="C28" s="1151"/>
      <c r="F28" s="1152"/>
      <c r="K28" s="1153"/>
      <c r="L28" s="116"/>
      <c r="N28" s="1154"/>
      <c r="O28" s="1155"/>
      <c r="P28" s="1155"/>
      <c r="Q28" s="1156"/>
    </row>
    <row r="29" spans="1:116" x14ac:dyDescent="0.3">
      <c r="A29" s="115" t="str">
        <f t="shared" si="1"/>
        <v>2017-18</v>
      </c>
      <c r="B29" s="114">
        <f t="shared" si="0"/>
        <v>1</v>
      </c>
      <c r="C29" s="1151"/>
      <c r="F29" s="1152"/>
      <c r="K29" s="1153"/>
      <c r="L29" s="116"/>
      <c r="M29" s="114"/>
      <c r="N29" s="1152"/>
      <c r="O29" s="1155"/>
      <c r="P29" s="1155"/>
      <c r="Q29" s="1156"/>
    </row>
    <row r="30" spans="1:116" x14ac:dyDescent="0.3">
      <c r="A30" s="115" t="str">
        <f t="shared" si="1"/>
        <v>2017-18</v>
      </c>
      <c r="B30" s="114">
        <f t="shared" si="0"/>
        <v>1</v>
      </c>
      <c r="C30" s="1151"/>
      <c r="F30" s="1152"/>
      <c r="K30" s="1153"/>
      <c r="L30" s="116"/>
      <c r="M30" s="114"/>
      <c r="N30" s="1152"/>
      <c r="O30" s="1155"/>
      <c r="P30" s="1155"/>
      <c r="Q30" s="1156"/>
    </row>
    <row r="31" spans="1:116" x14ac:dyDescent="0.3">
      <c r="A31" s="115" t="str">
        <f t="shared" si="1"/>
        <v>2017-18</v>
      </c>
      <c r="B31" s="114">
        <f t="shared" si="0"/>
        <v>1</v>
      </c>
      <c r="C31" s="1151"/>
      <c r="F31" s="1152"/>
      <c r="K31" s="1153"/>
      <c r="L31" s="116"/>
      <c r="M31" s="114"/>
      <c r="N31" s="1152"/>
      <c r="O31" s="1155"/>
      <c r="P31" s="1155"/>
      <c r="Q31" s="1156"/>
    </row>
    <row r="32" spans="1:116" x14ac:dyDescent="0.3">
      <c r="A32" s="115" t="str">
        <f t="shared" si="1"/>
        <v>2017-18</v>
      </c>
      <c r="B32" s="114">
        <f t="shared" si="0"/>
        <v>1</v>
      </c>
      <c r="C32" s="1151"/>
      <c r="F32" s="1152"/>
      <c r="K32" s="1153"/>
      <c r="L32" s="116"/>
      <c r="N32" s="1154"/>
      <c r="O32" s="1155"/>
      <c r="P32" s="1155"/>
      <c r="Q32" s="1156"/>
    </row>
    <row r="33" spans="1:17" x14ac:dyDescent="0.3">
      <c r="A33" s="115" t="str">
        <f t="shared" si="1"/>
        <v>2017-18</v>
      </c>
      <c r="B33" s="114">
        <f t="shared" si="0"/>
        <v>1</v>
      </c>
      <c r="C33" s="1151"/>
      <c r="F33" s="1152"/>
      <c r="K33" s="1153"/>
      <c r="L33" s="116"/>
      <c r="N33" s="1154"/>
      <c r="O33" s="1155"/>
      <c r="P33" s="1155"/>
      <c r="Q33" s="1156"/>
    </row>
    <row r="34" spans="1:17" x14ac:dyDescent="0.3">
      <c r="A34" s="115" t="str">
        <f t="shared" si="1"/>
        <v>2017-18</v>
      </c>
      <c r="B34" s="114">
        <f t="shared" si="0"/>
        <v>1</v>
      </c>
      <c r="C34" s="1151"/>
      <c r="F34" s="1152"/>
      <c r="K34" s="1153"/>
      <c r="L34" s="116"/>
      <c r="N34" s="1154"/>
      <c r="O34" s="1155"/>
      <c r="P34" s="1155"/>
      <c r="Q34" s="1156"/>
    </row>
    <row r="35" spans="1:17" x14ac:dyDescent="0.3">
      <c r="A35" s="115" t="str">
        <f t="shared" si="1"/>
        <v>2017-18</v>
      </c>
      <c r="B35" s="114">
        <f t="shared" si="0"/>
        <v>1</v>
      </c>
      <c r="C35" s="1151"/>
      <c r="F35" s="1152"/>
      <c r="K35" s="1153"/>
      <c r="L35" s="116"/>
      <c r="N35" s="1154"/>
      <c r="O35" s="1155"/>
      <c r="P35" s="1155"/>
      <c r="Q35" s="1156"/>
    </row>
    <row r="36" spans="1:17" x14ac:dyDescent="0.3">
      <c r="A36" s="115" t="str">
        <f t="shared" si="1"/>
        <v>2017-18</v>
      </c>
      <c r="B36" s="114">
        <f t="shared" si="0"/>
        <v>1</v>
      </c>
      <c r="C36" s="1151"/>
      <c r="F36" s="1152"/>
      <c r="K36" s="1153"/>
      <c r="L36" s="116"/>
      <c r="N36" s="1154"/>
      <c r="O36" s="1155"/>
      <c r="P36" s="1155"/>
      <c r="Q36" s="1156"/>
    </row>
    <row r="37" spans="1:17" x14ac:dyDescent="0.3">
      <c r="A37" s="115" t="str">
        <f t="shared" si="1"/>
        <v>2017-18</v>
      </c>
      <c r="B37" s="114">
        <f t="shared" ref="B37:B68" si="2">B36</f>
        <v>1</v>
      </c>
      <c r="C37" s="1151"/>
      <c r="F37" s="1152"/>
      <c r="K37" s="1153"/>
      <c r="L37" s="116"/>
      <c r="N37" s="1154"/>
      <c r="O37" s="1155"/>
      <c r="P37" s="1155"/>
      <c r="Q37" s="1156"/>
    </row>
    <row r="38" spans="1:17" x14ac:dyDescent="0.3">
      <c r="A38" s="115" t="str">
        <f t="shared" si="1"/>
        <v>2017-18</v>
      </c>
      <c r="B38" s="114">
        <f t="shared" si="2"/>
        <v>1</v>
      </c>
      <c r="C38" s="1151"/>
      <c r="F38" s="1152"/>
      <c r="K38" s="1153"/>
      <c r="L38" s="116"/>
      <c r="N38" s="1154"/>
      <c r="O38" s="1155"/>
      <c r="P38" s="1155"/>
      <c r="Q38" s="1156"/>
    </row>
    <row r="39" spans="1:17" x14ac:dyDescent="0.3">
      <c r="A39" s="115" t="str">
        <f t="shared" si="1"/>
        <v>2017-18</v>
      </c>
      <c r="B39" s="114">
        <f t="shared" si="2"/>
        <v>1</v>
      </c>
      <c r="C39" s="1151"/>
      <c r="F39" s="1152"/>
      <c r="K39" s="1153"/>
      <c r="L39" s="116"/>
      <c r="N39" s="1154"/>
      <c r="O39" s="1155"/>
      <c r="P39" s="1155"/>
      <c r="Q39" s="1156"/>
    </row>
    <row r="40" spans="1:17" x14ac:dyDescent="0.3">
      <c r="A40" s="115" t="str">
        <f t="shared" si="1"/>
        <v>2017-18</v>
      </c>
      <c r="B40" s="114">
        <f t="shared" si="2"/>
        <v>1</v>
      </c>
      <c r="C40" s="1151"/>
      <c r="F40" s="1152"/>
      <c r="K40" s="1153"/>
      <c r="L40" s="116"/>
      <c r="N40" s="1154"/>
      <c r="O40" s="1155"/>
      <c r="P40" s="1155"/>
      <c r="Q40" s="1156"/>
    </row>
    <row r="41" spans="1:17" x14ac:dyDescent="0.3">
      <c r="A41" s="115" t="str">
        <f t="shared" si="1"/>
        <v>2017-18</v>
      </c>
      <c r="B41" s="114">
        <f t="shared" si="2"/>
        <v>1</v>
      </c>
      <c r="C41" s="1151"/>
      <c r="F41" s="1152"/>
      <c r="K41" s="1153"/>
      <c r="L41" s="116"/>
      <c r="N41" s="1154"/>
      <c r="O41" s="1155"/>
      <c r="P41" s="1155"/>
      <c r="Q41" s="1156"/>
    </row>
    <row r="42" spans="1:17" x14ac:dyDescent="0.3">
      <c r="A42" s="115" t="str">
        <f t="shared" si="1"/>
        <v>2017-18</v>
      </c>
      <c r="B42" s="114">
        <f t="shared" si="2"/>
        <v>1</v>
      </c>
      <c r="C42" s="1151"/>
      <c r="F42" s="1152"/>
      <c r="K42" s="1153"/>
      <c r="L42" s="116"/>
      <c r="N42" s="1154"/>
      <c r="O42" s="1155"/>
      <c r="P42" s="1155"/>
      <c r="Q42" s="1156"/>
    </row>
    <row r="43" spans="1:17" x14ac:dyDescent="0.3">
      <c r="A43" s="115" t="str">
        <f t="shared" si="1"/>
        <v>2017-18</v>
      </c>
      <c r="B43" s="114">
        <f t="shared" si="2"/>
        <v>1</v>
      </c>
      <c r="C43" s="1151"/>
      <c r="F43" s="1152"/>
      <c r="K43" s="1153"/>
      <c r="L43" s="116"/>
      <c r="N43" s="1154"/>
      <c r="O43" s="1155"/>
      <c r="P43" s="1155"/>
      <c r="Q43" s="1156"/>
    </row>
    <row r="44" spans="1:17" x14ac:dyDescent="0.3">
      <c r="A44" s="115" t="str">
        <f t="shared" si="1"/>
        <v>2017-18</v>
      </c>
      <c r="B44" s="114">
        <f t="shared" si="2"/>
        <v>1</v>
      </c>
      <c r="C44" s="1151"/>
      <c r="F44" s="1152"/>
      <c r="K44" s="1153"/>
      <c r="L44" s="116"/>
      <c r="N44" s="1154"/>
      <c r="O44" s="1155"/>
      <c r="P44" s="1155"/>
      <c r="Q44" s="1156"/>
    </row>
    <row r="45" spans="1:17" x14ac:dyDescent="0.3">
      <c r="A45" s="115" t="str">
        <f t="shared" si="1"/>
        <v>2017-18</v>
      </c>
      <c r="B45" s="114">
        <f t="shared" si="2"/>
        <v>1</v>
      </c>
      <c r="C45" s="1151"/>
      <c r="F45" s="1152"/>
      <c r="K45" s="1153"/>
      <c r="L45" s="116"/>
      <c r="N45" s="1154"/>
      <c r="O45" s="1155"/>
      <c r="P45" s="1155"/>
      <c r="Q45" s="1156"/>
    </row>
    <row r="46" spans="1:17" x14ac:dyDescent="0.3">
      <c r="A46" s="115" t="str">
        <f t="shared" si="1"/>
        <v>2017-18</v>
      </c>
      <c r="B46" s="114">
        <f t="shared" si="2"/>
        <v>1</v>
      </c>
      <c r="C46" s="1151"/>
      <c r="F46" s="1152"/>
      <c r="K46" s="1153"/>
      <c r="L46" s="116"/>
      <c r="N46" s="1154"/>
      <c r="O46" s="1155"/>
      <c r="P46" s="1155"/>
      <c r="Q46" s="1156"/>
    </row>
    <row r="47" spans="1:17" x14ac:dyDescent="0.3">
      <c r="A47" s="115" t="str">
        <f t="shared" si="1"/>
        <v>2017-18</v>
      </c>
      <c r="B47" s="114">
        <f t="shared" si="2"/>
        <v>1</v>
      </c>
      <c r="C47" s="1151"/>
      <c r="F47" s="1152"/>
      <c r="K47" s="1153"/>
      <c r="L47" s="116"/>
      <c r="N47" s="1154"/>
      <c r="O47" s="1155"/>
      <c r="P47" s="1155"/>
      <c r="Q47" s="1156"/>
    </row>
    <row r="48" spans="1:17" x14ac:dyDescent="0.3">
      <c r="A48" s="115" t="str">
        <f t="shared" si="1"/>
        <v>2017-18</v>
      </c>
      <c r="B48" s="114">
        <f t="shared" si="2"/>
        <v>1</v>
      </c>
      <c r="C48" s="1151"/>
      <c r="F48" s="1152"/>
      <c r="K48" s="1153"/>
      <c r="L48" s="116"/>
      <c r="N48" s="1154"/>
      <c r="O48" s="1155"/>
      <c r="P48" s="1155"/>
      <c r="Q48" s="1156"/>
    </row>
    <row r="49" spans="1:17" x14ac:dyDescent="0.3">
      <c r="A49" s="115" t="str">
        <f t="shared" si="1"/>
        <v>2017-18</v>
      </c>
      <c r="B49" s="114">
        <f t="shared" si="2"/>
        <v>1</v>
      </c>
      <c r="C49" s="1151"/>
      <c r="F49" s="1152"/>
      <c r="K49" s="1153"/>
      <c r="L49" s="116"/>
      <c r="N49" s="1154"/>
      <c r="O49" s="1155"/>
      <c r="P49" s="1155"/>
      <c r="Q49" s="1156"/>
    </row>
    <row r="50" spans="1:17" x14ac:dyDescent="0.3">
      <c r="A50" s="115" t="str">
        <f t="shared" si="1"/>
        <v>2017-18</v>
      </c>
      <c r="B50" s="114">
        <f t="shared" si="2"/>
        <v>1</v>
      </c>
      <c r="C50" s="1151"/>
      <c r="F50" s="1152"/>
      <c r="K50" s="1153"/>
      <c r="L50" s="116"/>
      <c r="N50" s="1154"/>
      <c r="O50" s="1155"/>
      <c r="P50" s="1155"/>
      <c r="Q50" s="1156"/>
    </row>
    <row r="51" spans="1:17" x14ac:dyDescent="0.3">
      <c r="A51" s="115" t="str">
        <f t="shared" si="1"/>
        <v>2017-18</v>
      </c>
      <c r="B51" s="114">
        <f t="shared" si="2"/>
        <v>1</v>
      </c>
      <c r="C51" s="1151"/>
      <c r="F51" s="1152"/>
      <c r="K51" s="1153"/>
      <c r="L51" s="116"/>
      <c r="N51" s="1154"/>
      <c r="O51" s="1155"/>
      <c r="P51" s="1155"/>
      <c r="Q51" s="1156"/>
    </row>
    <row r="52" spans="1:17" x14ac:dyDescent="0.3">
      <c r="A52" s="115" t="str">
        <f t="shared" si="1"/>
        <v>2017-18</v>
      </c>
      <c r="B52" s="114">
        <f t="shared" si="2"/>
        <v>1</v>
      </c>
      <c r="C52" s="1151"/>
      <c r="F52" s="1152"/>
      <c r="K52" s="1153"/>
      <c r="L52" s="116"/>
      <c r="N52" s="1154"/>
      <c r="O52" s="1155"/>
      <c r="P52" s="1155"/>
      <c r="Q52" s="1156"/>
    </row>
    <row r="53" spans="1:17" x14ac:dyDescent="0.3">
      <c r="A53" s="115" t="str">
        <f t="shared" si="1"/>
        <v>2017-18</v>
      </c>
      <c r="B53" s="114">
        <f t="shared" si="2"/>
        <v>1</v>
      </c>
      <c r="C53" s="1151"/>
      <c r="F53" s="1152"/>
      <c r="K53" s="1153"/>
      <c r="L53" s="116"/>
      <c r="N53" s="1154"/>
      <c r="O53" s="1155"/>
      <c r="P53" s="1155"/>
      <c r="Q53" s="1156"/>
    </row>
    <row r="54" spans="1:17" x14ac:dyDescent="0.3">
      <c r="A54" s="115" t="str">
        <f t="shared" si="1"/>
        <v>2017-18</v>
      </c>
      <c r="B54" s="114">
        <f t="shared" si="2"/>
        <v>1</v>
      </c>
      <c r="C54" s="1151"/>
      <c r="F54" s="1152"/>
      <c r="K54" s="1153"/>
      <c r="L54" s="116"/>
      <c r="N54" s="1154"/>
      <c r="O54" s="1155"/>
      <c r="P54" s="1155"/>
      <c r="Q54" s="1156"/>
    </row>
    <row r="55" spans="1:17" x14ac:dyDescent="0.3">
      <c r="A55" s="115" t="str">
        <f t="shared" si="1"/>
        <v>2017-18</v>
      </c>
      <c r="B55" s="114">
        <f t="shared" si="2"/>
        <v>1</v>
      </c>
      <c r="C55" s="1151"/>
      <c r="F55" s="1152"/>
      <c r="K55" s="1153"/>
      <c r="L55" s="116"/>
      <c r="N55" s="1154"/>
      <c r="O55" s="1155"/>
      <c r="P55" s="1155"/>
      <c r="Q55" s="1156"/>
    </row>
    <row r="56" spans="1:17" x14ac:dyDescent="0.3">
      <c r="A56" s="115" t="str">
        <f t="shared" si="1"/>
        <v>2017-18</v>
      </c>
      <c r="B56" s="114">
        <f t="shared" si="2"/>
        <v>1</v>
      </c>
      <c r="C56" s="1151"/>
      <c r="F56" s="1152"/>
      <c r="K56" s="1153"/>
      <c r="L56" s="116"/>
      <c r="N56" s="1154"/>
      <c r="O56" s="1155"/>
      <c r="P56" s="1155"/>
      <c r="Q56" s="1156"/>
    </row>
    <row r="57" spans="1:17" x14ac:dyDescent="0.3">
      <c r="A57" s="115" t="str">
        <f t="shared" si="1"/>
        <v>2017-18</v>
      </c>
      <c r="B57" s="114">
        <f t="shared" si="2"/>
        <v>1</v>
      </c>
      <c r="C57" s="1151"/>
      <c r="F57" s="1152"/>
      <c r="K57" s="1153"/>
      <c r="L57" s="116"/>
      <c r="N57" s="1154"/>
      <c r="O57" s="1155"/>
      <c r="P57" s="1155"/>
      <c r="Q57" s="1156"/>
    </row>
    <row r="58" spans="1:17" x14ac:dyDescent="0.3">
      <c r="A58" s="115" t="str">
        <f t="shared" si="1"/>
        <v>2017-18</v>
      </c>
      <c r="B58" s="114">
        <f t="shared" si="2"/>
        <v>1</v>
      </c>
      <c r="C58" s="1151"/>
      <c r="F58" s="1152"/>
      <c r="K58" s="1153"/>
      <c r="L58" s="116"/>
      <c r="N58" s="1154"/>
      <c r="O58" s="1155"/>
      <c r="P58" s="1155"/>
      <c r="Q58" s="1156"/>
    </row>
    <row r="59" spans="1:17" x14ac:dyDescent="0.3">
      <c r="A59" s="115" t="str">
        <f t="shared" si="1"/>
        <v>2017-18</v>
      </c>
      <c r="B59" s="114">
        <f t="shared" si="2"/>
        <v>1</v>
      </c>
      <c r="C59" s="1151"/>
      <c r="F59" s="1152"/>
      <c r="K59" s="1153"/>
      <c r="L59" s="116"/>
      <c r="N59" s="1154"/>
      <c r="O59" s="1155"/>
      <c r="P59" s="1155"/>
      <c r="Q59" s="1156"/>
    </row>
    <row r="60" spans="1:17" x14ac:dyDescent="0.3">
      <c r="A60" s="115" t="str">
        <f t="shared" si="1"/>
        <v>2017-18</v>
      </c>
      <c r="B60" s="114">
        <f t="shared" si="2"/>
        <v>1</v>
      </c>
      <c r="C60" s="1151"/>
      <c r="F60" s="1152"/>
      <c r="K60" s="1153"/>
      <c r="L60" s="116"/>
      <c r="N60" s="1154"/>
      <c r="O60" s="1155"/>
      <c r="P60" s="1155"/>
      <c r="Q60" s="1156"/>
    </row>
    <row r="61" spans="1:17" x14ac:dyDescent="0.3">
      <c r="A61" s="115" t="str">
        <f t="shared" si="1"/>
        <v>2017-18</v>
      </c>
      <c r="B61" s="114">
        <f t="shared" si="2"/>
        <v>1</v>
      </c>
      <c r="C61" s="1151"/>
      <c r="F61" s="1152"/>
      <c r="K61" s="1153"/>
      <c r="L61" s="116"/>
      <c r="N61" s="1154"/>
      <c r="O61" s="1155"/>
      <c r="P61" s="1155"/>
      <c r="Q61" s="1156"/>
    </row>
    <row r="62" spans="1:17" x14ac:dyDescent="0.3">
      <c r="A62" s="115" t="str">
        <f t="shared" si="1"/>
        <v>2017-18</v>
      </c>
      <c r="B62" s="114">
        <f t="shared" si="2"/>
        <v>1</v>
      </c>
      <c r="C62" s="1151"/>
      <c r="F62" s="1152"/>
      <c r="K62" s="1153"/>
      <c r="L62" s="116"/>
      <c r="N62" s="1154"/>
      <c r="O62" s="1155"/>
      <c r="P62" s="1155"/>
      <c r="Q62" s="1156"/>
    </row>
    <row r="63" spans="1:17" x14ac:dyDescent="0.3">
      <c r="A63" s="115" t="str">
        <f t="shared" si="1"/>
        <v>2017-18</v>
      </c>
      <c r="B63" s="114">
        <f t="shared" si="2"/>
        <v>1</v>
      </c>
      <c r="C63" s="1151"/>
      <c r="F63" s="1152"/>
      <c r="K63" s="1153"/>
      <c r="L63" s="116"/>
      <c r="N63" s="1154"/>
      <c r="O63" s="1155"/>
      <c r="P63" s="1155"/>
      <c r="Q63" s="1156"/>
    </row>
    <row r="64" spans="1:17" x14ac:dyDescent="0.3">
      <c r="A64" s="115" t="str">
        <f t="shared" si="1"/>
        <v>2017-18</v>
      </c>
      <c r="B64" s="114">
        <f t="shared" si="2"/>
        <v>1</v>
      </c>
      <c r="C64" s="1151"/>
      <c r="F64" s="1152"/>
      <c r="K64" s="1153"/>
      <c r="L64" s="116"/>
      <c r="N64" s="1154"/>
      <c r="O64" s="1155"/>
      <c r="P64" s="1155"/>
      <c r="Q64" s="1156"/>
    </row>
    <row r="65" spans="1:17" x14ac:dyDescent="0.3">
      <c r="A65" s="115" t="str">
        <f t="shared" si="1"/>
        <v>2017-18</v>
      </c>
      <c r="B65" s="114">
        <f t="shared" si="2"/>
        <v>1</v>
      </c>
      <c r="C65" s="1151"/>
      <c r="F65" s="1152"/>
      <c r="K65" s="1153"/>
      <c r="L65" s="116"/>
      <c r="N65" s="1154"/>
      <c r="O65" s="1155"/>
      <c r="P65" s="1155"/>
      <c r="Q65" s="1156"/>
    </row>
    <row r="66" spans="1:17" x14ac:dyDescent="0.3">
      <c r="A66" s="115" t="str">
        <f t="shared" si="1"/>
        <v>2017-18</v>
      </c>
      <c r="B66" s="114">
        <f t="shared" si="2"/>
        <v>1</v>
      </c>
      <c r="C66" s="1151"/>
      <c r="F66" s="1152"/>
      <c r="K66" s="1153"/>
      <c r="L66" s="116"/>
      <c r="N66" s="1154"/>
      <c r="O66" s="1155"/>
      <c r="P66" s="1155"/>
      <c r="Q66" s="1156"/>
    </row>
    <row r="67" spans="1:17" x14ac:dyDescent="0.3">
      <c r="A67" s="115" t="str">
        <f t="shared" si="1"/>
        <v>2017-18</v>
      </c>
      <c r="B67" s="114">
        <f t="shared" si="2"/>
        <v>1</v>
      </c>
      <c r="C67" s="1151"/>
      <c r="F67" s="1152"/>
      <c r="K67" s="1153"/>
      <c r="L67" s="116"/>
      <c r="N67" s="1154"/>
      <c r="O67" s="1155"/>
      <c r="P67" s="1155"/>
      <c r="Q67" s="1156"/>
    </row>
    <row r="68" spans="1:17" x14ac:dyDescent="0.3">
      <c r="A68" s="115" t="str">
        <f t="shared" si="1"/>
        <v>2017-18</v>
      </c>
      <c r="B68" s="114">
        <f t="shared" si="2"/>
        <v>1</v>
      </c>
      <c r="C68" s="1151"/>
      <c r="F68" s="1152"/>
      <c r="K68" s="1153"/>
      <c r="L68" s="116"/>
      <c r="N68" s="1154"/>
      <c r="O68" s="1155"/>
      <c r="P68" s="1155"/>
      <c r="Q68" s="1156"/>
    </row>
    <row r="69" spans="1:17" x14ac:dyDescent="0.3">
      <c r="A69" s="115" t="str">
        <f t="shared" si="1"/>
        <v>2017-18</v>
      </c>
      <c r="B69" s="114">
        <f t="shared" ref="B69:B100" si="3">B68</f>
        <v>1</v>
      </c>
      <c r="C69" s="1151"/>
      <c r="F69" s="1152"/>
      <c r="K69" s="1153"/>
      <c r="L69" s="116"/>
      <c r="N69" s="1154"/>
      <c r="O69" s="1155"/>
      <c r="P69" s="1155"/>
      <c r="Q69" s="1156"/>
    </row>
    <row r="70" spans="1:17" x14ac:dyDescent="0.3">
      <c r="A70" s="115" t="str">
        <f t="shared" ref="A70:A133" si="4">A69</f>
        <v>2017-18</v>
      </c>
      <c r="B70" s="114">
        <f t="shared" si="3"/>
        <v>1</v>
      </c>
      <c r="C70" s="1151"/>
      <c r="F70" s="1152"/>
      <c r="K70" s="1153"/>
      <c r="L70" s="116"/>
      <c r="N70" s="1154"/>
      <c r="O70" s="1155"/>
      <c r="P70" s="1155"/>
      <c r="Q70" s="1156"/>
    </row>
    <row r="71" spans="1:17" x14ac:dyDescent="0.3">
      <c r="A71" s="115" t="str">
        <f t="shared" si="4"/>
        <v>2017-18</v>
      </c>
      <c r="B71" s="114">
        <f t="shared" si="3"/>
        <v>1</v>
      </c>
      <c r="C71" s="1151"/>
      <c r="F71" s="1152"/>
      <c r="K71" s="1153"/>
      <c r="L71" s="116"/>
      <c r="N71" s="1154"/>
      <c r="O71" s="1155"/>
      <c r="P71" s="1155"/>
      <c r="Q71" s="1156"/>
    </row>
    <row r="72" spans="1:17" x14ac:dyDescent="0.3">
      <c r="A72" s="115" t="str">
        <f t="shared" si="4"/>
        <v>2017-18</v>
      </c>
      <c r="B72" s="114">
        <f t="shared" si="3"/>
        <v>1</v>
      </c>
      <c r="C72" s="1151"/>
      <c r="F72" s="1152"/>
      <c r="K72" s="1153"/>
      <c r="L72" s="116"/>
      <c r="N72" s="1154"/>
      <c r="O72" s="1155"/>
      <c r="P72" s="1155"/>
      <c r="Q72" s="1156"/>
    </row>
    <row r="73" spans="1:17" x14ac:dyDescent="0.3">
      <c r="A73" s="115" t="str">
        <f t="shared" si="4"/>
        <v>2017-18</v>
      </c>
      <c r="B73" s="114">
        <f t="shared" si="3"/>
        <v>1</v>
      </c>
      <c r="C73" s="1151"/>
      <c r="F73" s="1152"/>
      <c r="K73" s="1153"/>
      <c r="L73" s="116"/>
      <c r="N73" s="1154"/>
      <c r="O73" s="1155"/>
      <c r="P73" s="1155"/>
      <c r="Q73" s="1156"/>
    </row>
    <row r="74" spans="1:17" x14ac:dyDescent="0.3">
      <c r="A74" s="115" t="str">
        <f t="shared" si="4"/>
        <v>2017-18</v>
      </c>
      <c r="B74" s="114">
        <f t="shared" si="3"/>
        <v>1</v>
      </c>
      <c r="C74" s="1151"/>
      <c r="F74" s="1152"/>
      <c r="K74" s="1153"/>
      <c r="L74" s="116"/>
      <c r="N74" s="1154"/>
      <c r="O74" s="1155"/>
      <c r="P74" s="1155"/>
      <c r="Q74" s="1156"/>
    </row>
    <row r="75" spans="1:17" x14ac:dyDescent="0.3">
      <c r="A75" s="115" t="str">
        <f t="shared" si="4"/>
        <v>2017-18</v>
      </c>
      <c r="B75" s="114">
        <f t="shared" si="3"/>
        <v>1</v>
      </c>
      <c r="C75" s="1151"/>
      <c r="F75" s="1152"/>
      <c r="K75" s="1153"/>
      <c r="L75" s="116"/>
      <c r="N75" s="1154"/>
      <c r="O75" s="1155"/>
      <c r="P75" s="1155"/>
      <c r="Q75" s="1156"/>
    </row>
    <row r="76" spans="1:17" x14ac:dyDescent="0.3">
      <c r="A76" s="115" t="str">
        <f t="shared" si="4"/>
        <v>2017-18</v>
      </c>
      <c r="B76" s="114">
        <f t="shared" si="3"/>
        <v>1</v>
      </c>
      <c r="C76" s="1151"/>
      <c r="F76" s="1152"/>
      <c r="K76" s="1153"/>
      <c r="L76" s="116"/>
      <c r="N76" s="1154"/>
      <c r="O76" s="1155"/>
      <c r="P76" s="1155"/>
      <c r="Q76" s="1156"/>
    </row>
    <row r="77" spans="1:17" x14ac:dyDescent="0.3">
      <c r="A77" s="115" t="str">
        <f t="shared" si="4"/>
        <v>2017-18</v>
      </c>
      <c r="B77" s="114">
        <f t="shared" si="3"/>
        <v>1</v>
      </c>
      <c r="C77" s="1151"/>
      <c r="F77" s="1152"/>
      <c r="K77" s="1153"/>
      <c r="L77" s="116"/>
      <c r="N77" s="1154"/>
      <c r="O77" s="1155"/>
      <c r="P77" s="1155"/>
      <c r="Q77" s="1156"/>
    </row>
    <row r="78" spans="1:17" x14ac:dyDescent="0.3">
      <c r="A78" s="115" t="str">
        <f t="shared" si="4"/>
        <v>2017-18</v>
      </c>
      <c r="B78" s="114">
        <f t="shared" si="3"/>
        <v>1</v>
      </c>
      <c r="C78" s="1151"/>
      <c r="F78" s="1152"/>
      <c r="K78" s="1153"/>
      <c r="L78" s="116"/>
      <c r="N78" s="1154"/>
      <c r="O78" s="1155"/>
      <c r="P78" s="1155"/>
      <c r="Q78" s="1156"/>
    </row>
    <row r="79" spans="1:17" x14ac:dyDescent="0.3">
      <c r="A79" s="115" t="str">
        <f t="shared" si="4"/>
        <v>2017-18</v>
      </c>
      <c r="B79" s="114">
        <f t="shared" si="3"/>
        <v>1</v>
      </c>
      <c r="C79" s="1151"/>
      <c r="F79" s="1152"/>
      <c r="K79" s="1153"/>
      <c r="L79" s="116"/>
      <c r="N79" s="1154"/>
      <c r="O79" s="1155"/>
      <c r="P79" s="1155"/>
      <c r="Q79" s="1156"/>
    </row>
    <row r="80" spans="1:17" x14ac:dyDescent="0.3">
      <c r="A80" s="115" t="str">
        <f t="shared" si="4"/>
        <v>2017-18</v>
      </c>
      <c r="B80" s="114">
        <f t="shared" si="3"/>
        <v>1</v>
      </c>
      <c r="C80" s="1151"/>
      <c r="F80" s="1152"/>
      <c r="K80" s="1153"/>
      <c r="L80" s="116"/>
      <c r="N80" s="1154"/>
      <c r="O80" s="1155"/>
      <c r="P80" s="1155"/>
      <c r="Q80" s="1156"/>
    </row>
    <row r="81" spans="1:17" x14ac:dyDescent="0.3">
      <c r="A81" s="115" t="str">
        <f t="shared" si="4"/>
        <v>2017-18</v>
      </c>
      <c r="B81" s="114">
        <f t="shared" si="3"/>
        <v>1</v>
      </c>
      <c r="C81" s="1151"/>
      <c r="F81" s="1152"/>
      <c r="K81" s="1153"/>
      <c r="L81" s="116"/>
      <c r="N81" s="1154"/>
      <c r="O81" s="1155"/>
      <c r="P81" s="1155"/>
      <c r="Q81" s="1156"/>
    </row>
    <row r="82" spans="1:17" x14ac:dyDescent="0.3">
      <c r="A82" s="115" t="str">
        <f t="shared" si="4"/>
        <v>2017-18</v>
      </c>
      <c r="B82" s="114">
        <f t="shared" si="3"/>
        <v>1</v>
      </c>
      <c r="C82" s="1151"/>
      <c r="F82" s="1152"/>
      <c r="K82" s="1153"/>
      <c r="L82" s="116"/>
      <c r="N82" s="1154"/>
      <c r="O82" s="1155"/>
      <c r="P82" s="1155"/>
      <c r="Q82" s="1156"/>
    </row>
    <row r="83" spans="1:17" x14ac:dyDescent="0.3">
      <c r="A83" s="115" t="str">
        <f t="shared" si="4"/>
        <v>2017-18</v>
      </c>
      <c r="B83" s="114">
        <f t="shared" si="3"/>
        <v>1</v>
      </c>
      <c r="C83" s="1151"/>
      <c r="F83" s="1152"/>
      <c r="K83" s="1153"/>
      <c r="L83" s="116"/>
      <c r="N83" s="1154"/>
      <c r="O83" s="1155"/>
      <c r="P83" s="1155"/>
      <c r="Q83" s="1156"/>
    </row>
    <row r="84" spans="1:17" x14ac:dyDescent="0.3">
      <c r="A84" s="115" t="str">
        <f t="shared" si="4"/>
        <v>2017-18</v>
      </c>
      <c r="B84" s="114">
        <f t="shared" si="3"/>
        <v>1</v>
      </c>
      <c r="C84" s="1151"/>
      <c r="F84" s="1152"/>
      <c r="K84" s="1153"/>
      <c r="L84" s="116"/>
      <c r="N84" s="1154"/>
      <c r="O84" s="1155"/>
      <c r="P84" s="1155"/>
      <c r="Q84" s="1156"/>
    </row>
    <row r="85" spans="1:17" x14ac:dyDescent="0.3">
      <c r="A85" s="115" t="str">
        <f t="shared" si="4"/>
        <v>2017-18</v>
      </c>
      <c r="B85" s="114">
        <f t="shared" si="3"/>
        <v>1</v>
      </c>
      <c r="C85" s="1151"/>
      <c r="F85" s="1152"/>
      <c r="K85" s="1153"/>
      <c r="L85" s="116"/>
      <c r="N85" s="1154"/>
      <c r="O85" s="1155"/>
      <c r="P85" s="1155"/>
      <c r="Q85" s="1156"/>
    </row>
    <row r="86" spans="1:17" x14ac:dyDescent="0.3">
      <c r="A86" s="115" t="str">
        <f t="shared" si="4"/>
        <v>2017-18</v>
      </c>
      <c r="B86" s="114">
        <f t="shared" si="3"/>
        <v>1</v>
      </c>
      <c r="C86" s="1151"/>
      <c r="F86" s="1152"/>
      <c r="K86" s="1153"/>
      <c r="L86" s="116"/>
      <c r="N86" s="1154"/>
      <c r="O86" s="1155"/>
      <c r="P86" s="1155"/>
      <c r="Q86" s="1156"/>
    </row>
    <row r="87" spans="1:17" x14ac:dyDescent="0.3">
      <c r="A87" s="115" t="str">
        <f t="shared" si="4"/>
        <v>2017-18</v>
      </c>
      <c r="B87" s="114">
        <f t="shared" si="3"/>
        <v>1</v>
      </c>
      <c r="C87" s="1151"/>
      <c r="F87" s="1152"/>
      <c r="K87" s="1153"/>
      <c r="L87" s="116"/>
      <c r="N87" s="1154"/>
      <c r="O87" s="1155"/>
      <c r="P87" s="1155"/>
      <c r="Q87" s="1156"/>
    </row>
    <row r="88" spans="1:17" x14ac:dyDescent="0.3">
      <c r="A88" s="115" t="str">
        <f t="shared" si="4"/>
        <v>2017-18</v>
      </c>
      <c r="B88" s="114">
        <f t="shared" si="3"/>
        <v>1</v>
      </c>
      <c r="C88" s="1151"/>
      <c r="F88" s="1152"/>
      <c r="K88" s="1153"/>
      <c r="L88" s="116"/>
      <c r="N88" s="1154"/>
      <c r="O88" s="1155"/>
      <c r="P88" s="1155"/>
      <c r="Q88" s="1156"/>
    </row>
    <row r="89" spans="1:17" x14ac:dyDescent="0.3">
      <c r="A89" s="115" t="str">
        <f t="shared" si="4"/>
        <v>2017-18</v>
      </c>
      <c r="B89" s="114">
        <f t="shared" si="3"/>
        <v>1</v>
      </c>
      <c r="C89" s="1151"/>
      <c r="F89" s="1152"/>
      <c r="K89" s="1153"/>
      <c r="L89" s="116"/>
      <c r="N89" s="1154"/>
      <c r="O89" s="1155"/>
      <c r="P89" s="1155"/>
      <c r="Q89" s="1156"/>
    </row>
    <row r="90" spans="1:17" x14ac:dyDescent="0.3">
      <c r="A90" s="115" t="str">
        <f t="shared" si="4"/>
        <v>2017-18</v>
      </c>
      <c r="B90" s="114">
        <f t="shared" si="3"/>
        <v>1</v>
      </c>
      <c r="C90" s="1151"/>
      <c r="F90" s="1152"/>
      <c r="K90" s="1153"/>
      <c r="L90" s="116"/>
      <c r="N90" s="1154"/>
      <c r="O90" s="1155"/>
      <c r="P90" s="1155"/>
      <c r="Q90" s="1156"/>
    </row>
    <row r="91" spans="1:17" x14ac:dyDescent="0.3">
      <c r="A91" s="115" t="str">
        <f t="shared" si="4"/>
        <v>2017-18</v>
      </c>
      <c r="B91" s="114">
        <f t="shared" si="3"/>
        <v>1</v>
      </c>
      <c r="C91" s="1151"/>
      <c r="F91" s="1152"/>
      <c r="K91" s="1153"/>
      <c r="L91" s="116"/>
      <c r="N91" s="1154"/>
      <c r="O91" s="1155"/>
      <c r="P91" s="1155"/>
      <c r="Q91" s="1156"/>
    </row>
    <row r="92" spans="1:17" x14ac:dyDescent="0.3">
      <c r="A92" s="115" t="str">
        <f t="shared" si="4"/>
        <v>2017-18</v>
      </c>
      <c r="B92" s="114">
        <f t="shared" si="3"/>
        <v>1</v>
      </c>
      <c r="C92" s="1151"/>
      <c r="F92" s="1152"/>
      <c r="K92" s="1153"/>
      <c r="L92" s="116"/>
      <c r="N92" s="1154"/>
      <c r="O92" s="1155"/>
      <c r="P92" s="1155"/>
      <c r="Q92" s="1156"/>
    </row>
    <row r="93" spans="1:17" x14ac:dyDescent="0.3">
      <c r="A93" s="115" t="str">
        <f t="shared" si="4"/>
        <v>2017-18</v>
      </c>
      <c r="B93" s="114">
        <f t="shared" si="3"/>
        <v>1</v>
      </c>
      <c r="C93" s="1151"/>
      <c r="F93" s="1152"/>
      <c r="K93" s="1153"/>
      <c r="L93" s="116"/>
      <c r="N93" s="1154"/>
      <c r="O93" s="1155"/>
      <c r="P93" s="1155"/>
      <c r="Q93" s="1156"/>
    </row>
    <row r="94" spans="1:17" x14ac:dyDescent="0.3">
      <c r="A94" s="115" t="str">
        <f t="shared" si="4"/>
        <v>2017-18</v>
      </c>
      <c r="B94" s="114">
        <f t="shared" si="3"/>
        <v>1</v>
      </c>
      <c r="C94" s="1151"/>
      <c r="F94" s="1152"/>
      <c r="K94" s="1153"/>
      <c r="L94" s="116"/>
      <c r="N94" s="1154"/>
      <c r="O94" s="1155"/>
      <c r="P94" s="1155"/>
      <c r="Q94" s="1156"/>
    </row>
    <row r="95" spans="1:17" x14ac:dyDescent="0.3">
      <c r="A95" s="115" t="str">
        <f t="shared" si="4"/>
        <v>2017-18</v>
      </c>
      <c r="B95" s="114">
        <f t="shared" si="3"/>
        <v>1</v>
      </c>
      <c r="C95" s="1151"/>
      <c r="F95" s="1152"/>
      <c r="K95" s="1153"/>
      <c r="L95" s="116"/>
      <c r="N95" s="1154"/>
      <c r="O95" s="1155"/>
      <c r="P95" s="1155"/>
      <c r="Q95" s="1156"/>
    </row>
    <row r="96" spans="1:17" x14ac:dyDescent="0.3">
      <c r="A96" s="115" t="str">
        <f t="shared" si="4"/>
        <v>2017-18</v>
      </c>
      <c r="B96" s="114">
        <f t="shared" si="3"/>
        <v>1</v>
      </c>
      <c r="C96" s="1151"/>
      <c r="F96" s="1152"/>
      <c r="K96" s="1153"/>
      <c r="L96" s="116"/>
      <c r="N96" s="1154"/>
      <c r="O96" s="1155"/>
      <c r="P96" s="1155"/>
      <c r="Q96" s="1156"/>
    </row>
    <row r="97" spans="1:17" x14ac:dyDescent="0.3">
      <c r="A97" s="115" t="str">
        <f t="shared" si="4"/>
        <v>2017-18</v>
      </c>
      <c r="B97" s="114">
        <f t="shared" si="3"/>
        <v>1</v>
      </c>
      <c r="C97" s="1151"/>
      <c r="F97" s="1152"/>
      <c r="K97" s="1153"/>
      <c r="L97" s="116"/>
      <c r="N97" s="1154"/>
      <c r="O97" s="1155"/>
      <c r="P97" s="1155"/>
      <c r="Q97" s="1156"/>
    </row>
    <row r="98" spans="1:17" x14ac:dyDescent="0.3">
      <c r="A98" s="115" t="str">
        <f t="shared" si="4"/>
        <v>2017-18</v>
      </c>
      <c r="B98" s="114">
        <f t="shared" si="3"/>
        <v>1</v>
      </c>
      <c r="C98" s="1151"/>
      <c r="F98" s="1152"/>
      <c r="K98" s="1153"/>
      <c r="L98" s="116"/>
      <c r="N98" s="1154"/>
      <c r="O98" s="1155"/>
      <c r="P98" s="1155"/>
      <c r="Q98" s="1156"/>
    </row>
    <row r="99" spans="1:17" x14ac:dyDescent="0.3">
      <c r="A99" s="115" t="str">
        <f t="shared" si="4"/>
        <v>2017-18</v>
      </c>
      <c r="B99" s="114">
        <f t="shared" si="3"/>
        <v>1</v>
      </c>
      <c r="C99" s="1151"/>
      <c r="F99" s="1152"/>
      <c r="K99" s="1153"/>
      <c r="L99" s="116"/>
      <c r="N99" s="1154"/>
      <c r="O99" s="1155"/>
      <c r="P99" s="1155"/>
      <c r="Q99" s="1156"/>
    </row>
    <row r="100" spans="1:17" x14ac:dyDescent="0.3">
      <c r="A100" s="115" t="str">
        <f t="shared" si="4"/>
        <v>2017-18</v>
      </c>
      <c r="B100" s="114">
        <f t="shared" si="3"/>
        <v>1</v>
      </c>
      <c r="C100" s="1151"/>
      <c r="F100" s="1152"/>
      <c r="K100" s="1153"/>
      <c r="L100" s="116"/>
      <c r="N100" s="1154"/>
      <c r="O100" s="1155"/>
      <c r="P100" s="1155"/>
      <c r="Q100" s="1156"/>
    </row>
    <row r="101" spans="1:17" x14ac:dyDescent="0.3">
      <c r="A101" s="115" t="str">
        <f t="shared" si="4"/>
        <v>2017-18</v>
      </c>
      <c r="B101" s="114">
        <f t="shared" ref="B101:B132" si="5">B100</f>
        <v>1</v>
      </c>
      <c r="C101" s="1151"/>
      <c r="F101" s="1152"/>
      <c r="K101" s="1153"/>
      <c r="L101" s="116"/>
      <c r="N101" s="1154"/>
      <c r="O101" s="1155"/>
      <c r="P101" s="1155"/>
      <c r="Q101" s="1156"/>
    </row>
    <row r="102" spans="1:17" x14ac:dyDescent="0.3">
      <c r="A102" s="115" t="str">
        <f t="shared" si="4"/>
        <v>2017-18</v>
      </c>
      <c r="B102" s="114">
        <f t="shared" si="5"/>
        <v>1</v>
      </c>
      <c r="C102" s="1151"/>
      <c r="F102" s="1152"/>
      <c r="K102" s="1153"/>
      <c r="L102" s="116"/>
      <c r="N102" s="1154"/>
      <c r="O102" s="1155"/>
      <c r="P102" s="1155"/>
      <c r="Q102" s="1156"/>
    </row>
    <row r="103" spans="1:17" x14ac:dyDescent="0.3">
      <c r="A103" s="115" t="str">
        <f t="shared" si="4"/>
        <v>2017-18</v>
      </c>
      <c r="B103" s="114">
        <f t="shared" si="5"/>
        <v>1</v>
      </c>
      <c r="C103" s="1151"/>
      <c r="F103" s="1152"/>
      <c r="K103" s="1153"/>
      <c r="L103" s="116"/>
      <c r="N103" s="1154"/>
      <c r="O103" s="1155"/>
      <c r="P103" s="1155"/>
      <c r="Q103" s="1156"/>
    </row>
    <row r="104" spans="1:17" x14ac:dyDescent="0.3">
      <c r="A104" s="115" t="str">
        <f t="shared" si="4"/>
        <v>2017-18</v>
      </c>
      <c r="B104" s="114">
        <f t="shared" si="5"/>
        <v>1</v>
      </c>
      <c r="C104" s="1151"/>
      <c r="F104" s="1152"/>
      <c r="K104" s="1153"/>
      <c r="L104" s="116"/>
      <c r="N104" s="1154"/>
      <c r="O104" s="1155"/>
      <c r="P104" s="1155"/>
      <c r="Q104" s="1156"/>
    </row>
    <row r="105" spans="1:17" x14ac:dyDescent="0.3">
      <c r="A105" s="115" t="str">
        <f t="shared" si="4"/>
        <v>2017-18</v>
      </c>
      <c r="B105" s="114">
        <f t="shared" si="5"/>
        <v>1</v>
      </c>
      <c r="C105" s="1151"/>
      <c r="F105" s="1152"/>
      <c r="K105" s="1153"/>
      <c r="L105" s="116"/>
      <c r="N105" s="1154"/>
      <c r="O105" s="1155"/>
      <c r="P105" s="1155"/>
      <c r="Q105" s="1156"/>
    </row>
    <row r="106" spans="1:17" x14ac:dyDescent="0.3">
      <c r="A106" s="115" t="str">
        <f t="shared" si="4"/>
        <v>2017-18</v>
      </c>
      <c r="B106" s="114">
        <f t="shared" si="5"/>
        <v>1</v>
      </c>
      <c r="C106" s="1151"/>
      <c r="F106" s="1152"/>
      <c r="K106" s="1153"/>
      <c r="L106" s="116"/>
      <c r="N106" s="1154"/>
      <c r="O106" s="1155"/>
      <c r="P106" s="1155"/>
      <c r="Q106" s="1156"/>
    </row>
    <row r="107" spans="1:17" x14ac:dyDescent="0.3">
      <c r="A107" s="115" t="str">
        <f t="shared" si="4"/>
        <v>2017-18</v>
      </c>
      <c r="B107" s="114">
        <f t="shared" si="5"/>
        <v>1</v>
      </c>
      <c r="C107" s="1151"/>
      <c r="F107" s="1152"/>
      <c r="K107" s="1153"/>
      <c r="L107" s="116"/>
      <c r="N107" s="1154"/>
      <c r="O107" s="1155"/>
      <c r="P107" s="1155"/>
      <c r="Q107" s="1156"/>
    </row>
    <row r="108" spans="1:17" x14ac:dyDescent="0.3">
      <c r="A108" s="115" t="str">
        <f t="shared" si="4"/>
        <v>2017-18</v>
      </c>
      <c r="B108" s="114">
        <f t="shared" si="5"/>
        <v>1</v>
      </c>
      <c r="C108" s="1151"/>
      <c r="F108" s="1152"/>
      <c r="K108" s="1153"/>
      <c r="L108" s="116"/>
      <c r="N108" s="1154"/>
      <c r="O108" s="1155"/>
      <c r="P108" s="1155"/>
      <c r="Q108" s="1156"/>
    </row>
    <row r="109" spans="1:17" x14ac:dyDescent="0.3">
      <c r="A109" s="115" t="str">
        <f t="shared" si="4"/>
        <v>2017-18</v>
      </c>
      <c r="B109" s="114">
        <f t="shared" si="5"/>
        <v>1</v>
      </c>
      <c r="C109" s="1151"/>
      <c r="F109" s="1152"/>
      <c r="K109" s="1153"/>
      <c r="L109" s="116"/>
      <c r="N109" s="1154"/>
      <c r="O109" s="1155"/>
      <c r="P109" s="1155"/>
      <c r="Q109" s="1156"/>
    </row>
    <row r="110" spans="1:17" x14ac:dyDescent="0.3">
      <c r="A110" s="115" t="str">
        <f t="shared" si="4"/>
        <v>2017-18</v>
      </c>
      <c r="B110" s="114">
        <f t="shared" si="5"/>
        <v>1</v>
      </c>
      <c r="C110" s="1151"/>
      <c r="F110" s="1152"/>
      <c r="K110" s="1153"/>
      <c r="L110" s="116"/>
      <c r="N110" s="1154"/>
      <c r="O110" s="1155"/>
      <c r="P110" s="1155"/>
      <c r="Q110" s="1156"/>
    </row>
    <row r="111" spans="1:17" x14ac:dyDescent="0.3">
      <c r="A111" s="115" t="str">
        <f t="shared" si="4"/>
        <v>2017-18</v>
      </c>
      <c r="B111" s="114">
        <f t="shared" si="5"/>
        <v>1</v>
      </c>
      <c r="C111" s="1151"/>
      <c r="F111" s="1152"/>
      <c r="K111" s="1153"/>
      <c r="L111" s="116"/>
      <c r="N111" s="1154"/>
      <c r="O111" s="1155"/>
      <c r="P111" s="1155"/>
      <c r="Q111" s="1156"/>
    </row>
    <row r="112" spans="1:17" x14ac:dyDescent="0.3">
      <c r="A112" s="115" t="str">
        <f t="shared" si="4"/>
        <v>2017-18</v>
      </c>
      <c r="B112" s="114">
        <f t="shared" si="5"/>
        <v>1</v>
      </c>
      <c r="C112" s="1151"/>
      <c r="F112" s="1152"/>
      <c r="K112" s="1153"/>
      <c r="L112" s="116"/>
      <c r="N112" s="1154"/>
      <c r="O112" s="1155"/>
      <c r="P112" s="1155"/>
      <c r="Q112" s="1156"/>
    </row>
    <row r="113" spans="1:17" x14ac:dyDescent="0.3">
      <c r="A113" s="115" t="str">
        <f t="shared" si="4"/>
        <v>2017-18</v>
      </c>
      <c r="B113" s="114">
        <f t="shared" si="5"/>
        <v>1</v>
      </c>
      <c r="C113" s="1151"/>
      <c r="F113" s="1152"/>
      <c r="K113" s="1153"/>
      <c r="L113" s="116"/>
      <c r="N113" s="1154"/>
      <c r="O113" s="1155"/>
      <c r="P113" s="1155"/>
      <c r="Q113" s="1156"/>
    </row>
    <row r="114" spans="1:17" x14ac:dyDescent="0.3">
      <c r="A114" s="115" t="str">
        <f t="shared" si="4"/>
        <v>2017-18</v>
      </c>
      <c r="B114" s="114">
        <f t="shared" si="5"/>
        <v>1</v>
      </c>
      <c r="C114" s="1151"/>
      <c r="F114" s="1152"/>
      <c r="K114" s="1153"/>
      <c r="L114" s="116"/>
      <c r="N114" s="1154"/>
      <c r="O114" s="1155"/>
      <c r="P114" s="1155"/>
      <c r="Q114" s="1156"/>
    </row>
    <row r="115" spans="1:17" x14ac:dyDescent="0.3">
      <c r="A115" s="115" t="str">
        <f t="shared" si="4"/>
        <v>2017-18</v>
      </c>
      <c r="B115" s="114">
        <f t="shared" si="5"/>
        <v>1</v>
      </c>
      <c r="C115" s="1151"/>
      <c r="F115" s="1152"/>
      <c r="K115" s="1153"/>
      <c r="L115" s="116"/>
      <c r="N115" s="1154"/>
      <c r="O115" s="1155"/>
      <c r="P115" s="1155"/>
      <c r="Q115" s="1156"/>
    </row>
    <row r="116" spans="1:17" x14ac:dyDescent="0.3">
      <c r="A116" s="115" t="str">
        <f t="shared" si="4"/>
        <v>2017-18</v>
      </c>
      <c r="B116" s="114">
        <f t="shared" si="5"/>
        <v>1</v>
      </c>
      <c r="C116" s="1151"/>
      <c r="F116" s="1152"/>
      <c r="K116" s="1153"/>
      <c r="L116" s="116"/>
      <c r="N116" s="1154"/>
      <c r="O116" s="1155"/>
      <c r="P116" s="1155"/>
      <c r="Q116" s="1156"/>
    </row>
    <row r="117" spans="1:17" x14ac:dyDescent="0.3">
      <c r="A117" s="115" t="str">
        <f t="shared" si="4"/>
        <v>2017-18</v>
      </c>
      <c r="B117" s="114">
        <f t="shared" si="5"/>
        <v>1</v>
      </c>
      <c r="C117" s="1151"/>
      <c r="F117" s="1152"/>
      <c r="K117" s="1153"/>
      <c r="L117" s="116"/>
      <c r="N117" s="1154"/>
      <c r="O117" s="1155"/>
      <c r="P117" s="1155"/>
      <c r="Q117" s="1156"/>
    </row>
    <row r="118" spans="1:17" x14ac:dyDescent="0.3">
      <c r="A118" s="115" t="str">
        <f t="shared" si="4"/>
        <v>2017-18</v>
      </c>
      <c r="B118" s="114">
        <f t="shared" si="5"/>
        <v>1</v>
      </c>
      <c r="C118" s="1151"/>
      <c r="F118" s="1152"/>
      <c r="K118" s="1153"/>
      <c r="L118" s="116"/>
      <c r="N118" s="1154"/>
      <c r="O118" s="1155"/>
      <c r="P118" s="1155"/>
      <c r="Q118" s="1156"/>
    </row>
    <row r="119" spans="1:17" x14ac:dyDescent="0.3">
      <c r="A119" s="115" t="str">
        <f t="shared" si="4"/>
        <v>2017-18</v>
      </c>
      <c r="B119" s="114">
        <f t="shared" si="5"/>
        <v>1</v>
      </c>
      <c r="C119" s="1151"/>
      <c r="F119" s="1152"/>
      <c r="K119" s="1153"/>
      <c r="L119" s="116"/>
      <c r="N119" s="1154"/>
      <c r="O119" s="1155"/>
      <c r="P119" s="1155"/>
      <c r="Q119" s="1156"/>
    </row>
    <row r="120" spans="1:17" x14ac:dyDescent="0.3">
      <c r="A120" s="115" t="str">
        <f t="shared" si="4"/>
        <v>2017-18</v>
      </c>
      <c r="B120" s="114">
        <f t="shared" si="5"/>
        <v>1</v>
      </c>
      <c r="C120" s="1151"/>
      <c r="F120" s="1152"/>
      <c r="K120" s="1153"/>
      <c r="L120" s="116"/>
      <c r="N120" s="1154"/>
      <c r="O120" s="1155"/>
      <c r="P120" s="1155"/>
      <c r="Q120" s="1156"/>
    </row>
    <row r="121" spans="1:17" x14ac:dyDescent="0.3">
      <c r="A121" s="115" t="str">
        <f t="shared" si="4"/>
        <v>2017-18</v>
      </c>
      <c r="B121" s="114">
        <f t="shared" si="5"/>
        <v>1</v>
      </c>
      <c r="C121" s="1151"/>
      <c r="F121" s="1152"/>
      <c r="K121" s="1153"/>
      <c r="L121" s="116"/>
      <c r="N121" s="1154"/>
      <c r="O121" s="1155"/>
      <c r="P121" s="1155"/>
      <c r="Q121" s="1156"/>
    </row>
    <row r="122" spans="1:17" x14ac:dyDescent="0.3">
      <c r="A122" s="115" t="str">
        <f t="shared" si="4"/>
        <v>2017-18</v>
      </c>
      <c r="B122" s="114">
        <f t="shared" si="5"/>
        <v>1</v>
      </c>
      <c r="C122" s="1151"/>
      <c r="F122" s="1152"/>
      <c r="K122" s="1153"/>
      <c r="L122" s="116"/>
      <c r="N122" s="1154"/>
      <c r="O122" s="1155"/>
      <c r="P122" s="1155"/>
      <c r="Q122" s="1156"/>
    </row>
    <row r="123" spans="1:17" x14ac:dyDescent="0.3">
      <c r="A123" s="115" t="str">
        <f t="shared" si="4"/>
        <v>2017-18</v>
      </c>
      <c r="B123" s="114">
        <f t="shared" si="5"/>
        <v>1</v>
      </c>
      <c r="C123" s="1151"/>
      <c r="F123" s="1152"/>
      <c r="K123" s="1153"/>
      <c r="L123" s="116"/>
      <c r="N123" s="1154"/>
      <c r="O123" s="1155"/>
      <c r="P123" s="1155"/>
      <c r="Q123" s="1156"/>
    </row>
    <row r="124" spans="1:17" x14ac:dyDescent="0.3">
      <c r="A124" s="115" t="str">
        <f t="shared" si="4"/>
        <v>2017-18</v>
      </c>
      <c r="B124" s="114">
        <f t="shared" si="5"/>
        <v>1</v>
      </c>
      <c r="C124" s="1151"/>
      <c r="F124" s="1152"/>
      <c r="K124" s="1153"/>
      <c r="L124" s="116"/>
      <c r="N124" s="1154"/>
      <c r="O124" s="1155"/>
      <c r="P124" s="1155"/>
      <c r="Q124" s="1156"/>
    </row>
    <row r="125" spans="1:17" x14ac:dyDescent="0.3">
      <c r="A125" s="115" t="str">
        <f t="shared" si="4"/>
        <v>2017-18</v>
      </c>
      <c r="B125" s="114">
        <f t="shared" si="5"/>
        <v>1</v>
      </c>
      <c r="C125" s="1151"/>
      <c r="F125" s="1152"/>
      <c r="K125" s="1153"/>
      <c r="L125" s="116"/>
      <c r="N125" s="1154"/>
      <c r="O125" s="1155"/>
      <c r="P125" s="1155"/>
      <c r="Q125" s="1156"/>
    </row>
    <row r="126" spans="1:17" x14ac:dyDescent="0.3">
      <c r="A126" s="115" t="str">
        <f t="shared" si="4"/>
        <v>2017-18</v>
      </c>
      <c r="B126" s="114">
        <f t="shared" si="5"/>
        <v>1</v>
      </c>
      <c r="C126" s="1151"/>
      <c r="F126" s="1152"/>
      <c r="K126" s="1153"/>
      <c r="L126" s="116"/>
      <c r="N126" s="1154"/>
      <c r="O126" s="1155"/>
      <c r="P126" s="1155"/>
      <c r="Q126" s="1156"/>
    </row>
    <row r="127" spans="1:17" x14ac:dyDescent="0.3">
      <c r="A127" s="115" t="str">
        <f t="shared" si="4"/>
        <v>2017-18</v>
      </c>
      <c r="B127" s="114">
        <f t="shared" si="5"/>
        <v>1</v>
      </c>
      <c r="C127" s="1151"/>
      <c r="F127" s="1152"/>
      <c r="K127" s="1153"/>
      <c r="L127" s="116"/>
      <c r="N127" s="1154"/>
      <c r="O127" s="1155"/>
      <c r="P127" s="1155"/>
      <c r="Q127" s="1156"/>
    </row>
    <row r="128" spans="1:17" x14ac:dyDescent="0.3">
      <c r="A128" s="115" t="str">
        <f t="shared" si="4"/>
        <v>2017-18</v>
      </c>
      <c r="B128" s="114">
        <f t="shared" si="5"/>
        <v>1</v>
      </c>
      <c r="C128" s="1151"/>
      <c r="F128" s="1152"/>
      <c r="K128" s="1153"/>
      <c r="L128" s="116"/>
      <c r="N128" s="1154"/>
      <c r="O128" s="1155"/>
      <c r="P128" s="1155"/>
      <c r="Q128" s="1156"/>
    </row>
    <row r="129" spans="1:17" x14ac:dyDescent="0.3">
      <c r="A129" s="115" t="str">
        <f t="shared" si="4"/>
        <v>2017-18</v>
      </c>
      <c r="B129" s="114">
        <f t="shared" si="5"/>
        <v>1</v>
      </c>
      <c r="C129" s="1151"/>
      <c r="F129" s="1152"/>
      <c r="K129" s="1153"/>
      <c r="L129" s="116"/>
      <c r="N129" s="1154"/>
      <c r="O129" s="1155"/>
      <c r="P129" s="1155"/>
      <c r="Q129" s="1156"/>
    </row>
    <row r="130" spans="1:17" x14ac:dyDescent="0.3">
      <c r="A130" s="115" t="str">
        <f t="shared" si="4"/>
        <v>2017-18</v>
      </c>
      <c r="B130" s="114">
        <f t="shared" si="5"/>
        <v>1</v>
      </c>
      <c r="C130" s="1151"/>
      <c r="F130" s="1152"/>
      <c r="K130" s="1153"/>
      <c r="L130" s="116"/>
      <c r="N130" s="1154"/>
      <c r="O130" s="1155"/>
      <c r="P130" s="1155"/>
      <c r="Q130" s="1156"/>
    </row>
    <row r="131" spans="1:17" x14ac:dyDescent="0.3">
      <c r="A131" s="115" t="str">
        <f t="shared" si="4"/>
        <v>2017-18</v>
      </c>
      <c r="B131" s="114">
        <f t="shared" si="5"/>
        <v>1</v>
      </c>
      <c r="C131" s="1151"/>
      <c r="F131" s="1152"/>
      <c r="K131" s="1153"/>
      <c r="L131" s="116"/>
      <c r="N131" s="1154"/>
      <c r="O131" s="1155"/>
      <c r="P131" s="1155"/>
      <c r="Q131" s="1156"/>
    </row>
    <row r="132" spans="1:17" x14ac:dyDescent="0.3">
      <c r="A132" s="115" t="str">
        <f t="shared" si="4"/>
        <v>2017-18</v>
      </c>
      <c r="B132" s="114">
        <f t="shared" si="5"/>
        <v>1</v>
      </c>
      <c r="C132" s="1151"/>
      <c r="F132" s="1152"/>
      <c r="K132" s="1153"/>
      <c r="L132" s="116"/>
      <c r="N132" s="1154"/>
      <c r="O132" s="1155"/>
      <c r="P132" s="1155"/>
      <c r="Q132" s="1156"/>
    </row>
    <row r="133" spans="1:17" x14ac:dyDescent="0.3">
      <c r="A133" s="115" t="str">
        <f t="shared" si="4"/>
        <v>2017-18</v>
      </c>
      <c r="B133" s="114">
        <f t="shared" ref="B133:B164" si="6">B132</f>
        <v>1</v>
      </c>
      <c r="C133" s="1151"/>
      <c r="F133" s="1152"/>
      <c r="K133" s="1153"/>
      <c r="L133" s="116"/>
      <c r="N133" s="1154"/>
      <c r="O133" s="1155"/>
      <c r="P133" s="1155"/>
      <c r="Q133" s="1156"/>
    </row>
    <row r="134" spans="1:17" x14ac:dyDescent="0.3">
      <c r="A134" s="115" t="str">
        <f t="shared" ref="A134:A197" si="7">A133</f>
        <v>2017-18</v>
      </c>
      <c r="B134" s="114">
        <f t="shared" si="6"/>
        <v>1</v>
      </c>
      <c r="C134" s="1151"/>
      <c r="F134" s="1152"/>
      <c r="K134" s="1153"/>
      <c r="L134" s="116"/>
      <c r="N134" s="1154"/>
      <c r="O134" s="1155"/>
      <c r="P134" s="1155"/>
      <c r="Q134" s="1156"/>
    </row>
    <row r="135" spans="1:17" x14ac:dyDescent="0.3">
      <c r="A135" s="115" t="str">
        <f t="shared" si="7"/>
        <v>2017-18</v>
      </c>
      <c r="B135" s="114">
        <f t="shared" si="6"/>
        <v>1</v>
      </c>
      <c r="C135" s="1151"/>
      <c r="F135" s="1152"/>
      <c r="K135" s="1153"/>
      <c r="L135" s="116"/>
      <c r="N135" s="1154"/>
      <c r="O135" s="1155"/>
      <c r="P135" s="1155"/>
      <c r="Q135" s="1156"/>
    </row>
    <row r="136" spans="1:17" x14ac:dyDescent="0.3">
      <c r="A136" s="115" t="str">
        <f t="shared" si="7"/>
        <v>2017-18</v>
      </c>
      <c r="B136" s="114">
        <f t="shared" si="6"/>
        <v>1</v>
      </c>
      <c r="C136" s="1151"/>
      <c r="F136" s="1152"/>
      <c r="K136" s="1153"/>
      <c r="L136" s="116"/>
      <c r="N136" s="1154"/>
      <c r="O136" s="1155"/>
      <c r="P136" s="1155"/>
      <c r="Q136" s="1156"/>
    </row>
    <row r="137" spans="1:17" x14ac:dyDescent="0.3">
      <c r="A137" s="115" t="str">
        <f t="shared" si="7"/>
        <v>2017-18</v>
      </c>
      <c r="B137" s="114">
        <f t="shared" si="6"/>
        <v>1</v>
      </c>
      <c r="C137" s="1151"/>
      <c r="F137" s="1152"/>
      <c r="K137" s="1153"/>
      <c r="L137" s="116"/>
      <c r="N137" s="1154"/>
      <c r="O137" s="1155"/>
      <c r="P137" s="1155"/>
      <c r="Q137" s="1156"/>
    </row>
    <row r="138" spans="1:17" x14ac:dyDescent="0.3">
      <c r="A138" s="115" t="str">
        <f t="shared" si="7"/>
        <v>2017-18</v>
      </c>
      <c r="B138" s="114">
        <f t="shared" si="6"/>
        <v>1</v>
      </c>
      <c r="C138" s="1151"/>
      <c r="F138" s="1152"/>
      <c r="K138" s="1153"/>
      <c r="L138" s="116"/>
      <c r="N138" s="1154"/>
      <c r="O138" s="1155"/>
      <c r="P138" s="1155"/>
      <c r="Q138" s="1156"/>
    </row>
    <row r="139" spans="1:17" x14ac:dyDescent="0.3">
      <c r="A139" s="115" t="str">
        <f t="shared" si="7"/>
        <v>2017-18</v>
      </c>
      <c r="B139" s="114">
        <f t="shared" si="6"/>
        <v>1</v>
      </c>
      <c r="C139" s="1151"/>
      <c r="F139" s="1152"/>
      <c r="K139" s="1153"/>
      <c r="L139" s="116"/>
      <c r="N139" s="1154"/>
      <c r="O139" s="1155"/>
      <c r="P139" s="1155"/>
      <c r="Q139" s="1156"/>
    </row>
    <row r="140" spans="1:17" x14ac:dyDescent="0.3">
      <c r="A140" s="115" t="str">
        <f t="shared" si="7"/>
        <v>2017-18</v>
      </c>
      <c r="B140" s="114">
        <f t="shared" si="6"/>
        <v>1</v>
      </c>
      <c r="C140" s="1151"/>
      <c r="F140" s="1152"/>
      <c r="K140" s="1153"/>
      <c r="L140" s="116"/>
      <c r="N140" s="1154"/>
      <c r="O140" s="1155"/>
      <c r="P140" s="1155"/>
      <c r="Q140" s="1156"/>
    </row>
    <row r="141" spans="1:17" x14ac:dyDescent="0.3">
      <c r="A141" s="115" t="str">
        <f t="shared" si="7"/>
        <v>2017-18</v>
      </c>
      <c r="B141" s="114">
        <f t="shared" si="6"/>
        <v>1</v>
      </c>
      <c r="C141" s="1151"/>
      <c r="F141" s="1152"/>
      <c r="K141" s="1153"/>
      <c r="L141" s="116"/>
      <c r="N141" s="1154"/>
      <c r="O141" s="1155"/>
      <c r="P141" s="1155"/>
      <c r="Q141" s="1156"/>
    </row>
    <row r="142" spans="1:17" x14ac:dyDescent="0.3">
      <c r="A142" s="115" t="str">
        <f t="shared" si="7"/>
        <v>2017-18</v>
      </c>
      <c r="B142" s="114">
        <f t="shared" si="6"/>
        <v>1</v>
      </c>
      <c r="C142" s="1151"/>
      <c r="F142" s="1152"/>
      <c r="K142" s="1153"/>
      <c r="L142" s="116"/>
      <c r="N142" s="1154"/>
      <c r="O142" s="1155"/>
      <c r="P142" s="1155"/>
      <c r="Q142" s="1156"/>
    </row>
    <row r="143" spans="1:17" x14ac:dyDescent="0.3">
      <c r="A143" s="115" t="str">
        <f t="shared" si="7"/>
        <v>2017-18</v>
      </c>
      <c r="B143" s="114">
        <f t="shared" si="6"/>
        <v>1</v>
      </c>
      <c r="C143" s="1151"/>
      <c r="F143" s="1152"/>
      <c r="K143" s="1153"/>
      <c r="L143" s="116"/>
      <c r="N143" s="1154"/>
      <c r="O143" s="1155"/>
      <c r="P143" s="1155"/>
      <c r="Q143" s="1156"/>
    </row>
    <row r="144" spans="1:17" x14ac:dyDescent="0.3">
      <c r="A144" s="115" t="str">
        <f t="shared" si="7"/>
        <v>2017-18</v>
      </c>
      <c r="B144" s="114">
        <f t="shared" si="6"/>
        <v>1</v>
      </c>
      <c r="C144" s="1151"/>
      <c r="F144" s="1152"/>
      <c r="K144" s="1153"/>
      <c r="L144" s="116"/>
      <c r="N144" s="1154"/>
      <c r="O144" s="1155"/>
      <c r="P144" s="1155"/>
      <c r="Q144" s="1156"/>
    </row>
    <row r="145" spans="1:17" x14ac:dyDescent="0.3">
      <c r="A145" s="115" t="str">
        <f t="shared" si="7"/>
        <v>2017-18</v>
      </c>
      <c r="B145" s="114">
        <f t="shared" si="6"/>
        <v>1</v>
      </c>
      <c r="C145" s="1151"/>
      <c r="F145" s="1152"/>
      <c r="K145" s="1153"/>
      <c r="L145" s="116"/>
      <c r="N145" s="1154"/>
      <c r="O145" s="1155"/>
      <c r="P145" s="1155"/>
      <c r="Q145" s="1156"/>
    </row>
    <row r="146" spans="1:17" x14ac:dyDescent="0.3">
      <c r="A146" s="115" t="str">
        <f t="shared" si="7"/>
        <v>2017-18</v>
      </c>
      <c r="B146" s="114">
        <f t="shared" si="6"/>
        <v>1</v>
      </c>
      <c r="C146" s="1151"/>
      <c r="F146" s="1152"/>
      <c r="K146" s="1153"/>
      <c r="L146" s="116"/>
      <c r="N146" s="1154"/>
      <c r="O146" s="1155"/>
      <c r="P146" s="1155"/>
      <c r="Q146" s="1156"/>
    </row>
    <row r="147" spans="1:17" x14ac:dyDescent="0.3">
      <c r="A147" s="115" t="str">
        <f t="shared" si="7"/>
        <v>2017-18</v>
      </c>
      <c r="B147" s="114">
        <f t="shared" si="6"/>
        <v>1</v>
      </c>
      <c r="C147" s="1151"/>
      <c r="F147" s="1152"/>
      <c r="K147" s="1153"/>
      <c r="L147" s="116"/>
      <c r="N147" s="1154"/>
      <c r="O147" s="1155"/>
      <c r="P147" s="1155"/>
      <c r="Q147" s="1156"/>
    </row>
    <row r="148" spans="1:17" x14ac:dyDescent="0.3">
      <c r="A148" s="115" t="str">
        <f t="shared" si="7"/>
        <v>2017-18</v>
      </c>
      <c r="B148" s="114">
        <f t="shared" si="6"/>
        <v>1</v>
      </c>
      <c r="C148" s="1151"/>
      <c r="F148" s="1152"/>
      <c r="K148" s="1153"/>
      <c r="L148" s="116"/>
      <c r="N148" s="1154"/>
      <c r="O148" s="1155"/>
      <c r="P148" s="1155"/>
      <c r="Q148" s="1156"/>
    </row>
    <row r="149" spans="1:17" x14ac:dyDescent="0.3">
      <c r="A149" s="115" t="str">
        <f t="shared" si="7"/>
        <v>2017-18</v>
      </c>
      <c r="B149" s="114">
        <f t="shared" si="6"/>
        <v>1</v>
      </c>
      <c r="C149" s="1151"/>
      <c r="F149" s="1152"/>
      <c r="K149" s="1153"/>
      <c r="L149" s="116"/>
      <c r="N149" s="1154"/>
      <c r="O149" s="1155"/>
      <c r="P149" s="1155"/>
      <c r="Q149" s="1156"/>
    </row>
    <row r="150" spans="1:17" x14ac:dyDescent="0.3">
      <c r="A150" s="115" t="str">
        <f t="shared" si="7"/>
        <v>2017-18</v>
      </c>
      <c r="B150" s="114">
        <f t="shared" si="6"/>
        <v>1</v>
      </c>
      <c r="C150" s="1151"/>
      <c r="F150" s="1152"/>
      <c r="K150" s="1153"/>
      <c r="L150" s="116"/>
      <c r="N150" s="1154"/>
      <c r="O150" s="1155"/>
      <c r="P150" s="1155"/>
      <c r="Q150" s="1156"/>
    </row>
    <row r="151" spans="1:17" x14ac:dyDescent="0.3">
      <c r="A151" s="115" t="str">
        <f t="shared" si="7"/>
        <v>2017-18</v>
      </c>
      <c r="B151" s="114">
        <f t="shared" si="6"/>
        <v>1</v>
      </c>
      <c r="C151" s="1151"/>
      <c r="F151" s="1152"/>
      <c r="K151" s="1153"/>
      <c r="L151" s="116"/>
      <c r="N151" s="1154"/>
      <c r="O151" s="1155"/>
      <c r="P151" s="1155"/>
      <c r="Q151" s="1156"/>
    </row>
    <row r="152" spans="1:17" x14ac:dyDescent="0.3">
      <c r="A152" s="115" t="str">
        <f t="shared" si="7"/>
        <v>2017-18</v>
      </c>
      <c r="B152" s="114">
        <f t="shared" si="6"/>
        <v>1</v>
      </c>
      <c r="C152" s="1151"/>
      <c r="F152" s="1152"/>
      <c r="K152" s="1153"/>
      <c r="L152" s="116"/>
      <c r="N152" s="1154"/>
      <c r="O152" s="1155"/>
      <c r="P152" s="1155"/>
      <c r="Q152" s="1156"/>
    </row>
    <row r="153" spans="1:17" x14ac:dyDescent="0.3">
      <c r="A153" s="115" t="str">
        <f t="shared" si="7"/>
        <v>2017-18</v>
      </c>
      <c r="B153" s="114">
        <f t="shared" si="6"/>
        <v>1</v>
      </c>
      <c r="C153" s="1151"/>
      <c r="F153" s="1152"/>
      <c r="K153" s="1153"/>
      <c r="L153" s="116"/>
      <c r="N153" s="1154"/>
      <c r="O153" s="1155"/>
      <c r="P153" s="1155"/>
      <c r="Q153" s="1156"/>
    </row>
    <row r="154" spans="1:17" x14ac:dyDescent="0.3">
      <c r="A154" s="115" t="str">
        <f t="shared" si="7"/>
        <v>2017-18</v>
      </c>
      <c r="B154" s="114">
        <f t="shared" si="6"/>
        <v>1</v>
      </c>
      <c r="C154" s="1151"/>
      <c r="F154" s="1152"/>
      <c r="K154" s="1153"/>
      <c r="L154" s="116"/>
      <c r="N154" s="1154"/>
      <c r="O154" s="1155"/>
      <c r="P154" s="1155"/>
      <c r="Q154" s="1156"/>
    </row>
    <row r="155" spans="1:17" x14ac:dyDescent="0.3">
      <c r="A155" s="115" t="str">
        <f t="shared" si="7"/>
        <v>2017-18</v>
      </c>
      <c r="B155" s="114">
        <f t="shared" si="6"/>
        <v>1</v>
      </c>
      <c r="C155" s="1151"/>
      <c r="F155" s="1152"/>
      <c r="K155" s="1153"/>
      <c r="L155" s="116"/>
      <c r="N155" s="1154"/>
      <c r="O155" s="1155"/>
      <c r="P155" s="1155"/>
      <c r="Q155" s="1156"/>
    </row>
    <row r="156" spans="1:17" x14ac:dyDescent="0.3">
      <c r="A156" s="115" t="str">
        <f t="shared" si="7"/>
        <v>2017-18</v>
      </c>
      <c r="B156" s="114">
        <f t="shared" si="6"/>
        <v>1</v>
      </c>
      <c r="C156" s="1151"/>
      <c r="F156" s="1152"/>
      <c r="K156" s="1153"/>
      <c r="L156" s="116"/>
      <c r="N156" s="1154"/>
      <c r="O156" s="1155"/>
      <c r="P156" s="1155"/>
      <c r="Q156" s="1156"/>
    </row>
    <row r="157" spans="1:17" x14ac:dyDescent="0.3">
      <c r="A157" s="115" t="str">
        <f t="shared" si="7"/>
        <v>2017-18</v>
      </c>
      <c r="B157" s="114">
        <f t="shared" si="6"/>
        <v>1</v>
      </c>
      <c r="C157" s="1151"/>
      <c r="F157" s="1152"/>
      <c r="K157" s="1153"/>
      <c r="L157" s="116"/>
      <c r="N157" s="1154"/>
      <c r="O157" s="1155"/>
      <c r="P157" s="1155"/>
      <c r="Q157" s="1156"/>
    </row>
    <row r="158" spans="1:17" x14ac:dyDescent="0.3">
      <c r="A158" s="115" t="str">
        <f t="shared" si="7"/>
        <v>2017-18</v>
      </c>
      <c r="B158" s="114">
        <f t="shared" si="6"/>
        <v>1</v>
      </c>
      <c r="C158" s="1151"/>
      <c r="F158" s="1152"/>
      <c r="K158" s="1153"/>
      <c r="L158" s="116"/>
      <c r="N158" s="1154"/>
      <c r="O158" s="1155"/>
      <c r="P158" s="1155"/>
      <c r="Q158" s="1156"/>
    </row>
    <row r="159" spans="1:17" x14ac:dyDescent="0.3">
      <c r="A159" s="115" t="str">
        <f t="shared" si="7"/>
        <v>2017-18</v>
      </c>
      <c r="B159" s="114">
        <f t="shared" si="6"/>
        <v>1</v>
      </c>
      <c r="C159" s="1151"/>
      <c r="F159" s="1152"/>
      <c r="K159" s="1153"/>
      <c r="L159" s="116"/>
      <c r="N159" s="1154"/>
      <c r="O159" s="1155"/>
      <c r="P159" s="1155"/>
      <c r="Q159" s="1156"/>
    </row>
    <row r="160" spans="1:17" x14ac:dyDescent="0.3">
      <c r="A160" s="115" t="str">
        <f t="shared" si="7"/>
        <v>2017-18</v>
      </c>
      <c r="B160" s="114">
        <f t="shared" si="6"/>
        <v>1</v>
      </c>
      <c r="C160" s="1151"/>
      <c r="F160" s="1152"/>
      <c r="K160" s="1153"/>
      <c r="L160" s="116"/>
      <c r="N160" s="1154"/>
      <c r="O160" s="1155"/>
      <c r="P160" s="1155"/>
      <c r="Q160" s="1156"/>
    </row>
    <row r="161" spans="1:17" x14ac:dyDescent="0.3">
      <c r="A161" s="115" t="str">
        <f t="shared" si="7"/>
        <v>2017-18</v>
      </c>
      <c r="B161" s="114">
        <f t="shared" si="6"/>
        <v>1</v>
      </c>
      <c r="C161" s="1151"/>
      <c r="F161" s="1152"/>
      <c r="K161" s="1153"/>
      <c r="L161" s="116"/>
      <c r="N161" s="1154"/>
      <c r="O161" s="1155"/>
      <c r="P161" s="1155"/>
      <c r="Q161" s="1156"/>
    </row>
    <row r="162" spans="1:17" x14ac:dyDescent="0.3">
      <c r="A162" s="115" t="str">
        <f t="shared" si="7"/>
        <v>2017-18</v>
      </c>
      <c r="B162" s="114">
        <f t="shared" si="6"/>
        <v>1</v>
      </c>
      <c r="C162" s="1151"/>
      <c r="F162" s="1152"/>
      <c r="K162" s="1153"/>
      <c r="L162" s="116"/>
      <c r="N162" s="1154"/>
      <c r="O162" s="1155"/>
      <c r="P162" s="1155"/>
      <c r="Q162" s="1156"/>
    </row>
    <row r="163" spans="1:17" x14ac:dyDescent="0.3">
      <c r="A163" s="115" t="str">
        <f t="shared" si="7"/>
        <v>2017-18</v>
      </c>
      <c r="B163" s="114">
        <f t="shared" si="6"/>
        <v>1</v>
      </c>
      <c r="C163" s="1151"/>
      <c r="F163" s="1152"/>
      <c r="K163" s="1153"/>
      <c r="L163" s="116"/>
      <c r="N163" s="1154"/>
      <c r="O163" s="1155"/>
      <c r="P163" s="1155"/>
      <c r="Q163" s="1156"/>
    </row>
    <row r="164" spans="1:17" x14ac:dyDescent="0.3">
      <c r="A164" s="115" t="str">
        <f t="shared" si="7"/>
        <v>2017-18</v>
      </c>
      <c r="B164" s="114">
        <f t="shared" si="6"/>
        <v>1</v>
      </c>
      <c r="C164" s="1151"/>
      <c r="F164" s="1152"/>
      <c r="K164" s="1153"/>
      <c r="L164" s="116"/>
      <c r="N164" s="1154"/>
      <c r="O164" s="1155"/>
      <c r="P164" s="1155"/>
      <c r="Q164" s="1156"/>
    </row>
    <row r="165" spans="1:17" x14ac:dyDescent="0.3">
      <c r="A165" s="115" t="str">
        <f t="shared" si="7"/>
        <v>2017-18</v>
      </c>
      <c r="B165" s="114">
        <f t="shared" ref="B165:B201" si="8">B164</f>
        <v>1</v>
      </c>
      <c r="C165" s="1151"/>
      <c r="F165" s="1152"/>
      <c r="K165" s="1153"/>
      <c r="L165" s="116"/>
      <c r="N165" s="1154"/>
      <c r="O165" s="1155"/>
      <c r="P165" s="1155"/>
      <c r="Q165" s="1156"/>
    </row>
    <row r="166" spans="1:17" x14ac:dyDescent="0.3">
      <c r="A166" s="115" t="str">
        <f t="shared" si="7"/>
        <v>2017-18</v>
      </c>
      <c r="B166" s="114">
        <f t="shared" si="8"/>
        <v>1</v>
      </c>
      <c r="C166" s="1151"/>
      <c r="F166" s="1152"/>
      <c r="K166" s="1153"/>
      <c r="L166" s="116"/>
      <c r="N166" s="1154"/>
      <c r="O166" s="1155"/>
      <c r="P166" s="1155"/>
      <c r="Q166" s="1156"/>
    </row>
    <row r="167" spans="1:17" x14ac:dyDescent="0.3">
      <c r="A167" s="115" t="str">
        <f t="shared" si="7"/>
        <v>2017-18</v>
      </c>
      <c r="B167" s="114">
        <f t="shared" si="8"/>
        <v>1</v>
      </c>
      <c r="C167" s="1151"/>
      <c r="F167" s="1152"/>
      <c r="K167" s="1153"/>
      <c r="L167" s="116"/>
      <c r="N167" s="1154"/>
      <c r="O167" s="1155"/>
      <c r="P167" s="1155"/>
      <c r="Q167" s="1156"/>
    </row>
    <row r="168" spans="1:17" x14ac:dyDescent="0.3">
      <c r="A168" s="115" t="str">
        <f t="shared" si="7"/>
        <v>2017-18</v>
      </c>
      <c r="B168" s="114">
        <f t="shared" si="8"/>
        <v>1</v>
      </c>
      <c r="C168" s="1151"/>
      <c r="F168" s="1152"/>
      <c r="K168" s="1153"/>
      <c r="L168" s="116"/>
      <c r="N168" s="1154"/>
      <c r="O168" s="1155"/>
      <c r="P168" s="1155"/>
      <c r="Q168" s="1156"/>
    </row>
    <row r="169" spans="1:17" x14ac:dyDescent="0.3">
      <c r="A169" s="115" t="str">
        <f t="shared" si="7"/>
        <v>2017-18</v>
      </c>
      <c r="B169" s="114">
        <f t="shared" si="8"/>
        <v>1</v>
      </c>
      <c r="C169" s="1151"/>
      <c r="F169" s="1152"/>
      <c r="K169" s="1153"/>
      <c r="L169" s="116"/>
      <c r="N169" s="1154"/>
      <c r="O169" s="1155"/>
      <c r="P169" s="1155"/>
      <c r="Q169" s="1156"/>
    </row>
    <row r="170" spans="1:17" x14ac:dyDescent="0.3">
      <c r="A170" s="115" t="str">
        <f t="shared" si="7"/>
        <v>2017-18</v>
      </c>
      <c r="B170" s="114">
        <f t="shared" si="8"/>
        <v>1</v>
      </c>
      <c r="C170" s="1151"/>
      <c r="F170" s="1152"/>
      <c r="K170" s="1153"/>
      <c r="L170" s="116"/>
      <c r="N170" s="1154"/>
      <c r="O170" s="1155"/>
      <c r="P170" s="1155"/>
      <c r="Q170" s="1156"/>
    </row>
    <row r="171" spans="1:17" x14ac:dyDescent="0.3">
      <c r="A171" s="115" t="str">
        <f t="shared" si="7"/>
        <v>2017-18</v>
      </c>
      <c r="B171" s="114">
        <f t="shared" si="8"/>
        <v>1</v>
      </c>
      <c r="C171" s="1151"/>
      <c r="F171" s="1152"/>
      <c r="K171" s="1153"/>
      <c r="L171" s="116"/>
      <c r="N171" s="1154"/>
      <c r="O171" s="1155"/>
      <c r="P171" s="1155"/>
      <c r="Q171" s="1156"/>
    </row>
    <row r="172" spans="1:17" x14ac:dyDescent="0.3">
      <c r="A172" s="115" t="str">
        <f t="shared" si="7"/>
        <v>2017-18</v>
      </c>
      <c r="B172" s="114">
        <f t="shared" si="8"/>
        <v>1</v>
      </c>
      <c r="C172" s="1151"/>
      <c r="F172" s="1152"/>
      <c r="K172" s="1153"/>
      <c r="L172" s="116"/>
      <c r="N172" s="1154"/>
      <c r="O172" s="1155"/>
      <c r="P172" s="1155"/>
      <c r="Q172" s="1156"/>
    </row>
    <row r="173" spans="1:17" x14ac:dyDescent="0.3">
      <c r="A173" s="115" t="str">
        <f t="shared" si="7"/>
        <v>2017-18</v>
      </c>
      <c r="B173" s="114">
        <f t="shared" si="8"/>
        <v>1</v>
      </c>
      <c r="C173" s="1151"/>
      <c r="F173" s="1152"/>
      <c r="K173" s="1153"/>
      <c r="L173" s="116"/>
      <c r="N173" s="1154"/>
      <c r="O173" s="1155"/>
      <c r="P173" s="1155"/>
      <c r="Q173" s="1156"/>
    </row>
    <row r="174" spans="1:17" x14ac:dyDescent="0.3">
      <c r="A174" s="115" t="str">
        <f t="shared" si="7"/>
        <v>2017-18</v>
      </c>
      <c r="B174" s="114">
        <f t="shared" si="8"/>
        <v>1</v>
      </c>
      <c r="C174" s="1151"/>
      <c r="F174" s="1152"/>
      <c r="K174" s="1153"/>
      <c r="L174" s="116"/>
      <c r="N174" s="1154"/>
      <c r="O174" s="1155"/>
      <c r="P174" s="1155"/>
      <c r="Q174" s="1156"/>
    </row>
    <row r="175" spans="1:17" x14ac:dyDescent="0.3">
      <c r="A175" s="115" t="str">
        <f t="shared" si="7"/>
        <v>2017-18</v>
      </c>
      <c r="B175" s="114">
        <f t="shared" si="8"/>
        <v>1</v>
      </c>
      <c r="C175" s="1151"/>
      <c r="F175" s="1152"/>
      <c r="K175" s="1153"/>
      <c r="L175" s="116"/>
      <c r="N175" s="1154"/>
      <c r="O175" s="1155"/>
      <c r="P175" s="1155"/>
      <c r="Q175" s="1156"/>
    </row>
    <row r="176" spans="1:17" x14ac:dyDescent="0.3">
      <c r="A176" s="115" t="str">
        <f t="shared" si="7"/>
        <v>2017-18</v>
      </c>
      <c r="B176" s="114">
        <f t="shared" si="8"/>
        <v>1</v>
      </c>
      <c r="C176" s="1151"/>
      <c r="F176" s="1152"/>
      <c r="K176" s="1153"/>
      <c r="L176" s="116"/>
      <c r="N176" s="1154"/>
      <c r="O176" s="1155"/>
      <c r="P176" s="1155"/>
      <c r="Q176" s="1156"/>
    </row>
    <row r="177" spans="1:17" x14ac:dyDescent="0.3">
      <c r="A177" s="115" t="str">
        <f t="shared" si="7"/>
        <v>2017-18</v>
      </c>
      <c r="B177" s="114">
        <f t="shared" si="8"/>
        <v>1</v>
      </c>
      <c r="C177" s="1151"/>
      <c r="F177" s="1152"/>
      <c r="K177" s="1153"/>
      <c r="L177" s="116"/>
      <c r="N177" s="1154"/>
      <c r="O177" s="1155"/>
      <c r="P177" s="1155"/>
      <c r="Q177" s="1156"/>
    </row>
    <row r="178" spans="1:17" x14ac:dyDescent="0.3">
      <c r="A178" s="115" t="str">
        <f t="shared" si="7"/>
        <v>2017-18</v>
      </c>
      <c r="B178" s="114">
        <f t="shared" si="8"/>
        <v>1</v>
      </c>
      <c r="C178" s="1151"/>
      <c r="F178" s="1152"/>
      <c r="K178" s="1153"/>
      <c r="L178" s="116"/>
      <c r="N178" s="1154"/>
      <c r="O178" s="1155"/>
      <c r="P178" s="1155"/>
      <c r="Q178" s="1156"/>
    </row>
    <row r="179" spans="1:17" x14ac:dyDescent="0.3">
      <c r="A179" s="115" t="str">
        <f t="shared" si="7"/>
        <v>2017-18</v>
      </c>
      <c r="B179" s="114">
        <f t="shared" si="8"/>
        <v>1</v>
      </c>
      <c r="C179" s="1151"/>
      <c r="F179" s="1152"/>
      <c r="K179" s="1153"/>
      <c r="L179" s="116"/>
      <c r="N179" s="1154"/>
      <c r="O179" s="1155"/>
      <c r="P179" s="1155"/>
      <c r="Q179" s="1156"/>
    </row>
    <row r="180" spans="1:17" x14ac:dyDescent="0.3">
      <c r="A180" s="115" t="str">
        <f t="shared" si="7"/>
        <v>2017-18</v>
      </c>
      <c r="B180" s="114">
        <f t="shared" si="8"/>
        <v>1</v>
      </c>
      <c r="C180" s="1151"/>
      <c r="F180" s="1152"/>
      <c r="K180" s="1153"/>
      <c r="L180" s="116"/>
      <c r="N180" s="1154"/>
      <c r="O180" s="1155"/>
      <c r="P180" s="1155"/>
      <c r="Q180" s="1156"/>
    </row>
    <row r="181" spans="1:17" x14ac:dyDescent="0.3">
      <c r="A181" s="115" t="str">
        <f t="shared" si="7"/>
        <v>2017-18</v>
      </c>
      <c r="B181" s="114">
        <f t="shared" si="8"/>
        <v>1</v>
      </c>
      <c r="C181" s="1151"/>
      <c r="F181" s="1152"/>
      <c r="K181" s="1153"/>
      <c r="L181" s="116"/>
      <c r="N181" s="1154"/>
      <c r="O181" s="1155"/>
      <c r="P181" s="1155"/>
      <c r="Q181" s="1156"/>
    </row>
    <row r="182" spans="1:17" x14ac:dyDescent="0.3">
      <c r="A182" s="115" t="str">
        <f t="shared" si="7"/>
        <v>2017-18</v>
      </c>
      <c r="B182" s="114">
        <f t="shared" si="8"/>
        <v>1</v>
      </c>
      <c r="C182" s="1151"/>
      <c r="F182" s="1152"/>
      <c r="K182" s="1153"/>
      <c r="L182" s="116"/>
      <c r="N182" s="1154"/>
      <c r="O182" s="1155"/>
      <c r="P182" s="1155"/>
      <c r="Q182" s="1156"/>
    </row>
    <row r="183" spans="1:17" x14ac:dyDescent="0.3">
      <c r="A183" s="115" t="str">
        <f t="shared" si="7"/>
        <v>2017-18</v>
      </c>
      <c r="B183" s="114">
        <f t="shared" si="8"/>
        <v>1</v>
      </c>
      <c r="C183" s="1151"/>
      <c r="F183" s="1152"/>
      <c r="K183" s="1153"/>
      <c r="L183" s="116"/>
      <c r="N183" s="1154"/>
      <c r="O183" s="1155"/>
      <c r="P183" s="1155"/>
      <c r="Q183" s="1156"/>
    </row>
    <row r="184" spans="1:17" x14ac:dyDescent="0.3">
      <c r="A184" s="115" t="str">
        <f t="shared" si="7"/>
        <v>2017-18</v>
      </c>
      <c r="B184" s="114">
        <f t="shared" si="8"/>
        <v>1</v>
      </c>
      <c r="C184" s="1151"/>
      <c r="F184" s="1152"/>
      <c r="K184" s="1153"/>
      <c r="L184" s="116"/>
      <c r="N184" s="1154"/>
      <c r="O184" s="1155"/>
      <c r="P184" s="1155"/>
      <c r="Q184" s="1156"/>
    </row>
    <row r="185" spans="1:17" x14ac:dyDescent="0.3">
      <c r="A185" s="115" t="str">
        <f t="shared" si="7"/>
        <v>2017-18</v>
      </c>
      <c r="B185" s="114">
        <f t="shared" si="8"/>
        <v>1</v>
      </c>
      <c r="C185" s="1151"/>
      <c r="F185" s="1152"/>
      <c r="K185" s="1153"/>
      <c r="L185" s="116"/>
      <c r="N185" s="1154"/>
      <c r="O185" s="1155"/>
      <c r="P185" s="1155"/>
      <c r="Q185" s="1156"/>
    </row>
    <row r="186" spans="1:17" x14ac:dyDescent="0.3">
      <c r="A186" s="115" t="str">
        <f t="shared" si="7"/>
        <v>2017-18</v>
      </c>
      <c r="B186" s="114">
        <f t="shared" si="8"/>
        <v>1</v>
      </c>
      <c r="C186" s="1151"/>
      <c r="F186" s="1152"/>
      <c r="K186" s="1153"/>
      <c r="L186" s="116"/>
      <c r="N186" s="1154"/>
      <c r="O186" s="1155"/>
      <c r="P186" s="1155"/>
      <c r="Q186" s="1156"/>
    </row>
    <row r="187" spans="1:17" x14ac:dyDescent="0.3">
      <c r="A187" s="115" t="str">
        <f t="shared" si="7"/>
        <v>2017-18</v>
      </c>
      <c r="B187" s="114">
        <f t="shared" si="8"/>
        <v>1</v>
      </c>
      <c r="C187" s="1151"/>
      <c r="F187" s="1152"/>
      <c r="K187" s="1153"/>
      <c r="L187" s="116"/>
      <c r="N187" s="1154"/>
      <c r="O187" s="1155"/>
      <c r="P187" s="1155"/>
      <c r="Q187" s="1156"/>
    </row>
    <row r="188" spans="1:17" x14ac:dyDescent="0.3">
      <c r="A188" s="115" t="str">
        <f t="shared" si="7"/>
        <v>2017-18</v>
      </c>
      <c r="B188" s="114">
        <f t="shared" si="8"/>
        <v>1</v>
      </c>
      <c r="C188" s="1151"/>
      <c r="F188" s="1152"/>
      <c r="K188" s="1153"/>
      <c r="L188" s="116"/>
      <c r="N188" s="1154"/>
      <c r="O188" s="1155"/>
      <c r="P188" s="1155"/>
      <c r="Q188" s="1156"/>
    </row>
    <row r="189" spans="1:17" x14ac:dyDescent="0.3">
      <c r="A189" s="115" t="str">
        <f t="shared" si="7"/>
        <v>2017-18</v>
      </c>
      <c r="B189" s="114">
        <f t="shared" si="8"/>
        <v>1</v>
      </c>
      <c r="C189" s="1151"/>
      <c r="F189" s="1152"/>
      <c r="K189" s="1153"/>
      <c r="L189" s="116"/>
      <c r="N189" s="1154"/>
      <c r="O189" s="1155"/>
      <c r="P189" s="1155"/>
      <c r="Q189" s="1156"/>
    </row>
    <row r="190" spans="1:17" x14ac:dyDescent="0.3">
      <c r="A190" s="115" t="str">
        <f t="shared" si="7"/>
        <v>2017-18</v>
      </c>
      <c r="B190" s="114">
        <f t="shared" si="8"/>
        <v>1</v>
      </c>
      <c r="C190" s="1151"/>
      <c r="F190" s="1152"/>
      <c r="K190" s="1153"/>
      <c r="L190" s="116"/>
      <c r="N190" s="1154"/>
      <c r="O190" s="1155"/>
      <c r="P190" s="1155"/>
      <c r="Q190" s="1156"/>
    </row>
    <row r="191" spans="1:17" x14ac:dyDescent="0.3">
      <c r="A191" s="115" t="str">
        <f t="shared" si="7"/>
        <v>2017-18</v>
      </c>
      <c r="B191" s="114">
        <f t="shared" si="8"/>
        <v>1</v>
      </c>
      <c r="C191" s="1151"/>
      <c r="F191" s="1152"/>
      <c r="K191" s="1153"/>
      <c r="L191" s="116"/>
      <c r="N191" s="1154"/>
      <c r="O191" s="1155"/>
      <c r="P191" s="1155"/>
      <c r="Q191" s="1156"/>
    </row>
    <row r="192" spans="1:17" x14ac:dyDescent="0.3">
      <c r="A192" s="115" t="str">
        <f t="shared" si="7"/>
        <v>2017-18</v>
      </c>
      <c r="B192" s="114">
        <f t="shared" si="8"/>
        <v>1</v>
      </c>
      <c r="C192" s="1151"/>
      <c r="F192" s="1152"/>
      <c r="K192" s="1153"/>
      <c r="L192" s="116"/>
      <c r="N192" s="1154"/>
      <c r="O192" s="1155"/>
      <c r="P192" s="1155"/>
      <c r="Q192" s="1156"/>
    </row>
    <row r="193" spans="1:17" x14ac:dyDescent="0.3">
      <c r="A193" s="115" t="str">
        <f t="shared" si="7"/>
        <v>2017-18</v>
      </c>
      <c r="B193" s="114">
        <f t="shared" si="8"/>
        <v>1</v>
      </c>
      <c r="C193" s="1151"/>
      <c r="F193" s="1152"/>
      <c r="K193" s="1153"/>
      <c r="L193" s="116"/>
      <c r="N193" s="1154"/>
      <c r="O193" s="1155"/>
      <c r="P193" s="1155"/>
      <c r="Q193" s="1156"/>
    </row>
    <row r="194" spans="1:17" x14ac:dyDescent="0.3">
      <c r="A194" s="115" t="str">
        <f t="shared" si="7"/>
        <v>2017-18</v>
      </c>
      <c r="B194" s="114">
        <f t="shared" si="8"/>
        <v>1</v>
      </c>
      <c r="C194" s="1151"/>
      <c r="F194" s="1152"/>
      <c r="K194" s="1153"/>
      <c r="L194" s="116"/>
      <c r="N194" s="1154"/>
      <c r="O194" s="1155"/>
      <c r="P194" s="1155"/>
      <c r="Q194" s="1156"/>
    </row>
    <row r="195" spans="1:17" x14ac:dyDescent="0.3">
      <c r="A195" s="115" t="str">
        <f t="shared" si="7"/>
        <v>2017-18</v>
      </c>
      <c r="B195" s="114">
        <f t="shared" si="8"/>
        <v>1</v>
      </c>
      <c r="C195" s="1151"/>
      <c r="F195" s="1152"/>
      <c r="K195" s="1153"/>
      <c r="L195" s="116"/>
      <c r="N195" s="1154"/>
      <c r="O195" s="1155"/>
      <c r="P195" s="1155"/>
      <c r="Q195" s="1156"/>
    </row>
    <row r="196" spans="1:17" x14ac:dyDescent="0.3">
      <c r="A196" s="115" t="str">
        <f t="shared" si="7"/>
        <v>2017-18</v>
      </c>
      <c r="B196" s="114">
        <f t="shared" si="8"/>
        <v>1</v>
      </c>
      <c r="C196" s="1151"/>
      <c r="F196" s="1152"/>
      <c r="K196" s="1153"/>
      <c r="L196" s="116"/>
      <c r="N196" s="1154"/>
      <c r="O196" s="1155"/>
      <c r="P196" s="1155"/>
      <c r="Q196" s="1156"/>
    </row>
    <row r="197" spans="1:17" x14ac:dyDescent="0.3">
      <c r="A197" s="115" t="str">
        <f t="shared" si="7"/>
        <v>2017-18</v>
      </c>
      <c r="B197" s="114">
        <f t="shared" si="8"/>
        <v>1</v>
      </c>
      <c r="C197" s="1151"/>
      <c r="F197" s="1152"/>
      <c r="K197" s="1153"/>
      <c r="L197" s="116"/>
      <c r="N197" s="1154"/>
      <c r="O197" s="1155"/>
      <c r="P197" s="1155"/>
      <c r="Q197" s="1156"/>
    </row>
    <row r="198" spans="1:17" x14ac:dyDescent="0.3">
      <c r="A198" s="115" t="str">
        <f t="shared" ref="A198:A201" si="9">A197</f>
        <v>2017-18</v>
      </c>
      <c r="B198" s="114">
        <f t="shared" si="8"/>
        <v>1</v>
      </c>
      <c r="C198" s="1151"/>
      <c r="F198" s="1152"/>
      <c r="K198" s="1153"/>
      <c r="L198" s="116"/>
      <c r="N198" s="1154"/>
      <c r="O198" s="1155"/>
      <c r="P198" s="1155"/>
      <c r="Q198" s="1156"/>
    </row>
    <row r="199" spans="1:17" x14ac:dyDescent="0.3">
      <c r="A199" s="115" t="str">
        <f t="shared" si="9"/>
        <v>2017-18</v>
      </c>
      <c r="B199" s="114">
        <f t="shared" si="8"/>
        <v>1</v>
      </c>
      <c r="C199" s="1151"/>
      <c r="F199" s="1152"/>
      <c r="K199" s="1153"/>
      <c r="L199" s="116"/>
      <c r="N199" s="1154"/>
      <c r="O199" s="1155"/>
      <c r="P199" s="1155"/>
      <c r="Q199" s="1156"/>
    </row>
    <row r="200" spans="1:17" x14ac:dyDescent="0.3">
      <c r="A200" s="115" t="str">
        <f t="shared" si="9"/>
        <v>2017-18</v>
      </c>
      <c r="B200" s="114">
        <f t="shared" si="8"/>
        <v>1</v>
      </c>
      <c r="C200" s="1151"/>
      <c r="F200" s="1152"/>
      <c r="K200" s="1153"/>
      <c r="L200" s="116"/>
      <c r="N200" s="1154"/>
      <c r="O200" s="1155"/>
      <c r="P200" s="1155"/>
      <c r="Q200" s="1156"/>
    </row>
    <row r="201" spans="1:17" x14ac:dyDescent="0.3">
      <c r="A201" s="115" t="str">
        <f t="shared" si="9"/>
        <v>2017-18</v>
      </c>
      <c r="B201" s="114">
        <f t="shared" si="8"/>
        <v>1</v>
      </c>
      <c r="C201" s="1151"/>
      <c r="F201" s="1152"/>
      <c r="K201" s="1153"/>
      <c r="L201" s="116"/>
      <c r="N201" s="1154"/>
      <c r="O201" s="1155"/>
      <c r="P201" s="1155"/>
      <c r="Q201" s="1156"/>
    </row>
    <row r="1048576" spans="16:16" x14ac:dyDescent="0.3">
      <c r="P1048576" s="1155" t="s">
        <v>540</v>
      </c>
    </row>
  </sheetData>
  <sheetProtection algorithmName="SHA-512" hashValue="GOPeMfCAHMGzOD3h5Q4dyITtKgmmoDXsWfpCVGjOOr+d70ncchbn/dEcLQwxFiWVWB3YdkhdRkOfneKB3e6q6Q==" saltValue="1jTlgfgRQr3v2cEzn0M0LA==" spinCount="100000" sheet="1" objects="1" scenarios="1"/>
  <conditionalFormatting sqref="K6:K9 K25:K201">
    <cfRule type="containsText" dxfId="187" priority="212" operator="containsText" text="Low">
      <formula>NOT(ISERROR(SEARCH("Low",K6)))</formula>
    </cfRule>
    <cfRule type="containsText" dxfId="186" priority="213" operator="containsText" text="Medium">
      <formula>NOT(ISERROR(SEARCH("Medium",K6)))</formula>
    </cfRule>
    <cfRule type="containsText" dxfId="185" priority="214" operator="containsText" text="High">
      <formula>NOT(ISERROR(SEARCH("High",K6)))</formula>
    </cfRule>
  </conditionalFormatting>
  <conditionalFormatting sqref="C6:E9 C31:E201 C17:D19 D20:D24 D25:E30 C20:C30 C4:D6 D7:D11 D12:E17 C7:C17">
    <cfRule type="containsText" dxfId="184" priority="202" operator="containsText" text="closed">
      <formula>NOT(ISERROR(SEARCH("closed",C4)))</formula>
    </cfRule>
    <cfRule type="containsText" dxfId="183" priority="203" operator="containsText" text="open">
      <formula>NOT(ISERROR(SEARCH("open",C4)))</formula>
    </cfRule>
  </conditionalFormatting>
  <conditionalFormatting sqref="K6">
    <cfRule type="containsText" dxfId="182" priority="115" operator="containsText" text="Low">
      <formula>NOT(ISERROR(SEARCH("Low",K6)))</formula>
    </cfRule>
    <cfRule type="containsText" dxfId="181" priority="116" operator="containsText" text="Medium">
      <formula>NOT(ISERROR(SEARCH("Medium",K6)))</formula>
    </cfRule>
    <cfRule type="containsText" dxfId="180" priority="117" operator="containsText" text="High">
      <formula>NOT(ISERROR(SEARCH("High",K6)))</formula>
    </cfRule>
  </conditionalFormatting>
  <conditionalFormatting sqref="C6">
    <cfRule type="containsText" dxfId="179" priority="113" operator="containsText" text="closed">
      <formula>NOT(ISERROR(SEARCH("closed",C6)))</formula>
    </cfRule>
    <cfRule type="containsText" dxfId="178" priority="114" operator="containsText" text="open">
      <formula>NOT(ISERROR(SEARCH("open",C6)))</formula>
    </cfRule>
  </conditionalFormatting>
  <conditionalFormatting sqref="D6:E6">
    <cfRule type="containsText" dxfId="177" priority="111" operator="containsText" text="closed">
      <formula>NOT(ISERROR(SEARCH("closed",D6)))</formula>
    </cfRule>
    <cfRule type="containsText" dxfId="176" priority="112" operator="containsText" text="open">
      <formula>NOT(ISERROR(SEARCH("open",D6)))</formula>
    </cfRule>
  </conditionalFormatting>
  <conditionalFormatting sqref="K4">
    <cfRule type="containsText" dxfId="175" priority="108" operator="containsText" text="Low">
      <formula>NOT(ISERROR(SEARCH("Low",K4)))</formula>
    </cfRule>
    <cfRule type="containsText" dxfId="174" priority="109" operator="containsText" text="Medium">
      <formula>NOT(ISERROR(SEARCH("Medium",K4)))</formula>
    </cfRule>
    <cfRule type="containsText" dxfId="173" priority="110" operator="containsText" text="High">
      <formula>NOT(ISERROR(SEARCH("High",K4)))</formula>
    </cfRule>
  </conditionalFormatting>
  <conditionalFormatting sqref="C4:E4">
    <cfRule type="containsText" dxfId="172" priority="106" operator="containsText" text="closed">
      <formula>NOT(ISERROR(SEARCH("closed",C4)))</formula>
    </cfRule>
    <cfRule type="containsText" dxfId="171" priority="107" operator="containsText" text="open">
      <formula>NOT(ISERROR(SEARCH("open",C4)))</formula>
    </cfRule>
  </conditionalFormatting>
  <conditionalFormatting sqref="K6">
    <cfRule type="containsText" dxfId="170" priority="96" operator="containsText" text="Low">
      <formula>NOT(ISERROR(SEARCH("Low",K6)))</formula>
    </cfRule>
    <cfRule type="containsText" dxfId="169" priority="97" operator="containsText" text="Medium">
      <formula>NOT(ISERROR(SEARCH("Medium",K6)))</formula>
    </cfRule>
    <cfRule type="containsText" dxfId="168" priority="98" operator="containsText" text="High">
      <formula>NOT(ISERROR(SEARCH("High",K6)))</formula>
    </cfRule>
  </conditionalFormatting>
  <conditionalFormatting sqref="C6">
    <cfRule type="containsText" dxfId="167" priority="94" operator="containsText" text="closed">
      <formula>NOT(ISERROR(SEARCH("closed",C6)))</formula>
    </cfRule>
    <cfRule type="containsText" dxfId="166" priority="95" operator="containsText" text="open">
      <formula>NOT(ISERROR(SEARCH("open",C6)))</formula>
    </cfRule>
  </conditionalFormatting>
  <conditionalFormatting sqref="D6:E6">
    <cfRule type="containsText" dxfId="165" priority="92" operator="containsText" text="closed">
      <formula>NOT(ISERROR(SEARCH("closed",D6)))</formula>
    </cfRule>
    <cfRule type="containsText" dxfId="164" priority="93" operator="containsText" text="open">
      <formula>NOT(ISERROR(SEARCH("open",D6)))</formula>
    </cfRule>
  </conditionalFormatting>
  <conditionalFormatting sqref="K6">
    <cfRule type="containsText" dxfId="163" priority="89" operator="containsText" text="Low">
      <formula>NOT(ISERROR(SEARCH("Low",K6)))</formula>
    </cfRule>
    <cfRule type="containsText" dxfId="162" priority="90" operator="containsText" text="Medium">
      <formula>NOT(ISERROR(SEARCH("Medium",K6)))</formula>
    </cfRule>
    <cfRule type="containsText" dxfId="161" priority="91" operator="containsText" text="High">
      <formula>NOT(ISERROR(SEARCH("High",K6)))</formula>
    </cfRule>
  </conditionalFormatting>
  <conditionalFormatting sqref="C6:E6">
    <cfRule type="containsText" dxfId="160" priority="87" operator="containsText" text="closed">
      <formula>NOT(ISERROR(SEARCH("closed",C6)))</formula>
    </cfRule>
    <cfRule type="containsText" dxfId="159" priority="88" operator="containsText" text="open">
      <formula>NOT(ISERROR(SEARCH("open",C6)))</formula>
    </cfRule>
  </conditionalFormatting>
  <conditionalFormatting sqref="K7">
    <cfRule type="containsText" dxfId="158" priority="84" operator="containsText" text="Low">
      <formula>NOT(ISERROR(SEARCH("Low",K7)))</formula>
    </cfRule>
    <cfRule type="containsText" dxfId="157" priority="85" operator="containsText" text="Medium">
      <formula>NOT(ISERROR(SEARCH("Medium",K7)))</formula>
    </cfRule>
    <cfRule type="containsText" dxfId="156" priority="86" operator="containsText" text="High">
      <formula>NOT(ISERROR(SEARCH("High",K7)))</formula>
    </cfRule>
  </conditionalFormatting>
  <conditionalFormatting sqref="C7">
    <cfRule type="containsText" dxfId="155" priority="82" operator="containsText" text="closed">
      <formula>NOT(ISERROR(SEARCH("closed",C7)))</formula>
    </cfRule>
    <cfRule type="containsText" dxfId="154" priority="83" operator="containsText" text="open">
      <formula>NOT(ISERROR(SEARCH("open",C7)))</formula>
    </cfRule>
  </conditionalFormatting>
  <conditionalFormatting sqref="D7:E7">
    <cfRule type="containsText" dxfId="153" priority="80" operator="containsText" text="closed">
      <formula>NOT(ISERROR(SEARCH("closed",D7)))</formula>
    </cfRule>
    <cfRule type="containsText" dxfId="152" priority="81" operator="containsText" text="open">
      <formula>NOT(ISERROR(SEARCH("open",D7)))</formula>
    </cfRule>
  </conditionalFormatting>
  <conditionalFormatting sqref="C5">
    <cfRule type="containsText" dxfId="151" priority="78" operator="containsText" text="closed">
      <formula>NOT(ISERROR(SEARCH("closed",C5)))</formula>
    </cfRule>
    <cfRule type="containsText" dxfId="150" priority="79" operator="containsText" text="open">
      <formula>NOT(ISERROR(SEARCH("open",C5)))</formula>
    </cfRule>
  </conditionalFormatting>
  <conditionalFormatting sqref="D5:E5">
    <cfRule type="containsText" dxfId="149" priority="76" operator="containsText" text="closed">
      <formula>NOT(ISERROR(SEARCH("closed",D5)))</formula>
    </cfRule>
    <cfRule type="containsText" dxfId="148" priority="77" operator="containsText" text="open">
      <formula>NOT(ISERROR(SEARCH("open",D5)))</formula>
    </cfRule>
  </conditionalFormatting>
  <conditionalFormatting sqref="K5">
    <cfRule type="containsText" dxfId="147" priority="73" operator="containsText" text="Low">
      <formula>NOT(ISERROR(SEARCH("Low",K5)))</formula>
    </cfRule>
    <cfRule type="containsText" dxfId="146" priority="74" operator="containsText" text="Medium">
      <formula>NOT(ISERROR(SEARCH("Medium",K5)))</formula>
    </cfRule>
    <cfRule type="containsText" dxfId="145" priority="75" operator="containsText" text="High">
      <formula>NOT(ISERROR(SEARCH("High",K5)))</formula>
    </cfRule>
  </conditionalFormatting>
  <conditionalFormatting sqref="C10">
    <cfRule type="containsText" dxfId="144" priority="71" operator="containsText" text="closed">
      <formula>NOT(ISERROR(SEARCH("closed",C10)))</formula>
    </cfRule>
    <cfRule type="containsText" dxfId="143" priority="72" operator="containsText" text="open">
      <formula>NOT(ISERROR(SEARCH("open",C10)))</formula>
    </cfRule>
  </conditionalFormatting>
  <conditionalFormatting sqref="K10">
    <cfRule type="containsText" dxfId="142" priority="68" operator="containsText" text="Low">
      <formula>NOT(ISERROR(SEARCH("Low",K10)))</formula>
    </cfRule>
    <cfRule type="containsText" dxfId="141" priority="69" operator="containsText" text="Medium">
      <formula>NOT(ISERROR(SEARCH("Medium",K10)))</formula>
    </cfRule>
    <cfRule type="containsText" dxfId="140" priority="70" operator="containsText" text="High">
      <formula>NOT(ISERROR(SEARCH("High",K10)))</formula>
    </cfRule>
  </conditionalFormatting>
  <conditionalFormatting sqref="D10:E10">
    <cfRule type="containsText" dxfId="139" priority="66" operator="containsText" text="closed">
      <formula>NOT(ISERROR(SEARCH("closed",D10)))</formula>
    </cfRule>
    <cfRule type="containsText" dxfId="138" priority="67" operator="containsText" text="open">
      <formula>NOT(ISERROR(SEARCH("open",D10)))</formula>
    </cfRule>
  </conditionalFormatting>
  <conditionalFormatting sqref="C11">
    <cfRule type="containsText" dxfId="137" priority="64" operator="containsText" text="closed">
      <formula>NOT(ISERROR(SEARCH("closed",C11)))</formula>
    </cfRule>
    <cfRule type="containsText" dxfId="136" priority="65" operator="containsText" text="open">
      <formula>NOT(ISERROR(SEARCH("open",C11)))</formula>
    </cfRule>
  </conditionalFormatting>
  <conditionalFormatting sqref="K11">
    <cfRule type="containsText" dxfId="135" priority="61" operator="containsText" text="Low">
      <formula>NOT(ISERROR(SEARCH("Low",K11)))</formula>
    </cfRule>
    <cfRule type="containsText" dxfId="134" priority="62" operator="containsText" text="Medium">
      <formula>NOT(ISERROR(SEARCH("Medium",K11)))</formula>
    </cfRule>
    <cfRule type="containsText" dxfId="133" priority="63" operator="containsText" text="High">
      <formula>NOT(ISERROR(SEARCH("High",K11)))</formula>
    </cfRule>
  </conditionalFormatting>
  <conditionalFormatting sqref="D11:E11">
    <cfRule type="containsText" dxfId="132" priority="59" operator="containsText" text="closed">
      <formula>NOT(ISERROR(SEARCH("closed",D11)))</formula>
    </cfRule>
    <cfRule type="containsText" dxfId="131" priority="60" operator="containsText" text="open">
      <formula>NOT(ISERROR(SEARCH("open",D11)))</formula>
    </cfRule>
  </conditionalFormatting>
  <conditionalFormatting sqref="C12">
    <cfRule type="containsText" dxfId="130" priority="57" operator="containsText" text="closed">
      <formula>NOT(ISERROR(SEARCH("closed",C12)))</formula>
    </cfRule>
    <cfRule type="containsText" dxfId="129" priority="58" operator="containsText" text="open">
      <formula>NOT(ISERROR(SEARCH("open",C12)))</formula>
    </cfRule>
  </conditionalFormatting>
  <conditionalFormatting sqref="K12">
    <cfRule type="containsText" dxfId="128" priority="54" operator="containsText" text="Low">
      <formula>NOT(ISERROR(SEARCH("Low",K12)))</formula>
    </cfRule>
    <cfRule type="containsText" dxfId="127" priority="55" operator="containsText" text="Medium">
      <formula>NOT(ISERROR(SEARCH("Medium",K12)))</formula>
    </cfRule>
    <cfRule type="containsText" dxfId="126" priority="56" operator="containsText" text="High">
      <formula>NOT(ISERROR(SEARCH("High",K12)))</formula>
    </cfRule>
  </conditionalFormatting>
  <conditionalFormatting sqref="D12:E12">
    <cfRule type="containsText" dxfId="125" priority="52" operator="containsText" text="closed">
      <formula>NOT(ISERROR(SEARCH("closed",D12)))</formula>
    </cfRule>
    <cfRule type="containsText" dxfId="124" priority="53" operator="containsText" text="open">
      <formula>NOT(ISERROR(SEARCH("open",D12)))</formula>
    </cfRule>
  </conditionalFormatting>
  <conditionalFormatting sqref="C13">
    <cfRule type="containsText" dxfId="123" priority="50" operator="containsText" text="closed">
      <formula>NOT(ISERROR(SEARCH("closed",C13)))</formula>
    </cfRule>
    <cfRule type="containsText" dxfId="122" priority="51" operator="containsText" text="open">
      <formula>NOT(ISERROR(SEARCH("open",C13)))</formula>
    </cfRule>
  </conditionalFormatting>
  <conditionalFormatting sqref="K13">
    <cfRule type="containsText" dxfId="121" priority="47" operator="containsText" text="Low">
      <formula>NOT(ISERROR(SEARCH("Low",K13)))</formula>
    </cfRule>
    <cfRule type="containsText" dxfId="120" priority="48" operator="containsText" text="Medium">
      <formula>NOT(ISERROR(SEARCH("Medium",K13)))</formula>
    </cfRule>
    <cfRule type="containsText" dxfId="119" priority="49" operator="containsText" text="High">
      <formula>NOT(ISERROR(SEARCH("High",K13)))</formula>
    </cfRule>
  </conditionalFormatting>
  <conditionalFormatting sqref="D13:E13">
    <cfRule type="containsText" dxfId="118" priority="45" operator="containsText" text="closed">
      <formula>NOT(ISERROR(SEARCH("closed",D13)))</formula>
    </cfRule>
    <cfRule type="containsText" dxfId="117" priority="46" operator="containsText" text="open">
      <formula>NOT(ISERROR(SEARCH("open",D13)))</formula>
    </cfRule>
  </conditionalFormatting>
  <conditionalFormatting sqref="C14">
    <cfRule type="containsText" dxfId="116" priority="43" operator="containsText" text="closed">
      <formula>NOT(ISERROR(SEARCH("closed",C14)))</formula>
    </cfRule>
    <cfRule type="containsText" dxfId="115" priority="44" operator="containsText" text="open">
      <formula>NOT(ISERROR(SEARCH("open",C14)))</formula>
    </cfRule>
  </conditionalFormatting>
  <conditionalFormatting sqref="K14">
    <cfRule type="containsText" dxfId="114" priority="40" operator="containsText" text="Low">
      <formula>NOT(ISERROR(SEARCH("Low",K14)))</formula>
    </cfRule>
    <cfRule type="containsText" dxfId="113" priority="41" operator="containsText" text="Medium">
      <formula>NOT(ISERROR(SEARCH("Medium",K14)))</formula>
    </cfRule>
    <cfRule type="containsText" dxfId="112" priority="42" operator="containsText" text="High">
      <formula>NOT(ISERROR(SEARCH("High",K14)))</formula>
    </cfRule>
  </conditionalFormatting>
  <conditionalFormatting sqref="D14:E14">
    <cfRule type="containsText" dxfId="111" priority="38" operator="containsText" text="closed">
      <formula>NOT(ISERROR(SEARCH("closed",D14)))</formula>
    </cfRule>
    <cfRule type="containsText" dxfId="110" priority="39" operator="containsText" text="open">
      <formula>NOT(ISERROR(SEARCH("open",D14)))</formula>
    </cfRule>
  </conditionalFormatting>
  <conditionalFormatting sqref="C15:C16">
    <cfRule type="containsText" dxfId="109" priority="36" operator="containsText" text="closed">
      <formula>NOT(ISERROR(SEARCH("closed",C15)))</formula>
    </cfRule>
    <cfRule type="containsText" dxfId="108" priority="37" operator="containsText" text="open">
      <formula>NOT(ISERROR(SEARCH("open",C15)))</formula>
    </cfRule>
  </conditionalFormatting>
  <conditionalFormatting sqref="K16">
    <cfRule type="containsText" dxfId="107" priority="33" operator="containsText" text="Low">
      <formula>NOT(ISERROR(SEARCH("Low",K16)))</formula>
    </cfRule>
    <cfRule type="containsText" dxfId="106" priority="34" operator="containsText" text="Medium">
      <formula>NOT(ISERROR(SEARCH("Medium",K16)))</formula>
    </cfRule>
    <cfRule type="containsText" dxfId="105" priority="35" operator="containsText" text="High">
      <formula>NOT(ISERROR(SEARCH("High",K16)))</formula>
    </cfRule>
  </conditionalFormatting>
  <conditionalFormatting sqref="D16:E16">
    <cfRule type="containsText" dxfId="104" priority="31" operator="containsText" text="closed">
      <formula>NOT(ISERROR(SEARCH("closed",D16)))</formula>
    </cfRule>
    <cfRule type="containsText" dxfId="103" priority="32" operator="containsText" text="open">
      <formula>NOT(ISERROR(SEARCH("open",D16)))</formula>
    </cfRule>
  </conditionalFormatting>
  <conditionalFormatting sqref="K15">
    <cfRule type="containsText" dxfId="102" priority="28" operator="containsText" text="Low">
      <formula>NOT(ISERROR(SEARCH("Low",K15)))</formula>
    </cfRule>
    <cfRule type="containsText" dxfId="101" priority="29" operator="containsText" text="Medium">
      <formula>NOT(ISERROR(SEARCH("Medium",K15)))</formula>
    </cfRule>
    <cfRule type="containsText" dxfId="100" priority="30" operator="containsText" text="High">
      <formula>NOT(ISERROR(SEARCH("High",K15)))</formula>
    </cfRule>
  </conditionalFormatting>
  <conditionalFormatting sqref="D15:E15">
    <cfRule type="containsText" dxfId="99" priority="26" operator="containsText" text="closed">
      <formula>NOT(ISERROR(SEARCH("closed",D15)))</formula>
    </cfRule>
    <cfRule type="containsText" dxfId="98" priority="27" operator="containsText" text="open">
      <formula>NOT(ISERROR(SEARCH("open",D15)))</formula>
    </cfRule>
  </conditionalFormatting>
  <conditionalFormatting sqref="K17:K24">
    <cfRule type="containsText" dxfId="97" priority="23" operator="containsText" text="Low">
      <formula>NOT(ISERROR(SEARCH("Low",K17)))</formula>
    </cfRule>
    <cfRule type="containsText" dxfId="96" priority="24" operator="containsText" text="Medium">
      <formula>NOT(ISERROR(SEARCH("Medium",K17)))</formula>
    </cfRule>
    <cfRule type="containsText" dxfId="95" priority="25" operator="containsText" text="High">
      <formula>NOT(ISERROR(SEARCH("High",K17)))</formula>
    </cfRule>
  </conditionalFormatting>
  <conditionalFormatting sqref="E17:E24">
    <cfRule type="containsText" dxfId="94" priority="21" operator="containsText" text="closed">
      <formula>NOT(ISERROR(SEARCH("closed",E17)))</formula>
    </cfRule>
    <cfRule type="containsText" dxfId="93" priority="22" operator="containsText" text="open">
      <formula>NOT(ISERROR(SEARCH("open",E17)))</formula>
    </cfRule>
  </conditionalFormatting>
  <conditionalFormatting sqref="M19:M24">
    <cfRule type="containsText" dxfId="92" priority="19" operator="containsText" text="closed">
      <formula>NOT(ISERROR(SEARCH("closed",M19)))</formula>
    </cfRule>
    <cfRule type="containsText" dxfId="91" priority="20" operator="containsText" text="open">
      <formula>NOT(ISERROR(SEARCH("open",M19)))</formula>
    </cfRule>
  </conditionalFormatting>
  <conditionalFormatting sqref="M29:M31">
    <cfRule type="containsText" dxfId="90" priority="17" operator="containsText" text="closed">
      <formula>NOT(ISERROR(SEARCH("closed",M29)))</formula>
    </cfRule>
    <cfRule type="containsText" dxfId="89" priority="18" operator="containsText" text="open">
      <formula>NOT(ISERROR(SEARCH("open",M29)))</formula>
    </cfRule>
  </conditionalFormatting>
  <conditionalFormatting sqref="M25:M27">
    <cfRule type="containsText" dxfId="88" priority="15" operator="containsText" text="closed">
      <formula>NOT(ISERROR(SEARCH("closed",M25)))</formula>
    </cfRule>
    <cfRule type="containsText" dxfId="87" priority="16" operator="containsText" text="open">
      <formula>NOT(ISERROR(SEARCH("open",M25)))</formula>
    </cfRule>
  </conditionalFormatting>
  <conditionalFormatting sqref="K12:K17">
    <cfRule type="containsText" dxfId="86" priority="12" operator="containsText" text="Low">
      <formula>NOT(ISERROR(SEARCH("Low",K12)))</formula>
    </cfRule>
    <cfRule type="containsText" dxfId="85" priority="13" operator="containsText" text="Medium">
      <formula>NOT(ISERROR(SEARCH("Medium",K12)))</formula>
    </cfRule>
    <cfRule type="containsText" dxfId="84" priority="14" operator="containsText" text="High">
      <formula>NOT(ISERROR(SEARCH("High",K12)))</formula>
    </cfRule>
  </conditionalFormatting>
  <conditionalFormatting sqref="K4:K11">
    <cfRule type="containsText" dxfId="83" priority="9" operator="containsText" text="Low">
      <formula>NOT(ISERROR(SEARCH("Low",K4)))</formula>
    </cfRule>
    <cfRule type="containsText" dxfId="82" priority="10" operator="containsText" text="Medium">
      <formula>NOT(ISERROR(SEARCH("Medium",K4)))</formula>
    </cfRule>
    <cfRule type="containsText" dxfId="81" priority="11" operator="containsText" text="High">
      <formula>NOT(ISERROR(SEARCH("High",K4)))</formula>
    </cfRule>
  </conditionalFormatting>
  <conditionalFormatting sqref="E4:E11">
    <cfRule type="containsText" dxfId="80" priority="7" operator="containsText" text="closed">
      <formula>NOT(ISERROR(SEARCH("closed",E4)))</formula>
    </cfRule>
    <cfRule type="containsText" dxfId="79" priority="8" operator="containsText" text="open">
      <formula>NOT(ISERROR(SEARCH("open",E4)))</formula>
    </cfRule>
  </conditionalFormatting>
  <conditionalFormatting sqref="M6:M11">
    <cfRule type="containsText" dxfId="78" priority="5" operator="containsText" text="closed">
      <formula>NOT(ISERROR(SEARCH("closed",M6)))</formula>
    </cfRule>
    <cfRule type="containsText" dxfId="77" priority="6" operator="containsText" text="open">
      <formula>NOT(ISERROR(SEARCH("open",M6)))</formula>
    </cfRule>
  </conditionalFormatting>
  <conditionalFormatting sqref="M16:M17">
    <cfRule type="containsText" dxfId="76" priority="3" operator="containsText" text="closed">
      <formula>NOT(ISERROR(SEARCH("closed",M16)))</formula>
    </cfRule>
    <cfRule type="containsText" dxfId="75" priority="4" operator="containsText" text="open">
      <formula>NOT(ISERROR(SEARCH("open",M16)))</formula>
    </cfRule>
  </conditionalFormatting>
  <conditionalFormatting sqref="M12:M14">
    <cfRule type="containsText" dxfId="74" priority="1" operator="containsText" text="closed">
      <formula>NOT(ISERROR(SEARCH("closed",M12)))</formula>
    </cfRule>
    <cfRule type="containsText" dxfId="73" priority="2" operator="containsText" text="open">
      <formula>NOT(ISERROR(SEARCH("open",M12)))</formula>
    </cfRule>
  </conditionalFormatting>
  <dataValidations count="5">
    <dataValidation type="list" allowBlank="1" showInputMessage="1" showErrorMessage="1" sqref="L4:L201">
      <formula1>"No action required, Action required, Unresolved, Resolved"</formula1>
    </dataValidation>
    <dataValidation type="list" allowBlank="1" showInputMessage="1" showErrorMessage="1" sqref="C4:C201">
      <formula1>"open,closed"</formula1>
    </dataValidation>
    <dataValidation type="list" allowBlank="1" showInputMessage="1" showErrorMessage="1" sqref="K4:K201">
      <formula1>"High, Medium, Low"</formula1>
    </dataValidation>
    <dataValidation type="list" allowBlank="1" showInputMessage="1" showErrorMessage="1" sqref="H4:H201">
      <formula1>"Missing data, Input error, Conversion factor, Significant increase, Significant decrease, New data, Data accuracy, Other"</formula1>
    </dataValidation>
    <dataValidation type="list" allowBlank="1" showInputMessage="1" showErrorMessage="1" sqref="I4:I201">
      <formula1>"Purchased energy, Self generated energy, Fugitive emissions, Fleet emissions, Non-fleet emissions, Public transport emissions, Water, Waste, Paper, Flights, FTE, Forecast, Scope, Other"</formula1>
    </dataValidation>
  </dataValidation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7030A0"/>
  </sheetPr>
  <dimension ref="A1:CU83"/>
  <sheetViews>
    <sheetView topLeftCell="T1" zoomScale="50" zoomScaleNormal="50" workbookViewId="0">
      <pane ySplit="2" topLeftCell="A5" activePane="bottomLeft" state="frozen"/>
      <selection activeCell="BA1" sqref="BA1"/>
      <selection pane="bottomLeft"/>
    </sheetView>
  </sheetViews>
  <sheetFormatPr defaultColWidth="9.109375" defaultRowHeight="13.8" x14ac:dyDescent="0.3"/>
  <cols>
    <col min="1" max="1" width="54" style="595" customWidth="1"/>
    <col min="2" max="2" width="14" style="595" customWidth="1"/>
    <col min="3" max="4" width="9.21875" style="595" customWidth="1"/>
    <col min="5" max="5" width="17" style="595" customWidth="1"/>
    <col min="6" max="6" width="11.33203125" style="595" customWidth="1"/>
    <col min="7" max="7" width="3.6640625" style="596" customWidth="1"/>
    <col min="8" max="9" width="3.33203125" style="362" customWidth="1"/>
    <col min="10" max="10" width="55.21875" style="362" customWidth="1"/>
    <col min="11" max="11" width="14.109375" style="362" customWidth="1"/>
    <col min="12" max="12" width="7" style="362" customWidth="1"/>
    <col min="13" max="13" width="9.109375" style="362"/>
    <col min="14" max="14" width="17.33203125" style="362" customWidth="1"/>
    <col min="15" max="15" width="11.33203125" style="595" customWidth="1"/>
    <col min="16" max="16" width="3.6640625" style="596" customWidth="1"/>
    <col min="17" max="17" width="6.21875" style="598" customWidth="1"/>
    <col min="18" max="18" width="3.33203125" style="362" customWidth="1"/>
    <col min="19" max="19" width="55.21875" style="362" customWidth="1"/>
    <col min="20" max="20" width="14.109375" style="362" customWidth="1"/>
    <col min="21" max="21" width="7" style="362" customWidth="1"/>
    <col min="22" max="22" width="9.109375" style="362"/>
    <col min="23" max="23" width="17.33203125" style="362" customWidth="1"/>
    <col min="24" max="24" width="11.33203125" style="595" customWidth="1"/>
    <col min="25" max="25" width="3" style="362" customWidth="1"/>
    <col min="26" max="26" width="9.109375" style="362"/>
    <col min="27" max="27" width="3.77734375" style="362" customWidth="1"/>
    <col min="28" max="28" width="55.21875" style="362" customWidth="1"/>
    <col min="29" max="29" width="14.109375" style="362" customWidth="1"/>
    <col min="30" max="30" width="7" style="362" customWidth="1"/>
    <col min="31" max="31" width="9.109375" style="362"/>
    <col min="32" max="32" width="17.33203125" style="362" customWidth="1"/>
    <col min="33" max="33" width="11.33203125" style="595" customWidth="1"/>
    <col min="34" max="34" width="3" style="362" customWidth="1"/>
    <col min="35" max="35" width="9.109375" style="362"/>
    <col min="36" max="36" width="3.77734375" style="362" customWidth="1"/>
    <col min="37" max="37" width="55.21875" style="362" customWidth="1"/>
    <col min="38" max="38" width="14.109375" style="362" customWidth="1"/>
    <col min="39" max="39" width="7" style="362" customWidth="1"/>
    <col min="40" max="40" width="9.109375" style="362"/>
    <col min="41" max="41" width="17.33203125" style="362" customWidth="1"/>
    <col min="42" max="42" width="11.33203125" style="595" customWidth="1"/>
    <col min="43" max="43" width="3" style="362" customWidth="1"/>
    <col min="44" max="44" width="9.109375" style="362"/>
    <col min="45" max="45" width="3.77734375" style="362" customWidth="1"/>
    <col min="46" max="46" width="55.21875" style="362" customWidth="1"/>
    <col min="47" max="47" width="14.109375" style="362" customWidth="1"/>
    <col min="48" max="48" width="7" style="362" customWidth="1"/>
    <col min="49" max="49" width="9.109375" style="362"/>
    <col min="50" max="50" width="17.33203125" style="362" customWidth="1"/>
    <col min="51" max="51" width="11.33203125" style="595" customWidth="1"/>
    <col min="52" max="52" width="3" style="362" customWidth="1"/>
    <col min="53" max="53" width="9.109375" style="362"/>
    <col min="54" max="54" width="3.33203125" style="362" customWidth="1"/>
    <col min="55" max="55" width="55.21875" style="362" customWidth="1"/>
    <col min="56" max="56" width="14.109375" style="362" customWidth="1"/>
    <col min="57" max="57" width="7" style="362" customWidth="1"/>
    <col min="58" max="58" width="9.109375" style="362"/>
    <col min="59" max="59" width="17.33203125" style="362" customWidth="1"/>
    <col min="60" max="60" width="11.33203125" style="595" customWidth="1"/>
    <col min="61" max="61" width="3.6640625" style="596" customWidth="1"/>
    <col min="62" max="62" width="6.21875" style="598" customWidth="1"/>
    <col min="63" max="63" width="3.33203125" style="362" customWidth="1"/>
    <col min="64" max="64" width="55.21875" style="362" customWidth="1"/>
    <col min="65" max="65" width="14.109375" style="362" customWidth="1"/>
    <col min="66" max="66" width="7" style="362" customWidth="1"/>
    <col min="67" max="67" width="9.109375" style="362"/>
    <col min="68" max="68" width="17.33203125" style="362" customWidth="1"/>
    <col min="69" max="69" width="11.33203125" style="595" customWidth="1"/>
    <col min="70" max="70" width="3" style="362" customWidth="1"/>
    <col min="71" max="71" width="9.109375" style="362"/>
    <col min="72" max="72" width="3.77734375" style="362" customWidth="1"/>
    <col min="73" max="73" width="55.21875" style="362" customWidth="1"/>
    <col min="74" max="74" width="14.109375" style="362" customWidth="1"/>
    <col min="75" max="75" width="7" style="362" customWidth="1"/>
    <col min="76" max="76" width="9.109375" style="362"/>
    <col min="77" max="77" width="17.33203125" style="362" customWidth="1"/>
    <col min="78" max="78" width="11.33203125" style="595" customWidth="1"/>
    <col min="79" max="79" width="3" style="362" customWidth="1"/>
    <col min="80" max="80" width="9.109375" style="362"/>
    <col min="81" max="81" width="3.77734375" style="362" customWidth="1"/>
    <col min="82" max="82" width="55.21875" style="362" customWidth="1"/>
    <col min="83" max="83" width="14.109375" style="362" customWidth="1"/>
    <col min="84" max="84" width="7" style="362" customWidth="1"/>
    <col min="85" max="85" width="9.109375" style="362"/>
    <col min="86" max="86" width="17.33203125" style="362" customWidth="1"/>
    <col min="87" max="87" width="11.33203125" style="595" customWidth="1"/>
    <col min="88" max="88" width="3" style="362" customWidth="1"/>
    <col min="89" max="89" width="9.109375" style="362"/>
    <col min="90" max="90" width="3.77734375" style="362" customWidth="1"/>
    <col min="91" max="91" width="55.21875" style="362" customWidth="1"/>
    <col min="92" max="92" width="14.109375" style="362" customWidth="1"/>
    <col min="93" max="93" width="7" style="362" customWidth="1"/>
    <col min="94" max="94" width="9.109375" style="362"/>
    <col min="95" max="95" width="17.33203125" style="362" customWidth="1"/>
    <col min="96" max="96" width="11.33203125" style="595" customWidth="1"/>
    <col min="97" max="97" width="3" style="362" customWidth="1"/>
    <col min="98" max="98" width="9.109375" style="362"/>
    <col min="99" max="99" width="3.77734375" style="362" customWidth="1"/>
    <col min="100" max="16384" width="9.109375" style="362"/>
  </cols>
  <sheetData>
    <row r="1" spans="1:99" x14ac:dyDescent="0.3">
      <c r="A1" s="320"/>
      <c r="B1" s="120"/>
      <c r="C1" s="120"/>
      <c r="D1" s="120"/>
      <c r="E1" s="120"/>
      <c r="F1" s="120"/>
      <c r="G1" s="120"/>
      <c r="H1" s="120"/>
      <c r="I1" s="120"/>
      <c r="J1" s="120"/>
      <c r="K1" s="120"/>
      <c r="L1" s="12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120"/>
      <c r="AO1" s="120"/>
      <c r="AP1" s="120"/>
      <c r="AQ1" s="120"/>
      <c r="AR1" s="120"/>
      <c r="AS1" s="120"/>
      <c r="AT1" s="120"/>
      <c r="AU1" s="120"/>
      <c r="AV1" s="120"/>
      <c r="AW1" s="120"/>
      <c r="AX1" s="120"/>
      <c r="AY1" s="120"/>
      <c r="AZ1" s="120"/>
      <c r="BA1" s="120"/>
      <c r="BB1" s="120"/>
      <c r="BC1" s="160"/>
      <c r="BD1" s="120"/>
      <c r="BE1" s="120"/>
      <c r="BF1" s="120"/>
      <c r="BG1" s="120"/>
      <c r="BH1" s="120"/>
      <c r="BI1" s="120"/>
      <c r="BJ1" s="120"/>
      <c r="BK1" s="120"/>
      <c r="BL1" s="160"/>
      <c r="BM1" s="120"/>
      <c r="BN1" s="120"/>
      <c r="BO1" s="120"/>
      <c r="BP1" s="120"/>
      <c r="BQ1" s="120"/>
      <c r="BR1" s="120"/>
      <c r="BS1" s="120"/>
      <c r="BT1" s="120"/>
      <c r="BU1" s="160"/>
      <c r="BV1" s="120"/>
      <c r="BW1" s="120"/>
      <c r="BX1" s="120"/>
      <c r="BY1" s="120"/>
      <c r="BZ1" s="120"/>
      <c r="CA1" s="120"/>
      <c r="CB1" s="120"/>
      <c r="CC1" s="120"/>
      <c r="CD1" s="160"/>
      <c r="CE1" s="120"/>
      <c r="CF1" s="120"/>
      <c r="CG1" s="120"/>
      <c r="CH1" s="120"/>
      <c r="CI1" s="120"/>
      <c r="CJ1" s="120"/>
      <c r="CK1" s="120"/>
      <c r="CL1" s="120"/>
      <c r="CM1" s="160"/>
      <c r="CN1" s="120"/>
      <c r="CO1" s="120"/>
      <c r="CP1" s="120"/>
      <c r="CQ1" s="120"/>
      <c r="CR1" s="120"/>
      <c r="CS1" s="120"/>
      <c r="CT1" s="120"/>
      <c r="CU1" s="120"/>
    </row>
    <row r="2" spans="1:99" ht="23.4" x14ac:dyDescent="0.4">
      <c r="A2" s="157" t="s">
        <v>197</v>
      </c>
      <c r="B2" s="157"/>
      <c r="C2" s="498"/>
      <c r="D2" s="498"/>
      <c r="E2" s="498"/>
      <c r="F2" s="498"/>
      <c r="G2" s="499"/>
      <c r="H2" s="500"/>
      <c r="I2" s="501"/>
      <c r="J2" s="121" t="s">
        <v>198</v>
      </c>
      <c r="K2" s="121" t="s">
        <v>266</v>
      </c>
      <c r="L2" s="121"/>
      <c r="M2" s="502"/>
      <c r="N2" s="502"/>
      <c r="O2" s="502"/>
      <c r="P2" s="502"/>
      <c r="Q2" s="502"/>
      <c r="R2" s="503"/>
      <c r="S2" s="144" t="s">
        <v>198</v>
      </c>
      <c r="T2" s="144" t="s">
        <v>266</v>
      </c>
      <c r="U2" s="144" t="s">
        <v>199</v>
      </c>
      <c r="V2" s="504"/>
      <c r="W2" s="504"/>
      <c r="X2" s="504"/>
      <c r="Y2" s="504"/>
      <c r="Z2" s="504"/>
      <c r="AA2" s="503"/>
      <c r="AB2" s="144" t="s">
        <v>198</v>
      </c>
      <c r="AC2" s="144" t="s">
        <v>266</v>
      </c>
      <c r="AD2" s="144" t="s">
        <v>201</v>
      </c>
      <c r="AE2" s="504"/>
      <c r="AF2" s="504"/>
      <c r="AG2" s="504"/>
      <c r="AH2" s="504"/>
      <c r="AI2" s="504"/>
      <c r="AJ2" s="503"/>
      <c r="AK2" s="144" t="s">
        <v>198</v>
      </c>
      <c r="AL2" s="144" t="s">
        <v>266</v>
      </c>
      <c r="AM2" s="144" t="s">
        <v>202</v>
      </c>
      <c r="AN2" s="504"/>
      <c r="AO2" s="504"/>
      <c r="AP2" s="504"/>
      <c r="AQ2" s="504"/>
      <c r="AR2" s="504"/>
      <c r="AS2" s="503"/>
      <c r="AT2" s="144" t="s">
        <v>198</v>
      </c>
      <c r="AU2" s="144" t="s">
        <v>266</v>
      </c>
      <c r="AV2" s="144" t="s">
        <v>203</v>
      </c>
      <c r="AW2" s="504"/>
      <c r="AX2" s="504"/>
      <c r="AY2" s="504"/>
      <c r="AZ2" s="504"/>
      <c r="BA2" s="504"/>
      <c r="BB2" s="503"/>
      <c r="BC2" s="505" t="s">
        <v>198</v>
      </c>
      <c r="BD2" s="505" t="s">
        <v>265</v>
      </c>
      <c r="BE2" s="505"/>
      <c r="BF2" s="505"/>
      <c r="BG2" s="505"/>
      <c r="BH2" s="505"/>
      <c r="BI2" s="1325"/>
      <c r="BJ2" s="1325"/>
      <c r="BK2" s="503"/>
      <c r="BL2" s="506" t="s">
        <v>198</v>
      </c>
      <c r="BM2" s="161" t="s">
        <v>265</v>
      </c>
      <c r="BN2" s="161" t="s">
        <v>199</v>
      </c>
      <c r="BO2" s="507"/>
      <c r="BP2" s="162"/>
      <c r="BQ2" s="508"/>
      <c r="BR2" s="162"/>
      <c r="BS2" s="162"/>
      <c r="BT2" s="503"/>
      <c r="BU2" s="506" t="s">
        <v>198</v>
      </c>
      <c r="BV2" s="161" t="s">
        <v>265</v>
      </c>
      <c r="BW2" s="161" t="s">
        <v>201</v>
      </c>
      <c r="BX2" s="507"/>
      <c r="BY2" s="162"/>
      <c r="BZ2" s="508"/>
      <c r="CA2" s="162"/>
      <c r="CB2" s="162"/>
      <c r="CC2" s="503"/>
      <c r="CD2" s="506" t="s">
        <v>198</v>
      </c>
      <c r="CE2" s="161" t="s">
        <v>265</v>
      </c>
      <c r="CF2" s="161" t="s">
        <v>202</v>
      </c>
      <c r="CG2" s="507"/>
      <c r="CH2" s="162"/>
      <c r="CI2" s="508"/>
      <c r="CJ2" s="162"/>
      <c r="CK2" s="162"/>
      <c r="CL2" s="503"/>
      <c r="CM2" s="506" t="s">
        <v>198</v>
      </c>
      <c r="CN2" s="161" t="s">
        <v>265</v>
      </c>
      <c r="CO2" s="161" t="s">
        <v>203</v>
      </c>
      <c r="CP2" s="507"/>
      <c r="CQ2" s="162"/>
      <c r="CR2" s="508"/>
      <c r="CS2" s="162"/>
      <c r="CT2" s="162"/>
      <c r="CU2" s="503"/>
    </row>
    <row r="3" spans="1:99" x14ac:dyDescent="0.3">
      <c r="A3" s="120"/>
      <c r="B3" s="120"/>
      <c r="C3" s="120"/>
      <c r="D3" s="120"/>
      <c r="E3" s="120"/>
      <c r="F3" s="120"/>
      <c r="G3" s="509"/>
      <c r="H3" s="510"/>
      <c r="I3" s="501"/>
      <c r="J3" s="120"/>
      <c r="K3" s="120"/>
      <c r="L3" s="120"/>
      <c r="M3" s="120"/>
      <c r="N3" s="120"/>
      <c r="O3" s="120"/>
      <c r="P3" s="509"/>
      <c r="Q3" s="510"/>
      <c r="R3" s="501"/>
      <c r="S3" s="120"/>
      <c r="T3" s="120"/>
      <c r="U3" s="120"/>
      <c r="V3" s="120"/>
      <c r="W3" s="120"/>
      <c r="X3" s="120"/>
      <c r="Y3" s="509"/>
      <c r="Z3" s="510"/>
      <c r="AA3" s="501"/>
      <c r="AB3" s="120"/>
      <c r="AC3" s="120"/>
      <c r="AD3" s="120"/>
      <c r="AE3" s="120"/>
      <c r="AF3" s="120"/>
      <c r="AG3" s="120"/>
      <c r="AH3" s="509"/>
      <c r="AI3" s="510"/>
      <c r="AJ3" s="501"/>
      <c r="AK3" s="120"/>
      <c r="AL3" s="120"/>
      <c r="AM3" s="120"/>
      <c r="AN3" s="120"/>
      <c r="AO3" s="120"/>
      <c r="AP3" s="120"/>
      <c r="AQ3" s="509"/>
      <c r="AR3" s="510"/>
      <c r="AS3" s="501"/>
      <c r="AT3" s="120"/>
      <c r="AU3" s="120"/>
      <c r="AV3" s="120"/>
      <c r="AW3" s="120"/>
      <c r="AX3" s="120"/>
      <c r="AY3" s="120"/>
      <c r="AZ3" s="509"/>
      <c r="BA3" s="510"/>
      <c r="BB3" s="501"/>
      <c r="BC3" s="120"/>
      <c r="BD3" s="49"/>
      <c r="BE3" s="49"/>
      <c r="BF3" s="49"/>
      <c r="BG3" s="49"/>
      <c r="BH3" s="120"/>
      <c r="BI3" s="49"/>
      <c r="BJ3" s="49"/>
      <c r="BK3" s="501"/>
      <c r="BL3" s="120"/>
      <c r="BM3" s="49"/>
      <c r="BN3" s="49"/>
      <c r="BO3" s="49"/>
      <c r="BP3" s="49"/>
      <c r="BQ3" s="120"/>
      <c r="BR3" s="49"/>
      <c r="BS3" s="49"/>
      <c r="BT3" s="501"/>
      <c r="BU3" s="120"/>
      <c r="BV3" s="49"/>
      <c r="BW3" s="49"/>
      <c r="BX3" s="49"/>
      <c r="BY3" s="49"/>
      <c r="BZ3" s="120"/>
      <c r="CA3" s="49"/>
      <c r="CB3" s="49"/>
      <c r="CC3" s="501"/>
      <c r="CD3" s="120"/>
      <c r="CE3" s="49"/>
      <c r="CF3" s="49"/>
      <c r="CG3" s="49"/>
      <c r="CH3" s="49"/>
      <c r="CI3" s="120"/>
      <c r="CJ3" s="49"/>
      <c r="CK3" s="49"/>
      <c r="CL3" s="501"/>
      <c r="CM3" s="120"/>
      <c r="CN3" s="49"/>
      <c r="CO3" s="49"/>
      <c r="CP3" s="49"/>
      <c r="CQ3" s="49"/>
      <c r="CR3" s="120"/>
      <c r="CS3" s="49"/>
      <c r="CT3" s="49"/>
      <c r="CU3" s="501"/>
    </row>
    <row r="4" spans="1:99" ht="15.6" x14ac:dyDescent="0.3">
      <c r="A4" s="153" t="s">
        <v>204</v>
      </c>
      <c r="B4" s="2285">
        <v>0</v>
      </c>
      <c r="C4" s="2286"/>
      <c r="D4" s="2286"/>
      <c r="E4" s="2286"/>
      <c r="F4" s="2287"/>
      <c r="G4" s="509"/>
      <c r="H4" s="510"/>
      <c r="I4" s="501"/>
      <c r="J4" s="153" t="s">
        <v>204</v>
      </c>
      <c r="K4" s="2291"/>
      <c r="L4" s="2292"/>
      <c r="M4" s="2292"/>
      <c r="N4" s="2292"/>
      <c r="O4" s="2293"/>
      <c r="P4" s="509"/>
      <c r="Q4" s="510"/>
      <c r="R4" s="501"/>
      <c r="S4" s="153" t="s">
        <v>204</v>
      </c>
      <c r="T4" s="2291"/>
      <c r="U4" s="2292"/>
      <c r="V4" s="2292"/>
      <c r="W4" s="2292"/>
      <c r="X4" s="2293"/>
      <c r="Y4" s="509"/>
      <c r="Z4" s="510"/>
      <c r="AA4" s="501"/>
      <c r="AB4" s="153" t="s">
        <v>204</v>
      </c>
      <c r="AC4" s="2291"/>
      <c r="AD4" s="2292"/>
      <c r="AE4" s="2292"/>
      <c r="AF4" s="2292"/>
      <c r="AG4" s="2293"/>
      <c r="AH4" s="509"/>
      <c r="AI4" s="510"/>
      <c r="AJ4" s="501"/>
      <c r="AK4" s="153" t="s">
        <v>204</v>
      </c>
      <c r="AL4" s="2291"/>
      <c r="AM4" s="2292"/>
      <c r="AN4" s="2292"/>
      <c r="AO4" s="2292"/>
      <c r="AP4" s="2293"/>
      <c r="AQ4" s="509"/>
      <c r="AR4" s="510"/>
      <c r="AS4" s="501"/>
      <c r="AT4" s="153" t="s">
        <v>204</v>
      </c>
      <c r="AU4" s="2291"/>
      <c r="AV4" s="2292"/>
      <c r="AW4" s="2292"/>
      <c r="AX4" s="2292"/>
      <c r="AY4" s="2293"/>
      <c r="AZ4" s="509"/>
      <c r="BA4" s="510"/>
      <c r="BB4" s="501"/>
      <c r="BC4" s="153" t="s">
        <v>204</v>
      </c>
      <c r="BD4" s="2288"/>
      <c r="BE4" s="2289"/>
      <c r="BF4" s="2289"/>
      <c r="BG4" s="2289"/>
      <c r="BH4" s="2290"/>
      <c r="BI4" s="49"/>
      <c r="BJ4" s="49"/>
      <c r="BK4" s="501"/>
      <c r="BL4" s="153" t="s">
        <v>204</v>
      </c>
      <c r="BM4" s="2282"/>
      <c r="BN4" s="2283"/>
      <c r="BO4" s="2283"/>
      <c r="BP4" s="2283"/>
      <c r="BQ4" s="2284"/>
      <c r="BR4" s="49"/>
      <c r="BS4" s="49"/>
      <c r="BT4" s="501"/>
      <c r="BU4" s="153" t="s">
        <v>204</v>
      </c>
      <c r="BV4" s="2282"/>
      <c r="BW4" s="2283"/>
      <c r="BX4" s="2283"/>
      <c r="BY4" s="2283"/>
      <c r="BZ4" s="2284"/>
      <c r="CA4" s="49"/>
      <c r="CB4" s="49"/>
      <c r="CC4" s="501"/>
      <c r="CD4" s="153" t="s">
        <v>204</v>
      </c>
      <c r="CE4" s="2282"/>
      <c r="CF4" s="2283"/>
      <c r="CG4" s="2283"/>
      <c r="CH4" s="2283"/>
      <c r="CI4" s="2284"/>
      <c r="CJ4" s="49"/>
      <c r="CK4" s="49"/>
      <c r="CL4" s="501"/>
      <c r="CM4" s="153" t="s">
        <v>204</v>
      </c>
      <c r="CN4" s="2282"/>
      <c r="CO4" s="2283"/>
      <c r="CP4" s="2283"/>
      <c r="CQ4" s="2283"/>
      <c r="CR4" s="2284"/>
      <c r="CS4" s="49"/>
      <c r="CT4" s="49"/>
      <c r="CU4" s="501"/>
    </row>
    <row r="5" spans="1:99" s="597" customFormat="1" ht="14.4" thickBot="1" x14ac:dyDescent="0.35">
      <c r="A5" s="120"/>
      <c r="B5" s="120"/>
      <c r="C5" s="120"/>
      <c r="D5" s="120"/>
      <c r="E5" s="120"/>
      <c r="F5" s="120"/>
      <c r="G5" s="509"/>
      <c r="H5" s="510"/>
      <c r="I5" s="501"/>
      <c r="J5" s="120"/>
      <c r="K5" s="120"/>
      <c r="L5" s="120"/>
      <c r="M5" s="120"/>
      <c r="N5" s="120"/>
      <c r="O5" s="120"/>
      <c r="P5" s="509"/>
      <c r="Q5" s="510"/>
      <c r="R5" s="501"/>
      <c r="S5" s="120"/>
      <c r="T5" s="120"/>
      <c r="U5" s="120"/>
      <c r="V5" s="120"/>
      <c r="W5" s="120"/>
      <c r="X5" s="120"/>
      <c r="Y5" s="509"/>
      <c r="Z5" s="510"/>
      <c r="AA5" s="501"/>
      <c r="AB5" s="120"/>
      <c r="AC5" s="120"/>
      <c r="AD5" s="120"/>
      <c r="AE5" s="120"/>
      <c r="AF5" s="120"/>
      <c r="AG5" s="120"/>
      <c r="AH5" s="509"/>
      <c r="AI5" s="510"/>
      <c r="AJ5" s="501"/>
      <c r="AK5" s="120"/>
      <c r="AL5" s="120"/>
      <c r="AM5" s="120"/>
      <c r="AN5" s="120"/>
      <c r="AO5" s="120"/>
      <c r="AP5" s="120"/>
      <c r="AQ5" s="509"/>
      <c r="AR5" s="510"/>
      <c r="AS5" s="501"/>
      <c r="AT5" s="120"/>
      <c r="AU5" s="120"/>
      <c r="AV5" s="120"/>
      <c r="AW5" s="120"/>
      <c r="AX5" s="120"/>
      <c r="AY5" s="120"/>
      <c r="AZ5" s="509"/>
      <c r="BA5" s="510"/>
      <c r="BB5" s="501"/>
      <c r="BC5" s="120"/>
      <c r="BD5" s="49"/>
      <c r="BE5" s="49"/>
      <c r="BF5" s="49"/>
      <c r="BG5" s="49"/>
      <c r="BH5" s="120"/>
      <c r="BI5" s="510"/>
      <c r="BJ5" s="510"/>
      <c r="BK5" s="501"/>
      <c r="BL5" s="120"/>
      <c r="BM5" s="49"/>
      <c r="BN5" s="49"/>
      <c r="BO5" s="49"/>
      <c r="BP5" s="49"/>
      <c r="BQ5" s="120"/>
      <c r="BR5" s="510"/>
      <c r="BS5" s="510"/>
      <c r="BT5" s="501"/>
      <c r="BU5" s="120"/>
      <c r="BV5" s="49"/>
      <c r="BW5" s="49"/>
      <c r="BX5" s="49"/>
      <c r="BY5" s="49"/>
      <c r="BZ5" s="120"/>
      <c r="CA5" s="510"/>
      <c r="CB5" s="510"/>
      <c r="CC5" s="501"/>
      <c r="CD5" s="120"/>
      <c r="CE5" s="49"/>
      <c r="CF5" s="49"/>
      <c r="CG5" s="49"/>
      <c r="CH5" s="49"/>
      <c r="CI5" s="120"/>
      <c r="CJ5" s="510"/>
      <c r="CK5" s="510"/>
      <c r="CL5" s="501"/>
      <c r="CM5" s="120"/>
      <c r="CN5" s="49"/>
      <c r="CO5" s="49"/>
      <c r="CP5" s="49"/>
      <c r="CQ5" s="49"/>
      <c r="CR5" s="120"/>
      <c r="CS5" s="510"/>
      <c r="CT5" s="510"/>
      <c r="CU5" s="501"/>
    </row>
    <row r="6" spans="1:99" s="597" customFormat="1" ht="16.2" thickBot="1" x14ac:dyDescent="0.35">
      <c r="A6" s="152" t="s">
        <v>205</v>
      </c>
      <c r="B6" s="120" t="s">
        <v>23</v>
      </c>
      <c r="C6" s="120"/>
      <c r="D6" s="120"/>
      <c r="E6" s="120"/>
      <c r="F6" s="120"/>
      <c r="G6" s="509"/>
      <c r="H6" s="510"/>
      <c r="I6" s="501"/>
      <c r="J6" s="152" t="s">
        <v>205</v>
      </c>
      <c r="K6" s="120"/>
      <c r="L6" s="120"/>
      <c r="M6" s="120"/>
      <c r="N6" s="120"/>
      <c r="O6" s="120"/>
      <c r="P6" s="509"/>
      <c r="Q6" s="510"/>
      <c r="R6" s="501"/>
      <c r="S6" s="152" t="s">
        <v>205</v>
      </c>
      <c r="T6" s="120"/>
      <c r="U6" s="120"/>
      <c r="V6" s="120"/>
      <c r="W6" s="120"/>
      <c r="X6" s="120"/>
      <c r="Y6" s="509"/>
      <c r="Z6" s="510"/>
      <c r="AA6" s="501"/>
      <c r="AB6" s="152" t="s">
        <v>205</v>
      </c>
      <c r="AC6" s="120"/>
      <c r="AD6" s="120"/>
      <c r="AE6" s="120"/>
      <c r="AF6" s="120"/>
      <c r="AG6" s="120"/>
      <c r="AH6" s="509"/>
      <c r="AI6" s="510"/>
      <c r="AJ6" s="501"/>
      <c r="AK6" s="152" t="s">
        <v>205</v>
      </c>
      <c r="AL6" s="120"/>
      <c r="AM6" s="120"/>
      <c r="AN6" s="120"/>
      <c r="AO6" s="120"/>
      <c r="AP6" s="120"/>
      <c r="AQ6" s="509"/>
      <c r="AR6" s="510"/>
      <c r="AS6" s="501"/>
      <c r="AT6" s="152" t="s">
        <v>205</v>
      </c>
      <c r="AU6" s="120"/>
      <c r="AV6" s="120"/>
      <c r="AW6" s="120"/>
      <c r="AX6" s="120"/>
      <c r="AY6" s="120"/>
      <c r="AZ6" s="509"/>
      <c r="BA6" s="510"/>
      <c r="BB6" s="501"/>
      <c r="BC6" s="152" t="s">
        <v>205</v>
      </c>
      <c r="BD6" s="49"/>
      <c r="BE6" s="49"/>
      <c r="BF6" s="49"/>
      <c r="BG6" s="49"/>
      <c r="BH6" s="120"/>
      <c r="BI6" s="510"/>
      <c r="BJ6" s="510"/>
      <c r="BK6" s="501"/>
      <c r="BL6" s="152" t="s">
        <v>205</v>
      </c>
      <c r="BM6" s="49"/>
      <c r="BN6" s="49"/>
      <c r="BO6" s="49"/>
      <c r="BP6" s="49"/>
      <c r="BQ6" s="120"/>
      <c r="BR6" s="510"/>
      <c r="BS6" s="510"/>
      <c r="BT6" s="501"/>
      <c r="BU6" s="152" t="s">
        <v>205</v>
      </c>
      <c r="BV6" s="49"/>
      <c r="BW6" s="49"/>
      <c r="BX6" s="49"/>
      <c r="BY6" s="49"/>
      <c r="BZ6" s="120"/>
      <c r="CA6" s="510"/>
      <c r="CB6" s="510"/>
      <c r="CC6" s="501"/>
      <c r="CD6" s="152" t="s">
        <v>205</v>
      </c>
      <c r="CE6" s="49"/>
      <c r="CF6" s="49"/>
      <c r="CG6" s="49"/>
      <c r="CH6" s="49"/>
      <c r="CI6" s="120"/>
      <c r="CJ6" s="510"/>
      <c r="CK6" s="510"/>
      <c r="CL6" s="501"/>
      <c r="CM6" s="152" t="s">
        <v>205</v>
      </c>
      <c r="CN6" s="49"/>
      <c r="CO6" s="49"/>
      <c r="CP6" s="49"/>
      <c r="CQ6" s="49"/>
      <c r="CR6" s="120"/>
      <c r="CS6" s="510"/>
      <c r="CT6" s="510"/>
      <c r="CU6" s="501"/>
    </row>
    <row r="7" spans="1:99" s="597" customFormat="1" ht="14.4" thickBot="1" x14ac:dyDescent="0.35">
      <c r="A7" s="120" t="s">
        <v>206</v>
      </c>
      <c r="B7" s="511">
        <v>0</v>
      </c>
      <c r="C7" s="120" t="s">
        <v>207</v>
      </c>
      <c r="D7" s="120"/>
      <c r="E7" s="512" t="s">
        <v>208</v>
      </c>
      <c r="F7" s="513">
        <f>+'Emission Factors'!C11</f>
        <v>0.18396000000000001</v>
      </c>
      <c r="G7" s="509"/>
      <c r="H7" s="510"/>
      <c r="I7" s="501"/>
      <c r="J7" s="120" t="s">
        <v>206</v>
      </c>
      <c r="K7" s="514">
        <f>+T7+AC7+AL7+AU7</f>
        <v>0</v>
      </c>
      <c r="L7" s="120" t="s">
        <v>207</v>
      </c>
      <c r="M7" s="120"/>
      <c r="N7" s="512" t="s">
        <v>208</v>
      </c>
      <c r="O7" s="513">
        <f>+'Emission Factors'!J11</f>
        <v>0.18396000000000001</v>
      </c>
      <c r="P7" s="509"/>
      <c r="Q7" s="510"/>
      <c r="R7" s="501"/>
      <c r="S7" s="120" t="s">
        <v>206</v>
      </c>
      <c r="T7" s="1033"/>
      <c r="U7" s="120" t="s">
        <v>207</v>
      </c>
      <c r="V7" s="120"/>
      <c r="W7" s="512" t="s">
        <v>208</v>
      </c>
      <c r="X7" s="513">
        <f>+O7</f>
        <v>0.18396000000000001</v>
      </c>
      <c r="Y7" s="509"/>
      <c r="Z7" s="510"/>
      <c r="AA7" s="501"/>
      <c r="AB7" s="120" t="s">
        <v>206</v>
      </c>
      <c r="AC7" s="1033"/>
      <c r="AD7" s="120" t="s">
        <v>207</v>
      </c>
      <c r="AE7" s="120"/>
      <c r="AF7" s="512" t="s">
        <v>208</v>
      </c>
      <c r="AG7" s="513">
        <f>+X7</f>
        <v>0.18396000000000001</v>
      </c>
      <c r="AH7" s="509"/>
      <c r="AI7" s="510"/>
      <c r="AJ7" s="501"/>
      <c r="AK7" s="120" t="s">
        <v>206</v>
      </c>
      <c r="AL7" s="1033"/>
      <c r="AM7" s="120" t="s">
        <v>207</v>
      </c>
      <c r="AN7" s="120"/>
      <c r="AO7" s="512" t="s">
        <v>208</v>
      </c>
      <c r="AP7" s="513">
        <f>+AG7</f>
        <v>0.18396000000000001</v>
      </c>
      <c r="AQ7" s="509"/>
      <c r="AR7" s="510"/>
      <c r="AS7" s="501"/>
      <c r="AT7" s="120" t="s">
        <v>206</v>
      </c>
      <c r="AU7" s="1033"/>
      <c r="AV7" s="120" t="s">
        <v>207</v>
      </c>
      <c r="AW7" s="120"/>
      <c r="AX7" s="512" t="s">
        <v>208</v>
      </c>
      <c r="AY7" s="513">
        <f>+AP7</f>
        <v>0.18396000000000001</v>
      </c>
      <c r="AZ7" s="509"/>
      <c r="BA7" s="510"/>
      <c r="BB7" s="501"/>
      <c r="BC7" s="120" t="s">
        <v>206</v>
      </c>
      <c r="BD7" s="514">
        <f>+BM7+BV7+CE7+CN7</f>
        <v>0</v>
      </c>
      <c r="BE7" s="49" t="s">
        <v>207</v>
      </c>
      <c r="BF7" s="49"/>
      <c r="BG7" s="122" t="s">
        <v>208</v>
      </c>
      <c r="BH7" s="513">
        <f>+'Emission Factors'!I11</f>
        <v>0.184163989077374</v>
      </c>
      <c r="BI7" s="510"/>
      <c r="BJ7" s="510"/>
      <c r="BK7" s="501"/>
      <c r="BL7" s="120" t="s">
        <v>206</v>
      </c>
      <c r="BM7" s="189"/>
      <c r="BN7" s="49" t="s">
        <v>207</v>
      </c>
      <c r="BO7" s="49"/>
      <c r="BP7" s="122" t="s">
        <v>208</v>
      </c>
      <c r="BQ7" s="513">
        <f>+BH7</f>
        <v>0.184163989077374</v>
      </c>
      <c r="BR7" s="510"/>
      <c r="BS7" s="510"/>
      <c r="BT7" s="501"/>
      <c r="BU7" s="120" t="s">
        <v>206</v>
      </c>
      <c r="BV7" s="189"/>
      <c r="BW7" s="49" t="s">
        <v>207</v>
      </c>
      <c r="BX7" s="49"/>
      <c r="BY7" s="122" t="s">
        <v>208</v>
      </c>
      <c r="BZ7" s="513">
        <f>+BQ7</f>
        <v>0.184163989077374</v>
      </c>
      <c r="CA7" s="510"/>
      <c r="CB7" s="510"/>
      <c r="CC7" s="501"/>
      <c r="CD7" s="120" t="s">
        <v>206</v>
      </c>
      <c r="CE7" s="189"/>
      <c r="CF7" s="49" t="s">
        <v>207</v>
      </c>
      <c r="CG7" s="49"/>
      <c r="CH7" s="122" t="s">
        <v>208</v>
      </c>
      <c r="CI7" s="513">
        <f>+BZ7</f>
        <v>0.184163989077374</v>
      </c>
      <c r="CJ7" s="510"/>
      <c r="CK7" s="510"/>
      <c r="CL7" s="501"/>
      <c r="CM7" s="120" t="s">
        <v>206</v>
      </c>
      <c r="CN7" s="189"/>
      <c r="CO7" s="49" t="s">
        <v>207</v>
      </c>
      <c r="CP7" s="49"/>
      <c r="CQ7" s="122" t="s">
        <v>208</v>
      </c>
      <c r="CR7" s="513">
        <f>+CI7</f>
        <v>0.184163989077374</v>
      </c>
      <c r="CS7" s="510"/>
      <c r="CT7" s="510"/>
      <c r="CU7" s="501"/>
    </row>
    <row r="8" spans="1:99" s="597" customFormat="1" x14ac:dyDescent="0.3">
      <c r="A8" s="120" t="s">
        <v>209</v>
      </c>
      <c r="B8" s="511">
        <v>0</v>
      </c>
      <c r="C8" s="120" t="s">
        <v>207</v>
      </c>
      <c r="D8" s="120"/>
      <c r="E8" s="515" t="s">
        <v>210</v>
      </c>
      <c r="F8" s="513">
        <f>+'Emission Factors'!C12</f>
        <v>0.27651999999999999</v>
      </c>
      <c r="G8" s="509"/>
      <c r="H8" s="510"/>
      <c r="I8" s="501"/>
      <c r="J8" s="120" t="s">
        <v>209</v>
      </c>
      <c r="K8" s="516">
        <f>+T8+AC8+AL8+AU8</f>
        <v>0</v>
      </c>
      <c r="L8" s="120" t="s">
        <v>207</v>
      </c>
      <c r="M8" s="120"/>
      <c r="N8" s="515" t="s">
        <v>210</v>
      </c>
      <c r="O8" s="513">
        <f>+'Emission Factors'!J12</f>
        <v>0.27651999999999999</v>
      </c>
      <c r="P8" s="509"/>
      <c r="Q8" s="510"/>
      <c r="R8" s="501"/>
      <c r="S8" s="120" t="s">
        <v>209</v>
      </c>
      <c r="T8" s="1033"/>
      <c r="U8" s="120" t="s">
        <v>207</v>
      </c>
      <c r="V8" s="120"/>
      <c r="W8" s="515" t="s">
        <v>210</v>
      </c>
      <c r="X8" s="513">
        <f>+O8</f>
        <v>0.27651999999999999</v>
      </c>
      <c r="Y8" s="509"/>
      <c r="Z8" s="510"/>
      <c r="AA8" s="501"/>
      <c r="AB8" s="120" t="s">
        <v>209</v>
      </c>
      <c r="AC8" s="1033"/>
      <c r="AD8" s="120" t="s">
        <v>207</v>
      </c>
      <c r="AE8" s="120"/>
      <c r="AF8" s="515" t="s">
        <v>210</v>
      </c>
      <c r="AG8" s="513">
        <f>+X8</f>
        <v>0.27651999999999999</v>
      </c>
      <c r="AH8" s="509"/>
      <c r="AI8" s="510"/>
      <c r="AJ8" s="501"/>
      <c r="AK8" s="120" t="s">
        <v>209</v>
      </c>
      <c r="AL8" s="1033"/>
      <c r="AM8" s="120" t="s">
        <v>207</v>
      </c>
      <c r="AN8" s="120"/>
      <c r="AO8" s="515" t="s">
        <v>210</v>
      </c>
      <c r="AP8" s="513">
        <f>+AG8</f>
        <v>0.27651999999999999</v>
      </c>
      <c r="AQ8" s="509"/>
      <c r="AR8" s="510"/>
      <c r="AS8" s="501"/>
      <c r="AT8" s="120" t="s">
        <v>209</v>
      </c>
      <c r="AU8" s="1033"/>
      <c r="AV8" s="120" t="s">
        <v>207</v>
      </c>
      <c r="AW8" s="120"/>
      <c r="AX8" s="515" t="s">
        <v>210</v>
      </c>
      <c r="AY8" s="513">
        <f>+AP8</f>
        <v>0.27651999999999999</v>
      </c>
      <c r="AZ8" s="509"/>
      <c r="BA8" s="510"/>
      <c r="BB8" s="501"/>
      <c r="BC8" s="120" t="s">
        <v>209</v>
      </c>
      <c r="BD8" s="516">
        <f>+BM8+BV8+CE8+CN8</f>
        <v>0</v>
      </c>
      <c r="BE8" s="49" t="s">
        <v>207</v>
      </c>
      <c r="BF8" s="49"/>
      <c r="BG8" s="123" t="s">
        <v>210</v>
      </c>
      <c r="BH8" s="513">
        <f>+'Emission Factors'!I12</f>
        <v>0.27587637411749499</v>
      </c>
      <c r="BI8" s="510"/>
      <c r="BJ8" s="510"/>
      <c r="BK8" s="501"/>
      <c r="BL8" s="120" t="s">
        <v>209</v>
      </c>
      <c r="BM8" s="189"/>
      <c r="BN8" s="49" t="s">
        <v>207</v>
      </c>
      <c r="BO8" s="49"/>
      <c r="BP8" s="123" t="s">
        <v>210</v>
      </c>
      <c r="BQ8" s="513">
        <f>+BH8</f>
        <v>0.27587637411749499</v>
      </c>
      <c r="BR8" s="510"/>
      <c r="BS8" s="510"/>
      <c r="BT8" s="501"/>
      <c r="BU8" s="120" t="s">
        <v>209</v>
      </c>
      <c r="BV8" s="189"/>
      <c r="BW8" s="49" t="s">
        <v>207</v>
      </c>
      <c r="BX8" s="49"/>
      <c r="BY8" s="123" t="s">
        <v>210</v>
      </c>
      <c r="BZ8" s="513">
        <f>+BQ8</f>
        <v>0.27587637411749499</v>
      </c>
      <c r="CA8" s="510"/>
      <c r="CB8" s="510"/>
      <c r="CC8" s="501"/>
      <c r="CD8" s="120" t="s">
        <v>209</v>
      </c>
      <c r="CE8" s="189"/>
      <c r="CF8" s="49" t="s">
        <v>207</v>
      </c>
      <c r="CG8" s="49"/>
      <c r="CH8" s="123" t="s">
        <v>210</v>
      </c>
      <c r="CI8" s="513">
        <f>+BZ8</f>
        <v>0.27587637411749499</v>
      </c>
      <c r="CJ8" s="510"/>
      <c r="CK8" s="510"/>
      <c r="CL8" s="501"/>
      <c r="CM8" s="120" t="s">
        <v>209</v>
      </c>
      <c r="CN8" s="189"/>
      <c r="CO8" s="49" t="s">
        <v>207</v>
      </c>
      <c r="CP8" s="49"/>
      <c r="CQ8" s="123" t="s">
        <v>210</v>
      </c>
      <c r="CR8" s="513">
        <f>+CI8</f>
        <v>0.27587637411749499</v>
      </c>
      <c r="CS8" s="510"/>
      <c r="CT8" s="510"/>
      <c r="CU8" s="501"/>
    </row>
    <row r="9" spans="1:99" s="597" customFormat="1" x14ac:dyDescent="0.3">
      <c r="A9" s="120"/>
      <c r="B9" s="120"/>
      <c r="C9" s="120"/>
      <c r="D9" s="120"/>
      <c r="E9" s="517"/>
      <c r="F9" s="518"/>
      <c r="G9" s="509"/>
      <c r="H9" s="510"/>
      <c r="I9" s="501"/>
      <c r="J9" s="120"/>
      <c r="K9" s="120"/>
      <c r="L9" s="120"/>
      <c r="M9" s="120"/>
      <c r="N9" s="517"/>
      <c r="O9" s="518"/>
      <c r="P9" s="509"/>
      <c r="Q9" s="510"/>
      <c r="R9" s="501"/>
      <c r="S9" s="120"/>
      <c r="T9" s="120"/>
      <c r="U9" s="120"/>
      <c r="V9" s="120"/>
      <c r="W9" s="517"/>
      <c r="X9" s="518"/>
      <c r="Y9" s="509"/>
      <c r="Z9" s="510"/>
      <c r="AA9" s="501"/>
      <c r="AB9" s="120"/>
      <c r="AC9" s="120"/>
      <c r="AD9" s="120"/>
      <c r="AE9" s="120"/>
      <c r="AF9" s="517"/>
      <c r="AG9" s="518"/>
      <c r="AH9" s="509"/>
      <c r="AI9" s="510"/>
      <c r="AJ9" s="501"/>
      <c r="AK9" s="120"/>
      <c r="AL9" s="120"/>
      <c r="AM9" s="120"/>
      <c r="AN9" s="120"/>
      <c r="AO9" s="517"/>
      <c r="AP9" s="518"/>
      <c r="AQ9" s="509"/>
      <c r="AR9" s="510"/>
      <c r="AS9" s="501"/>
      <c r="AT9" s="120"/>
      <c r="AU9" s="120"/>
      <c r="AV9" s="120"/>
      <c r="AW9" s="120"/>
      <c r="AX9" s="517"/>
      <c r="AY9" s="518"/>
      <c r="AZ9" s="509"/>
      <c r="BA9" s="510"/>
      <c r="BB9" s="501"/>
      <c r="BC9" s="120"/>
      <c r="BD9" s="120"/>
      <c r="BE9" s="49"/>
      <c r="BF9" s="49"/>
      <c r="BG9" s="124"/>
      <c r="BH9" s="518"/>
      <c r="BI9" s="510"/>
      <c r="BJ9" s="510"/>
      <c r="BK9" s="501"/>
      <c r="BL9" s="120"/>
      <c r="BM9" s="49"/>
      <c r="BN9" s="49"/>
      <c r="BO9" s="49"/>
      <c r="BP9" s="124"/>
      <c r="BQ9" s="518"/>
      <c r="BR9" s="510"/>
      <c r="BS9" s="510"/>
      <c r="BT9" s="501"/>
      <c r="BU9" s="120"/>
      <c r="BV9" s="49"/>
      <c r="BW9" s="49"/>
      <c r="BX9" s="49"/>
      <c r="BY9" s="124"/>
      <c r="BZ9" s="518"/>
      <c r="CA9" s="510"/>
      <c r="CB9" s="510"/>
      <c r="CC9" s="501"/>
      <c r="CD9" s="120"/>
      <c r="CE9" s="49"/>
      <c r="CF9" s="49"/>
      <c r="CG9" s="49"/>
      <c r="CH9" s="124"/>
      <c r="CI9" s="518"/>
      <c r="CJ9" s="510"/>
      <c r="CK9" s="510"/>
      <c r="CL9" s="501"/>
      <c r="CM9" s="120"/>
      <c r="CN9" s="49"/>
      <c r="CO9" s="49"/>
      <c r="CP9" s="49"/>
      <c r="CQ9" s="124"/>
      <c r="CR9" s="518"/>
      <c r="CS9" s="510"/>
      <c r="CT9" s="510"/>
      <c r="CU9" s="501"/>
    </row>
    <row r="10" spans="1:99" s="597" customFormat="1" ht="14.4" thickBot="1" x14ac:dyDescent="0.35">
      <c r="A10" s="120"/>
      <c r="B10" s="120"/>
      <c r="C10" s="120"/>
      <c r="D10" s="120"/>
      <c r="E10" s="517"/>
      <c r="F10" s="518"/>
      <c r="G10" s="509"/>
      <c r="H10" s="510"/>
      <c r="I10" s="501"/>
      <c r="J10" s="120"/>
      <c r="K10" s="120"/>
      <c r="L10" s="120"/>
      <c r="M10" s="120"/>
      <c r="N10" s="517"/>
      <c r="O10" s="518"/>
      <c r="P10" s="509"/>
      <c r="Q10" s="510"/>
      <c r="R10" s="501"/>
      <c r="S10" s="120"/>
      <c r="T10" s="120"/>
      <c r="U10" s="120"/>
      <c r="V10" s="120"/>
      <c r="W10" s="517"/>
      <c r="X10" s="518"/>
      <c r="Y10" s="509"/>
      <c r="Z10" s="510"/>
      <c r="AA10" s="501"/>
      <c r="AB10" s="120"/>
      <c r="AC10" s="120"/>
      <c r="AD10" s="120"/>
      <c r="AE10" s="120"/>
      <c r="AF10" s="517"/>
      <c r="AG10" s="518"/>
      <c r="AH10" s="509"/>
      <c r="AI10" s="510"/>
      <c r="AJ10" s="501"/>
      <c r="AK10" s="120"/>
      <c r="AL10" s="120"/>
      <c r="AM10" s="120"/>
      <c r="AN10" s="120"/>
      <c r="AO10" s="517"/>
      <c r="AP10" s="518"/>
      <c r="AQ10" s="509"/>
      <c r="AR10" s="510"/>
      <c r="AS10" s="501"/>
      <c r="AT10" s="120"/>
      <c r="AU10" s="120"/>
      <c r="AV10" s="120"/>
      <c r="AW10" s="120"/>
      <c r="AX10" s="517"/>
      <c r="AY10" s="518"/>
      <c r="AZ10" s="509"/>
      <c r="BA10" s="510"/>
      <c r="BB10" s="501"/>
      <c r="BC10" s="120"/>
      <c r="BD10" s="120"/>
      <c r="BE10" s="49"/>
      <c r="BF10" s="49"/>
      <c r="BG10" s="124"/>
      <c r="BH10" s="518"/>
      <c r="BI10" s="510"/>
      <c r="BJ10" s="510"/>
      <c r="BK10" s="501"/>
      <c r="BL10" s="120"/>
      <c r="BM10" s="49"/>
      <c r="BN10" s="49"/>
      <c r="BO10" s="49"/>
      <c r="BP10" s="124"/>
      <c r="BQ10" s="518"/>
      <c r="BR10" s="510"/>
      <c r="BS10" s="510"/>
      <c r="BT10" s="501"/>
      <c r="BU10" s="120"/>
      <c r="BV10" s="49"/>
      <c r="BW10" s="49"/>
      <c r="BX10" s="49"/>
      <c r="BY10" s="124"/>
      <c r="BZ10" s="518"/>
      <c r="CA10" s="510"/>
      <c r="CB10" s="510"/>
      <c r="CC10" s="501"/>
      <c r="CD10" s="120"/>
      <c r="CE10" s="49"/>
      <c r="CF10" s="49"/>
      <c r="CG10" s="49"/>
      <c r="CH10" s="124"/>
      <c r="CI10" s="518"/>
      <c r="CJ10" s="510"/>
      <c r="CK10" s="510"/>
      <c r="CL10" s="501"/>
      <c r="CM10" s="120"/>
      <c r="CN10" s="49"/>
      <c r="CO10" s="49"/>
      <c r="CP10" s="49"/>
      <c r="CQ10" s="124"/>
      <c r="CR10" s="518"/>
      <c r="CS10" s="510"/>
      <c r="CT10" s="510"/>
      <c r="CU10" s="501"/>
    </row>
    <row r="11" spans="1:99" s="597" customFormat="1" ht="16.2" thickBot="1" x14ac:dyDescent="0.35">
      <c r="A11" s="152" t="s">
        <v>211</v>
      </c>
      <c r="B11" s="120"/>
      <c r="C11" s="120"/>
      <c r="D11" s="120"/>
      <c r="E11" s="517"/>
      <c r="F11" s="518"/>
      <c r="G11" s="509"/>
      <c r="H11" s="510"/>
      <c r="I11" s="501"/>
      <c r="J11" s="152" t="s">
        <v>211</v>
      </c>
      <c r="K11" s="120"/>
      <c r="L11" s="120"/>
      <c r="M11" s="120"/>
      <c r="N11" s="517"/>
      <c r="O11" s="518"/>
      <c r="P11" s="509"/>
      <c r="Q11" s="510"/>
      <c r="R11" s="501"/>
      <c r="S11" s="152" t="s">
        <v>211</v>
      </c>
      <c r="T11" s="120"/>
      <c r="U11" s="120"/>
      <c r="V11" s="120"/>
      <c r="W11" s="517"/>
      <c r="X11" s="518"/>
      <c r="Y11" s="509"/>
      <c r="Z11" s="510"/>
      <c r="AA11" s="501"/>
      <c r="AB11" s="152" t="s">
        <v>211</v>
      </c>
      <c r="AC11" s="120"/>
      <c r="AD11" s="120"/>
      <c r="AE11" s="120"/>
      <c r="AF11" s="517"/>
      <c r="AG11" s="518"/>
      <c r="AH11" s="509"/>
      <c r="AI11" s="510"/>
      <c r="AJ11" s="501"/>
      <c r="AK11" s="152" t="s">
        <v>211</v>
      </c>
      <c r="AL11" s="120"/>
      <c r="AM11" s="120"/>
      <c r="AN11" s="120"/>
      <c r="AO11" s="517"/>
      <c r="AP11" s="518"/>
      <c r="AQ11" s="509"/>
      <c r="AR11" s="510"/>
      <c r="AS11" s="501"/>
      <c r="AT11" s="152" t="s">
        <v>211</v>
      </c>
      <c r="AU11" s="120"/>
      <c r="AV11" s="120"/>
      <c r="AW11" s="120"/>
      <c r="AX11" s="517"/>
      <c r="AY11" s="518"/>
      <c r="AZ11" s="509"/>
      <c r="BA11" s="510"/>
      <c r="BB11" s="501"/>
      <c r="BC11" s="152" t="s">
        <v>211</v>
      </c>
      <c r="BD11" s="120"/>
      <c r="BE11" s="49"/>
      <c r="BF11" s="49"/>
      <c r="BG11" s="124"/>
      <c r="BH11" s="518"/>
      <c r="BI11" s="510"/>
      <c r="BJ11" s="510"/>
      <c r="BK11" s="501"/>
      <c r="BL11" s="152" t="s">
        <v>211</v>
      </c>
      <c r="BM11" s="49"/>
      <c r="BN11" s="49"/>
      <c r="BO11" s="49"/>
      <c r="BP11" s="124"/>
      <c r="BQ11" s="518"/>
      <c r="BR11" s="510"/>
      <c r="BS11" s="510"/>
      <c r="BT11" s="501"/>
      <c r="BU11" s="152" t="s">
        <v>211</v>
      </c>
      <c r="BV11" s="49"/>
      <c r="BW11" s="49"/>
      <c r="BX11" s="49"/>
      <c r="BY11" s="124"/>
      <c r="BZ11" s="518"/>
      <c r="CA11" s="510"/>
      <c r="CB11" s="510"/>
      <c r="CC11" s="501"/>
      <c r="CD11" s="152" t="s">
        <v>211</v>
      </c>
      <c r="CE11" s="49"/>
      <c r="CF11" s="49"/>
      <c r="CG11" s="49"/>
      <c r="CH11" s="124"/>
      <c r="CI11" s="518"/>
      <c r="CJ11" s="510"/>
      <c r="CK11" s="510"/>
      <c r="CL11" s="501"/>
      <c r="CM11" s="152" t="s">
        <v>211</v>
      </c>
      <c r="CN11" s="49"/>
      <c r="CO11" s="49"/>
      <c r="CP11" s="49"/>
      <c r="CQ11" s="124"/>
      <c r="CR11" s="518"/>
      <c r="CS11" s="510"/>
      <c r="CT11" s="510"/>
      <c r="CU11" s="501"/>
    </row>
    <row r="12" spans="1:99" s="597" customFormat="1" x14ac:dyDescent="0.3">
      <c r="A12" s="120" t="s">
        <v>212</v>
      </c>
      <c r="B12" s="511">
        <v>0</v>
      </c>
      <c r="C12" s="120" t="s">
        <v>207</v>
      </c>
      <c r="D12" s="120"/>
      <c r="E12" s="517" t="s">
        <v>213</v>
      </c>
      <c r="F12" s="518">
        <f>IF(B12+B13=0,0,2*(F7*B7+F8*B8)/(B13+(2*B12)))</f>
        <v>0</v>
      </c>
      <c r="G12" s="509"/>
      <c r="H12" s="510"/>
      <c r="I12" s="501"/>
      <c r="J12" s="120" t="s">
        <v>212</v>
      </c>
      <c r="K12" s="514">
        <f>+T12+AC12+AL12+AU12</f>
        <v>0</v>
      </c>
      <c r="L12" s="120" t="s">
        <v>207</v>
      </c>
      <c r="M12" s="120"/>
      <c r="N12" s="517" t="s">
        <v>213</v>
      </c>
      <c r="O12" s="518">
        <f>IF(K12+K13=0,0,2*(O7*K7+O8*K8)/(K13+(2*K12)))</f>
        <v>0</v>
      </c>
      <c r="P12" s="509"/>
      <c r="Q12" s="510"/>
      <c r="R12" s="501"/>
      <c r="S12" s="120" t="s">
        <v>212</v>
      </c>
      <c r="T12" s="1033"/>
      <c r="U12" s="120" t="s">
        <v>207</v>
      </c>
      <c r="V12" s="120"/>
      <c r="W12" s="517" t="s">
        <v>213</v>
      </c>
      <c r="X12" s="518">
        <f>IF(T12+T13=0,0,2*(X7*T7+X8*T8)/(T13+(2*T12)))</f>
        <v>0</v>
      </c>
      <c r="Y12" s="509"/>
      <c r="Z12" s="510"/>
      <c r="AA12" s="501"/>
      <c r="AB12" s="120" t="s">
        <v>212</v>
      </c>
      <c r="AC12" s="1033"/>
      <c r="AD12" s="120" t="s">
        <v>207</v>
      </c>
      <c r="AE12" s="120"/>
      <c r="AF12" s="517" t="s">
        <v>213</v>
      </c>
      <c r="AG12" s="518">
        <f>IF(AC12+AC13=0,0,2*(AG7*AC7+AG8*AC8)/(AC13+(2*AC12)))</f>
        <v>0</v>
      </c>
      <c r="AH12" s="509"/>
      <c r="AI12" s="510"/>
      <c r="AJ12" s="501"/>
      <c r="AK12" s="120" t="s">
        <v>212</v>
      </c>
      <c r="AL12" s="1033"/>
      <c r="AM12" s="120" t="s">
        <v>207</v>
      </c>
      <c r="AN12" s="120"/>
      <c r="AO12" s="517" t="s">
        <v>213</v>
      </c>
      <c r="AP12" s="518">
        <f>IF(AL12+AL13=0,0,2*(AP7*AL7+AP8*AL8)/(AL13+(2*AL12)))</f>
        <v>0</v>
      </c>
      <c r="AQ12" s="509"/>
      <c r="AR12" s="510"/>
      <c r="AS12" s="501"/>
      <c r="AT12" s="120" t="s">
        <v>212</v>
      </c>
      <c r="AU12" s="1033"/>
      <c r="AV12" s="120" t="s">
        <v>207</v>
      </c>
      <c r="AW12" s="120"/>
      <c r="AX12" s="517" t="s">
        <v>213</v>
      </c>
      <c r="AY12" s="518">
        <f>IF(AU12+AU13=0,0,2*(AY7*AU7+AY8*AU8)/(AU13+(2*AU12)))</f>
        <v>0</v>
      </c>
      <c r="AZ12" s="509"/>
      <c r="BA12" s="510"/>
      <c r="BB12" s="501"/>
      <c r="BC12" s="120" t="s">
        <v>212</v>
      </c>
      <c r="BD12" s="514">
        <f>+BM12+BV12+CE12+CN12</f>
        <v>0</v>
      </c>
      <c r="BE12" s="49" t="s">
        <v>207</v>
      </c>
      <c r="BF12" s="49"/>
      <c r="BG12" s="124" t="s">
        <v>213</v>
      </c>
      <c r="BH12" s="518">
        <f>IF(BD12+BD13=0,0,2*(BH7*BD7+BH8*BD8)/(BD13+(2*BD12)))</f>
        <v>0</v>
      </c>
      <c r="BI12" s="510"/>
      <c r="BJ12" s="510"/>
      <c r="BK12" s="501"/>
      <c r="BL12" s="120" t="s">
        <v>212</v>
      </c>
      <c r="BM12" s="189"/>
      <c r="BN12" s="49" t="s">
        <v>207</v>
      </c>
      <c r="BO12" s="49"/>
      <c r="BP12" s="124" t="s">
        <v>213</v>
      </c>
      <c r="BQ12" s="518">
        <f>IF(BM12+BM13=0,0,2*(BQ7*BM7+BQ8*BM8)/(BM13+(2*BM12)))</f>
        <v>0</v>
      </c>
      <c r="BR12" s="510"/>
      <c r="BS12" s="510"/>
      <c r="BT12" s="501"/>
      <c r="BU12" s="120" t="s">
        <v>212</v>
      </c>
      <c r="BV12" s="189"/>
      <c r="BW12" s="49" t="s">
        <v>207</v>
      </c>
      <c r="BX12" s="49"/>
      <c r="BY12" s="124" t="s">
        <v>213</v>
      </c>
      <c r="BZ12" s="518">
        <f>IF(BV12+BV13=0,0,2*(BZ7*BV7+BZ8*BV8)/(BV13+(2*BV12)))</f>
        <v>0</v>
      </c>
      <c r="CA12" s="510"/>
      <c r="CB12" s="510"/>
      <c r="CC12" s="501"/>
      <c r="CD12" s="120" t="s">
        <v>212</v>
      </c>
      <c r="CE12" s="189"/>
      <c r="CF12" s="49" t="s">
        <v>207</v>
      </c>
      <c r="CG12" s="49"/>
      <c r="CH12" s="124" t="s">
        <v>213</v>
      </c>
      <c r="CI12" s="518">
        <f>IF(CE12+CE13=0,0,2*(CI7*CE7+CI8*CE8)/(CE13+(2*CE12)))</f>
        <v>0</v>
      </c>
      <c r="CJ12" s="510"/>
      <c r="CK12" s="510"/>
      <c r="CL12" s="501"/>
      <c r="CM12" s="120" t="s">
        <v>212</v>
      </c>
      <c r="CN12" s="189"/>
      <c r="CO12" s="49" t="s">
        <v>207</v>
      </c>
      <c r="CP12" s="49"/>
      <c r="CQ12" s="124" t="s">
        <v>213</v>
      </c>
      <c r="CR12" s="518">
        <f>IF(CN12+CN13=0,0,2*(CR7*CN7+CR8*CN8)/(CN13+(2*CN12)))</f>
        <v>0</v>
      </c>
      <c r="CS12" s="510"/>
      <c r="CT12" s="510"/>
      <c r="CU12" s="501"/>
    </row>
    <row r="13" spans="1:99" s="597" customFormat="1" x14ac:dyDescent="0.3">
      <c r="A13" s="120" t="s">
        <v>214</v>
      </c>
      <c r="B13" s="511">
        <v>0</v>
      </c>
      <c r="C13" s="120" t="s">
        <v>207</v>
      </c>
      <c r="D13" s="120"/>
      <c r="E13" s="517" t="s">
        <v>215</v>
      </c>
      <c r="F13" s="518">
        <f>F12/2</f>
        <v>0</v>
      </c>
      <c r="G13" s="509"/>
      <c r="H13" s="510"/>
      <c r="I13" s="501"/>
      <c r="J13" s="120" t="s">
        <v>214</v>
      </c>
      <c r="K13" s="514">
        <f>+T13+AC13+AL13+AU13</f>
        <v>0</v>
      </c>
      <c r="L13" s="120" t="s">
        <v>207</v>
      </c>
      <c r="M13" s="120"/>
      <c r="N13" s="517" t="s">
        <v>215</v>
      </c>
      <c r="O13" s="518">
        <f>O12/2</f>
        <v>0</v>
      </c>
      <c r="P13" s="509"/>
      <c r="Q13" s="510"/>
      <c r="R13" s="501"/>
      <c r="S13" s="120" t="s">
        <v>214</v>
      </c>
      <c r="T13" s="1032"/>
      <c r="U13" s="120" t="s">
        <v>207</v>
      </c>
      <c r="V13" s="120"/>
      <c r="W13" s="517" t="s">
        <v>215</v>
      </c>
      <c r="X13" s="518">
        <f>X12/2</f>
        <v>0</v>
      </c>
      <c r="Y13" s="509"/>
      <c r="Z13" s="510"/>
      <c r="AA13" s="501"/>
      <c r="AB13" s="120" t="s">
        <v>214</v>
      </c>
      <c r="AC13" s="1032"/>
      <c r="AD13" s="120" t="s">
        <v>207</v>
      </c>
      <c r="AE13" s="120"/>
      <c r="AF13" s="517" t="s">
        <v>215</v>
      </c>
      <c r="AG13" s="518">
        <f>AG12/2</f>
        <v>0</v>
      </c>
      <c r="AH13" s="509"/>
      <c r="AI13" s="510"/>
      <c r="AJ13" s="501"/>
      <c r="AK13" s="120" t="s">
        <v>214</v>
      </c>
      <c r="AL13" s="1032"/>
      <c r="AM13" s="120" t="s">
        <v>207</v>
      </c>
      <c r="AN13" s="120"/>
      <c r="AO13" s="517" t="s">
        <v>215</v>
      </c>
      <c r="AP13" s="518">
        <f>AP12/2</f>
        <v>0</v>
      </c>
      <c r="AQ13" s="509"/>
      <c r="AR13" s="510"/>
      <c r="AS13" s="501"/>
      <c r="AT13" s="120" t="s">
        <v>214</v>
      </c>
      <c r="AU13" s="1032"/>
      <c r="AV13" s="120" t="s">
        <v>207</v>
      </c>
      <c r="AW13" s="120"/>
      <c r="AX13" s="517" t="s">
        <v>215</v>
      </c>
      <c r="AY13" s="518">
        <f>AY12/2</f>
        <v>0</v>
      </c>
      <c r="AZ13" s="509"/>
      <c r="BA13" s="510"/>
      <c r="BB13" s="501"/>
      <c r="BC13" s="120" t="s">
        <v>214</v>
      </c>
      <c r="BD13" s="514">
        <f>+BM13+BV13+CE13+CN13</f>
        <v>0</v>
      </c>
      <c r="BE13" s="49" t="s">
        <v>207</v>
      </c>
      <c r="BF13" s="49"/>
      <c r="BG13" s="124" t="s">
        <v>215</v>
      </c>
      <c r="BH13" s="518">
        <f>BH12/2</f>
        <v>0</v>
      </c>
      <c r="BI13" s="510"/>
      <c r="BJ13" s="510"/>
      <c r="BK13" s="501"/>
      <c r="BL13" s="120" t="s">
        <v>214</v>
      </c>
      <c r="BM13" s="189"/>
      <c r="BN13" s="49" t="s">
        <v>207</v>
      </c>
      <c r="BO13" s="49"/>
      <c r="BP13" s="124" t="s">
        <v>215</v>
      </c>
      <c r="BQ13" s="518">
        <f>BQ12/2</f>
        <v>0</v>
      </c>
      <c r="BR13" s="510"/>
      <c r="BS13" s="510"/>
      <c r="BT13" s="501"/>
      <c r="BU13" s="120" t="s">
        <v>214</v>
      </c>
      <c r="BV13" s="189"/>
      <c r="BW13" s="49" t="s">
        <v>207</v>
      </c>
      <c r="BX13" s="49"/>
      <c r="BY13" s="124" t="s">
        <v>215</v>
      </c>
      <c r="BZ13" s="518">
        <f>BZ12/2</f>
        <v>0</v>
      </c>
      <c r="CA13" s="510"/>
      <c r="CB13" s="510"/>
      <c r="CC13" s="501"/>
      <c r="CD13" s="120" t="s">
        <v>214</v>
      </c>
      <c r="CE13" s="189"/>
      <c r="CF13" s="49" t="s">
        <v>207</v>
      </c>
      <c r="CG13" s="49"/>
      <c r="CH13" s="124" t="s">
        <v>215</v>
      </c>
      <c r="CI13" s="518">
        <f>CI12/2</f>
        <v>0</v>
      </c>
      <c r="CJ13" s="510"/>
      <c r="CK13" s="510"/>
      <c r="CL13" s="501"/>
      <c r="CM13" s="120" t="s">
        <v>214</v>
      </c>
      <c r="CN13" s="189"/>
      <c r="CO13" s="49" t="s">
        <v>207</v>
      </c>
      <c r="CP13" s="49"/>
      <c r="CQ13" s="124" t="s">
        <v>215</v>
      </c>
      <c r="CR13" s="518">
        <f>CR12/2</f>
        <v>0</v>
      </c>
      <c r="CS13" s="510"/>
      <c r="CT13" s="510"/>
      <c r="CU13" s="501"/>
    </row>
    <row r="14" spans="1:99" x14ac:dyDescent="0.3">
      <c r="A14" s="120"/>
      <c r="B14" s="120"/>
      <c r="C14" s="120"/>
      <c r="D14" s="120"/>
      <c r="E14" s="517"/>
      <c r="F14" s="518"/>
      <c r="G14" s="509"/>
      <c r="H14" s="510"/>
      <c r="I14" s="501"/>
      <c r="J14" s="120"/>
      <c r="K14" s="120"/>
      <c r="L14" s="120"/>
      <c r="M14" s="120"/>
      <c r="N14" s="517"/>
      <c r="O14" s="518"/>
      <c r="P14" s="509"/>
      <c r="Q14" s="510"/>
      <c r="R14" s="501"/>
      <c r="S14" s="120"/>
      <c r="T14" s="120"/>
      <c r="U14" s="120"/>
      <c r="V14" s="120"/>
      <c r="W14" s="517"/>
      <c r="X14" s="518"/>
      <c r="Y14" s="509"/>
      <c r="Z14" s="510"/>
      <c r="AA14" s="501"/>
      <c r="AB14" s="120"/>
      <c r="AC14" s="120"/>
      <c r="AD14" s="120"/>
      <c r="AE14" s="120"/>
      <c r="AF14" s="517"/>
      <c r="AG14" s="518"/>
      <c r="AH14" s="509"/>
      <c r="AI14" s="510"/>
      <c r="AJ14" s="501"/>
      <c r="AK14" s="120"/>
      <c r="AL14" s="120"/>
      <c r="AM14" s="120"/>
      <c r="AN14" s="120"/>
      <c r="AO14" s="517"/>
      <c r="AP14" s="518"/>
      <c r="AQ14" s="509"/>
      <c r="AR14" s="510"/>
      <c r="AS14" s="501"/>
      <c r="AT14" s="120"/>
      <c r="AU14" s="120"/>
      <c r="AV14" s="120"/>
      <c r="AW14" s="120"/>
      <c r="AX14" s="517"/>
      <c r="AY14" s="518"/>
      <c r="AZ14" s="509"/>
      <c r="BA14" s="510"/>
      <c r="BB14" s="501"/>
      <c r="BC14" s="120"/>
      <c r="BD14" s="120"/>
      <c r="BE14" s="49"/>
      <c r="BF14" s="49"/>
      <c r="BG14" s="124"/>
      <c r="BH14" s="518"/>
      <c r="BI14" s="49"/>
      <c r="BJ14" s="49"/>
      <c r="BK14" s="501"/>
      <c r="BL14" s="120"/>
      <c r="BM14" s="49"/>
      <c r="BN14" s="49"/>
      <c r="BO14" s="49"/>
      <c r="BP14" s="124"/>
      <c r="BQ14" s="518"/>
      <c r="BR14" s="49"/>
      <c r="BS14" s="49"/>
      <c r="BT14" s="501"/>
      <c r="BU14" s="120"/>
      <c r="BV14" s="49"/>
      <c r="BW14" s="49"/>
      <c r="BX14" s="49"/>
      <c r="BY14" s="124"/>
      <c r="BZ14" s="518"/>
      <c r="CA14" s="49"/>
      <c r="CB14" s="49"/>
      <c r="CC14" s="501"/>
      <c r="CD14" s="120"/>
      <c r="CE14" s="49"/>
      <c r="CF14" s="49"/>
      <c r="CG14" s="49"/>
      <c r="CH14" s="124"/>
      <c r="CI14" s="518"/>
      <c r="CJ14" s="49"/>
      <c r="CK14" s="49"/>
      <c r="CL14" s="501"/>
      <c r="CM14" s="120"/>
      <c r="CN14" s="49"/>
      <c r="CO14" s="49"/>
      <c r="CP14" s="49"/>
      <c r="CQ14" s="124"/>
      <c r="CR14" s="518"/>
      <c r="CS14" s="49"/>
      <c r="CT14" s="49"/>
      <c r="CU14" s="501"/>
    </row>
    <row r="15" spans="1:99" ht="14.4" thickBot="1" x14ac:dyDescent="0.35">
      <c r="A15" s="120"/>
      <c r="B15" s="120"/>
      <c r="C15" s="120"/>
      <c r="D15" s="120"/>
      <c r="E15" s="517"/>
      <c r="F15" s="518"/>
      <c r="G15" s="509"/>
      <c r="H15" s="510"/>
      <c r="I15" s="501"/>
      <c r="J15" s="120"/>
      <c r="K15" s="120"/>
      <c r="L15" s="120"/>
      <c r="M15" s="120"/>
      <c r="N15" s="517"/>
      <c r="O15" s="518"/>
      <c r="P15" s="509"/>
      <c r="Q15" s="510"/>
      <c r="R15" s="501"/>
      <c r="S15" s="120"/>
      <c r="T15" s="120"/>
      <c r="U15" s="120"/>
      <c r="V15" s="120"/>
      <c r="W15" s="517"/>
      <c r="X15" s="518"/>
      <c r="Y15" s="509"/>
      <c r="Z15" s="510"/>
      <c r="AA15" s="501"/>
      <c r="AB15" s="120"/>
      <c r="AC15" s="120"/>
      <c r="AD15" s="120"/>
      <c r="AE15" s="120"/>
      <c r="AF15" s="517"/>
      <c r="AG15" s="518"/>
      <c r="AH15" s="509"/>
      <c r="AI15" s="510"/>
      <c r="AJ15" s="501"/>
      <c r="AK15" s="120"/>
      <c r="AL15" s="120"/>
      <c r="AM15" s="120"/>
      <c r="AN15" s="120"/>
      <c r="AO15" s="517"/>
      <c r="AP15" s="518"/>
      <c r="AQ15" s="509"/>
      <c r="AR15" s="510"/>
      <c r="AS15" s="501"/>
      <c r="AT15" s="120"/>
      <c r="AU15" s="120"/>
      <c r="AV15" s="120"/>
      <c r="AW15" s="120"/>
      <c r="AX15" s="517"/>
      <c r="AY15" s="518"/>
      <c r="AZ15" s="509"/>
      <c r="BA15" s="510"/>
      <c r="BB15" s="501"/>
      <c r="BC15" s="120"/>
      <c r="BD15" s="120"/>
      <c r="BE15" s="49"/>
      <c r="BF15" s="49"/>
      <c r="BG15" s="124"/>
      <c r="BH15" s="518"/>
      <c r="BI15" s="49"/>
      <c r="BJ15" s="49"/>
      <c r="BK15" s="501"/>
      <c r="BL15" s="120"/>
      <c r="BM15" s="49"/>
      <c r="BN15" s="49"/>
      <c r="BO15" s="49"/>
      <c r="BP15" s="124"/>
      <c r="BQ15" s="518"/>
      <c r="BR15" s="49"/>
      <c r="BS15" s="49"/>
      <c r="BT15" s="501"/>
      <c r="BU15" s="120"/>
      <c r="BV15" s="49"/>
      <c r="BW15" s="49"/>
      <c r="BX15" s="49"/>
      <c r="BY15" s="124"/>
      <c r="BZ15" s="518"/>
      <c r="CA15" s="49"/>
      <c r="CB15" s="49"/>
      <c r="CC15" s="501"/>
      <c r="CD15" s="120"/>
      <c r="CE15" s="49"/>
      <c r="CF15" s="49"/>
      <c r="CG15" s="49"/>
      <c r="CH15" s="124"/>
      <c r="CI15" s="518"/>
      <c r="CJ15" s="49"/>
      <c r="CK15" s="49"/>
      <c r="CL15" s="501"/>
      <c r="CM15" s="120"/>
      <c r="CN15" s="49"/>
      <c r="CO15" s="49"/>
      <c r="CP15" s="49"/>
      <c r="CQ15" s="124"/>
      <c r="CR15" s="518"/>
      <c r="CS15" s="49"/>
      <c r="CT15" s="49"/>
      <c r="CU15" s="501"/>
    </row>
    <row r="16" spans="1:99" ht="16.2" thickBot="1" x14ac:dyDescent="0.35">
      <c r="A16" s="152" t="s">
        <v>216</v>
      </c>
      <c r="B16" s="120"/>
      <c r="C16" s="120"/>
      <c r="D16" s="120"/>
      <c r="E16" s="517"/>
      <c r="F16" s="518"/>
      <c r="G16" s="509"/>
      <c r="H16" s="510"/>
      <c r="I16" s="501"/>
      <c r="J16" s="152" t="s">
        <v>216</v>
      </c>
      <c r="K16" s="120"/>
      <c r="L16" s="120"/>
      <c r="M16" s="120"/>
      <c r="N16" s="517"/>
      <c r="O16" s="518"/>
      <c r="P16" s="509"/>
      <c r="Q16" s="510"/>
      <c r="R16" s="501"/>
      <c r="S16" s="152" t="s">
        <v>216</v>
      </c>
      <c r="T16" s="120"/>
      <c r="U16" s="120"/>
      <c r="V16" s="120"/>
      <c r="W16" s="517"/>
      <c r="X16" s="518"/>
      <c r="Y16" s="509"/>
      <c r="Z16" s="510"/>
      <c r="AA16" s="501"/>
      <c r="AB16" s="152" t="s">
        <v>216</v>
      </c>
      <c r="AC16" s="120"/>
      <c r="AD16" s="120"/>
      <c r="AE16" s="120"/>
      <c r="AF16" s="517"/>
      <c r="AG16" s="518"/>
      <c r="AH16" s="509"/>
      <c r="AI16" s="510"/>
      <c r="AJ16" s="501"/>
      <c r="AK16" s="152" t="s">
        <v>216</v>
      </c>
      <c r="AL16" s="120"/>
      <c r="AM16" s="120"/>
      <c r="AN16" s="120"/>
      <c r="AO16" s="517"/>
      <c r="AP16" s="518"/>
      <c r="AQ16" s="509"/>
      <c r="AR16" s="510"/>
      <c r="AS16" s="501"/>
      <c r="AT16" s="152" t="s">
        <v>216</v>
      </c>
      <c r="AU16" s="120"/>
      <c r="AV16" s="120"/>
      <c r="AW16" s="120"/>
      <c r="AX16" s="517"/>
      <c r="AY16" s="518"/>
      <c r="AZ16" s="509"/>
      <c r="BA16" s="510"/>
      <c r="BB16" s="501"/>
      <c r="BC16" s="152" t="s">
        <v>216</v>
      </c>
      <c r="BD16" s="120"/>
      <c r="BE16" s="49"/>
      <c r="BF16" s="49"/>
      <c r="BG16" s="124"/>
      <c r="BH16" s="518"/>
      <c r="BI16" s="49"/>
      <c r="BJ16" s="49"/>
      <c r="BK16" s="501"/>
      <c r="BL16" s="152" t="s">
        <v>216</v>
      </c>
      <c r="BM16" s="49"/>
      <c r="BN16" s="49"/>
      <c r="BO16" s="49"/>
      <c r="BP16" s="124"/>
      <c r="BQ16" s="518"/>
      <c r="BR16" s="49"/>
      <c r="BS16" s="49"/>
      <c r="BT16" s="501"/>
      <c r="BU16" s="152" t="s">
        <v>216</v>
      </c>
      <c r="BV16" s="49"/>
      <c r="BW16" s="49"/>
      <c r="BX16" s="49"/>
      <c r="BY16" s="124"/>
      <c r="BZ16" s="518"/>
      <c r="CA16" s="49"/>
      <c r="CB16" s="49"/>
      <c r="CC16" s="501"/>
      <c r="CD16" s="152" t="s">
        <v>216</v>
      </c>
      <c r="CE16" s="49"/>
      <c r="CF16" s="49"/>
      <c r="CG16" s="49"/>
      <c r="CH16" s="124"/>
      <c r="CI16" s="518"/>
      <c r="CJ16" s="49"/>
      <c r="CK16" s="49"/>
      <c r="CL16" s="501"/>
      <c r="CM16" s="152" t="s">
        <v>216</v>
      </c>
      <c r="CN16" s="49"/>
      <c r="CO16" s="49"/>
      <c r="CP16" s="49"/>
      <c r="CQ16" s="124"/>
      <c r="CR16" s="518"/>
      <c r="CS16" s="49"/>
      <c r="CT16" s="49"/>
      <c r="CU16" s="501"/>
    </row>
    <row r="17" spans="1:99" x14ac:dyDescent="0.3">
      <c r="A17" s="120" t="s">
        <v>217</v>
      </c>
      <c r="B17" s="514">
        <f>+B12</f>
        <v>0</v>
      </c>
      <c r="C17" s="120" t="s">
        <v>207</v>
      </c>
      <c r="D17" s="120"/>
      <c r="E17" s="515" t="s">
        <v>218</v>
      </c>
      <c r="F17" s="519">
        <f>IF(B17=0,0,F12*B12/B17)</f>
        <v>0</v>
      </c>
      <c r="G17" s="509"/>
      <c r="H17" s="510"/>
      <c r="I17" s="501"/>
      <c r="J17" s="120" t="s">
        <v>217</v>
      </c>
      <c r="K17" s="514">
        <f>+T17+AC17+AL17+AU17</f>
        <v>0</v>
      </c>
      <c r="L17" s="120" t="s">
        <v>207</v>
      </c>
      <c r="M17" s="120"/>
      <c r="N17" s="515" t="s">
        <v>218</v>
      </c>
      <c r="O17" s="519">
        <f>IF(K17=0,0,O12*K12/K17)</f>
        <v>0</v>
      </c>
      <c r="P17" s="509"/>
      <c r="Q17" s="510"/>
      <c r="R17" s="501"/>
      <c r="S17" s="120" t="s">
        <v>217</v>
      </c>
      <c r="T17" s="514">
        <f>+T12</f>
        <v>0</v>
      </c>
      <c r="U17" s="120" t="s">
        <v>207</v>
      </c>
      <c r="V17" s="120"/>
      <c r="W17" s="515" t="s">
        <v>218</v>
      </c>
      <c r="X17" s="519">
        <f>IF(T17=0,0,X12*T12/T17)</f>
        <v>0</v>
      </c>
      <c r="Y17" s="509"/>
      <c r="Z17" s="510"/>
      <c r="AA17" s="501"/>
      <c r="AB17" s="120" t="s">
        <v>217</v>
      </c>
      <c r="AC17" s="514">
        <f>+AC12</f>
        <v>0</v>
      </c>
      <c r="AD17" s="120" t="s">
        <v>207</v>
      </c>
      <c r="AE17" s="120"/>
      <c r="AF17" s="515" t="s">
        <v>218</v>
      </c>
      <c r="AG17" s="519">
        <f>IF(AC17=0,0,AG12*AC12/AC17)</f>
        <v>0</v>
      </c>
      <c r="AH17" s="509"/>
      <c r="AI17" s="510"/>
      <c r="AJ17" s="501"/>
      <c r="AK17" s="120" t="s">
        <v>217</v>
      </c>
      <c r="AL17" s="514">
        <f>+AL12</f>
        <v>0</v>
      </c>
      <c r="AM17" s="120" t="s">
        <v>207</v>
      </c>
      <c r="AN17" s="120"/>
      <c r="AO17" s="515" t="s">
        <v>218</v>
      </c>
      <c r="AP17" s="519">
        <f>IF(AL17=0,0,AP12*AL12/AL17)</f>
        <v>0</v>
      </c>
      <c r="AQ17" s="509"/>
      <c r="AR17" s="510"/>
      <c r="AS17" s="501"/>
      <c r="AT17" s="120" t="s">
        <v>217</v>
      </c>
      <c r="AU17" s="514">
        <f>+AU12</f>
        <v>0</v>
      </c>
      <c r="AV17" s="120" t="s">
        <v>207</v>
      </c>
      <c r="AW17" s="120"/>
      <c r="AX17" s="515" t="s">
        <v>218</v>
      </c>
      <c r="AY17" s="519">
        <f>IF(AU17=0,0,AY12*AU12/AU17)</f>
        <v>0</v>
      </c>
      <c r="AZ17" s="509"/>
      <c r="BA17" s="510"/>
      <c r="BB17" s="501"/>
      <c r="BC17" s="120" t="s">
        <v>217</v>
      </c>
      <c r="BD17" s="514">
        <f>+BM17+BV17+CE17+CN17</f>
        <v>0</v>
      </c>
      <c r="BE17" s="49" t="s">
        <v>207</v>
      </c>
      <c r="BF17" s="49"/>
      <c r="BG17" s="123" t="s">
        <v>218</v>
      </c>
      <c r="BH17" s="519">
        <f>IF(BD17=0,0,BH12*BD12/BD17)</f>
        <v>0</v>
      </c>
      <c r="BI17" s="49"/>
      <c r="BJ17" s="49"/>
      <c r="BK17" s="501"/>
      <c r="BL17" s="120" t="s">
        <v>217</v>
      </c>
      <c r="BM17" s="514">
        <f>+BM12</f>
        <v>0</v>
      </c>
      <c r="BN17" s="49" t="s">
        <v>207</v>
      </c>
      <c r="BO17" s="49"/>
      <c r="BP17" s="123" t="s">
        <v>218</v>
      </c>
      <c r="BQ17" s="519">
        <f>IF(BM17=0,0,BQ12*BM12/BM17)</f>
        <v>0</v>
      </c>
      <c r="BR17" s="49"/>
      <c r="BS17" s="49"/>
      <c r="BT17" s="501"/>
      <c r="BU17" s="120" t="s">
        <v>217</v>
      </c>
      <c r="BV17" s="514">
        <f>+BV12</f>
        <v>0</v>
      </c>
      <c r="BW17" s="49" t="s">
        <v>207</v>
      </c>
      <c r="BX17" s="49"/>
      <c r="BY17" s="123" t="s">
        <v>218</v>
      </c>
      <c r="BZ17" s="519">
        <f>IF(BV17=0,0,BZ12*BV12/BV17)</f>
        <v>0</v>
      </c>
      <c r="CA17" s="49"/>
      <c r="CB17" s="49"/>
      <c r="CC17" s="501"/>
      <c r="CD17" s="120" t="s">
        <v>217</v>
      </c>
      <c r="CE17" s="514">
        <f>+CE12</f>
        <v>0</v>
      </c>
      <c r="CF17" s="49" t="s">
        <v>207</v>
      </c>
      <c r="CG17" s="49"/>
      <c r="CH17" s="123" t="s">
        <v>218</v>
      </c>
      <c r="CI17" s="519">
        <f>IF(CE17=0,0,CI12*CE12/CE17)</f>
        <v>0</v>
      </c>
      <c r="CJ17" s="49"/>
      <c r="CK17" s="49"/>
      <c r="CL17" s="501"/>
      <c r="CM17" s="120" t="s">
        <v>217</v>
      </c>
      <c r="CN17" s="514">
        <f>+CN12</f>
        <v>0</v>
      </c>
      <c r="CO17" s="49" t="s">
        <v>207</v>
      </c>
      <c r="CP17" s="49"/>
      <c r="CQ17" s="123" t="s">
        <v>218</v>
      </c>
      <c r="CR17" s="519">
        <f>IF(CN17=0,0,CR12*CN12/CN17)</f>
        <v>0</v>
      </c>
      <c r="CS17" s="49"/>
      <c r="CT17" s="49"/>
      <c r="CU17" s="501"/>
    </row>
    <row r="18" spans="1:99" ht="14.4" thickBot="1" x14ac:dyDescent="0.35">
      <c r="A18" s="120" t="s">
        <v>219</v>
      </c>
      <c r="B18" s="514">
        <f>+B13</f>
        <v>0</v>
      </c>
      <c r="C18" s="120" t="s">
        <v>207</v>
      </c>
      <c r="D18" s="120"/>
      <c r="E18" s="520" t="s">
        <v>220</v>
      </c>
      <c r="F18" s="519">
        <f>IF(B18=0,0,F13*B13/B18)</f>
        <v>0</v>
      </c>
      <c r="G18" s="509"/>
      <c r="H18" s="510"/>
      <c r="I18" s="501"/>
      <c r="J18" s="120" t="s">
        <v>219</v>
      </c>
      <c r="K18" s="514">
        <f>+T18+AC18+AL18+AU18</f>
        <v>0</v>
      </c>
      <c r="L18" s="120" t="s">
        <v>207</v>
      </c>
      <c r="M18" s="120"/>
      <c r="N18" s="520" t="s">
        <v>220</v>
      </c>
      <c r="O18" s="519">
        <f>IF(K18=0,0,O13*K13/K18)</f>
        <v>0</v>
      </c>
      <c r="P18" s="509"/>
      <c r="Q18" s="510"/>
      <c r="R18" s="501"/>
      <c r="S18" s="120" t="s">
        <v>219</v>
      </c>
      <c r="T18" s="514">
        <f>+T13</f>
        <v>0</v>
      </c>
      <c r="U18" s="120" t="s">
        <v>207</v>
      </c>
      <c r="V18" s="120"/>
      <c r="W18" s="520" t="s">
        <v>220</v>
      </c>
      <c r="X18" s="519">
        <f>IF(T18=0,0,X13*T13/T18)</f>
        <v>0</v>
      </c>
      <c r="Y18" s="509"/>
      <c r="Z18" s="510"/>
      <c r="AA18" s="501"/>
      <c r="AB18" s="120" t="s">
        <v>219</v>
      </c>
      <c r="AC18" s="514">
        <f>+AC13</f>
        <v>0</v>
      </c>
      <c r="AD18" s="120" t="s">
        <v>207</v>
      </c>
      <c r="AE18" s="120"/>
      <c r="AF18" s="520" t="s">
        <v>220</v>
      </c>
      <c r="AG18" s="519">
        <f>IF(AC18=0,0,AG13*AC13/AC18)</f>
        <v>0</v>
      </c>
      <c r="AH18" s="509"/>
      <c r="AI18" s="510"/>
      <c r="AJ18" s="501"/>
      <c r="AK18" s="120" t="s">
        <v>219</v>
      </c>
      <c r="AL18" s="514">
        <f>+AL13</f>
        <v>0</v>
      </c>
      <c r="AM18" s="120" t="s">
        <v>207</v>
      </c>
      <c r="AN18" s="120"/>
      <c r="AO18" s="520" t="s">
        <v>220</v>
      </c>
      <c r="AP18" s="519">
        <f>IF(AL18=0,0,AP13*AL13/AL18)</f>
        <v>0</v>
      </c>
      <c r="AQ18" s="509"/>
      <c r="AR18" s="510"/>
      <c r="AS18" s="501"/>
      <c r="AT18" s="120" t="s">
        <v>219</v>
      </c>
      <c r="AU18" s="514">
        <f>+AU13</f>
        <v>0</v>
      </c>
      <c r="AV18" s="120" t="s">
        <v>207</v>
      </c>
      <c r="AW18" s="120"/>
      <c r="AX18" s="520" t="s">
        <v>220</v>
      </c>
      <c r="AY18" s="519">
        <f>IF(AU18=0,0,AY13*AU13/AU18)</f>
        <v>0</v>
      </c>
      <c r="AZ18" s="509"/>
      <c r="BA18" s="510"/>
      <c r="BB18" s="501"/>
      <c r="BC18" s="120" t="s">
        <v>219</v>
      </c>
      <c r="BD18" s="514">
        <f>+BM18+BV18+CE18+CN18</f>
        <v>0</v>
      </c>
      <c r="BE18" s="49" t="s">
        <v>207</v>
      </c>
      <c r="BF18" s="49"/>
      <c r="BG18" s="125" t="s">
        <v>220</v>
      </c>
      <c r="BH18" s="519">
        <f>IF(BD18=0,0,BH13*BD13/BD18)</f>
        <v>0</v>
      </c>
      <c r="BI18" s="49"/>
      <c r="BJ18" s="49"/>
      <c r="BK18" s="501"/>
      <c r="BL18" s="120" t="s">
        <v>219</v>
      </c>
      <c r="BM18" s="514">
        <f>+BM13</f>
        <v>0</v>
      </c>
      <c r="BN18" s="49" t="s">
        <v>207</v>
      </c>
      <c r="BO18" s="49"/>
      <c r="BP18" s="125" t="s">
        <v>220</v>
      </c>
      <c r="BQ18" s="519">
        <f>IF(BM18=0,0,BQ13*BM13/BM18)</f>
        <v>0</v>
      </c>
      <c r="BR18" s="49"/>
      <c r="BS18" s="49"/>
      <c r="BT18" s="501"/>
      <c r="BU18" s="120" t="s">
        <v>219</v>
      </c>
      <c r="BV18" s="514">
        <f>+BV13</f>
        <v>0</v>
      </c>
      <c r="BW18" s="49" t="s">
        <v>207</v>
      </c>
      <c r="BX18" s="49"/>
      <c r="BY18" s="125" t="s">
        <v>220</v>
      </c>
      <c r="BZ18" s="519">
        <f>IF(BV18=0,0,BZ13*BV13/BV18)</f>
        <v>0</v>
      </c>
      <c r="CA18" s="49"/>
      <c r="CB18" s="49"/>
      <c r="CC18" s="501"/>
      <c r="CD18" s="120" t="s">
        <v>219</v>
      </c>
      <c r="CE18" s="514">
        <f>+CE13</f>
        <v>0</v>
      </c>
      <c r="CF18" s="49" t="s">
        <v>207</v>
      </c>
      <c r="CG18" s="49"/>
      <c r="CH18" s="125" t="s">
        <v>220</v>
      </c>
      <c r="CI18" s="519">
        <f>IF(CE18=0,0,CI13*CE13/CE18)</f>
        <v>0</v>
      </c>
      <c r="CJ18" s="49"/>
      <c r="CK18" s="49"/>
      <c r="CL18" s="501"/>
      <c r="CM18" s="120" t="s">
        <v>219</v>
      </c>
      <c r="CN18" s="514">
        <f>+CN13</f>
        <v>0</v>
      </c>
      <c r="CO18" s="49" t="s">
        <v>207</v>
      </c>
      <c r="CP18" s="49"/>
      <c r="CQ18" s="125" t="s">
        <v>220</v>
      </c>
      <c r="CR18" s="519">
        <f>IF(CN18=0,0,CR13*CN13/CN18)</f>
        <v>0</v>
      </c>
      <c r="CS18" s="49"/>
      <c r="CT18" s="49"/>
      <c r="CU18" s="501"/>
    </row>
    <row r="19" spans="1:99" x14ac:dyDescent="0.3">
      <c r="A19" s="120"/>
      <c r="B19" s="120"/>
      <c r="C19" s="120"/>
      <c r="D19" s="120"/>
      <c r="E19" s="120"/>
      <c r="F19" s="120"/>
      <c r="G19" s="509"/>
      <c r="H19" s="510"/>
      <c r="I19" s="501"/>
      <c r="J19" s="120"/>
      <c r="K19" s="120"/>
      <c r="L19" s="120"/>
      <c r="M19" s="120"/>
      <c r="N19" s="120"/>
      <c r="O19" s="120"/>
      <c r="P19" s="509"/>
      <c r="Q19" s="510"/>
      <c r="R19" s="501"/>
      <c r="S19" s="120"/>
      <c r="T19" s="120"/>
      <c r="U19" s="120"/>
      <c r="V19" s="120"/>
      <c r="W19" s="120"/>
      <c r="X19" s="120"/>
      <c r="Y19" s="509"/>
      <c r="Z19" s="510"/>
      <c r="AA19" s="501"/>
      <c r="AB19" s="120"/>
      <c r="AC19" s="120"/>
      <c r="AD19" s="120"/>
      <c r="AE19" s="120"/>
      <c r="AF19" s="120"/>
      <c r="AG19" s="120"/>
      <c r="AH19" s="509"/>
      <c r="AI19" s="510"/>
      <c r="AJ19" s="501"/>
      <c r="AK19" s="120"/>
      <c r="AL19" s="120"/>
      <c r="AM19" s="120"/>
      <c r="AN19" s="120"/>
      <c r="AO19" s="120"/>
      <c r="AP19" s="120"/>
      <c r="AQ19" s="509"/>
      <c r="AR19" s="510"/>
      <c r="AS19" s="501"/>
      <c r="AT19" s="120"/>
      <c r="AU19" s="120"/>
      <c r="AV19" s="120"/>
      <c r="AW19" s="120"/>
      <c r="AX19" s="120"/>
      <c r="AY19" s="120"/>
      <c r="AZ19" s="509"/>
      <c r="BA19" s="510"/>
      <c r="BB19" s="501"/>
      <c r="BC19" s="120"/>
      <c r="BD19" s="120"/>
      <c r="BE19" s="49"/>
      <c r="BF19" s="49"/>
      <c r="BG19" s="49"/>
      <c r="BH19" s="120"/>
      <c r="BI19" s="49"/>
      <c r="BJ19" s="49"/>
      <c r="BK19" s="501"/>
      <c r="BL19" s="120"/>
      <c r="BM19" s="120"/>
      <c r="BN19" s="49"/>
      <c r="BO19" s="49"/>
      <c r="BP19" s="49"/>
      <c r="BQ19" s="120"/>
      <c r="BR19" s="49"/>
      <c r="BS19" s="49"/>
      <c r="BT19" s="501"/>
      <c r="BU19" s="120"/>
      <c r="BV19" s="120"/>
      <c r="BW19" s="49"/>
      <c r="BX19" s="49"/>
      <c r="BY19" s="49"/>
      <c r="BZ19" s="120"/>
      <c r="CA19" s="49"/>
      <c r="CB19" s="49"/>
      <c r="CC19" s="501"/>
      <c r="CD19" s="120"/>
      <c r="CE19" s="120"/>
      <c r="CF19" s="49"/>
      <c r="CG19" s="49"/>
      <c r="CH19" s="49"/>
      <c r="CI19" s="120"/>
      <c r="CJ19" s="49"/>
      <c r="CK19" s="49"/>
      <c r="CL19" s="501"/>
      <c r="CM19" s="120"/>
      <c r="CN19" s="120"/>
      <c r="CO19" s="49"/>
      <c r="CP19" s="49"/>
      <c r="CQ19" s="49"/>
      <c r="CR19" s="120"/>
      <c r="CS19" s="49"/>
      <c r="CT19" s="49"/>
      <c r="CU19" s="501"/>
    </row>
    <row r="20" spans="1:99" ht="14.4" thickBot="1" x14ac:dyDescent="0.35">
      <c r="A20" s="120"/>
      <c r="B20" s="120"/>
      <c r="C20" s="120"/>
      <c r="D20" s="120"/>
      <c r="E20" s="120"/>
      <c r="F20" s="120"/>
      <c r="G20" s="509"/>
      <c r="H20" s="510"/>
      <c r="I20" s="501"/>
      <c r="J20" s="120"/>
      <c r="K20" s="120"/>
      <c r="L20" s="120"/>
      <c r="M20" s="120"/>
      <c r="N20" s="120"/>
      <c r="O20" s="120"/>
      <c r="P20" s="509"/>
      <c r="Q20" s="510"/>
      <c r="R20" s="501"/>
      <c r="S20" s="120"/>
      <c r="T20" s="120"/>
      <c r="U20" s="120"/>
      <c r="V20" s="120"/>
      <c r="W20" s="120"/>
      <c r="X20" s="120"/>
      <c r="Y20" s="509"/>
      <c r="Z20" s="510"/>
      <c r="AA20" s="501"/>
      <c r="AB20" s="120"/>
      <c r="AC20" s="120"/>
      <c r="AD20" s="120"/>
      <c r="AE20" s="120"/>
      <c r="AF20" s="120"/>
      <c r="AG20" s="120"/>
      <c r="AH20" s="509"/>
      <c r="AI20" s="510"/>
      <c r="AJ20" s="501"/>
      <c r="AK20" s="120"/>
      <c r="AL20" s="120"/>
      <c r="AM20" s="120"/>
      <c r="AN20" s="120"/>
      <c r="AO20" s="120"/>
      <c r="AP20" s="120"/>
      <c r="AQ20" s="509"/>
      <c r="AR20" s="510"/>
      <c r="AS20" s="501"/>
      <c r="AT20" s="120"/>
      <c r="AU20" s="120"/>
      <c r="AV20" s="120"/>
      <c r="AW20" s="120"/>
      <c r="AX20" s="120"/>
      <c r="AY20" s="120"/>
      <c r="AZ20" s="509"/>
      <c r="BA20" s="510"/>
      <c r="BB20" s="501"/>
      <c r="BC20" s="120"/>
      <c r="BD20" s="120"/>
      <c r="BE20" s="49"/>
      <c r="BF20" s="49"/>
      <c r="BG20" s="49"/>
      <c r="BH20" s="120"/>
      <c r="BI20" s="49"/>
      <c r="BJ20" s="49"/>
      <c r="BK20" s="501"/>
      <c r="BL20" s="120"/>
      <c r="BM20" s="120"/>
      <c r="BN20" s="49"/>
      <c r="BO20" s="49"/>
      <c r="BP20" s="49"/>
      <c r="BQ20" s="120"/>
      <c r="BR20" s="49"/>
      <c r="BS20" s="49"/>
      <c r="BT20" s="501"/>
      <c r="BU20" s="120"/>
      <c r="BV20" s="120"/>
      <c r="BW20" s="49"/>
      <c r="BX20" s="49"/>
      <c r="BY20" s="49"/>
      <c r="BZ20" s="120"/>
      <c r="CA20" s="49"/>
      <c r="CB20" s="49"/>
      <c r="CC20" s="501"/>
      <c r="CD20" s="120"/>
      <c r="CE20" s="120"/>
      <c r="CF20" s="49"/>
      <c r="CG20" s="49"/>
      <c r="CH20" s="49"/>
      <c r="CI20" s="120"/>
      <c r="CJ20" s="49"/>
      <c r="CK20" s="49"/>
      <c r="CL20" s="501"/>
      <c r="CM20" s="120"/>
      <c r="CN20" s="120"/>
      <c r="CO20" s="49"/>
      <c r="CP20" s="49"/>
      <c r="CQ20" s="49"/>
      <c r="CR20" s="120"/>
      <c r="CS20" s="49"/>
      <c r="CT20" s="49"/>
      <c r="CU20" s="501"/>
    </row>
    <row r="21" spans="1:99" ht="16.2" thickBot="1" x14ac:dyDescent="0.35">
      <c r="A21" s="152" t="s">
        <v>221</v>
      </c>
      <c r="B21" s="120"/>
      <c r="C21" s="120"/>
      <c r="D21" s="120"/>
      <c r="E21" s="120"/>
      <c r="F21" s="120"/>
      <c r="G21" s="509"/>
      <c r="H21" s="510"/>
      <c r="I21" s="501"/>
      <c r="J21" s="152" t="s">
        <v>221</v>
      </c>
      <c r="K21" s="120"/>
      <c r="L21" s="120"/>
      <c r="M21" s="120"/>
      <c r="N21" s="120"/>
      <c r="O21" s="120"/>
      <c r="P21" s="509"/>
      <c r="Q21" s="510"/>
      <c r="R21" s="501"/>
      <c r="S21" s="152" t="s">
        <v>221</v>
      </c>
      <c r="T21" s="120"/>
      <c r="U21" s="120"/>
      <c r="V21" s="120"/>
      <c r="W21" s="120"/>
      <c r="X21" s="120"/>
      <c r="Y21" s="509"/>
      <c r="Z21" s="510"/>
      <c r="AA21" s="501"/>
      <c r="AB21" s="152" t="s">
        <v>221</v>
      </c>
      <c r="AC21" s="120"/>
      <c r="AD21" s="120"/>
      <c r="AE21" s="120"/>
      <c r="AF21" s="120"/>
      <c r="AG21" s="120"/>
      <c r="AH21" s="509"/>
      <c r="AI21" s="510"/>
      <c r="AJ21" s="501"/>
      <c r="AK21" s="152" t="s">
        <v>221</v>
      </c>
      <c r="AL21" s="120"/>
      <c r="AM21" s="120"/>
      <c r="AN21" s="120"/>
      <c r="AO21" s="120"/>
      <c r="AP21" s="120"/>
      <c r="AQ21" s="509"/>
      <c r="AR21" s="510"/>
      <c r="AS21" s="501"/>
      <c r="AT21" s="152" t="s">
        <v>221</v>
      </c>
      <c r="AU21" s="120"/>
      <c r="AV21" s="120"/>
      <c r="AW21" s="120"/>
      <c r="AX21" s="120"/>
      <c r="AY21" s="120"/>
      <c r="AZ21" s="509"/>
      <c r="BA21" s="510"/>
      <c r="BB21" s="501"/>
      <c r="BC21" s="152" t="s">
        <v>221</v>
      </c>
      <c r="BD21" s="120"/>
      <c r="BE21" s="49"/>
      <c r="BF21" s="49"/>
      <c r="BG21" s="49"/>
      <c r="BH21" s="120"/>
      <c r="BI21" s="49"/>
      <c r="BJ21" s="49"/>
      <c r="BK21" s="501"/>
      <c r="BL21" s="152" t="s">
        <v>221</v>
      </c>
      <c r="BM21" s="120"/>
      <c r="BN21" s="49"/>
      <c r="BO21" s="49"/>
      <c r="BP21" s="49"/>
      <c r="BQ21" s="120"/>
      <c r="BR21" s="49"/>
      <c r="BS21" s="49"/>
      <c r="BT21" s="501"/>
      <c r="BU21" s="152" t="s">
        <v>221</v>
      </c>
      <c r="BV21" s="120"/>
      <c r="BW21" s="49"/>
      <c r="BX21" s="49"/>
      <c r="BY21" s="49"/>
      <c r="BZ21" s="120"/>
      <c r="CA21" s="49"/>
      <c r="CB21" s="49"/>
      <c r="CC21" s="501"/>
      <c r="CD21" s="152" t="s">
        <v>221</v>
      </c>
      <c r="CE21" s="120"/>
      <c r="CF21" s="49"/>
      <c r="CG21" s="49"/>
      <c r="CH21" s="49"/>
      <c r="CI21" s="120"/>
      <c r="CJ21" s="49"/>
      <c r="CK21" s="49"/>
      <c r="CL21" s="501"/>
      <c r="CM21" s="152" t="s">
        <v>221</v>
      </c>
      <c r="CN21" s="120"/>
      <c r="CO21" s="49"/>
      <c r="CP21" s="49"/>
      <c r="CQ21" s="49"/>
      <c r="CR21" s="120"/>
      <c r="CS21" s="49"/>
      <c r="CT21" s="49"/>
      <c r="CU21" s="501"/>
    </row>
    <row r="22" spans="1:99" x14ac:dyDescent="0.3">
      <c r="A22" s="120" t="s">
        <v>222</v>
      </c>
      <c r="B22" s="514">
        <f>+B17</f>
        <v>0</v>
      </c>
      <c r="C22" s="120" t="s">
        <v>207</v>
      </c>
      <c r="D22" s="120"/>
      <c r="E22" s="120"/>
      <c r="F22" s="120"/>
      <c r="G22" s="509"/>
      <c r="H22" s="510"/>
      <c r="I22" s="501"/>
      <c r="J22" s="120" t="s">
        <v>222</v>
      </c>
      <c r="K22" s="514">
        <f>+T22+AC22+AL22+AU22</f>
        <v>0</v>
      </c>
      <c r="L22" s="120" t="s">
        <v>207</v>
      </c>
      <c r="M22" s="120"/>
      <c r="N22" s="120"/>
      <c r="O22" s="120"/>
      <c r="P22" s="509"/>
      <c r="Q22" s="510"/>
      <c r="R22" s="501"/>
      <c r="S22" s="120" t="s">
        <v>222</v>
      </c>
      <c r="T22" s="514">
        <f>+T17*60%</f>
        <v>0</v>
      </c>
      <c r="U22" s="120" t="s">
        <v>207</v>
      </c>
      <c r="V22" s="120"/>
      <c r="W22" s="120"/>
      <c r="X22" s="120"/>
      <c r="Y22" s="509"/>
      <c r="Z22" s="510"/>
      <c r="AA22" s="501"/>
      <c r="AB22" s="120" t="s">
        <v>222</v>
      </c>
      <c r="AC22" s="514">
        <f>+AC17*60%</f>
        <v>0</v>
      </c>
      <c r="AD22" s="120" t="s">
        <v>207</v>
      </c>
      <c r="AE22" s="120"/>
      <c r="AF22" s="120"/>
      <c r="AG22" s="120"/>
      <c r="AH22" s="509"/>
      <c r="AI22" s="510"/>
      <c r="AJ22" s="501"/>
      <c r="AK22" s="120" t="s">
        <v>222</v>
      </c>
      <c r="AL22" s="514">
        <f>+AL17*60%</f>
        <v>0</v>
      </c>
      <c r="AM22" s="120" t="s">
        <v>207</v>
      </c>
      <c r="AN22" s="120"/>
      <c r="AO22" s="120"/>
      <c r="AP22" s="120"/>
      <c r="AQ22" s="509"/>
      <c r="AR22" s="510"/>
      <c r="AS22" s="501"/>
      <c r="AT22" s="120" t="s">
        <v>222</v>
      </c>
      <c r="AU22" s="514">
        <f>+AU17*60%</f>
        <v>0</v>
      </c>
      <c r="AV22" s="120" t="s">
        <v>207</v>
      </c>
      <c r="AW22" s="120"/>
      <c r="AX22" s="120"/>
      <c r="AY22" s="120"/>
      <c r="AZ22" s="509"/>
      <c r="BA22" s="510"/>
      <c r="BB22" s="501"/>
      <c r="BC22" s="120" t="s">
        <v>222</v>
      </c>
      <c r="BD22" s="514">
        <f>+BM22+BV22+CE22+CN22</f>
        <v>0</v>
      </c>
      <c r="BE22" s="49" t="s">
        <v>207</v>
      </c>
      <c r="BF22" s="49"/>
      <c r="BG22" s="49"/>
      <c r="BH22" s="120"/>
      <c r="BI22" s="49"/>
      <c r="BJ22" s="49"/>
      <c r="BK22" s="501"/>
      <c r="BL22" s="120" t="s">
        <v>222</v>
      </c>
      <c r="BM22" s="514">
        <f>+BM17*60%</f>
        <v>0</v>
      </c>
      <c r="BN22" s="49" t="s">
        <v>207</v>
      </c>
      <c r="BO22" s="49"/>
      <c r="BP22" s="49"/>
      <c r="BQ22" s="120"/>
      <c r="BR22" s="49"/>
      <c r="BS22" s="49"/>
      <c r="BT22" s="501"/>
      <c r="BU22" s="120" t="s">
        <v>222</v>
      </c>
      <c r="BV22" s="514">
        <f>+BV17*60%</f>
        <v>0</v>
      </c>
      <c r="BW22" s="49" t="s">
        <v>207</v>
      </c>
      <c r="BX22" s="49"/>
      <c r="BY22" s="49"/>
      <c r="BZ22" s="120"/>
      <c r="CA22" s="49"/>
      <c r="CB22" s="49"/>
      <c r="CC22" s="501"/>
      <c r="CD22" s="120" t="s">
        <v>222</v>
      </c>
      <c r="CE22" s="514">
        <f>+CE17*60%</f>
        <v>0</v>
      </c>
      <c r="CF22" s="49" t="s">
        <v>207</v>
      </c>
      <c r="CG22" s="49"/>
      <c r="CH22" s="49"/>
      <c r="CI22" s="120"/>
      <c r="CJ22" s="49"/>
      <c r="CK22" s="49"/>
      <c r="CL22" s="501"/>
      <c r="CM22" s="120" t="s">
        <v>222</v>
      </c>
      <c r="CN22" s="514">
        <f>+CN17*60%</f>
        <v>0</v>
      </c>
      <c r="CO22" s="49" t="s">
        <v>207</v>
      </c>
      <c r="CP22" s="49"/>
      <c r="CQ22" s="49"/>
      <c r="CR22" s="120"/>
      <c r="CS22" s="49"/>
      <c r="CT22" s="49"/>
      <c r="CU22" s="501"/>
    </row>
    <row r="23" spans="1:99" x14ac:dyDescent="0.3">
      <c r="A23" s="120" t="s">
        <v>223</v>
      </c>
      <c r="B23" s="514">
        <f>+B18</f>
        <v>0</v>
      </c>
      <c r="C23" s="120" t="s">
        <v>207</v>
      </c>
      <c r="D23" s="120"/>
      <c r="E23" s="120"/>
      <c r="F23" s="120"/>
      <c r="G23" s="509"/>
      <c r="H23" s="510"/>
      <c r="I23" s="501"/>
      <c r="J23" s="120" t="s">
        <v>223</v>
      </c>
      <c r="K23" s="514">
        <f>+T23+AC23+AL23+AU23</f>
        <v>0</v>
      </c>
      <c r="L23" s="120" t="s">
        <v>207</v>
      </c>
      <c r="M23" s="120"/>
      <c r="N23" s="120"/>
      <c r="O23" s="120"/>
      <c r="P23" s="509"/>
      <c r="Q23" s="510"/>
      <c r="R23" s="501"/>
      <c r="S23" s="120" t="s">
        <v>223</v>
      </c>
      <c r="T23" s="514">
        <f>+T18</f>
        <v>0</v>
      </c>
      <c r="U23" s="120" t="s">
        <v>207</v>
      </c>
      <c r="V23" s="120"/>
      <c r="W23" s="120"/>
      <c r="X23" s="120"/>
      <c r="Y23" s="509"/>
      <c r="Z23" s="510"/>
      <c r="AA23" s="501"/>
      <c r="AB23" s="120" t="s">
        <v>223</v>
      </c>
      <c r="AC23" s="514">
        <f>+AC18</f>
        <v>0</v>
      </c>
      <c r="AD23" s="120" t="s">
        <v>207</v>
      </c>
      <c r="AE23" s="120"/>
      <c r="AF23" s="120"/>
      <c r="AG23" s="120"/>
      <c r="AH23" s="509"/>
      <c r="AI23" s="510"/>
      <c r="AJ23" s="501"/>
      <c r="AK23" s="120" t="s">
        <v>223</v>
      </c>
      <c r="AL23" s="514">
        <f>+AL18</f>
        <v>0</v>
      </c>
      <c r="AM23" s="120" t="s">
        <v>207</v>
      </c>
      <c r="AN23" s="120"/>
      <c r="AO23" s="120"/>
      <c r="AP23" s="120"/>
      <c r="AQ23" s="509"/>
      <c r="AR23" s="510"/>
      <c r="AS23" s="501"/>
      <c r="AT23" s="120" t="s">
        <v>223</v>
      </c>
      <c r="AU23" s="514">
        <f>+AU18</f>
        <v>0</v>
      </c>
      <c r="AV23" s="120" t="s">
        <v>207</v>
      </c>
      <c r="AW23" s="120"/>
      <c r="AX23" s="120"/>
      <c r="AY23" s="120"/>
      <c r="AZ23" s="509"/>
      <c r="BA23" s="510"/>
      <c r="BB23" s="501"/>
      <c r="BC23" s="120" t="s">
        <v>223</v>
      </c>
      <c r="BD23" s="514">
        <f>+BM23+BV23+CE23+CN23</f>
        <v>0</v>
      </c>
      <c r="BE23" s="49" t="s">
        <v>207</v>
      </c>
      <c r="BF23" s="49"/>
      <c r="BG23" s="49"/>
      <c r="BH23" s="120"/>
      <c r="BI23" s="49"/>
      <c r="BJ23" s="49"/>
      <c r="BK23" s="501"/>
      <c r="BL23" s="120" t="s">
        <v>223</v>
      </c>
      <c r="BM23" s="514">
        <f>+BM18</f>
        <v>0</v>
      </c>
      <c r="BN23" s="49" t="s">
        <v>207</v>
      </c>
      <c r="BO23" s="49"/>
      <c r="BP23" s="49"/>
      <c r="BQ23" s="120"/>
      <c r="BR23" s="49"/>
      <c r="BS23" s="49"/>
      <c r="BT23" s="501"/>
      <c r="BU23" s="120" t="s">
        <v>223</v>
      </c>
      <c r="BV23" s="514">
        <f>+BV18</f>
        <v>0</v>
      </c>
      <c r="BW23" s="49" t="s">
        <v>207</v>
      </c>
      <c r="BX23" s="49"/>
      <c r="BY23" s="49"/>
      <c r="BZ23" s="120"/>
      <c r="CA23" s="49"/>
      <c r="CB23" s="49"/>
      <c r="CC23" s="501"/>
      <c r="CD23" s="120" t="s">
        <v>223</v>
      </c>
      <c r="CE23" s="514">
        <f>+CE18</f>
        <v>0</v>
      </c>
      <c r="CF23" s="49" t="s">
        <v>207</v>
      </c>
      <c r="CG23" s="49"/>
      <c r="CH23" s="49"/>
      <c r="CI23" s="120"/>
      <c r="CJ23" s="49"/>
      <c r="CK23" s="49"/>
      <c r="CL23" s="501"/>
      <c r="CM23" s="120" t="s">
        <v>223</v>
      </c>
      <c r="CN23" s="514">
        <f>+CN18</f>
        <v>0</v>
      </c>
      <c r="CO23" s="49" t="s">
        <v>207</v>
      </c>
      <c r="CP23" s="49"/>
      <c r="CQ23" s="49"/>
      <c r="CR23" s="120"/>
      <c r="CS23" s="49"/>
      <c r="CT23" s="49"/>
      <c r="CU23" s="501"/>
    </row>
    <row r="24" spans="1:99" x14ac:dyDescent="0.3">
      <c r="A24" s="120" t="s">
        <v>487</v>
      </c>
      <c r="B24" s="514">
        <f>+B17-B22</f>
        <v>0</v>
      </c>
      <c r="C24" s="120" t="s">
        <v>207</v>
      </c>
      <c r="D24" s="120"/>
      <c r="E24" s="120"/>
      <c r="F24" s="120"/>
      <c r="G24" s="509"/>
      <c r="H24" s="510"/>
      <c r="I24" s="501"/>
      <c r="J24" s="120" t="s">
        <v>487</v>
      </c>
      <c r="K24" s="514">
        <f>+T24+AC24+AL24+AU24</f>
        <v>0</v>
      </c>
      <c r="L24" s="120" t="s">
        <v>207</v>
      </c>
      <c r="M24" s="120"/>
      <c r="N24" s="120"/>
      <c r="O24" s="120"/>
      <c r="P24" s="509"/>
      <c r="Q24" s="510"/>
      <c r="R24" s="501"/>
      <c r="S24" s="120" t="s">
        <v>487</v>
      </c>
      <c r="T24" s="514">
        <f>+T17-T22</f>
        <v>0</v>
      </c>
      <c r="U24" s="120" t="s">
        <v>207</v>
      </c>
      <c r="V24" s="120"/>
      <c r="W24" s="120"/>
      <c r="X24" s="120"/>
      <c r="Y24" s="509"/>
      <c r="Z24" s="510"/>
      <c r="AA24" s="501"/>
      <c r="AB24" s="120" t="s">
        <v>487</v>
      </c>
      <c r="AC24" s="514">
        <f>+AC17-AC22</f>
        <v>0</v>
      </c>
      <c r="AD24" s="120" t="s">
        <v>207</v>
      </c>
      <c r="AE24" s="120"/>
      <c r="AF24" s="120"/>
      <c r="AG24" s="120"/>
      <c r="AH24" s="509"/>
      <c r="AI24" s="510"/>
      <c r="AJ24" s="501"/>
      <c r="AK24" s="120" t="s">
        <v>487</v>
      </c>
      <c r="AL24" s="514">
        <f>+AL17-AL22</f>
        <v>0</v>
      </c>
      <c r="AM24" s="120" t="s">
        <v>207</v>
      </c>
      <c r="AN24" s="120"/>
      <c r="AO24" s="120"/>
      <c r="AP24" s="120"/>
      <c r="AQ24" s="509"/>
      <c r="AR24" s="510"/>
      <c r="AS24" s="501"/>
      <c r="AT24" s="120" t="s">
        <v>487</v>
      </c>
      <c r="AU24" s="514">
        <f>+AU17-AU22</f>
        <v>0</v>
      </c>
      <c r="AV24" s="120" t="s">
        <v>207</v>
      </c>
      <c r="AW24" s="120"/>
      <c r="AX24" s="120"/>
      <c r="AY24" s="120"/>
      <c r="AZ24" s="509"/>
      <c r="BA24" s="510"/>
      <c r="BB24" s="501"/>
      <c r="BC24" s="120" t="s">
        <v>487</v>
      </c>
      <c r="BD24" s="514">
        <f>+BM24+BV24+CE24+CN24</f>
        <v>0</v>
      </c>
      <c r="BE24" s="49" t="s">
        <v>207</v>
      </c>
      <c r="BF24" s="49"/>
      <c r="BG24" s="49"/>
      <c r="BH24" s="120"/>
      <c r="BI24" s="49"/>
      <c r="BJ24" s="49"/>
      <c r="BK24" s="501"/>
      <c r="BL24" s="120" t="s">
        <v>487</v>
      </c>
      <c r="BM24" s="514">
        <f>+BM17-BM22</f>
        <v>0</v>
      </c>
      <c r="BN24" s="49" t="s">
        <v>207</v>
      </c>
      <c r="BO24" s="49"/>
      <c r="BP24" s="49"/>
      <c r="BQ24" s="120"/>
      <c r="BR24" s="49"/>
      <c r="BS24" s="49"/>
      <c r="BT24" s="501"/>
      <c r="BU24" s="120" t="s">
        <v>487</v>
      </c>
      <c r="BV24" s="514">
        <f>+BV17-BV22</f>
        <v>0</v>
      </c>
      <c r="BW24" s="49" t="s">
        <v>207</v>
      </c>
      <c r="BX24" s="49"/>
      <c r="BY24" s="49"/>
      <c r="BZ24" s="120"/>
      <c r="CA24" s="49"/>
      <c r="CB24" s="49"/>
      <c r="CC24" s="501"/>
      <c r="CD24" s="120" t="s">
        <v>487</v>
      </c>
      <c r="CE24" s="514">
        <f>+CE17-CE22</f>
        <v>0</v>
      </c>
      <c r="CF24" s="49" t="s">
        <v>207</v>
      </c>
      <c r="CG24" s="49"/>
      <c r="CH24" s="49"/>
      <c r="CI24" s="120"/>
      <c r="CJ24" s="49"/>
      <c r="CK24" s="49"/>
      <c r="CL24" s="501"/>
      <c r="CM24" s="120" t="s">
        <v>487</v>
      </c>
      <c r="CN24" s="514">
        <f>+CN17-CN22</f>
        <v>0</v>
      </c>
      <c r="CO24" s="49" t="s">
        <v>207</v>
      </c>
      <c r="CP24" s="49"/>
      <c r="CQ24" s="49"/>
      <c r="CR24" s="120"/>
      <c r="CS24" s="49"/>
      <c r="CT24" s="49"/>
      <c r="CU24" s="501"/>
    </row>
    <row r="25" spans="1:99" x14ac:dyDescent="0.3">
      <c r="A25" s="120" t="s">
        <v>488</v>
      </c>
      <c r="B25" s="514">
        <f>+B18-B23</f>
        <v>0</v>
      </c>
      <c r="C25" s="120" t="s">
        <v>207</v>
      </c>
      <c r="D25" s="120"/>
      <c r="E25" s="120"/>
      <c r="F25" s="120"/>
      <c r="G25" s="509"/>
      <c r="H25" s="510"/>
      <c r="I25" s="501"/>
      <c r="J25" s="120" t="s">
        <v>488</v>
      </c>
      <c r="K25" s="514">
        <f>+T25+AC25+AL25+AU25</f>
        <v>0</v>
      </c>
      <c r="L25" s="120" t="s">
        <v>207</v>
      </c>
      <c r="M25" s="120"/>
      <c r="N25" s="120"/>
      <c r="O25" s="120"/>
      <c r="P25" s="509"/>
      <c r="Q25" s="510"/>
      <c r="R25" s="501"/>
      <c r="S25" s="120" t="s">
        <v>488</v>
      </c>
      <c r="T25" s="514">
        <f>+T18-T23</f>
        <v>0</v>
      </c>
      <c r="U25" s="120" t="s">
        <v>207</v>
      </c>
      <c r="V25" s="120"/>
      <c r="W25" s="120"/>
      <c r="X25" s="120"/>
      <c r="Y25" s="509"/>
      <c r="Z25" s="510"/>
      <c r="AA25" s="501"/>
      <c r="AB25" s="120" t="s">
        <v>488</v>
      </c>
      <c r="AC25" s="514">
        <f>+AC18-AC23</f>
        <v>0</v>
      </c>
      <c r="AD25" s="120" t="s">
        <v>207</v>
      </c>
      <c r="AE25" s="120"/>
      <c r="AF25" s="120"/>
      <c r="AG25" s="120"/>
      <c r="AH25" s="509"/>
      <c r="AI25" s="510"/>
      <c r="AJ25" s="501"/>
      <c r="AK25" s="120" t="s">
        <v>488</v>
      </c>
      <c r="AL25" s="514">
        <f>+AL18-AL23</f>
        <v>0</v>
      </c>
      <c r="AM25" s="120" t="s">
        <v>207</v>
      </c>
      <c r="AN25" s="120"/>
      <c r="AO25" s="120"/>
      <c r="AP25" s="120"/>
      <c r="AQ25" s="509"/>
      <c r="AR25" s="510"/>
      <c r="AS25" s="501"/>
      <c r="AT25" s="120" t="s">
        <v>488</v>
      </c>
      <c r="AU25" s="514">
        <f>+AU18-AU23</f>
        <v>0</v>
      </c>
      <c r="AV25" s="120" t="s">
        <v>207</v>
      </c>
      <c r="AW25" s="120"/>
      <c r="AX25" s="120"/>
      <c r="AY25" s="120"/>
      <c r="AZ25" s="509"/>
      <c r="BA25" s="510"/>
      <c r="BB25" s="501"/>
      <c r="BC25" s="120" t="s">
        <v>488</v>
      </c>
      <c r="BD25" s="514">
        <f>+BM25+BV25+CE25+CN25</f>
        <v>0</v>
      </c>
      <c r="BE25" s="49" t="s">
        <v>207</v>
      </c>
      <c r="BF25" s="49"/>
      <c r="BG25" s="49"/>
      <c r="BH25" s="120"/>
      <c r="BI25" s="49"/>
      <c r="BJ25" s="49"/>
      <c r="BK25" s="501"/>
      <c r="BL25" s="120" t="s">
        <v>488</v>
      </c>
      <c r="BM25" s="514">
        <f>+BM18-BM23</f>
        <v>0</v>
      </c>
      <c r="BN25" s="49" t="s">
        <v>207</v>
      </c>
      <c r="BO25" s="49"/>
      <c r="BP25" s="49"/>
      <c r="BQ25" s="120"/>
      <c r="BR25" s="49"/>
      <c r="BS25" s="49"/>
      <c r="BT25" s="501"/>
      <c r="BU25" s="120" t="s">
        <v>488</v>
      </c>
      <c r="BV25" s="514">
        <f>+BV18-BV23</f>
        <v>0</v>
      </c>
      <c r="BW25" s="49" t="s">
        <v>207</v>
      </c>
      <c r="BX25" s="49"/>
      <c r="BY25" s="49"/>
      <c r="BZ25" s="120"/>
      <c r="CA25" s="49"/>
      <c r="CB25" s="49"/>
      <c r="CC25" s="501"/>
      <c r="CD25" s="120" t="s">
        <v>488</v>
      </c>
      <c r="CE25" s="514">
        <f>+CE18-CE23</f>
        <v>0</v>
      </c>
      <c r="CF25" s="49" t="s">
        <v>207</v>
      </c>
      <c r="CG25" s="49"/>
      <c r="CH25" s="49"/>
      <c r="CI25" s="120"/>
      <c r="CJ25" s="49"/>
      <c r="CK25" s="49"/>
      <c r="CL25" s="501"/>
      <c r="CM25" s="120" t="s">
        <v>488</v>
      </c>
      <c r="CN25" s="514">
        <f>+CN18-CN23</f>
        <v>0</v>
      </c>
      <c r="CO25" s="49" t="s">
        <v>207</v>
      </c>
      <c r="CP25" s="49"/>
      <c r="CQ25" s="49"/>
      <c r="CR25" s="120"/>
      <c r="CS25" s="49"/>
      <c r="CT25" s="49"/>
      <c r="CU25" s="501"/>
    </row>
    <row r="26" spans="1:99" x14ac:dyDescent="0.3">
      <c r="A26" s="120"/>
      <c r="B26" s="120"/>
      <c r="C26" s="120"/>
      <c r="D26" s="120"/>
      <c r="E26" s="120"/>
      <c r="F26" s="120"/>
      <c r="G26" s="509"/>
      <c r="H26" s="510"/>
      <c r="I26" s="501"/>
      <c r="J26" s="120"/>
      <c r="K26" s="120"/>
      <c r="L26" s="120"/>
      <c r="M26" s="120"/>
      <c r="N26" s="120"/>
      <c r="O26" s="120"/>
      <c r="P26" s="509"/>
      <c r="Q26" s="510"/>
      <c r="R26" s="501"/>
      <c r="S26" s="120"/>
      <c r="T26" s="120"/>
      <c r="U26" s="120"/>
      <c r="V26" s="120"/>
      <c r="W26" s="120"/>
      <c r="X26" s="120"/>
      <c r="Y26" s="509"/>
      <c r="Z26" s="510"/>
      <c r="AA26" s="501"/>
      <c r="AB26" s="120"/>
      <c r="AC26" s="120"/>
      <c r="AD26" s="120"/>
      <c r="AE26" s="120"/>
      <c r="AF26" s="120"/>
      <c r="AG26" s="120"/>
      <c r="AH26" s="509"/>
      <c r="AI26" s="510"/>
      <c r="AJ26" s="501"/>
      <c r="AK26" s="120"/>
      <c r="AL26" s="120"/>
      <c r="AM26" s="120"/>
      <c r="AN26" s="120"/>
      <c r="AO26" s="120"/>
      <c r="AP26" s="120"/>
      <c r="AQ26" s="509"/>
      <c r="AR26" s="510"/>
      <c r="AS26" s="501"/>
      <c r="AT26" s="120"/>
      <c r="AU26" s="120"/>
      <c r="AV26" s="120"/>
      <c r="AW26" s="120"/>
      <c r="AX26" s="120"/>
      <c r="AY26" s="120"/>
      <c r="AZ26" s="509"/>
      <c r="BA26" s="510"/>
      <c r="BB26" s="501"/>
      <c r="BC26" s="120"/>
      <c r="BD26" s="49"/>
      <c r="BE26" s="49"/>
      <c r="BF26" s="49"/>
      <c r="BG26" s="49"/>
      <c r="BH26" s="120"/>
      <c r="BI26" s="49"/>
      <c r="BJ26" s="49"/>
      <c r="BK26" s="501"/>
      <c r="BL26" s="120"/>
      <c r="BM26" s="49"/>
      <c r="BN26" s="49"/>
      <c r="BO26" s="49"/>
      <c r="BP26" s="49"/>
      <c r="BQ26" s="120"/>
      <c r="BR26" s="49"/>
      <c r="BS26" s="49"/>
      <c r="BT26" s="501"/>
      <c r="BU26" s="120"/>
      <c r="BV26" s="49"/>
      <c r="BW26" s="49"/>
      <c r="BX26" s="49"/>
      <c r="BY26" s="49"/>
      <c r="BZ26" s="120"/>
      <c r="CA26" s="49"/>
      <c r="CB26" s="49"/>
      <c r="CC26" s="501"/>
      <c r="CD26" s="120"/>
      <c r="CE26" s="49"/>
      <c r="CF26" s="49"/>
      <c r="CG26" s="49"/>
      <c r="CH26" s="49"/>
      <c r="CI26" s="120"/>
      <c r="CJ26" s="49"/>
      <c r="CK26" s="49"/>
      <c r="CL26" s="501"/>
      <c r="CM26" s="120"/>
      <c r="CN26" s="49"/>
      <c r="CO26" s="49"/>
      <c r="CP26" s="49"/>
      <c r="CQ26" s="49"/>
      <c r="CR26" s="120"/>
      <c r="CS26" s="49"/>
      <c r="CT26" s="49"/>
      <c r="CU26" s="501"/>
    </row>
    <row r="27" spans="1:99" x14ac:dyDescent="0.3">
      <c r="A27" s="120"/>
      <c r="B27" s="120"/>
      <c r="C27" s="120"/>
      <c r="D27" s="120"/>
      <c r="E27" s="120"/>
      <c r="F27" s="120"/>
      <c r="G27" s="509"/>
      <c r="H27" s="510"/>
      <c r="I27" s="501"/>
      <c r="J27" s="120"/>
      <c r="K27" s="120"/>
      <c r="L27" s="120"/>
      <c r="M27" s="120"/>
      <c r="N27" s="120"/>
      <c r="O27" s="120"/>
      <c r="P27" s="509"/>
      <c r="Q27" s="510"/>
      <c r="R27" s="501"/>
      <c r="S27" s="120"/>
      <c r="T27" s="120"/>
      <c r="U27" s="120"/>
      <c r="V27" s="120"/>
      <c r="W27" s="120"/>
      <c r="X27" s="120"/>
      <c r="Y27" s="509"/>
      <c r="Z27" s="510"/>
      <c r="AA27" s="501"/>
      <c r="AB27" s="120"/>
      <c r="AC27" s="120"/>
      <c r="AD27" s="120"/>
      <c r="AE27" s="120"/>
      <c r="AF27" s="120"/>
      <c r="AG27" s="120"/>
      <c r="AH27" s="509"/>
      <c r="AI27" s="510"/>
      <c r="AJ27" s="501"/>
      <c r="AK27" s="120"/>
      <c r="AL27" s="120"/>
      <c r="AM27" s="120"/>
      <c r="AN27" s="120"/>
      <c r="AO27" s="120"/>
      <c r="AP27" s="120"/>
      <c r="AQ27" s="509"/>
      <c r="AR27" s="510"/>
      <c r="AS27" s="501"/>
      <c r="AT27" s="120"/>
      <c r="AU27" s="120"/>
      <c r="AV27" s="120"/>
      <c r="AW27" s="120"/>
      <c r="AX27" s="120"/>
      <c r="AY27" s="120"/>
      <c r="AZ27" s="509"/>
      <c r="BA27" s="510"/>
      <c r="BB27" s="501"/>
      <c r="BC27" s="120"/>
      <c r="BD27" s="49"/>
      <c r="BE27" s="49"/>
      <c r="BF27" s="49"/>
      <c r="BG27" s="49"/>
      <c r="BH27" s="120"/>
      <c r="BI27" s="49"/>
      <c r="BJ27" s="49"/>
      <c r="BK27" s="501"/>
      <c r="BL27" s="120"/>
      <c r="BM27" s="49"/>
      <c r="BN27" s="49"/>
      <c r="BO27" s="49"/>
      <c r="BP27" s="49"/>
      <c r="BQ27" s="120"/>
      <c r="BR27" s="49"/>
      <c r="BS27" s="49"/>
      <c r="BT27" s="501"/>
      <c r="BU27" s="120"/>
      <c r="BV27" s="49"/>
      <c r="BW27" s="49"/>
      <c r="BX27" s="49"/>
      <c r="BY27" s="49"/>
      <c r="BZ27" s="120"/>
      <c r="CA27" s="49"/>
      <c r="CB27" s="49"/>
      <c r="CC27" s="501"/>
      <c r="CD27" s="120"/>
      <c r="CE27" s="49"/>
      <c r="CF27" s="49"/>
      <c r="CG27" s="49"/>
      <c r="CH27" s="49"/>
      <c r="CI27" s="120"/>
      <c r="CJ27" s="49"/>
      <c r="CK27" s="49"/>
      <c r="CL27" s="501"/>
      <c r="CM27" s="120"/>
      <c r="CN27" s="49"/>
      <c r="CO27" s="49"/>
      <c r="CP27" s="49"/>
      <c r="CQ27" s="49"/>
      <c r="CR27" s="120"/>
      <c r="CS27" s="49"/>
      <c r="CT27" s="49"/>
      <c r="CU27" s="501"/>
    </row>
    <row r="28" spans="1:99" x14ac:dyDescent="0.3">
      <c r="A28" s="154" t="s">
        <v>224</v>
      </c>
      <c r="B28" s="511">
        <v>0</v>
      </c>
      <c r="C28" s="120"/>
      <c r="D28" s="120"/>
      <c r="E28" s="120"/>
      <c r="F28" s="120"/>
      <c r="G28" s="509"/>
      <c r="H28" s="510"/>
      <c r="I28" s="501"/>
      <c r="J28" s="154" t="s">
        <v>224</v>
      </c>
      <c r="K28" s="1034"/>
      <c r="L28" s="120"/>
      <c r="M28" s="120"/>
      <c r="N28" s="120"/>
      <c r="O28" s="120"/>
      <c r="P28" s="509"/>
      <c r="Q28" s="510"/>
      <c r="R28" s="501"/>
      <c r="S28" s="154" t="s">
        <v>224</v>
      </c>
      <c r="T28" s="1034"/>
      <c r="U28" s="120"/>
      <c r="V28" s="120"/>
      <c r="W28" s="120"/>
      <c r="X28" s="120"/>
      <c r="Y28" s="509"/>
      <c r="Z28" s="510"/>
      <c r="AA28" s="501"/>
      <c r="AB28" s="154" t="s">
        <v>224</v>
      </c>
      <c r="AC28" s="1034"/>
      <c r="AD28" s="120"/>
      <c r="AE28" s="120"/>
      <c r="AF28" s="120"/>
      <c r="AG28" s="120"/>
      <c r="AH28" s="509"/>
      <c r="AI28" s="510"/>
      <c r="AJ28" s="501"/>
      <c r="AK28" s="154" t="s">
        <v>224</v>
      </c>
      <c r="AL28" s="1034"/>
      <c r="AM28" s="120"/>
      <c r="AN28" s="120"/>
      <c r="AO28" s="120"/>
      <c r="AP28" s="120"/>
      <c r="AQ28" s="509"/>
      <c r="AR28" s="510"/>
      <c r="AS28" s="501"/>
      <c r="AT28" s="154" t="s">
        <v>224</v>
      </c>
      <c r="AU28" s="1034"/>
      <c r="AV28" s="120"/>
      <c r="AW28" s="120"/>
      <c r="AX28" s="120"/>
      <c r="AY28" s="120"/>
      <c r="AZ28" s="509"/>
      <c r="BA28" s="510"/>
      <c r="BB28" s="501"/>
      <c r="BC28" s="154" t="s">
        <v>224</v>
      </c>
      <c r="BD28" s="158"/>
      <c r="BE28" s="49"/>
      <c r="BF28" s="49"/>
      <c r="BG28" s="49"/>
      <c r="BH28" s="120"/>
      <c r="BI28" s="49"/>
      <c r="BJ28" s="49"/>
      <c r="BK28" s="501"/>
      <c r="BL28" s="154" t="s">
        <v>224</v>
      </c>
      <c r="BM28" s="189"/>
      <c r="BN28" s="49"/>
      <c r="BO28" s="49"/>
      <c r="BP28" s="49"/>
      <c r="BQ28" s="120"/>
      <c r="BR28" s="49"/>
      <c r="BS28" s="49"/>
      <c r="BT28" s="501"/>
      <c r="BU28" s="154" t="s">
        <v>224</v>
      </c>
      <c r="BV28" s="189"/>
      <c r="BW28" s="49"/>
      <c r="BX28" s="49"/>
      <c r="BY28" s="49"/>
      <c r="BZ28" s="120"/>
      <c r="CA28" s="49"/>
      <c r="CB28" s="49"/>
      <c r="CC28" s="501"/>
      <c r="CD28" s="154" t="s">
        <v>224</v>
      </c>
      <c r="CE28" s="189"/>
      <c r="CF28" s="49"/>
      <c r="CG28" s="49"/>
      <c r="CH28" s="49"/>
      <c r="CI28" s="120"/>
      <c r="CJ28" s="49"/>
      <c r="CK28" s="49"/>
      <c r="CL28" s="501"/>
      <c r="CM28" s="154" t="s">
        <v>224</v>
      </c>
      <c r="CN28" s="189"/>
      <c r="CO28" s="49"/>
      <c r="CP28" s="49"/>
      <c r="CQ28" s="49"/>
      <c r="CR28" s="120"/>
      <c r="CS28" s="49"/>
      <c r="CT28" s="49"/>
      <c r="CU28" s="501"/>
    </row>
    <row r="29" spans="1:99" ht="14.4" thickBot="1" x14ac:dyDescent="0.35">
      <c r="A29" s="155"/>
      <c r="B29" s="155"/>
      <c r="C29" s="155"/>
      <c r="D29" s="155"/>
      <c r="E29" s="155"/>
      <c r="F29" s="155"/>
      <c r="G29" s="521"/>
      <c r="H29" s="522"/>
      <c r="I29" s="523"/>
      <c r="J29" s="155"/>
      <c r="K29" s="155"/>
      <c r="L29" s="155"/>
      <c r="M29" s="155"/>
      <c r="N29" s="155"/>
      <c r="O29" s="155"/>
      <c r="P29" s="521"/>
      <c r="Q29" s="522"/>
      <c r="R29" s="523"/>
      <c r="S29" s="155"/>
      <c r="T29" s="155"/>
      <c r="U29" s="155"/>
      <c r="V29" s="155"/>
      <c r="W29" s="155"/>
      <c r="X29" s="155"/>
      <c r="Y29" s="521"/>
      <c r="Z29" s="522"/>
      <c r="AA29" s="523"/>
      <c r="AB29" s="155"/>
      <c r="AC29" s="155"/>
      <c r="AD29" s="155"/>
      <c r="AE29" s="155"/>
      <c r="AF29" s="155"/>
      <c r="AG29" s="155"/>
      <c r="AH29" s="521"/>
      <c r="AI29" s="522"/>
      <c r="AJ29" s="523"/>
      <c r="AK29" s="155"/>
      <c r="AL29" s="155"/>
      <c r="AM29" s="155"/>
      <c r="AN29" s="155"/>
      <c r="AO29" s="155"/>
      <c r="AP29" s="155"/>
      <c r="AQ29" s="521"/>
      <c r="AR29" s="522"/>
      <c r="AS29" s="523"/>
      <c r="AT29" s="155"/>
      <c r="AU29" s="155"/>
      <c r="AV29" s="155"/>
      <c r="AW29" s="155"/>
      <c r="AX29" s="155"/>
      <c r="AY29" s="155"/>
      <c r="AZ29" s="521"/>
      <c r="BA29" s="522"/>
      <c r="BB29" s="523"/>
      <c r="BC29" s="155"/>
      <c r="BD29" s="156"/>
      <c r="BE29" s="156"/>
      <c r="BF29" s="156"/>
      <c r="BG29" s="156"/>
      <c r="BH29" s="155"/>
      <c r="BI29" s="156"/>
      <c r="BJ29" s="156"/>
      <c r="BK29" s="523"/>
      <c r="BL29" s="155"/>
      <c r="BM29" s="156"/>
      <c r="BN29" s="156"/>
      <c r="BO29" s="156"/>
      <c r="BP29" s="156"/>
      <c r="BQ29" s="155"/>
      <c r="BR29" s="156"/>
      <c r="BS29" s="156"/>
      <c r="BT29" s="523"/>
      <c r="BU29" s="155"/>
      <c r="BV29" s="156"/>
      <c r="BW29" s="156"/>
      <c r="BX29" s="156"/>
      <c r="BY29" s="156"/>
      <c r="BZ29" s="155"/>
      <c r="CA29" s="156"/>
      <c r="CB29" s="156"/>
      <c r="CC29" s="523"/>
      <c r="CD29" s="155"/>
      <c r="CE29" s="156"/>
      <c r="CF29" s="156"/>
      <c r="CG29" s="156"/>
      <c r="CH29" s="156"/>
      <c r="CI29" s="155"/>
      <c r="CJ29" s="156"/>
      <c r="CK29" s="156"/>
      <c r="CL29" s="523"/>
      <c r="CM29" s="155"/>
      <c r="CN29" s="156"/>
      <c r="CO29" s="156"/>
      <c r="CP29" s="156"/>
      <c r="CQ29" s="156"/>
      <c r="CR29" s="155"/>
      <c r="CS29" s="156"/>
      <c r="CT29" s="156"/>
      <c r="CU29" s="523"/>
    </row>
    <row r="30" spans="1:99" x14ac:dyDescent="0.3">
      <c r="A30" s="120"/>
      <c r="B30" s="120"/>
      <c r="C30" s="120"/>
      <c r="D30" s="120"/>
      <c r="E30" s="120"/>
      <c r="F30" s="120"/>
      <c r="G30" s="509"/>
      <c r="H30" s="510"/>
      <c r="I30" s="501"/>
      <c r="J30" s="120"/>
      <c r="K30" s="120"/>
      <c r="L30" s="120"/>
      <c r="M30" s="120"/>
      <c r="N30" s="120"/>
      <c r="O30" s="120"/>
      <c r="P30" s="509"/>
      <c r="Q30" s="510"/>
      <c r="R30" s="501"/>
      <c r="S30" s="120"/>
      <c r="T30" s="120"/>
      <c r="U30" s="120"/>
      <c r="V30" s="120"/>
      <c r="W30" s="120"/>
      <c r="X30" s="120"/>
      <c r="Y30" s="509"/>
      <c r="Z30" s="510"/>
      <c r="AA30" s="501"/>
      <c r="AB30" s="120"/>
      <c r="AC30" s="120"/>
      <c r="AD30" s="120"/>
      <c r="AE30" s="120"/>
      <c r="AF30" s="120"/>
      <c r="AG30" s="120"/>
      <c r="AH30" s="509"/>
      <c r="AI30" s="510"/>
      <c r="AJ30" s="501"/>
      <c r="AK30" s="120"/>
      <c r="AL30" s="120"/>
      <c r="AM30" s="120"/>
      <c r="AN30" s="120"/>
      <c r="AO30" s="120"/>
      <c r="AP30" s="120"/>
      <c r="AQ30" s="509"/>
      <c r="AR30" s="510"/>
      <c r="AS30" s="501"/>
      <c r="AT30" s="120"/>
      <c r="AU30" s="120"/>
      <c r="AV30" s="120"/>
      <c r="AW30" s="120"/>
      <c r="AX30" s="120"/>
      <c r="AY30" s="120"/>
      <c r="AZ30" s="509"/>
      <c r="BA30" s="510"/>
      <c r="BB30" s="501"/>
      <c r="BC30" s="120"/>
      <c r="BD30" s="49"/>
      <c r="BE30" s="49"/>
      <c r="BF30" s="49"/>
      <c r="BG30" s="49"/>
      <c r="BH30" s="120"/>
      <c r="BI30" s="49"/>
      <c r="BJ30" s="49"/>
      <c r="BK30" s="501"/>
      <c r="BL30" s="120"/>
      <c r="BM30" s="49"/>
      <c r="BN30" s="49"/>
      <c r="BO30" s="49"/>
      <c r="BP30" s="49"/>
      <c r="BQ30" s="120"/>
      <c r="BR30" s="49"/>
      <c r="BS30" s="49"/>
      <c r="BT30" s="501"/>
      <c r="BU30" s="120"/>
      <c r="BV30" s="49"/>
      <c r="BW30" s="49"/>
      <c r="BX30" s="49"/>
      <c r="BY30" s="49"/>
      <c r="BZ30" s="120"/>
      <c r="CA30" s="49"/>
      <c r="CB30" s="49"/>
      <c r="CC30" s="501"/>
      <c r="CD30" s="120"/>
      <c r="CE30" s="49"/>
      <c r="CF30" s="49"/>
      <c r="CG30" s="49"/>
      <c r="CH30" s="49"/>
      <c r="CI30" s="120"/>
      <c r="CJ30" s="49"/>
      <c r="CK30" s="49"/>
      <c r="CL30" s="501"/>
      <c r="CM30" s="120"/>
      <c r="CN30" s="49"/>
      <c r="CO30" s="49"/>
      <c r="CP30" s="49"/>
      <c r="CQ30" s="49"/>
      <c r="CR30" s="120"/>
      <c r="CS30" s="49"/>
      <c r="CT30" s="49"/>
      <c r="CU30" s="501"/>
    </row>
    <row r="31" spans="1:99" s="597" customFormat="1" ht="15.6" x14ac:dyDescent="0.3">
      <c r="A31" s="153" t="s">
        <v>204</v>
      </c>
      <c r="B31" s="2285">
        <v>0</v>
      </c>
      <c r="C31" s="2286"/>
      <c r="D31" s="2286"/>
      <c r="E31" s="2286"/>
      <c r="F31" s="2287"/>
      <c r="G31" s="509"/>
      <c r="H31" s="510"/>
      <c r="I31" s="501"/>
      <c r="J31" s="153" t="s">
        <v>204</v>
      </c>
      <c r="K31" s="2291"/>
      <c r="L31" s="2292"/>
      <c r="M31" s="2292"/>
      <c r="N31" s="2292"/>
      <c r="O31" s="2293"/>
      <c r="P31" s="509"/>
      <c r="Q31" s="510"/>
      <c r="R31" s="501"/>
      <c r="S31" s="153" t="s">
        <v>204</v>
      </c>
      <c r="T31" s="2291"/>
      <c r="U31" s="2292"/>
      <c r="V31" s="2292"/>
      <c r="W31" s="2292"/>
      <c r="X31" s="2293"/>
      <c r="Y31" s="509"/>
      <c r="Z31" s="510"/>
      <c r="AA31" s="501"/>
      <c r="AB31" s="153" t="s">
        <v>204</v>
      </c>
      <c r="AC31" s="2291"/>
      <c r="AD31" s="2292"/>
      <c r="AE31" s="2292"/>
      <c r="AF31" s="2292"/>
      <c r="AG31" s="2293"/>
      <c r="AH31" s="509"/>
      <c r="AI31" s="510"/>
      <c r="AJ31" s="501"/>
      <c r="AK31" s="153" t="s">
        <v>204</v>
      </c>
      <c r="AL31" s="2291"/>
      <c r="AM31" s="2292"/>
      <c r="AN31" s="2292"/>
      <c r="AO31" s="2292"/>
      <c r="AP31" s="2293"/>
      <c r="AQ31" s="509"/>
      <c r="AR31" s="510"/>
      <c r="AS31" s="501"/>
      <c r="AT31" s="153" t="s">
        <v>204</v>
      </c>
      <c r="AU31" s="2291"/>
      <c r="AV31" s="2292"/>
      <c r="AW31" s="2292"/>
      <c r="AX31" s="2292"/>
      <c r="AY31" s="2293"/>
      <c r="AZ31" s="509"/>
      <c r="BA31" s="510"/>
      <c r="BB31" s="501"/>
      <c r="BC31" s="153" t="s">
        <v>204</v>
      </c>
      <c r="BD31" s="2288"/>
      <c r="BE31" s="2289"/>
      <c r="BF31" s="2289"/>
      <c r="BG31" s="2289"/>
      <c r="BH31" s="2290"/>
      <c r="BI31" s="510"/>
      <c r="BJ31" s="510"/>
      <c r="BK31" s="501"/>
      <c r="BL31" s="153" t="s">
        <v>204</v>
      </c>
      <c r="BM31" s="2282"/>
      <c r="BN31" s="2283"/>
      <c r="BO31" s="2283"/>
      <c r="BP31" s="2283"/>
      <c r="BQ31" s="2284"/>
      <c r="BR31" s="510"/>
      <c r="BS31" s="510"/>
      <c r="BT31" s="501"/>
      <c r="BU31" s="153" t="s">
        <v>204</v>
      </c>
      <c r="BV31" s="2282"/>
      <c r="BW31" s="2283"/>
      <c r="BX31" s="2283"/>
      <c r="BY31" s="2283"/>
      <c r="BZ31" s="2284"/>
      <c r="CA31" s="510"/>
      <c r="CB31" s="510"/>
      <c r="CC31" s="501"/>
      <c r="CD31" s="153" t="s">
        <v>204</v>
      </c>
      <c r="CE31" s="2282"/>
      <c r="CF31" s="2283"/>
      <c r="CG31" s="2283"/>
      <c r="CH31" s="2283"/>
      <c r="CI31" s="2284"/>
      <c r="CJ31" s="510"/>
      <c r="CK31" s="510"/>
      <c r="CL31" s="501"/>
      <c r="CM31" s="153" t="s">
        <v>204</v>
      </c>
      <c r="CN31" s="2282"/>
      <c r="CO31" s="2283"/>
      <c r="CP31" s="2283"/>
      <c r="CQ31" s="2283"/>
      <c r="CR31" s="2284"/>
      <c r="CS31" s="510"/>
      <c r="CT31" s="510"/>
      <c r="CU31" s="501"/>
    </row>
    <row r="32" spans="1:99" s="597" customFormat="1" ht="14.4" thickBot="1" x14ac:dyDescent="0.35">
      <c r="A32" s="120"/>
      <c r="B32" s="120"/>
      <c r="C32" s="120"/>
      <c r="D32" s="120"/>
      <c r="E32" s="120"/>
      <c r="F32" s="120"/>
      <c r="G32" s="509"/>
      <c r="H32" s="510"/>
      <c r="I32" s="501"/>
      <c r="J32" s="120"/>
      <c r="K32" s="120"/>
      <c r="L32" s="120"/>
      <c r="M32" s="120"/>
      <c r="N32" s="120"/>
      <c r="O32" s="120"/>
      <c r="P32" s="509"/>
      <c r="Q32" s="510"/>
      <c r="R32" s="501"/>
      <c r="S32" s="120"/>
      <c r="T32" s="120"/>
      <c r="U32" s="120"/>
      <c r="V32" s="120"/>
      <c r="W32" s="120"/>
      <c r="X32" s="120"/>
      <c r="Y32" s="509"/>
      <c r="Z32" s="510"/>
      <c r="AA32" s="501"/>
      <c r="AB32" s="120"/>
      <c r="AC32" s="120"/>
      <c r="AD32" s="120"/>
      <c r="AE32" s="120"/>
      <c r="AF32" s="120"/>
      <c r="AG32" s="120"/>
      <c r="AH32" s="509"/>
      <c r="AI32" s="510"/>
      <c r="AJ32" s="501"/>
      <c r="AK32" s="120"/>
      <c r="AL32" s="120"/>
      <c r="AM32" s="120"/>
      <c r="AN32" s="120"/>
      <c r="AO32" s="120"/>
      <c r="AP32" s="120"/>
      <c r="AQ32" s="509"/>
      <c r="AR32" s="510"/>
      <c r="AS32" s="501"/>
      <c r="AT32" s="120"/>
      <c r="AU32" s="120"/>
      <c r="AV32" s="120"/>
      <c r="AW32" s="120"/>
      <c r="AX32" s="120"/>
      <c r="AY32" s="120"/>
      <c r="AZ32" s="509"/>
      <c r="BA32" s="510"/>
      <c r="BB32" s="501"/>
      <c r="BC32" s="120"/>
      <c r="BD32" s="49"/>
      <c r="BE32" s="49"/>
      <c r="BF32" s="49"/>
      <c r="BG32" s="49"/>
      <c r="BH32" s="120"/>
      <c r="BI32" s="510"/>
      <c r="BJ32" s="510"/>
      <c r="BK32" s="501"/>
      <c r="BL32" s="120"/>
      <c r="BM32" s="49"/>
      <c r="BN32" s="49"/>
      <c r="BO32" s="49"/>
      <c r="BP32" s="49"/>
      <c r="BQ32" s="120"/>
      <c r="BR32" s="510"/>
      <c r="BS32" s="510"/>
      <c r="BT32" s="501"/>
      <c r="BU32" s="120"/>
      <c r="BV32" s="49"/>
      <c r="BW32" s="49"/>
      <c r="BX32" s="49"/>
      <c r="BY32" s="49"/>
      <c r="BZ32" s="120"/>
      <c r="CA32" s="510"/>
      <c r="CB32" s="510"/>
      <c r="CC32" s="501"/>
      <c r="CD32" s="120"/>
      <c r="CE32" s="49"/>
      <c r="CF32" s="49"/>
      <c r="CG32" s="49"/>
      <c r="CH32" s="49"/>
      <c r="CI32" s="120"/>
      <c r="CJ32" s="510"/>
      <c r="CK32" s="510"/>
      <c r="CL32" s="501"/>
      <c r="CM32" s="120"/>
      <c r="CN32" s="49"/>
      <c r="CO32" s="49"/>
      <c r="CP32" s="49"/>
      <c r="CQ32" s="49"/>
      <c r="CR32" s="120"/>
      <c r="CS32" s="510"/>
      <c r="CT32" s="510"/>
      <c r="CU32" s="501"/>
    </row>
    <row r="33" spans="1:99" s="597" customFormat="1" ht="16.2" thickBot="1" x14ac:dyDescent="0.35">
      <c r="A33" s="152" t="s">
        <v>205</v>
      </c>
      <c r="B33" s="120"/>
      <c r="C33" s="120"/>
      <c r="D33" s="120"/>
      <c r="E33" s="120"/>
      <c r="F33" s="120"/>
      <c r="G33" s="509"/>
      <c r="H33" s="510"/>
      <c r="I33" s="501"/>
      <c r="J33" s="152" t="s">
        <v>205</v>
      </c>
      <c r="K33" s="120"/>
      <c r="L33" s="120"/>
      <c r="M33" s="120"/>
      <c r="N33" s="120"/>
      <c r="O33" s="120"/>
      <c r="P33" s="509"/>
      <c r="Q33" s="510"/>
      <c r="R33" s="501"/>
      <c r="S33" s="152" t="s">
        <v>205</v>
      </c>
      <c r="T33" s="120"/>
      <c r="U33" s="120"/>
      <c r="V33" s="120"/>
      <c r="W33" s="120"/>
      <c r="X33" s="120"/>
      <c r="Y33" s="509"/>
      <c r="Z33" s="510"/>
      <c r="AA33" s="501"/>
      <c r="AB33" s="152" t="s">
        <v>205</v>
      </c>
      <c r="AC33" s="120"/>
      <c r="AD33" s="120"/>
      <c r="AE33" s="120"/>
      <c r="AF33" s="120"/>
      <c r="AG33" s="120"/>
      <c r="AH33" s="509"/>
      <c r="AI33" s="510"/>
      <c r="AJ33" s="501"/>
      <c r="AK33" s="152" t="s">
        <v>205</v>
      </c>
      <c r="AL33" s="120"/>
      <c r="AM33" s="120"/>
      <c r="AN33" s="120"/>
      <c r="AO33" s="120"/>
      <c r="AP33" s="120"/>
      <c r="AQ33" s="509"/>
      <c r="AR33" s="510"/>
      <c r="AS33" s="501"/>
      <c r="AT33" s="152" t="s">
        <v>205</v>
      </c>
      <c r="AU33" s="120"/>
      <c r="AV33" s="120"/>
      <c r="AW33" s="120"/>
      <c r="AX33" s="120"/>
      <c r="AY33" s="120"/>
      <c r="AZ33" s="509"/>
      <c r="BA33" s="510"/>
      <c r="BB33" s="501"/>
      <c r="BC33" s="152" t="s">
        <v>205</v>
      </c>
      <c r="BD33" s="49"/>
      <c r="BE33" s="49"/>
      <c r="BF33" s="49"/>
      <c r="BG33" s="49"/>
      <c r="BH33" s="120"/>
      <c r="BI33" s="510"/>
      <c r="BJ33" s="510"/>
      <c r="BK33" s="501"/>
      <c r="BL33" s="152" t="s">
        <v>205</v>
      </c>
      <c r="BM33" s="49"/>
      <c r="BN33" s="49"/>
      <c r="BO33" s="49"/>
      <c r="BP33" s="49"/>
      <c r="BQ33" s="120"/>
      <c r="BR33" s="510"/>
      <c r="BS33" s="510"/>
      <c r="BT33" s="501"/>
      <c r="BU33" s="152" t="s">
        <v>205</v>
      </c>
      <c r="BV33" s="49"/>
      <c r="BW33" s="49"/>
      <c r="BX33" s="49"/>
      <c r="BY33" s="49"/>
      <c r="BZ33" s="120"/>
      <c r="CA33" s="510"/>
      <c r="CB33" s="510"/>
      <c r="CC33" s="501"/>
      <c r="CD33" s="152" t="s">
        <v>205</v>
      </c>
      <c r="CE33" s="49"/>
      <c r="CF33" s="49"/>
      <c r="CG33" s="49"/>
      <c r="CH33" s="49"/>
      <c r="CI33" s="120"/>
      <c r="CJ33" s="510"/>
      <c r="CK33" s="510"/>
      <c r="CL33" s="501"/>
      <c r="CM33" s="152" t="s">
        <v>205</v>
      </c>
      <c r="CN33" s="49"/>
      <c r="CO33" s="49"/>
      <c r="CP33" s="49"/>
      <c r="CQ33" s="49"/>
      <c r="CR33" s="120"/>
      <c r="CS33" s="510"/>
      <c r="CT33" s="510"/>
      <c r="CU33" s="501"/>
    </row>
    <row r="34" spans="1:99" s="597" customFormat="1" ht="14.4" thickBot="1" x14ac:dyDescent="0.35">
      <c r="A34" s="120" t="s">
        <v>206</v>
      </c>
      <c r="B34" s="511">
        <v>0</v>
      </c>
      <c r="C34" s="120" t="s">
        <v>207</v>
      </c>
      <c r="D34" s="120"/>
      <c r="E34" s="512" t="s">
        <v>208</v>
      </c>
      <c r="F34" s="513">
        <f>+F7</f>
        <v>0.18396000000000001</v>
      </c>
      <c r="G34" s="509"/>
      <c r="H34" s="510"/>
      <c r="I34" s="501"/>
      <c r="J34" s="120" t="s">
        <v>206</v>
      </c>
      <c r="K34" s="514">
        <f>+T34+AC34+AL34+AU34</f>
        <v>0</v>
      </c>
      <c r="L34" s="120" t="s">
        <v>207</v>
      </c>
      <c r="M34" s="120"/>
      <c r="N34" s="512" t="s">
        <v>208</v>
      </c>
      <c r="O34" s="513">
        <f>+O7</f>
        <v>0.18396000000000001</v>
      </c>
      <c r="P34" s="509"/>
      <c r="Q34" s="510"/>
      <c r="R34" s="501"/>
      <c r="S34" s="120" t="s">
        <v>206</v>
      </c>
      <c r="T34" s="1033"/>
      <c r="U34" s="120" t="s">
        <v>207</v>
      </c>
      <c r="V34" s="120"/>
      <c r="W34" s="512" t="s">
        <v>208</v>
      </c>
      <c r="X34" s="513">
        <f>+X7</f>
        <v>0.18396000000000001</v>
      </c>
      <c r="Y34" s="509"/>
      <c r="Z34" s="510"/>
      <c r="AA34" s="501"/>
      <c r="AB34" s="120" t="s">
        <v>206</v>
      </c>
      <c r="AC34" s="1033"/>
      <c r="AD34" s="120" t="s">
        <v>207</v>
      </c>
      <c r="AE34" s="120"/>
      <c r="AF34" s="512" t="s">
        <v>208</v>
      </c>
      <c r="AG34" s="513">
        <f>+AG7</f>
        <v>0.18396000000000001</v>
      </c>
      <c r="AH34" s="509"/>
      <c r="AI34" s="510"/>
      <c r="AJ34" s="501"/>
      <c r="AK34" s="120" t="s">
        <v>206</v>
      </c>
      <c r="AL34" s="1033"/>
      <c r="AM34" s="120" t="s">
        <v>207</v>
      </c>
      <c r="AN34" s="120"/>
      <c r="AO34" s="512" t="s">
        <v>208</v>
      </c>
      <c r="AP34" s="513">
        <f>+AP7</f>
        <v>0.18396000000000001</v>
      </c>
      <c r="AQ34" s="509"/>
      <c r="AR34" s="510"/>
      <c r="AS34" s="501"/>
      <c r="AT34" s="120" t="s">
        <v>206</v>
      </c>
      <c r="AU34" s="1033"/>
      <c r="AV34" s="120" t="s">
        <v>207</v>
      </c>
      <c r="AW34" s="120"/>
      <c r="AX34" s="512" t="s">
        <v>208</v>
      </c>
      <c r="AY34" s="513">
        <f>+AY7</f>
        <v>0.18396000000000001</v>
      </c>
      <c r="AZ34" s="509"/>
      <c r="BA34" s="510"/>
      <c r="BB34" s="501"/>
      <c r="BC34" s="120" t="s">
        <v>206</v>
      </c>
      <c r="BD34" s="514">
        <f>+BM34+BV34+CE34+CN34</f>
        <v>0</v>
      </c>
      <c r="BE34" s="49" t="s">
        <v>207</v>
      </c>
      <c r="BF34" s="49"/>
      <c r="BG34" s="122" t="s">
        <v>208</v>
      </c>
      <c r="BH34" s="513">
        <f>+BH7</f>
        <v>0.184163989077374</v>
      </c>
      <c r="BI34" s="510"/>
      <c r="BJ34" s="510"/>
      <c r="BK34" s="501"/>
      <c r="BL34" s="120" t="s">
        <v>206</v>
      </c>
      <c r="BM34" s="189"/>
      <c r="BN34" s="49" t="s">
        <v>207</v>
      </c>
      <c r="BO34" s="49"/>
      <c r="BP34" s="122" t="s">
        <v>208</v>
      </c>
      <c r="BQ34" s="513">
        <f>+BQ7</f>
        <v>0.184163989077374</v>
      </c>
      <c r="BR34" s="510"/>
      <c r="BS34" s="510"/>
      <c r="BT34" s="501"/>
      <c r="BU34" s="120" t="s">
        <v>206</v>
      </c>
      <c r="BV34" s="189"/>
      <c r="BW34" s="49" t="s">
        <v>207</v>
      </c>
      <c r="BX34" s="49"/>
      <c r="BY34" s="122" t="s">
        <v>208</v>
      </c>
      <c r="BZ34" s="513">
        <f>+BZ7</f>
        <v>0.184163989077374</v>
      </c>
      <c r="CA34" s="510"/>
      <c r="CB34" s="510"/>
      <c r="CC34" s="501"/>
      <c r="CD34" s="120" t="s">
        <v>206</v>
      </c>
      <c r="CE34" s="189"/>
      <c r="CF34" s="49" t="s">
        <v>207</v>
      </c>
      <c r="CG34" s="49"/>
      <c r="CH34" s="122" t="s">
        <v>208</v>
      </c>
      <c r="CI34" s="513">
        <f>+CI7</f>
        <v>0.184163989077374</v>
      </c>
      <c r="CJ34" s="510"/>
      <c r="CK34" s="510"/>
      <c r="CL34" s="501"/>
      <c r="CM34" s="120" t="s">
        <v>206</v>
      </c>
      <c r="CN34" s="189"/>
      <c r="CO34" s="49" t="s">
        <v>207</v>
      </c>
      <c r="CP34" s="49"/>
      <c r="CQ34" s="122" t="s">
        <v>208</v>
      </c>
      <c r="CR34" s="513">
        <f>+CR7</f>
        <v>0.184163989077374</v>
      </c>
      <c r="CS34" s="510"/>
      <c r="CT34" s="510"/>
      <c r="CU34" s="501"/>
    </row>
    <row r="35" spans="1:99" s="597" customFormat="1" x14ac:dyDescent="0.3">
      <c r="A35" s="120" t="s">
        <v>209</v>
      </c>
      <c r="B35" s="511">
        <v>0</v>
      </c>
      <c r="C35" s="120" t="s">
        <v>207</v>
      </c>
      <c r="D35" s="120"/>
      <c r="E35" s="515" t="s">
        <v>210</v>
      </c>
      <c r="F35" s="513">
        <f>+F8</f>
        <v>0.27651999999999999</v>
      </c>
      <c r="G35" s="509"/>
      <c r="H35" s="510"/>
      <c r="I35" s="501"/>
      <c r="J35" s="120" t="s">
        <v>209</v>
      </c>
      <c r="K35" s="516">
        <f>+T35+AC35+AL35+AU35</f>
        <v>0</v>
      </c>
      <c r="L35" s="120" t="s">
        <v>207</v>
      </c>
      <c r="M35" s="120"/>
      <c r="N35" s="515" t="s">
        <v>210</v>
      </c>
      <c r="O35" s="513">
        <f>+O8</f>
        <v>0.27651999999999999</v>
      </c>
      <c r="P35" s="509"/>
      <c r="Q35" s="510"/>
      <c r="R35" s="501"/>
      <c r="S35" s="120" t="s">
        <v>209</v>
      </c>
      <c r="T35" s="1033"/>
      <c r="U35" s="120" t="s">
        <v>207</v>
      </c>
      <c r="V35" s="120"/>
      <c r="W35" s="515" t="s">
        <v>210</v>
      </c>
      <c r="X35" s="513">
        <f>+X8</f>
        <v>0.27651999999999999</v>
      </c>
      <c r="Y35" s="509"/>
      <c r="Z35" s="510"/>
      <c r="AA35" s="501"/>
      <c r="AB35" s="120" t="s">
        <v>209</v>
      </c>
      <c r="AC35" s="1033"/>
      <c r="AD35" s="120" t="s">
        <v>207</v>
      </c>
      <c r="AE35" s="120"/>
      <c r="AF35" s="515" t="s">
        <v>210</v>
      </c>
      <c r="AG35" s="513">
        <f>+AG8</f>
        <v>0.27651999999999999</v>
      </c>
      <c r="AH35" s="509"/>
      <c r="AI35" s="510"/>
      <c r="AJ35" s="501"/>
      <c r="AK35" s="120" t="s">
        <v>209</v>
      </c>
      <c r="AL35" s="1033"/>
      <c r="AM35" s="120" t="s">
        <v>207</v>
      </c>
      <c r="AN35" s="120"/>
      <c r="AO35" s="515" t="s">
        <v>210</v>
      </c>
      <c r="AP35" s="513">
        <f>+AP8</f>
        <v>0.27651999999999999</v>
      </c>
      <c r="AQ35" s="509"/>
      <c r="AR35" s="510"/>
      <c r="AS35" s="501"/>
      <c r="AT35" s="120" t="s">
        <v>209</v>
      </c>
      <c r="AU35" s="1033"/>
      <c r="AV35" s="120" t="s">
        <v>207</v>
      </c>
      <c r="AW35" s="120"/>
      <c r="AX35" s="515" t="s">
        <v>210</v>
      </c>
      <c r="AY35" s="513">
        <f>+AY8</f>
        <v>0.27651999999999999</v>
      </c>
      <c r="AZ35" s="509"/>
      <c r="BA35" s="510"/>
      <c r="BB35" s="501"/>
      <c r="BC35" s="120" t="s">
        <v>209</v>
      </c>
      <c r="BD35" s="516">
        <f>+BM35+BV35+CE35+CN35</f>
        <v>0</v>
      </c>
      <c r="BE35" s="49" t="s">
        <v>207</v>
      </c>
      <c r="BF35" s="49"/>
      <c r="BG35" s="123" t="s">
        <v>210</v>
      </c>
      <c r="BH35" s="513">
        <f>+BH8</f>
        <v>0.27587637411749499</v>
      </c>
      <c r="BI35" s="510"/>
      <c r="BJ35" s="510"/>
      <c r="BK35" s="501"/>
      <c r="BL35" s="120" t="s">
        <v>209</v>
      </c>
      <c r="BM35" s="189"/>
      <c r="BN35" s="49" t="s">
        <v>207</v>
      </c>
      <c r="BO35" s="49"/>
      <c r="BP35" s="123" t="s">
        <v>210</v>
      </c>
      <c r="BQ35" s="513">
        <f>+BQ8</f>
        <v>0.27587637411749499</v>
      </c>
      <c r="BR35" s="510"/>
      <c r="BS35" s="510"/>
      <c r="BT35" s="501"/>
      <c r="BU35" s="120" t="s">
        <v>209</v>
      </c>
      <c r="BV35" s="189"/>
      <c r="BW35" s="49" t="s">
        <v>207</v>
      </c>
      <c r="BX35" s="49"/>
      <c r="BY35" s="123" t="s">
        <v>210</v>
      </c>
      <c r="BZ35" s="513">
        <f>+BZ8</f>
        <v>0.27587637411749499</v>
      </c>
      <c r="CA35" s="510"/>
      <c r="CB35" s="510"/>
      <c r="CC35" s="501"/>
      <c r="CD35" s="120" t="s">
        <v>209</v>
      </c>
      <c r="CE35" s="189"/>
      <c r="CF35" s="49" t="s">
        <v>207</v>
      </c>
      <c r="CG35" s="49"/>
      <c r="CH35" s="123" t="s">
        <v>210</v>
      </c>
      <c r="CI35" s="513">
        <f>+CI8</f>
        <v>0.27587637411749499</v>
      </c>
      <c r="CJ35" s="510"/>
      <c r="CK35" s="510"/>
      <c r="CL35" s="501"/>
      <c r="CM35" s="120" t="s">
        <v>209</v>
      </c>
      <c r="CN35" s="189"/>
      <c r="CO35" s="49" t="s">
        <v>207</v>
      </c>
      <c r="CP35" s="49"/>
      <c r="CQ35" s="123" t="s">
        <v>210</v>
      </c>
      <c r="CR35" s="513">
        <f>+CR8</f>
        <v>0.27587637411749499</v>
      </c>
      <c r="CS35" s="510"/>
      <c r="CT35" s="510"/>
      <c r="CU35" s="501"/>
    </row>
    <row r="36" spans="1:99" s="597" customFormat="1" x14ac:dyDescent="0.3">
      <c r="A36" s="120"/>
      <c r="B36" s="120"/>
      <c r="C36" s="120"/>
      <c r="D36" s="120"/>
      <c r="E36" s="517"/>
      <c r="F36" s="518"/>
      <c r="G36" s="509"/>
      <c r="H36" s="510"/>
      <c r="I36" s="501"/>
      <c r="J36" s="120"/>
      <c r="K36" s="120"/>
      <c r="L36" s="120"/>
      <c r="M36" s="120"/>
      <c r="N36" s="517"/>
      <c r="O36" s="518"/>
      <c r="P36" s="509"/>
      <c r="Q36" s="510"/>
      <c r="R36" s="501"/>
      <c r="S36" s="120"/>
      <c r="T36" s="120"/>
      <c r="U36" s="120"/>
      <c r="V36" s="120"/>
      <c r="W36" s="517"/>
      <c r="X36" s="518"/>
      <c r="Y36" s="509"/>
      <c r="Z36" s="510"/>
      <c r="AA36" s="501"/>
      <c r="AB36" s="120"/>
      <c r="AC36" s="120"/>
      <c r="AD36" s="120"/>
      <c r="AE36" s="120"/>
      <c r="AF36" s="517"/>
      <c r="AG36" s="518"/>
      <c r="AH36" s="509"/>
      <c r="AI36" s="510"/>
      <c r="AJ36" s="501"/>
      <c r="AK36" s="120"/>
      <c r="AL36" s="120"/>
      <c r="AM36" s="120"/>
      <c r="AN36" s="120"/>
      <c r="AO36" s="517"/>
      <c r="AP36" s="518"/>
      <c r="AQ36" s="509"/>
      <c r="AR36" s="510"/>
      <c r="AS36" s="501"/>
      <c r="AT36" s="120"/>
      <c r="AU36" s="120"/>
      <c r="AV36" s="120"/>
      <c r="AW36" s="120"/>
      <c r="AX36" s="517"/>
      <c r="AY36" s="518"/>
      <c r="AZ36" s="509"/>
      <c r="BA36" s="510"/>
      <c r="BB36" s="501"/>
      <c r="BC36" s="120"/>
      <c r="BD36" s="120"/>
      <c r="BE36" s="49"/>
      <c r="BF36" s="49"/>
      <c r="BG36" s="124"/>
      <c r="BH36" s="518"/>
      <c r="BI36" s="510"/>
      <c r="BJ36" s="510"/>
      <c r="BK36" s="501"/>
      <c r="BL36" s="120"/>
      <c r="BM36" s="49"/>
      <c r="BN36" s="49"/>
      <c r="BO36" s="49"/>
      <c r="BP36" s="124"/>
      <c r="BQ36" s="518"/>
      <c r="BR36" s="510"/>
      <c r="BS36" s="510"/>
      <c r="BT36" s="501"/>
      <c r="BU36" s="120"/>
      <c r="BV36" s="49"/>
      <c r="BW36" s="49"/>
      <c r="BX36" s="49"/>
      <c r="BY36" s="124"/>
      <c r="BZ36" s="518"/>
      <c r="CA36" s="510"/>
      <c r="CB36" s="510"/>
      <c r="CC36" s="501"/>
      <c r="CD36" s="120"/>
      <c r="CE36" s="49"/>
      <c r="CF36" s="49"/>
      <c r="CG36" s="49"/>
      <c r="CH36" s="124"/>
      <c r="CI36" s="518"/>
      <c r="CJ36" s="510"/>
      <c r="CK36" s="510"/>
      <c r="CL36" s="501"/>
      <c r="CM36" s="120"/>
      <c r="CN36" s="49"/>
      <c r="CO36" s="49"/>
      <c r="CP36" s="49"/>
      <c r="CQ36" s="124"/>
      <c r="CR36" s="518"/>
      <c r="CS36" s="510"/>
      <c r="CT36" s="510"/>
      <c r="CU36" s="501"/>
    </row>
    <row r="37" spans="1:99" s="597" customFormat="1" ht="14.4" thickBot="1" x14ac:dyDescent="0.35">
      <c r="A37" s="120"/>
      <c r="B37" s="120"/>
      <c r="C37" s="120"/>
      <c r="D37" s="120"/>
      <c r="E37" s="517"/>
      <c r="F37" s="518"/>
      <c r="G37" s="509"/>
      <c r="H37" s="510"/>
      <c r="I37" s="501"/>
      <c r="J37" s="120"/>
      <c r="K37" s="120"/>
      <c r="L37" s="120"/>
      <c r="M37" s="120"/>
      <c r="N37" s="517"/>
      <c r="O37" s="518"/>
      <c r="P37" s="509"/>
      <c r="Q37" s="510"/>
      <c r="R37" s="501"/>
      <c r="S37" s="120"/>
      <c r="T37" s="120"/>
      <c r="U37" s="120"/>
      <c r="V37" s="120"/>
      <c r="W37" s="517"/>
      <c r="X37" s="518"/>
      <c r="Y37" s="509"/>
      <c r="Z37" s="510"/>
      <c r="AA37" s="501"/>
      <c r="AB37" s="120"/>
      <c r="AC37" s="120"/>
      <c r="AD37" s="120"/>
      <c r="AE37" s="120"/>
      <c r="AF37" s="517"/>
      <c r="AG37" s="518"/>
      <c r="AH37" s="509"/>
      <c r="AI37" s="510"/>
      <c r="AJ37" s="501"/>
      <c r="AK37" s="120"/>
      <c r="AL37" s="120"/>
      <c r="AM37" s="120"/>
      <c r="AN37" s="120"/>
      <c r="AO37" s="517"/>
      <c r="AP37" s="518"/>
      <c r="AQ37" s="509"/>
      <c r="AR37" s="510"/>
      <c r="AS37" s="501"/>
      <c r="AT37" s="120"/>
      <c r="AU37" s="120"/>
      <c r="AV37" s="120"/>
      <c r="AW37" s="120"/>
      <c r="AX37" s="517"/>
      <c r="AY37" s="518"/>
      <c r="AZ37" s="509"/>
      <c r="BA37" s="510"/>
      <c r="BB37" s="501"/>
      <c r="BC37" s="120"/>
      <c r="BD37" s="120"/>
      <c r="BE37" s="49"/>
      <c r="BF37" s="49"/>
      <c r="BG37" s="124"/>
      <c r="BH37" s="518"/>
      <c r="BI37" s="510"/>
      <c r="BJ37" s="510"/>
      <c r="BK37" s="501"/>
      <c r="BL37" s="120"/>
      <c r="BM37" s="49"/>
      <c r="BN37" s="49"/>
      <c r="BO37" s="49"/>
      <c r="BP37" s="124"/>
      <c r="BQ37" s="518"/>
      <c r="BR37" s="510"/>
      <c r="BS37" s="510"/>
      <c r="BT37" s="501"/>
      <c r="BU37" s="120"/>
      <c r="BV37" s="49"/>
      <c r="BW37" s="49"/>
      <c r="BX37" s="49"/>
      <c r="BY37" s="124"/>
      <c r="BZ37" s="518"/>
      <c r="CA37" s="510"/>
      <c r="CB37" s="510"/>
      <c r="CC37" s="501"/>
      <c r="CD37" s="120"/>
      <c r="CE37" s="49"/>
      <c r="CF37" s="49"/>
      <c r="CG37" s="49"/>
      <c r="CH37" s="124"/>
      <c r="CI37" s="518"/>
      <c r="CJ37" s="510"/>
      <c r="CK37" s="510"/>
      <c r="CL37" s="501"/>
      <c r="CM37" s="120"/>
      <c r="CN37" s="49"/>
      <c r="CO37" s="49"/>
      <c r="CP37" s="49"/>
      <c r="CQ37" s="124"/>
      <c r="CR37" s="518"/>
      <c r="CS37" s="510"/>
      <c r="CT37" s="510"/>
      <c r="CU37" s="501"/>
    </row>
    <row r="38" spans="1:99" s="597" customFormat="1" ht="16.2" thickBot="1" x14ac:dyDescent="0.35">
      <c r="A38" s="152" t="s">
        <v>211</v>
      </c>
      <c r="B38" s="120"/>
      <c r="C38" s="120"/>
      <c r="D38" s="120"/>
      <c r="E38" s="517"/>
      <c r="F38" s="518"/>
      <c r="G38" s="509"/>
      <c r="H38" s="510"/>
      <c r="I38" s="501"/>
      <c r="J38" s="152" t="s">
        <v>211</v>
      </c>
      <c r="K38" s="120"/>
      <c r="L38" s="120"/>
      <c r="M38" s="120"/>
      <c r="N38" s="517"/>
      <c r="O38" s="518"/>
      <c r="P38" s="509"/>
      <c r="Q38" s="510"/>
      <c r="R38" s="501"/>
      <c r="S38" s="152" t="s">
        <v>211</v>
      </c>
      <c r="T38" s="120"/>
      <c r="U38" s="120"/>
      <c r="V38" s="120"/>
      <c r="W38" s="517"/>
      <c r="X38" s="518"/>
      <c r="Y38" s="509"/>
      <c r="Z38" s="510"/>
      <c r="AA38" s="501"/>
      <c r="AB38" s="152" t="s">
        <v>211</v>
      </c>
      <c r="AC38" s="120"/>
      <c r="AD38" s="120"/>
      <c r="AE38" s="120"/>
      <c r="AF38" s="517"/>
      <c r="AG38" s="518"/>
      <c r="AH38" s="509"/>
      <c r="AI38" s="510"/>
      <c r="AJ38" s="501"/>
      <c r="AK38" s="152" t="s">
        <v>211</v>
      </c>
      <c r="AL38" s="120"/>
      <c r="AM38" s="120"/>
      <c r="AN38" s="120"/>
      <c r="AO38" s="517"/>
      <c r="AP38" s="518"/>
      <c r="AQ38" s="509"/>
      <c r="AR38" s="510"/>
      <c r="AS38" s="501"/>
      <c r="AT38" s="152" t="s">
        <v>211</v>
      </c>
      <c r="AU38" s="120"/>
      <c r="AV38" s="120"/>
      <c r="AW38" s="120"/>
      <c r="AX38" s="517"/>
      <c r="AY38" s="518"/>
      <c r="AZ38" s="509"/>
      <c r="BA38" s="510"/>
      <c r="BB38" s="501"/>
      <c r="BC38" s="152" t="s">
        <v>211</v>
      </c>
      <c r="BD38" s="120"/>
      <c r="BE38" s="49"/>
      <c r="BF38" s="49"/>
      <c r="BG38" s="124"/>
      <c r="BH38" s="518"/>
      <c r="BI38" s="510"/>
      <c r="BJ38" s="510"/>
      <c r="BK38" s="501"/>
      <c r="BL38" s="152" t="s">
        <v>211</v>
      </c>
      <c r="BM38" s="49"/>
      <c r="BN38" s="49"/>
      <c r="BO38" s="49"/>
      <c r="BP38" s="124"/>
      <c r="BQ38" s="518"/>
      <c r="BR38" s="510"/>
      <c r="BS38" s="510"/>
      <c r="BT38" s="501"/>
      <c r="BU38" s="152" t="s">
        <v>211</v>
      </c>
      <c r="BV38" s="49"/>
      <c r="BW38" s="49"/>
      <c r="BX38" s="49"/>
      <c r="BY38" s="124"/>
      <c r="BZ38" s="518"/>
      <c r="CA38" s="510"/>
      <c r="CB38" s="510"/>
      <c r="CC38" s="501"/>
      <c r="CD38" s="152" t="s">
        <v>211</v>
      </c>
      <c r="CE38" s="49"/>
      <c r="CF38" s="49"/>
      <c r="CG38" s="49"/>
      <c r="CH38" s="124"/>
      <c r="CI38" s="518"/>
      <c r="CJ38" s="510"/>
      <c r="CK38" s="510"/>
      <c r="CL38" s="501"/>
      <c r="CM38" s="152" t="s">
        <v>211</v>
      </c>
      <c r="CN38" s="49"/>
      <c r="CO38" s="49"/>
      <c r="CP38" s="49"/>
      <c r="CQ38" s="124"/>
      <c r="CR38" s="518"/>
      <c r="CS38" s="510"/>
      <c r="CT38" s="510"/>
      <c r="CU38" s="501"/>
    </row>
    <row r="39" spans="1:99" s="597" customFormat="1" x14ac:dyDescent="0.3">
      <c r="A39" s="120" t="s">
        <v>489</v>
      </c>
      <c r="B39" s="511">
        <v>0</v>
      </c>
      <c r="C39" s="120" t="s">
        <v>207</v>
      </c>
      <c r="D39" s="120"/>
      <c r="E39" s="517" t="s">
        <v>213</v>
      </c>
      <c r="F39" s="518">
        <f>IF(B39+B40=0,0,2*(F34*B34+F35*B35)/(B40+(2*B39)))</f>
        <v>0</v>
      </c>
      <c r="G39" s="509"/>
      <c r="H39" s="510"/>
      <c r="I39" s="501"/>
      <c r="J39" s="120" t="s">
        <v>489</v>
      </c>
      <c r="K39" s="514">
        <f>+T39+AC39+AL39+AU39</f>
        <v>0</v>
      </c>
      <c r="L39" s="120" t="s">
        <v>207</v>
      </c>
      <c r="M39" s="120"/>
      <c r="N39" s="517" t="s">
        <v>213</v>
      </c>
      <c r="O39" s="518">
        <f>IF(K39+K40=0,0,2*(O34*K34+O35*K35)/(K40+(2*K39)))</f>
        <v>0</v>
      </c>
      <c r="P39" s="509"/>
      <c r="Q39" s="510"/>
      <c r="R39" s="501"/>
      <c r="S39" s="120" t="s">
        <v>489</v>
      </c>
      <c r="T39" s="1033"/>
      <c r="U39" s="120" t="s">
        <v>207</v>
      </c>
      <c r="V39" s="120"/>
      <c r="W39" s="517" t="s">
        <v>213</v>
      </c>
      <c r="X39" s="518">
        <f>IF(T39+T40=0,0,2*(X34*T34+X35*T35)/(T40+(2*T39)))</f>
        <v>0</v>
      </c>
      <c r="Y39" s="509"/>
      <c r="Z39" s="510"/>
      <c r="AA39" s="501"/>
      <c r="AB39" s="120" t="s">
        <v>489</v>
      </c>
      <c r="AC39" s="1033"/>
      <c r="AD39" s="120" t="s">
        <v>207</v>
      </c>
      <c r="AE39" s="120"/>
      <c r="AF39" s="517" t="s">
        <v>213</v>
      </c>
      <c r="AG39" s="518">
        <f>IF(AC39+AC40=0,0,2*(AG34*AC34+AG35*AC35)/(AC40+(2*AC39)))</f>
        <v>0</v>
      </c>
      <c r="AH39" s="509"/>
      <c r="AI39" s="510"/>
      <c r="AJ39" s="501"/>
      <c r="AK39" s="120" t="s">
        <v>489</v>
      </c>
      <c r="AL39" s="1033"/>
      <c r="AM39" s="120" t="s">
        <v>207</v>
      </c>
      <c r="AN39" s="120"/>
      <c r="AO39" s="517" t="s">
        <v>213</v>
      </c>
      <c r="AP39" s="518">
        <f>IF(AL39+AL40=0,0,2*(AP34*AL34+AP35*AL35)/(AL40+(2*AL39)))</f>
        <v>0</v>
      </c>
      <c r="AQ39" s="509"/>
      <c r="AR39" s="510"/>
      <c r="AS39" s="501"/>
      <c r="AT39" s="120" t="s">
        <v>489</v>
      </c>
      <c r="AU39" s="1033"/>
      <c r="AV39" s="120" t="s">
        <v>207</v>
      </c>
      <c r="AW39" s="120"/>
      <c r="AX39" s="517" t="s">
        <v>213</v>
      </c>
      <c r="AY39" s="518">
        <f>IF(AU39+AU40=0,0,2*(AY34*AU34+AY35*AU35)/(AU40+(2*AU39)))</f>
        <v>0</v>
      </c>
      <c r="AZ39" s="509"/>
      <c r="BA39" s="510"/>
      <c r="BB39" s="501"/>
      <c r="BC39" s="120" t="s">
        <v>489</v>
      </c>
      <c r="BD39" s="514">
        <f>+BM39+BV39+CE39+CN39</f>
        <v>0</v>
      </c>
      <c r="BE39" s="49" t="s">
        <v>207</v>
      </c>
      <c r="BF39" s="49"/>
      <c r="BG39" s="124" t="s">
        <v>213</v>
      </c>
      <c r="BH39" s="518">
        <f>IF(BD39+BD40=0,0,2*(BH34*BD34+BH35*BD35)/(BD40+(2*BD39)))</f>
        <v>0</v>
      </c>
      <c r="BI39" s="510"/>
      <c r="BJ39" s="510"/>
      <c r="BK39" s="501"/>
      <c r="BL39" s="120" t="s">
        <v>489</v>
      </c>
      <c r="BM39" s="189"/>
      <c r="BN39" s="49" t="s">
        <v>207</v>
      </c>
      <c r="BO39" s="49"/>
      <c r="BP39" s="124" t="s">
        <v>213</v>
      </c>
      <c r="BQ39" s="518">
        <f>IF(BM39+BM40=0,0,2*(BQ34*BM34+BQ35*BM35)/(BM40+(2*BM39)))</f>
        <v>0</v>
      </c>
      <c r="BR39" s="510"/>
      <c r="BS39" s="510"/>
      <c r="BT39" s="501"/>
      <c r="BU39" s="120" t="s">
        <v>489</v>
      </c>
      <c r="BV39" s="189"/>
      <c r="BW39" s="49" t="s">
        <v>207</v>
      </c>
      <c r="BX39" s="49"/>
      <c r="BY39" s="124" t="s">
        <v>213</v>
      </c>
      <c r="BZ39" s="518">
        <f>IF(BV39+BV40=0,0,2*(BZ34*BV34+BZ35*BV35)/(BV40+(2*BV39)))</f>
        <v>0</v>
      </c>
      <c r="CA39" s="510"/>
      <c r="CB39" s="510"/>
      <c r="CC39" s="501"/>
      <c r="CD39" s="120" t="s">
        <v>489</v>
      </c>
      <c r="CE39" s="189"/>
      <c r="CF39" s="49" t="s">
        <v>207</v>
      </c>
      <c r="CG39" s="49"/>
      <c r="CH39" s="124" t="s">
        <v>213</v>
      </c>
      <c r="CI39" s="518">
        <f>IF(CE39+CE40=0,0,2*(CI34*CE34+CI35*CE35)/(CE40+(2*CE39)))</f>
        <v>0</v>
      </c>
      <c r="CJ39" s="510"/>
      <c r="CK39" s="510"/>
      <c r="CL39" s="501"/>
      <c r="CM39" s="120" t="s">
        <v>489</v>
      </c>
      <c r="CN39" s="189"/>
      <c r="CO39" s="49" t="s">
        <v>207</v>
      </c>
      <c r="CP39" s="49"/>
      <c r="CQ39" s="124" t="s">
        <v>213</v>
      </c>
      <c r="CR39" s="518">
        <f>IF(CN39+CN40=0,0,2*(CR34*CN34+CR35*CN35)/(CN40+(2*CN39)))</f>
        <v>0</v>
      </c>
      <c r="CS39" s="510"/>
      <c r="CT39" s="510"/>
      <c r="CU39" s="501"/>
    </row>
    <row r="40" spans="1:99" s="597" customFormat="1" x14ac:dyDescent="0.3">
      <c r="A40" s="120" t="s">
        <v>490</v>
      </c>
      <c r="B40" s="511">
        <v>0</v>
      </c>
      <c r="C40" s="120" t="s">
        <v>207</v>
      </c>
      <c r="D40" s="120"/>
      <c r="E40" s="517" t="s">
        <v>215</v>
      </c>
      <c r="F40" s="518">
        <f>F39/2</f>
        <v>0</v>
      </c>
      <c r="G40" s="509"/>
      <c r="H40" s="510"/>
      <c r="I40" s="501"/>
      <c r="J40" s="120" t="s">
        <v>490</v>
      </c>
      <c r="K40" s="514">
        <f>+T40+AC40+AL40+AU40</f>
        <v>0</v>
      </c>
      <c r="L40" s="120" t="s">
        <v>207</v>
      </c>
      <c r="M40" s="120"/>
      <c r="N40" s="517" t="s">
        <v>215</v>
      </c>
      <c r="O40" s="518">
        <f>O39/2</f>
        <v>0</v>
      </c>
      <c r="P40" s="509"/>
      <c r="Q40" s="510"/>
      <c r="R40" s="501"/>
      <c r="S40" s="120" t="s">
        <v>490</v>
      </c>
      <c r="T40" s="1032"/>
      <c r="U40" s="120" t="s">
        <v>207</v>
      </c>
      <c r="V40" s="120"/>
      <c r="W40" s="517" t="s">
        <v>215</v>
      </c>
      <c r="X40" s="518">
        <f>X39/2</f>
        <v>0</v>
      </c>
      <c r="Y40" s="509"/>
      <c r="Z40" s="510"/>
      <c r="AA40" s="501"/>
      <c r="AB40" s="120" t="s">
        <v>490</v>
      </c>
      <c r="AC40" s="1032"/>
      <c r="AD40" s="120" t="s">
        <v>207</v>
      </c>
      <c r="AE40" s="120"/>
      <c r="AF40" s="517" t="s">
        <v>215</v>
      </c>
      <c r="AG40" s="518">
        <f>AG39/2</f>
        <v>0</v>
      </c>
      <c r="AH40" s="509"/>
      <c r="AI40" s="510"/>
      <c r="AJ40" s="501"/>
      <c r="AK40" s="120" t="s">
        <v>490</v>
      </c>
      <c r="AL40" s="1032"/>
      <c r="AM40" s="120" t="s">
        <v>207</v>
      </c>
      <c r="AN40" s="120"/>
      <c r="AO40" s="517" t="s">
        <v>215</v>
      </c>
      <c r="AP40" s="518">
        <f>AP39/2</f>
        <v>0</v>
      </c>
      <c r="AQ40" s="509"/>
      <c r="AR40" s="510"/>
      <c r="AS40" s="501"/>
      <c r="AT40" s="120" t="s">
        <v>490</v>
      </c>
      <c r="AU40" s="1032"/>
      <c r="AV40" s="120" t="s">
        <v>207</v>
      </c>
      <c r="AW40" s="120"/>
      <c r="AX40" s="517" t="s">
        <v>215</v>
      </c>
      <c r="AY40" s="518">
        <f>AY39/2</f>
        <v>0</v>
      </c>
      <c r="AZ40" s="509"/>
      <c r="BA40" s="510"/>
      <c r="BB40" s="501"/>
      <c r="BC40" s="120" t="s">
        <v>490</v>
      </c>
      <c r="BD40" s="514">
        <f>+BM40+BV40+CE40+CN40</f>
        <v>0</v>
      </c>
      <c r="BE40" s="49" t="s">
        <v>207</v>
      </c>
      <c r="BF40" s="49"/>
      <c r="BG40" s="124" t="s">
        <v>215</v>
      </c>
      <c r="BH40" s="518">
        <f>BH39/2</f>
        <v>0</v>
      </c>
      <c r="BI40" s="510"/>
      <c r="BJ40" s="510"/>
      <c r="BK40" s="501"/>
      <c r="BL40" s="120" t="s">
        <v>490</v>
      </c>
      <c r="BM40" s="189"/>
      <c r="BN40" s="49" t="s">
        <v>207</v>
      </c>
      <c r="BO40" s="49"/>
      <c r="BP40" s="124" t="s">
        <v>215</v>
      </c>
      <c r="BQ40" s="518">
        <f>BQ39/2</f>
        <v>0</v>
      </c>
      <c r="BR40" s="510"/>
      <c r="BS40" s="510"/>
      <c r="BT40" s="501"/>
      <c r="BU40" s="120" t="s">
        <v>490</v>
      </c>
      <c r="BV40" s="189"/>
      <c r="BW40" s="49" t="s">
        <v>207</v>
      </c>
      <c r="BX40" s="49"/>
      <c r="BY40" s="124" t="s">
        <v>215</v>
      </c>
      <c r="BZ40" s="518">
        <f>BZ39/2</f>
        <v>0</v>
      </c>
      <c r="CA40" s="510"/>
      <c r="CB40" s="510"/>
      <c r="CC40" s="501"/>
      <c r="CD40" s="120" t="s">
        <v>490</v>
      </c>
      <c r="CE40" s="189"/>
      <c r="CF40" s="49" t="s">
        <v>207</v>
      </c>
      <c r="CG40" s="49"/>
      <c r="CH40" s="124" t="s">
        <v>215</v>
      </c>
      <c r="CI40" s="518">
        <f>CI39/2</f>
        <v>0</v>
      </c>
      <c r="CJ40" s="510"/>
      <c r="CK40" s="510"/>
      <c r="CL40" s="501"/>
      <c r="CM40" s="120" t="s">
        <v>490</v>
      </c>
      <c r="CN40" s="189"/>
      <c r="CO40" s="49" t="s">
        <v>207</v>
      </c>
      <c r="CP40" s="49"/>
      <c r="CQ40" s="124" t="s">
        <v>215</v>
      </c>
      <c r="CR40" s="518">
        <f>CR39/2</f>
        <v>0</v>
      </c>
      <c r="CS40" s="510"/>
      <c r="CT40" s="510"/>
      <c r="CU40" s="501"/>
    </row>
    <row r="41" spans="1:99" s="597" customFormat="1" x14ac:dyDescent="0.3">
      <c r="A41" s="120"/>
      <c r="B41" s="120"/>
      <c r="C41" s="120"/>
      <c r="D41" s="120"/>
      <c r="E41" s="517"/>
      <c r="F41" s="518"/>
      <c r="G41" s="509"/>
      <c r="H41" s="510"/>
      <c r="I41" s="501"/>
      <c r="J41" s="120"/>
      <c r="K41" s="120"/>
      <c r="L41" s="120"/>
      <c r="M41" s="120"/>
      <c r="N41" s="517"/>
      <c r="O41" s="518"/>
      <c r="P41" s="509"/>
      <c r="Q41" s="510"/>
      <c r="R41" s="501"/>
      <c r="S41" s="120"/>
      <c r="T41" s="120"/>
      <c r="U41" s="120"/>
      <c r="V41" s="120"/>
      <c r="W41" s="517"/>
      <c r="X41" s="518"/>
      <c r="Y41" s="509"/>
      <c r="Z41" s="510"/>
      <c r="AA41" s="501"/>
      <c r="AB41" s="120"/>
      <c r="AC41" s="120"/>
      <c r="AD41" s="120"/>
      <c r="AE41" s="120"/>
      <c r="AF41" s="517"/>
      <c r="AG41" s="518"/>
      <c r="AH41" s="509"/>
      <c r="AI41" s="510"/>
      <c r="AJ41" s="501"/>
      <c r="AK41" s="120"/>
      <c r="AL41" s="120"/>
      <c r="AM41" s="120"/>
      <c r="AN41" s="120"/>
      <c r="AO41" s="517"/>
      <c r="AP41" s="518"/>
      <c r="AQ41" s="509"/>
      <c r="AR41" s="510"/>
      <c r="AS41" s="501"/>
      <c r="AT41" s="120"/>
      <c r="AU41" s="120"/>
      <c r="AV41" s="120"/>
      <c r="AW41" s="120"/>
      <c r="AX41" s="517"/>
      <c r="AY41" s="518"/>
      <c r="AZ41" s="509"/>
      <c r="BA41" s="510"/>
      <c r="BB41" s="501"/>
      <c r="BC41" s="120"/>
      <c r="BD41" s="120"/>
      <c r="BE41" s="49"/>
      <c r="BF41" s="49"/>
      <c r="BG41" s="124"/>
      <c r="BH41" s="518"/>
      <c r="BI41" s="510"/>
      <c r="BJ41" s="510"/>
      <c r="BK41" s="501"/>
      <c r="BL41" s="120"/>
      <c r="BM41" s="49"/>
      <c r="BN41" s="49"/>
      <c r="BO41" s="49"/>
      <c r="BP41" s="124"/>
      <c r="BQ41" s="518"/>
      <c r="BR41" s="510"/>
      <c r="BS41" s="510"/>
      <c r="BT41" s="501"/>
      <c r="BU41" s="120"/>
      <c r="BV41" s="49"/>
      <c r="BW41" s="49"/>
      <c r="BX41" s="49"/>
      <c r="BY41" s="124"/>
      <c r="BZ41" s="518"/>
      <c r="CA41" s="510"/>
      <c r="CB41" s="510"/>
      <c r="CC41" s="501"/>
      <c r="CD41" s="120"/>
      <c r="CE41" s="49"/>
      <c r="CF41" s="49"/>
      <c r="CG41" s="49"/>
      <c r="CH41" s="124"/>
      <c r="CI41" s="518"/>
      <c r="CJ41" s="510"/>
      <c r="CK41" s="510"/>
      <c r="CL41" s="501"/>
      <c r="CM41" s="120"/>
      <c r="CN41" s="49"/>
      <c r="CO41" s="49"/>
      <c r="CP41" s="49"/>
      <c r="CQ41" s="124"/>
      <c r="CR41" s="518"/>
      <c r="CS41" s="510"/>
      <c r="CT41" s="510"/>
      <c r="CU41" s="501"/>
    </row>
    <row r="42" spans="1:99" s="597" customFormat="1" ht="14.4" thickBot="1" x14ac:dyDescent="0.35">
      <c r="A42" s="120"/>
      <c r="B42" s="120"/>
      <c r="C42" s="120"/>
      <c r="D42" s="120"/>
      <c r="E42" s="517"/>
      <c r="F42" s="518"/>
      <c r="G42" s="509"/>
      <c r="H42" s="510"/>
      <c r="I42" s="501"/>
      <c r="J42" s="120"/>
      <c r="K42" s="120"/>
      <c r="L42" s="120"/>
      <c r="M42" s="120"/>
      <c r="N42" s="517"/>
      <c r="O42" s="518"/>
      <c r="P42" s="509"/>
      <c r="Q42" s="510"/>
      <c r="R42" s="501"/>
      <c r="S42" s="120"/>
      <c r="T42" s="120"/>
      <c r="U42" s="120"/>
      <c r="V42" s="120"/>
      <c r="W42" s="517"/>
      <c r="X42" s="518"/>
      <c r="Y42" s="509"/>
      <c r="Z42" s="510"/>
      <c r="AA42" s="501"/>
      <c r="AB42" s="120"/>
      <c r="AC42" s="120"/>
      <c r="AD42" s="120"/>
      <c r="AE42" s="120"/>
      <c r="AF42" s="517"/>
      <c r="AG42" s="518"/>
      <c r="AH42" s="509"/>
      <c r="AI42" s="510"/>
      <c r="AJ42" s="501"/>
      <c r="AK42" s="120"/>
      <c r="AL42" s="120"/>
      <c r="AM42" s="120"/>
      <c r="AN42" s="120"/>
      <c r="AO42" s="517"/>
      <c r="AP42" s="518"/>
      <c r="AQ42" s="509"/>
      <c r="AR42" s="510"/>
      <c r="AS42" s="501"/>
      <c r="AT42" s="120"/>
      <c r="AU42" s="120"/>
      <c r="AV42" s="120"/>
      <c r="AW42" s="120"/>
      <c r="AX42" s="517"/>
      <c r="AY42" s="518"/>
      <c r="AZ42" s="509"/>
      <c r="BA42" s="510"/>
      <c r="BB42" s="501"/>
      <c r="BC42" s="120"/>
      <c r="BD42" s="120"/>
      <c r="BE42" s="49"/>
      <c r="BF42" s="49"/>
      <c r="BG42" s="124"/>
      <c r="BH42" s="518"/>
      <c r="BI42" s="510"/>
      <c r="BJ42" s="510"/>
      <c r="BK42" s="501"/>
      <c r="BL42" s="120"/>
      <c r="BM42" s="49"/>
      <c r="BN42" s="49"/>
      <c r="BO42" s="49"/>
      <c r="BP42" s="124"/>
      <c r="BQ42" s="518"/>
      <c r="BR42" s="510"/>
      <c r="BS42" s="510"/>
      <c r="BT42" s="501"/>
      <c r="BU42" s="120"/>
      <c r="BV42" s="49"/>
      <c r="BW42" s="49"/>
      <c r="BX42" s="49"/>
      <c r="BY42" s="124"/>
      <c r="BZ42" s="518"/>
      <c r="CA42" s="510"/>
      <c r="CB42" s="510"/>
      <c r="CC42" s="501"/>
      <c r="CD42" s="120"/>
      <c r="CE42" s="49"/>
      <c r="CF42" s="49"/>
      <c r="CG42" s="49"/>
      <c r="CH42" s="124"/>
      <c r="CI42" s="518"/>
      <c r="CJ42" s="510"/>
      <c r="CK42" s="510"/>
      <c r="CL42" s="501"/>
      <c r="CM42" s="120"/>
      <c r="CN42" s="49"/>
      <c r="CO42" s="49"/>
      <c r="CP42" s="49"/>
      <c r="CQ42" s="124"/>
      <c r="CR42" s="518"/>
      <c r="CS42" s="510"/>
      <c r="CT42" s="510"/>
      <c r="CU42" s="501"/>
    </row>
    <row r="43" spans="1:99" s="597" customFormat="1" ht="16.2" thickBot="1" x14ac:dyDescent="0.35">
      <c r="A43" s="152" t="s">
        <v>216</v>
      </c>
      <c r="B43" s="120"/>
      <c r="C43" s="120"/>
      <c r="D43" s="120"/>
      <c r="E43" s="517"/>
      <c r="F43" s="518"/>
      <c r="G43" s="509"/>
      <c r="H43" s="510"/>
      <c r="I43" s="501"/>
      <c r="J43" s="152" t="s">
        <v>216</v>
      </c>
      <c r="K43" s="120"/>
      <c r="L43" s="120"/>
      <c r="M43" s="120"/>
      <c r="N43" s="517"/>
      <c r="O43" s="518"/>
      <c r="P43" s="509"/>
      <c r="Q43" s="510"/>
      <c r="R43" s="501"/>
      <c r="S43" s="152" t="s">
        <v>216</v>
      </c>
      <c r="T43" s="120"/>
      <c r="U43" s="120"/>
      <c r="V43" s="120"/>
      <c r="W43" s="517"/>
      <c r="X43" s="518"/>
      <c r="Y43" s="509"/>
      <c r="Z43" s="510"/>
      <c r="AA43" s="501"/>
      <c r="AB43" s="152" t="s">
        <v>216</v>
      </c>
      <c r="AC43" s="120"/>
      <c r="AD43" s="120"/>
      <c r="AE43" s="120"/>
      <c r="AF43" s="517"/>
      <c r="AG43" s="518"/>
      <c r="AH43" s="509"/>
      <c r="AI43" s="510"/>
      <c r="AJ43" s="501"/>
      <c r="AK43" s="152" t="s">
        <v>216</v>
      </c>
      <c r="AL43" s="120"/>
      <c r="AM43" s="120"/>
      <c r="AN43" s="120"/>
      <c r="AO43" s="517"/>
      <c r="AP43" s="518"/>
      <c r="AQ43" s="509"/>
      <c r="AR43" s="510"/>
      <c r="AS43" s="501"/>
      <c r="AT43" s="152" t="s">
        <v>216</v>
      </c>
      <c r="AU43" s="120"/>
      <c r="AV43" s="120"/>
      <c r="AW43" s="120"/>
      <c r="AX43" s="517"/>
      <c r="AY43" s="518"/>
      <c r="AZ43" s="509"/>
      <c r="BA43" s="510"/>
      <c r="BB43" s="501"/>
      <c r="BC43" s="152" t="s">
        <v>216</v>
      </c>
      <c r="BD43" s="120"/>
      <c r="BE43" s="49"/>
      <c r="BF43" s="49"/>
      <c r="BG43" s="124"/>
      <c r="BH43" s="518"/>
      <c r="BI43" s="510"/>
      <c r="BJ43" s="510"/>
      <c r="BK43" s="501"/>
      <c r="BL43" s="152" t="s">
        <v>216</v>
      </c>
      <c r="BM43" s="49"/>
      <c r="BN43" s="49"/>
      <c r="BO43" s="49"/>
      <c r="BP43" s="124"/>
      <c r="BQ43" s="518"/>
      <c r="BR43" s="510"/>
      <c r="BS43" s="510"/>
      <c r="BT43" s="501"/>
      <c r="BU43" s="152" t="s">
        <v>216</v>
      </c>
      <c r="BV43" s="49"/>
      <c r="BW43" s="49"/>
      <c r="BX43" s="49"/>
      <c r="BY43" s="124"/>
      <c r="BZ43" s="518"/>
      <c r="CA43" s="510"/>
      <c r="CB43" s="510"/>
      <c r="CC43" s="501"/>
      <c r="CD43" s="152" t="s">
        <v>216</v>
      </c>
      <c r="CE43" s="49"/>
      <c r="CF43" s="49"/>
      <c r="CG43" s="49"/>
      <c r="CH43" s="124"/>
      <c r="CI43" s="518"/>
      <c r="CJ43" s="510"/>
      <c r="CK43" s="510"/>
      <c r="CL43" s="501"/>
      <c r="CM43" s="152" t="s">
        <v>216</v>
      </c>
      <c r="CN43" s="49"/>
      <c r="CO43" s="49"/>
      <c r="CP43" s="49"/>
      <c r="CQ43" s="124"/>
      <c r="CR43" s="518"/>
      <c r="CS43" s="510"/>
      <c r="CT43" s="510"/>
      <c r="CU43" s="501"/>
    </row>
    <row r="44" spans="1:99" s="597" customFormat="1" x14ac:dyDescent="0.3">
      <c r="A44" s="120" t="s">
        <v>491</v>
      </c>
      <c r="B44" s="514">
        <f>+B39</f>
        <v>0</v>
      </c>
      <c r="C44" s="120" t="s">
        <v>207</v>
      </c>
      <c r="D44" s="120"/>
      <c r="E44" s="515" t="s">
        <v>218</v>
      </c>
      <c r="F44" s="519">
        <f>IF(B44=0,0,F39*B39/B44)</f>
        <v>0</v>
      </c>
      <c r="G44" s="509"/>
      <c r="H44" s="510"/>
      <c r="I44" s="501"/>
      <c r="J44" s="120" t="s">
        <v>491</v>
      </c>
      <c r="K44" s="514">
        <f>+T44+AC44+AL44+AU44</f>
        <v>0</v>
      </c>
      <c r="L44" s="120" t="s">
        <v>207</v>
      </c>
      <c r="M44" s="120"/>
      <c r="N44" s="515" t="s">
        <v>218</v>
      </c>
      <c r="O44" s="519">
        <f>IF(K44=0,0,O39*K39/K44)</f>
        <v>0</v>
      </c>
      <c r="P44" s="509"/>
      <c r="Q44" s="510"/>
      <c r="R44" s="501"/>
      <c r="S44" s="120" t="s">
        <v>491</v>
      </c>
      <c r="T44" s="514">
        <f>+T39</f>
        <v>0</v>
      </c>
      <c r="U44" s="120" t="s">
        <v>207</v>
      </c>
      <c r="V44" s="120"/>
      <c r="W44" s="515" t="s">
        <v>218</v>
      </c>
      <c r="X44" s="519">
        <f>IF(T44=0,0,X39*T39/T44)</f>
        <v>0</v>
      </c>
      <c r="Y44" s="509"/>
      <c r="Z44" s="510"/>
      <c r="AA44" s="501"/>
      <c r="AB44" s="120" t="s">
        <v>491</v>
      </c>
      <c r="AC44" s="514">
        <f>+AC39</f>
        <v>0</v>
      </c>
      <c r="AD44" s="120" t="s">
        <v>207</v>
      </c>
      <c r="AE44" s="120"/>
      <c r="AF44" s="515" t="s">
        <v>218</v>
      </c>
      <c r="AG44" s="519">
        <f>IF(AC44=0,0,AG39*AC39/AC44)</f>
        <v>0</v>
      </c>
      <c r="AH44" s="509"/>
      <c r="AI44" s="510"/>
      <c r="AJ44" s="501"/>
      <c r="AK44" s="120" t="s">
        <v>491</v>
      </c>
      <c r="AL44" s="514">
        <f>+AL39</f>
        <v>0</v>
      </c>
      <c r="AM44" s="120" t="s">
        <v>207</v>
      </c>
      <c r="AN44" s="120"/>
      <c r="AO44" s="515" t="s">
        <v>218</v>
      </c>
      <c r="AP44" s="519">
        <f>IF(AL44=0,0,AP39*AL39/AL44)</f>
        <v>0</v>
      </c>
      <c r="AQ44" s="509"/>
      <c r="AR44" s="510"/>
      <c r="AS44" s="501"/>
      <c r="AT44" s="120" t="s">
        <v>491</v>
      </c>
      <c r="AU44" s="514">
        <f>+AU39</f>
        <v>0</v>
      </c>
      <c r="AV44" s="120" t="s">
        <v>207</v>
      </c>
      <c r="AW44" s="120"/>
      <c r="AX44" s="515" t="s">
        <v>218</v>
      </c>
      <c r="AY44" s="519">
        <f>IF(AU44=0,0,AY39*AU39/AU44)</f>
        <v>0</v>
      </c>
      <c r="AZ44" s="509"/>
      <c r="BA44" s="510"/>
      <c r="BB44" s="501"/>
      <c r="BC44" s="120" t="s">
        <v>491</v>
      </c>
      <c r="BD44" s="514">
        <f>+BM44+BV44+CE44+CN44</f>
        <v>0</v>
      </c>
      <c r="BE44" s="49" t="s">
        <v>207</v>
      </c>
      <c r="BF44" s="49"/>
      <c r="BG44" s="123" t="s">
        <v>218</v>
      </c>
      <c r="BH44" s="519">
        <f>IF(BD44=0,0,BH39*BD39/BD44)</f>
        <v>0</v>
      </c>
      <c r="BI44" s="510"/>
      <c r="BJ44" s="510"/>
      <c r="BK44" s="501"/>
      <c r="BL44" s="120" t="s">
        <v>491</v>
      </c>
      <c r="BM44" s="514">
        <f>+BM39</f>
        <v>0</v>
      </c>
      <c r="BN44" s="49" t="s">
        <v>207</v>
      </c>
      <c r="BO44" s="49"/>
      <c r="BP44" s="123" t="s">
        <v>218</v>
      </c>
      <c r="BQ44" s="519">
        <f>IF(BM44=0,0,BQ39*BM39/BM44)</f>
        <v>0</v>
      </c>
      <c r="BR44" s="510"/>
      <c r="BS44" s="510"/>
      <c r="BT44" s="501"/>
      <c r="BU44" s="120" t="s">
        <v>491</v>
      </c>
      <c r="BV44" s="514">
        <f>+BV39</f>
        <v>0</v>
      </c>
      <c r="BW44" s="49" t="s">
        <v>207</v>
      </c>
      <c r="BX44" s="49"/>
      <c r="BY44" s="123" t="s">
        <v>218</v>
      </c>
      <c r="BZ44" s="519">
        <f>IF(BV44=0,0,BZ39*BV39/BV44)</f>
        <v>0</v>
      </c>
      <c r="CA44" s="510"/>
      <c r="CB44" s="510"/>
      <c r="CC44" s="501"/>
      <c r="CD44" s="120" t="s">
        <v>491</v>
      </c>
      <c r="CE44" s="514">
        <f>+CE39</f>
        <v>0</v>
      </c>
      <c r="CF44" s="49" t="s">
        <v>207</v>
      </c>
      <c r="CG44" s="49"/>
      <c r="CH44" s="123" t="s">
        <v>218</v>
      </c>
      <c r="CI44" s="519">
        <f>IF(CE44=0,0,CI39*CE39/CE44)</f>
        <v>0</v>
      </c>
      <c r="CJ44" s="510"/>
      <c r="CK44" s="510"/>
      <c r="CL44" s="501"/>
      <c r="CM44" s="120" t="s">
        <v>491</v>
      </c>
      <c r="CN44" s="514">
        <f>+CN39</f>
        <v>0</v>
      </c>
      <c r="CO44" s="49" t="s">
        <v>207</v>
      </c>
      <c r="CP44" s="49"/>
      <c r="CQ44" s="123" t="s">
        <v>218</v>
      </c>
      <c r="CR44" s="519">
        <f>IF(CN44=0,0,CR39*CN39/CN44)</f>
        <v>0</v>
      </c>
      <c r="CS44" s="510"/>
      <c r="CT44" s="510"/>
      <c r="CU44" s="501"/>
    </row>
    <row r="45" spans="1:99" s="597" customFormat="1" ht="14.4" thickBot="1" x14ac:dyDescent="0.35">
      <c r="A45" s="120" t="s">
        <v>492</v>
      </c>
      <c r="B45" s="514">
        <f>+B40</f>
        <v>0</v>
      </c>
      <c r="C45" s="120" t="s">
        <v>207</v>
      </c>
      <c r="D45" s="120"/>
      <c r="E45" s="520" t="s">
        <v>220</v>
      </c>
      <c r="F45" s="519">
        <f>IF(B45=0,0,F40*B40/B45)</f>
        <v>0</v>
      </c>
      <c r="G45" s="509"/>
      <c r="H45" s="510"/>
      <c r="I45" s="501"/>
      <c r="J45" s="120" t="s">
        <v>492</v>
      </c>
      <c r="K45" s="514">
        <f>+T45+AC45+AL45+AU45</f>
        <v>0</v>
      </c>
      <c r="L45" s="120" t="s">
        <v>207</v>
      </c>
      <c r="M45" s="120"/>
      <c r="N45" s="520" t="s">
        <v>220</v>
      </c>
      <c r="O45" s="519">
        <f>IF(K45=0,0,O40*K40/K45)</f>
        <v>0</v>
      </c>
      <c r="P45" s="509"/>
      <c r="Q45" s="510"/>
      <c r="R45" s="501"/>
      <c r="S45" s="120" t="s">
        <v>492</v>
      </c>
      <c r="T45" s="514">
        <f>+T40</f>
        <v>0</v>
      </c>
      <c r="U45" s="120" t="s">
        <v>207</v>
      </c>
      <c r="V45" s="120"/>
      <c r="W45" s="520" t="s">
        <v>220</v>
      </c>
      <c r="X45" s="519">
        <f>IF(T45=0,0,X40*T40/T45)</f>
        <v>0</v>
      </c>
      <c r="Y45" s="509"/>
      <c r="Z45" s="510"/>
      <c r="AA45" s="501"/>
      <c r="AB45" s="120" t="s">
        <v>492</v>
      </c>
      <c r="AC45" s="514">
        <f>+AC40</f>
        <v>0</v>
      </c>
      <c r="AD45" s="120" t="s">
        <v>207</v>
      </c>
      <c r="AE45" s="120"/>
      <c r="AF45" s="520" t="s">
        <v>220</v>
      </c>
      <c r="AG45" s="519">
        <f>IF(AC45=0,0,AG40*AC40/AC45)</f>
        <v>0</v>
      </c>
      <c r="AH45" s="509"/>
      <c r="AI45" s="510"/>
      <c r="AJ45" s="501"/>
      <c r="AK45" s="120" t="s">
        <v>492</v>
      </c>
      <c r="AL45" s="514">
        <f>+AL40</f>
        <v>0</v>
      </c>
      <c r="AM45" s="120" t="s">
        <v>207</v>
      </c>
      <c r="AN45" s="120"/>
      <c r="AO45" s="520" t="s">
        <v>220</v>
      </c>
      <c r="AP45" s="519">
        <f>IF(AL45=0,0,AP40*AL40/AL45)</f>
        <v>0</v>
      </c>
      <c r="AQ45" s="509"/>
      <c r="AR45" s="510"/>
      <c r="AS45" s="501"/>
      <c r="AT45" s="120" t="s">
        <v>492</v>
      </c>
      <c r="AU45" s="514">
        <f>+AU40</f>
        <v>0</v>
      </c>
      <c r="AV45" s="120" t="s">
        <v>207</v>
      </c>
      <c r="AW45" s="120"/>
      <c r="AX45" s="520" t="s">
        <v>220</v>
      </c>
      <c r="AY45" s="519">
        <f>IF(AU45=0,0,AY40*AU40/AU45)</f>
        <v>0</v>
      </c>
      <c r="AZ45" s="509"/>
      <c r="BA45" s="510"/>
      <c r="BB45" s="501"/>
      <c r="BC45" s="120" t="s">
        <v>492</v>
      </c>
      <c r="BD45" s="514">
        <f>+BM45+BV45+CE45+CN45</f>
        <v>0</v>
      </c>
      <c r="BE45" s="49" t="s">
        <v>207</v>
      </c>
      <c r="BF45" s="49"/>
      <c r="BG45" s="125" t="s">
        <v>220</v>
      </c>
      <c r="BH45" s="519">
        <f>IF(BD45=0,0,BH40*BD40/BD45)</f>
        <v>0</v>
      </c>
      <c r="BI45" s="510"/>
      <c r="BJ45" s="510"/>
      <c r="BK45" s="501"/>
      <c r="BL45" s="120" t="s">
        <v>492</v>
      </c>
      <c r="BM45" s="514">
        <f>+BM40</f>
        <v>0</v>
      </c>
      <c r="BN45" s="49" t="s">
        <v>207</v>
      </c>
      <c r="BO45" s="49"/>
      <c r="BP45" s="125" t="s">
        <v>220</v>
      </c>
      <c r="BQ45" s="519">
        <f>IF(BM45=0,0,BQ40*BM40/BM45)</f>
        <v>0</v>
      </c>
      <c r="BR45" s="510"/>
      <c r="BS45" s="510"/>
      <c r="BT45" s="501"/>
      <c r="BU45" s="120" t="s">
        <v>492</v>
      </c>
      <c r="BV45" s="514">
        <f>+BV40</f>
        <v>0</v>
      </c>
      <c r="BW45" s="49" t="s">
        <v>207</v>
      </c>
      <c r="BX45" s="49"/>
      <c r="BY45" s="125" t="s">
        <v>220</v>
      </c>
      <c r="BZ45" s="519">
        <f>IF(BV45=0,0,BZ40*BV40/BV45)</f>
        <v>0</v>
      </c>
      <c r="CA45" s="510"/>
      <c r="CB45" s="510"/>
      <c r="CC45" s="501"/>
      <c r="CD45" s="120" t="s">
        <v>492</v>
      </c>
      <c r="CE45" s="514">
        <f>+CE40</f>
        <v>0</v>
      </c>
      <c r="CF45" s="49" t="s">
        <v>207</v>
      </c>
      <c r="CG45" s="49"/>
      <c r="CH45" s="125" t="s">
        <v>220</v>
      </c>
      <c r="CI45" s="519">
        <f>IF(CE45=0,0,CI40*CE40/CE45)</f>
        <v>0</v>
      </c>
      <c r="CJ45" s="510"/>
      <c r="CK45" s="510"/>
      <c r="CL45" s="501"/>
      <c r="CM45" s="120" t="s">
        <v>492</v>
      </c>
      <c r="CN45" s="514">
        <f>+CN40</f>
        <v>0</v>
      </c>
      <c r="CO45" s="49" t="s">
        <v>207</v>
      </c>
      <c r="CP45" s="49"/>
      <c r="CQ45" s="125" t="s">
        <v>220</v>
      </c>
      <c r="CR45" s="519">
        <f>IF(CN45=0,0,CR40*CN40/CN45)</f>
        <v>0</v>
      </c>
      <c r="CS45" s="510"/>
      <c r="CT45" s="510"/>
      <c r="CU45" s="501"/>
    </row>
    <row r="46" spans="1:99" x14ac:dyDescent="0.3">
      <c r="A46" s="120"/>
      <c r="B46" s="120"/>
      <c r="C46" s="120"/>
      <c r="D46" s="120"/>
      <c r="E46" s="120"/>
      <c r="F46" s="120"/>
      <c r="G46" s="509"/>
      <c r="H46" s="510"/>
      <c r="I46" s="501"/>
      <c r="J46" s="120"/>
      <c r="K46" s="120"/>
      <c r="L46" s="120"/>
      <c r="M46" s="120"/>
      <c r="N46" s="120"/>
      <c r="O46" s="120"/>
      <c r="P46" s="509"/>
      <c r="Q46" s="510"/>
      <c r="R46" s="501"/>
      <c r="S46" s="120"/>
      <c r="T46" s="120"/>
      <c r="U46" s="120"/>
      <c r="V46" s="120"/>
      <c r="W46" s="120"/>
      <c r="X46" s="120"/>
      <c r="Y46" s="509"/>
      <c r="Z46" s="510"/>
      <c r="AA46" s="501"/>
      <c r="AB46" s="120"/>
      <c r="AC46" s="120"/>
      <c r="AD46" s="120"/>
      <c r="AE46" s="120"/>
      <c r="AF46" s="120"/>
      <c r="AG46" s="120"/>
      <c r="AH46" s="509"/>
      <c r="AI46" s="510"/>
      <c r="AJ46" s="501"/>
      <c r="AK46" s="120"/>
      <c r="AL46" s="120"/>
      <c r="AM46" s="120"/>
      <c r="AN46" s="120"/>
      <c r="AO46" s="120"/>
      <c r="AP46" s="120"/>
      <c r="AQ46" s="509"/>
      <c r="AR46" s="510"/>
      <c r="AS46" s="501"/>
      <c r="AT46" s="120"/>
      <c r="AU46" s="120"/>
      <c r="AV46" s="120"/>
      <c r="AW46" s="120"/>
      <c r="AX46" s="120"/>
      <c r="AY46" s="120"/>
      <c r="AZ46" s="509"/>
      <c r="BA46" s="510"/>
      <c r="BB46" s="501"/>
      <c r="BC46" s="120"/>
      <c r="BD46" s="120"/>
      <c r="BE46" s="49"/>
      <c r="BF46" s="49"/>
      <c r="BG46" s="49"/>
      <c r="BH46" s="120"/>
      <c r="BI46" s="49"/>
      <c r="BJ46" s="49"/>
      <c r="BK46" s="501"/>
      <c r="BL46" s="120"/>
      <c r="BM46" s="120"/>
      <c r="BN46" s="49"/>
      <c r="BO46" s="49"/>
      <c r="BP46" s="49"/>
      <c r="BQ46" s="120"/>
      <c r="BR46" s="49"/>
      <c r="BS46" s="49"/>
      <c r="BT46" s="501"/>
      <c r="BU46" s="120"/>
      <c r="BV46" s="120"/>
      <c r="BW46" s="49"/>
      <c r="BX46" s="49"/>
      <c r="BY46" s="49"/>
      <c r="BZ46" s="120"/>
      <c r="CA46" s="49"/>
      <c r="CB46" s="49"/>
      <c r="CC46" s="501"/>
      <c r="CD46" s="120"/>
      <c r="CE46" s="120"/>
      <c r="CF46" s="49"/>
      <c r="CG46" s="49"/>
      <c r="CH46" s="49"/>
      <c r="CI46" s="120"/>
      <c r="CJ46" s="49"/>
      <c r="CK46" s="49"/>
      <c r="CL46" s="501"/>
      <c r="CM46" s="120"/>
      <c r="CN46" s="120"/>
      <c r="CO46" s="49"/>
      <c r="CP46" s="49"/>
      <c r="CQ46" s="49"/>
      <c r="CR46" s="120"/>
      <c r="CS46" s="49"/>
      <c r="CT46" s="49"/>
      <c r="CU46" s="501"/>
    </row>
    <row r="47" spans="1:99" s="597" customFormat="1" ht="14.4" thickBot="1" x14ac:dyDescent="0.35">
      <c r="A47" s="120"/>
      <c r="B47" s="120"/>
      <c r="C47" s="120"/>
      <c r="D47" s="120"/>
      <c r="E47" s="120"/>
      <c r="F47" s="120"/>
      <c r="G47" s="509"/>
      <c r="H47" s="510"/>
      <c r="I47" s="501"/>
      <c r="J47" s="120"/>
      <c r="K47" s="120"/>
      <c r="L47" s="120"/>
      <c r="M47" s="120"/>
      <c r="N47" s="120"/>
      <c r="O47" s="120"/>
      <c r="P47" s="509"/>
      <c r="Q47" s="510"/>
      <c r="R47" s="501"/>
      <c r="S47" s="120"/>
      <c r="T47" s="120"/>
      <c r="U47" s="120"/>
      <c r="V47" s="120"/>
      <c r="W47" s="120"/>
      <c r="X47" s="120"/>
      <c r="Y47" s="509"/>
      <c r="Z47" s="510"/>
      <c r="AA47" s="501"/>
      <c r="AB47" s="120"/>
      <c r="AC47" s="120"/>
      <c r="AD47" s="120"/>
      <c r="AE47" s="120"/>
      <c r="AF47" s="120"/>
      <c r="AG47" s="120"/>
      <c r="AH47" s="509"/>
      <c r="AI47" s="510"/>
      <c r="AJ47" s="501"/>
      <c r="AK47" s="120"/>
      <c r="AL47" s="120"/>
      <c r="AM47" s="120"/>
      <c r="AN47" s="120"/>
      <c r="AO47" s="120"/>
      <c r="AP47" s="120"/>
      <c r="AQ47" s="509"/>
      <c r="AR47" s="510"/>
      <c r="AS47" s="501"/>
      <c r="AT47" s="120"/>
      <c r="AU47" s="120"/>
      <c r="AV47" s="120"/>
      <c r="AW47" s="120"/>
      <c r="AX47" s="120"/>
      <c r="AY47" s="120"/>
      <c r="AZ47" s="509"/>
      <c r="BA47" s="510"/>
      <c r="BB47" s="501"/>
      <c r="BC47" s="120"/>
      <c r="BD47" s="120"/>
      <c r="BE47" s="49"/>
      <c r="BF47" s="49"/>
      <c r="BG47" s="49"/>
      <c r="BH47" s="120"/>
      <c r="BI47" s="510"/>
      <c r="BJ47" s="510"/>
      <c r="BK47" s="501"/>
      <c r="BL47" s="120"/>
      <c r="BM47" s="120"/>
      <c r="BN47" s="49"/>
      <c r="BO47" s="49"/>
      <c r="BP47" s="49"/>
      <c r="BQ47" s="120"/>
      <c r="BR47" s="510"/>
      <c r="BS47" s="510"/>
      <c r="BT47" s="501"/>
      <c r="BU47" s="120"/>
      <c r="BV47" s="120"/>
      <c r="BW47" s="49"/>
      <c r="BX47" s="49"/>
      <c r="BY47" s="49"/>
      <c r="BZ47" s="120"/>
      <c r="CA47" s="510"/>
      <c r="CB47" s="510"/>
      <c r="CC47" s="501"/>
      <c r="CD47" s="120"/>
      <c r="CE47" s="120"/>
      <c r="CF47" s="49"/>
      <c r="CG47" s="49"/>
      <c r="CH47" s="49"/>
      <c r="CI47" s="120"/>
      <c r="CJ47" s="510"/>
      <c r="CK47" s="510"/>
      <c r="CL47" s="501"/>
      <c r="CM47" s="120"/>
      <c r="CN47" s="120"/>
      <c r="CO47" s="49"/>
      <c r="CP47" s="49"/>
      <c r="CQ47" s="49"/>
      <c r="CR47" s="120"/>
      <c r="CS47" s="510"/>
      <c r="CT47" s="510"/>
      <c r="CU47" s="501"/>
    </row>
    <row r="48" spans="1:99" s="597" customFormat="1" ht="16.2" thickBot="1" x14ac:dyDescent="0.35">
      <c r="A48" s="152" t="s">
        <v>221</v>
      </c>
      <c r="B48" s="120"/>
      <c r="C48" s="120"/>
      <c r="D48" s="120"/>
      <c r="E48" s="120"/>
      <c r="F48" s="120"/>
      <c r="G48" s="509"/>
      <c r="H48" s="510"/>
      <c r="I48" s="501"/>
      <c r="J48" s="152" t="s">
        <v>221</v>
      </c>
      <c r="K48" s="120"/>
      <c r="L48" s="120"/>
      <c r="M48" s="120"/>
      <c r="N48" s="120"/>
      <c r="O48" s="120"/>
      <c r="P48" s="509"/>
      <c r="Q48" s="510"/>
      <c r="R48" s="501"/>
      <c r="S48" s="152" t="s">
        <v>221</v>
      </c>
      <c r="T48" s="120"/>
      <c r="U48" s="120"/>
      <c r="V48" s="120"/>
      <c r="W48" s="120"/>
      <c r="X48" s="120"/>
      <c r="Y48" s="509"/>
      <c r="Z48" s="510"/>
      <c r="AA48" s="501"/>
      <c r="AB48" s="152" t="s">
        <v>221</v>
      </c>
      <c r="AC48" s="120"/>
      <c r="AD48" s="120"/>
      <c r="AE48" s="120"/>
      <c r="AF48" s="120"/>
      <c r="AG48" s="120"/>
      <c r="AH48" s="509"/>
      <c r="AI48" s="510"/>
      <c r="AJ48" s="501"/>
      <c r="AK48" s="152" t="s">
        <v>221</v>
      </c>
      <c r="AL48" s="120"/>
      <c r="AM48" s="120"/>
      <c r="AN48" s="120"/>
      <c r="AO48" s="120"/>
      <c r="AP48" s="120"/>
      <c r="AQ48" s="509"/>
      <c r="AR48" s="510"/>
      <c r="AS48" s="501"/>
      <c r="AT48" s="152" t="s">
        <v>221</v>
      </c>
      <c r="AU48" s="120"/>
      <c r="AV48" s="120"/>
      <c r="AW48" s="120"/>
      <c r="AX48" s="120"/>
      <c r="AY48" s="120"/>
      <c r="AZ48" s="509"/>
      <c r="BA48" s="510"/>
      <c r="BB48" s="501"/>
      <c r="BC48" s="152" t="s">
        <v>221</v>
      </c>
      <c r="BD48" s="120"/>
      <c r="BE48" s="49"/>
      <c r="BF48" s="49"/>
      <c r="BG48" s="49"/>
      <c r="BH48" s="120"/>
      <c r="BI48" s="510"/>
      <c r="BJ48" s="510"/>
      <c r="BK48" s="501"/>
      <c r="BL48" s="152" t="s">
        <v>221</v>
      </c>
      <c r="BM48" s="120"/>
      <c r="BN48" s="49"/>
      <c r="BO48" s="49"/>
      <c r="BP48" s="49"/>
      <c r="BQ48" s="120"/>
      <c r="BR48" s="510"/>
      <c r="BS48" s="510"/>
      <c r="BT48" s="501"/>
      <c r="BU48" s="152" t="s">
        <v>221</v>
      </c>
      <c r="BV48" s="120"/>
      <c r="BW48" s="49"/>
      <c r="BX48" s="49"/>
      <c r="BY48" s="49"/>
      <c r="BZ48" s="120"/>
      <c r="CA48" s="510"/>
      <c r="CB48" s="510"/>
      <c r="CC48" s="501"/>
      <c r="CD48" s="152" t="s">
        <v>221</v>
      </c>
      <c r="CE48" s="120"/>
      <c r="CF48" s="49"/>
      <c r="CG48" s="49"/>
      <c r="CH48" s="49"/>
      <c r="CI48" s="120"/>
      <c r="CJ48" s="510"/>
      <c r="CK48" s="510"/>
      <c r="CL48" s="501"/>
      <c r="CM48" s="152" t="s">
        <v>221</v>
      </c>
      <c r="CN48" s="120"/>
      <c r="CO48" s="49"/>
      <c r="CP48" s="49"/>
      <c r="CQ48" s="49"/>
      <c r="CR48" s="120"/>
      <c r="CS48" s="510"/>
      <c r="CT48" s="510"/>
      <c r="CU48" s="501"/>
    </row>
    <row r="49" spans="1:99" s="597" customFormat="1" x14ac:dyDescent="0.3">
      <c r="A49" s="120" t="s">
        <v>493</v>
      </c>
      <c r="B49" s="514">
        <f>+B44</f>
        <v>0</v>
      </c>
      <c r="C49" s="120" t="s">
        <v>207</v>
      </c>
      <c r="D49" s="120"/>
      <c r="E49" s="120"/>
      <c r="F49" s="120"/>
      <c r="G49" s="509"/>
      <c r="H49" s="510"/>
      <c r="I49" s="501"/>
      <c r="J49" s="120" t="s">
        <v>493</v>
      </c>
      <c r="K49" s="514">
        <f>+T49+AC49+AL49+AU49</f>
        <v>0</v>
      </c>
      <c r="L49" s="120" t="s">
        <v>207</v>
      </c>
      <c r="M49" s="120"/>
      <c r="N49" s="120"/>
      <c r="O49" s="120"/>
      <c r="P49" s="509"/>
      <c r="Q49" s="510"/>
      <c r="R49" s="501"/>
      <c r="S49" s="120" t="s">
        <v>493</v>
      </c>
      <c r="T49" s="514">
        <f>+T44*60%</f>
        <v>0</v>
      </c>
      <c r="U49" s="120" t="s">
        <v>207</v>
      </c>
      <c r="V49" s="120"/>
      <c r="W49" s="120"/>
      <c r="X49" s="120"/>
      <c r="Y49" s="509"/>
      <c r="Z49" s="510"/>
      <c r="AA49" s="501"/>
      <c r="AB49" s="120" t="s">
        <v>493</v>
      </c>
      <c r="AC49" s="514">
        <f>+AC44*60%</f>
        <v>0</v>
      </c>
      <c r="AD49" s="120" t="s">
        <v>207</v>
      </c>
      <c r="AE49" s="120"/>
      <c r="AF49" s="120"/>
      <c r="AG49" s="120"/>
      <c r="AH49" s="509"/>
      <c r="AI49" s="510"/>
      <c r="AJ49" s="501"/>
      <c r="AK49" s="120" t="s">
        <v>493</v>
      </c>
      <c r="AL49" s="514">
        <f>+AL44*60%</f>
        <v>0</v>
      </c>
      <c r="AM49" s="120" t="s">
        <v>207</v>
      </c>
      <c r="AN49" s="120"/>
      <c r="AO49" s="120"/>
      <c r="AP49" s="120"/>
      <c r="AQ49" s="509"/>
      <c r="AR49" s="510"/>
      <c r="AS49" s="501"/>
      <c r="AT49" s="120" t="s">
        <v>493</v>
      </c>
      <c r="AU49" s="514">
        <f>+AU44*60%</f>
        <v>0</v>
      </c>
      <c r="AV49" s="120" t="s">
        <v>207</v>
      </c>
      <c r="AW49" s="120"/>
      <c r="AX49" s="120"/>
      <c r="AY49" s="120"/>
      <c r="AZ49" s="509"/>
      <c r="BA49" s="510"/>
      <c r="BB49" s="501"/>
      <c r="BC49" s="120" t="s">
        <v>493</v>
      </c>
      <c r="BD49" s="514">
        <f>+BM49+BV49+CE49+CN49</f>
        <v>0</v>
      </c>
      <c r="BE49" s="49" t="s">
        <v>207</v>
      </c>
      <c r="BF49" s="49"/>
      <c r="BG49" s="49"/>
      <c r="BH49" s="120"/>
      <c r="BI49" s="510"/>
      <c r="BJ49" s="510"/>
      <c r="BK49" s="501"/>
      <c r="BL49" s="120" t="s">
        <v>493</v>
      </c>
      <c r="BM49" s="514">
        <f>+BM44*60%</f>
        <v>0</v>
      </c>
      <c r="BN49" s="49" t="s">
        <v>207</v>
      </c>
      <c r="BO49" s="49"/>
      <c r="BP49" s="49"/>
      <c r="BQ49" s="120"/>
      <c r="BR49" s="510"/>
      <c r="BS49" s="510"/>
      <c r="BT49" s="501"/>
      <c r="BU49" s="120" t="s">
        <v>493</v>
      </c>
      <c r="BV49" s="514">
        <f>+BV44*60%</f>
        <v>0</v>
      </c>
      <c r="BW49" s="49" t="s">
        <v>207</v>
      </c>
      <c r="BX49" s="49"/>
      <c r="BY49" s="49"/>
      <c r="BZ49" s="120"/>
      <c r="CA49" s="510"/>
      <c r="CB49" s="510"/>
      <c r="CC49" s="501"/>
      <c r="CD49" s="120" t="s">
        <v>493</v>
      </c>
      <c r="CE49" s="514">
        <f>+CE44*60%</f>
        <v>0</v>
      </c>
      <c r="CF49" s="49" t="s">
        <v>207</v>
      </c>
      <c r="CG49" s="49"/>
      <c r="CH49" s="49"/>
      <c r="CI49" s="120"/>
      <c r="CJ49" s="510"/>
      <c r="CK49" s="510"/>
      <c r="CL49" s="501"/>
      <c r="CM49" s="120" t="s">
        <v>493</v>
      </c>
      <c r="CN49" s="514">
        <f>+CN44*60%</f>
        <v>0</v>
      </c>
      <c r="CO49" s="49" t="s">
        <v>207</v>
      </c>
      <c r="CP49" s="49"/>
      <c r="CQ49" s="49"/>
      <c r="CR49" s="120"/>
      <c r="CS49" s="510"/>
      <c r="CT49" s="510"/>
      <c r="CU49" s="501"/>
    </row>
    <row r="50" spans="1:99" s="597" customFormat="1" x14ac:dyDescent="0.3">
      <c r="A50" s="120" t="s">
        <v>494</v>
      </c>
      <c r="B50" s="514">
        <f>+B45</f>
        <v>0</v>
      </c>
      <c r="C50" s="120" t="s">
        <v>207</v>
      </c>
      <c r="D50" s="120"/>
      <c r="E50" s="120"/>
      <c r="F50" s="120"/>
      <c r="G50" s="509"/>
      <c r="H50" s="510"/>
      <c r="I50" s="501"/>
      <c r="J50" s="120" t="s">
        <v>494</v>
      </c>
      <c r="K50" s="514">
        <f>+T50+AC50+AL50+AU50</f>
        <v>0</v>
      </c>
      <c r="L50" s="120" t="s">
        <v>207</v>
      </c>
      <c r="M50" s="120"/>
      <c r="N50" s="120"/>
      <c r="O50" s="120"/>
      <c r="P50" s="509"/>
      <c r="Q50" s="510"/>
      <c r="R50" s="501"/>
      <c r="S50" s="120" t="s">
        <v>494</v>
      </c>
      <c r="T50" s="514">
        <f>+T45</f>
        <v>0</v>
      </c>
      <c r="U50" s="120" t="s">
        <v>207</v>
      </c>
      <c r="V50" s="120"/>
      <c r="W50" s="120"/>
      <c r="X50" s="120"/>
      <c r="Y50" s="509"/>
      <c r="Z50" s="510"/>
      <c r="AA50" s="501"/>
      <c r="AB50" s="120" t="s">
        <v>494</v>
      </c>
      <c r="AC50" s="514">
        <f>+AC45</f>
        <v>0</v>
      </c>
      <c r="AD50" s="120" t="s">
        <v>207</v>
      </c>
      <c r="AE50" s="120"/>
      <c r="AF50" s="120"/>
      <c r="AG50" s="120"/>
      <c r="AH50" s="509"/>
      <c r="AI50" s="510"/>
      <c r="AJ50" s="501"/>
      <c r="AK50" s="120" t="s">
        <v>494</v>
      </c>
      <c r="AL50" s="514">
        <f>+AL45</f>
        <v>0</v>
      </c>
      <c r="AM50" s="120" t="s">
        <v>207</v>
      </c>
      <c r="AN50" s="120"/>
      <c r="AO50" s="120"/>
      <c r="AP50" s="120"/>
      <c r="AQ50" s="509"/>
      <c r="AR50" s="510"/>
      <c r="AS50" s="501"/>
      <c r="AT50" s="120" t="s">
        <v>494</v>
      </c>
      <c r="AU50" s="514">
        <f>+AU45</f>
        <v>0</v>
      </c>
      <c r="AV50" s="120" t="s">
        <v>207</v>
      </c>
      <c r="AW50" s="120"/>
      <c r="AX50" s="120"/>
      <c r="AY50" s="120"/>
      <c r="AZ50" s="509"/>
      <c r="BA50" s="510"/>
      <c r="BB50" s="501"/>
      <c r="BC50" s="120" t="s">
        <v>494</v>
      </c>
      <c r="BD50" s="514">
        <f>+BM50+BV50+CE50+CN50</f>
        <v>0</v>
      </c>
      <c r="BE50" s="49" t="s">
        <v>207</v>
      </c>
      <c r="BF50" s="49"/>
      <c r="BG50" s="49"/>
      <c r="BH50" s="120"/>
      <c r="BI50" s="510"/>
      <c r="BJ50" s="510"/>
      <c r="BK50" s="501"/>
      <c r="BL50" s="120" t="s">
        <v>494</v>
      </c>
      <c r="BM50" s="514">
        <f>+BM45</f>
        <v>0</v>
      </c>
      <c r="BN50" s="49" t="s">
        <v>207</v>
      </c>
      <c r="BO50" s="49"/>
      <c r="BP50" s="49"/>
      <c r="BQ50" s="120"/>
      <c r="BR50" s="510"/>
      <c r="BS50" s="510"/>
      <c r="BT50" s="501"/>
      <c r="BU50" s="120" t="s">
        <v>494</v>
      </c>
      <c r="BV50" s="514">
        <f>+BV45</f>
        <v>0</v>
      </c>
      <c r="BW50" s="49" t="s">
        <v>207</v>
      </c>
      <c r="BX50" s="49"/>
      <c r="BY50" s="49"/>
      <c r="BZ50" s="120"/>
      <c r="CA50" s="510"/>
      <c r="CB50" s="510"/>
      <c r="CC50" s="501"/>
      <c r="CD50" s="120" t="s">
        <v>494</v>
      </c>
      <c r="CE50" s="514">
        <f>+CE45</f>
        <v>0</v>
      </c>
      <c r="CF50" s="49" t="s">
        <v>207</v>
      </c>
      <c r="CG50" s="49"/>
      <c r="CH50" s="49"/>
      <c r="CI50" s="120"/>
      <c r="CJ50" s="510"/>
      <c r="CK50" s="510"/>
      <c r="CL50" s="501"/>
      <c r="CM50" s="120" t="s">
        <v>494</v>
      </c>
      <c r="CN50" s="514">
        <f>+CN45</f>
        <v>0</v>
      </c>
      <c r="CO50" s="49" t="s">
        <v>207</v>
      </c>
      <c r="CP50" s="49"/>
      <c r="CQ50" s="49"/>
      <c r="CR50" s="120"/>
      <c r="CS50" s="510"/>
      <c r="CT50" s="510"/>
      <c r="CU50" s="501"/>
    </row>
    <row r="51" spans="1:99" s="597" customFormat="1" x14ac:dyDescent="0.3">
      <c r="A51" s="120" t="s">
        <v>496</v>
      </c>
      <c r="B51" s="514">
        <f>+B44-B49</f>
        <v>0</v>
      </c>
      <c r="C51" s="120" t="s">
        <v>207</v>
      </c>
      <c r="D51" s="120"/>
      <c r="E51" s="120"/>
      <c r="F51" s="120"/>
      <c r="G51" s="509"/>
      <c r="H51" s="510"/>
      <c r="I51" s="501"/>
      <c r="J51" s="120" t="s">
        <v>496</v>
      </c>
      <c r="K51" s="514">
        <f>+T51+AC51+AL51+AU51</f>
        <v>0</v>
      </c>
      <c r="L51" s="120" t="s">
        <v>207</v>
      </c>
      <c r="M51" s="120"/>
      <c r="N51" s="120"/>
      <c r="O51" s="120"/>
      <c r="P51" s="509"/>
      <c r="Q51" s="510"/>
      <c r="R51" s="501"/>
      <c r="S51" s="120" t="s">
        <v>496</v>
      </c>
      <c r="T51" s="514">
        <f>+T44-T49</f>
        <v>0</v>
      </c>
      <c r="U51" s="120" t="s">
        <v>207</v>
      </c>
      <c r="V51" s="120"/>
      <c r="W51" s="120"/>
      <c r="X51" s="120"/>
      <c r="Y51" s="509"/>
      <c r="Z51" s="510"/>
      <c r="AA51" s="501"/>
      <c r="AB51" s="120" t="s">
        <v>496</v>
      </c>
      <c r="AC51" s="514">
        <f>+AC44-AC49</f>
        <v>0</v>
      </c>
      <c r="AD51" s="120" t="s">
        <v>207</v>
      </c>
      <c r="AE51" s="120"/>
      <c r="AF51" s="120"/>
      <c r="AG51" s="120"/>
      <c r="AH51" s="509"/>
      <c r="AI51" s="510"/>
      <c r="AJ51" s="501"/>
      <c r="AK51" s="120" t="s">
        <v>496</v>
      </c>
      <c r="AL51" s="514">
        <f>+AL44-AL49</f>
        <v>0</v>
      </c>
      <c r="AM51" s="120" t="s">
        <v>207</v>
      </c>
      <c r="AN51" s="120"/>
      <c r="AO51" s="120"/>
      <c r="AP51" s="120"/>
      <c r="AQ51" s="509"/>
      <c r="AR51" s="510"/>
      <c r="AS51" s="501"/>
      <c r="AT51" s="120" t="s">
        <v>496</v>
      </c>
      <c r="AU51" s="514">
        <f>+AU44-AU49</f>
        <v>0</v>
      </c>
      <c r="AV51" s="120" t="s">
        <v>207</v>
      </c>
      <c r="AW51" s="120"/>
      <c r="AX51" s="120"/>
      <c r="AY51" s="120"/>
      <c r="AZ51" s="509"/>
      <c r="BA51" s="510"/>
      <c r="BB51" s="501"/>
      <c r="BC51" s="120" t="s">
        <v>496</v>
      </c>
      <c r="BD51" s="514">
        <f>+BM51+BV51+CE51+CN51</f>
        <v>0</v>
      </c>
      <c r="BE51" s="49" t="s">
        <v>207</v>
      </c>
      <c r="BF51" s="49"/>
      <c r="BG51" s="49"/>
      <c r="BH51" s="120"/>
      <c r="BI51" s="510"/>
      <c r="BJ51" s="510"/>
      <c r="BK51" s="501"/>
      <c r="BL51" s="120" t="s">
        <v>496</v>
      </c>
      <c r="BM51" s="514">
        <f>+BM44-BM49</f>
        <v>0</v>
      </c>
      <c r="BN51" s="49" t="s">
        <v>207</v>
      </c>
      <c r="BO51" s="49"/>
      <c r="BP51" s="49"/>
      <c r="BQ51" s="120"/>
      <c r="BR51" s="510"/>
      <c r="BS51" s="510"/>
      <c r="BT51" s="501"/>
      <c r="BU51" s="120" t="s">
        <v>496</v>
      </c>
      <c r="BV51" s="514">
        <f>+BV44-BV49</f>
        <v>0</v>
      </c>
      <c r="BW51" s="49" t="s">
        <v>207</v>
      </c>
      <c r="BX51" s="49"/>
      <c r="BY51" s="49"/>
      <c r="BZ51" s="120"/>
      <c r="CA51" s="510"/>
      <c r="CB51" s="510"/>
      <c r="CC51" s="501"/>
      <c r="CD51" s="120" t="s">
        <v>496</v>
      </c>
      <c r="CE51" s="514">
        <f>+CE44-CE49</f>
        <v>0</v>
      </c>
      <c r="CF51" s="49" t="s">
        <v>207</v>
      </c>
      <c r="CG51" s="49"/>
      <c r="CH51" s="49"/>
      <c r="CI51" s="120"/>
      <c r="CJ51" s="510"/>
      <c r="CK51" s="510"/>
      <c r="CL51" s="501"/>
      <c r="CM51" s="120" t="s">
        <v>496</v>
      </c>
      <c r="CN51" s="514">
        <f>+CN44-CN49</f>
        <v>0</v>
      </c>
      <c r="CO51" s="49" t="s">
        <v>207</v>
      </c>
      <c r="CP51" s="49"/>
      <c r="CQ51" s="49"/>
      <c r="CR51" s="120"/>
      <c r="CS51" s="510"/>
      <c r="CT51" s="510"/>
      <c r="CU51" s="501"/>
    </row>
    <row r="52" spans="1:99" s="597" customFormat="1" x14ac:dyDescent="0.3">
      <c r="A52" s="120" t="s">
        <v>495</v>
      </c>
      <c r="B52" s="514">
        <f>+B45-B50</f>
        <v>0</v>
      </c>
      <c r="C52" s="120" t="s">
        <v>207</v>
      </c>
      <c r="D52" s="120"/>
      <c r="E52" s="120"/>
      <c r="F52" s="120"/>
      <c r="G52" s="509"/>
      <c r="H52" s="510"/>
      <c r="I52" s="501"/>
      <c r="J52" s="120" t="s">
        <v>495</v>
      </c>
      <c r="K52" s="514">
        <f>+T52+AC52+AL52+AU52</f>
        <v>0</v>
      </c>
      <c r="L52" s="120" t="s">
        <v>207</v>
      </c>
      <c r="M52" s="120"/>
      <c r="N52" s="120"/>
      <c r="O52" s="120"/>
      <c r="P52" s="509"/>
      <c r="Q52" s="510"/>
      <c r="R52" s="501"/>
      <c r="S52" s="120" t="s">
        <v>495</v>
      </c>
      <c r="T52" s="514">
        <f>+T45-T50</f>
        <v>0</v>
      </c>
      <c r="U52" s="120" t="s">
        <v>207</v>
      </c>
      <c r="V52" s="120"/>
      <c r="W52" s="120"/>
      <c r="X52" s="120"/>
      <c r="Y52" s="509"/>
      <c r="Z52" s="510"/>
      <c r="AA52" s="501"/>
      <c r="AB52" s="120" t="s">
        <v>495</v>
      </c>
      <c r="AC52" s="514">
        <f>+AC45-AC50</f>
        <v>0</v>
      </c>
      <c r="AD52" s="120" t="s">
        <v>207</v>
      </c>
      <c r="AE52" s="120"/>
      <c r="AF52" s="120"/>
      <c r="AG52" s="120"/>
      <c r="AH52" s="509"/>
      <c r="AI52" s="510"/>
      <c r="AJ52" s="501"/>
      <c r="AK52" s="120" t="s">
        <v>495</v>
      </c>
      <c r="AL52" s="514">
        <f>+AL45-AL50</f>
        <v>0</v>
      </c>
      <c r="AM52" s="120" t="s">
        <v>207</v>
      </c>
      <c r="AN52" s="120"/>
      <c r="AO52" s="120"/>
      <c r="AP52" s="120"/>
      <c r="AQ52" s="509"/>
      <c r="AR52" s="510"/>
      <c r="AS52" s="501"/>
      <c r="AT52" s="120" t="s">
        <v>495</v>
      </c>
      <c r="AU52" s="514">
        <f>+AU45-AU50</f>
        <v>0</v>
      </c>
      <c r="AV52" s="120" t="s">
        <v>207</v>
      </c>
      <c r="AW52" s="120"/>
      <c r="AX52" s="120"/>
      <c r="AY52" s="120"/>
      <c r="AZ52" s="509"/>
      <c r="BA52" s="510"/>
      <c r="BB52" s="501"/>
      <c r="BC52" s="120" t="s">
        <v>495</v>
      </c>
      <c r="BD52" s="514">
        <f>+BM52+BV52+CE52+CN52</f>
        <v>0</v>
      </c>
      <c r="BE52" s="49" t="s">
        <v>207</v>
      </c>
      <c r="BF52" s="49"/>
      <c r="BG52" s="49"/>
      <c r="BH52" s="120"/>
      <c r="BI52" s="510"/>
      <c r="BJ52" s="510"/>
      <c r="BK52" s="501"/>
      <c r="BL52" s="120" t="s">
        <v>495</v>
      </c>
      <c r="BM52" s="514">
        <f>+BM45-BM50</f>
        <v>0</v>
      </c>
      <c r="BN52" s="49" t="s">
        <v>207</v>
      </c>
      <c r="BO52" s="49"/>
      <c r="BP52" s="49"/>
      <c r="BQ52" s="120"/>
      <c r="BR52" s="510"/>
      <c r="BS52" s="510"/>
      <c r="BT52" s="501"/>
      <c r="BU52" s="120" t="s">
        <v>495</v>
      </c>
      <c r="BV52" s="514">
        <f>+BV45-BV50</f>
        <v>0</v>
      </c>
      <c r="BW52" s="49" t="s">
        <v>207</v>
      </c>
      <c r="BX52" s="49"/>
      <c r="BY52" s="49"/>
      <c r="BZ52" s="120"/>
      <c r="CA52" s="510"/>
      <c r="CB52" s="510"/>
      <c r="CC52" s="501"/>
      <c r="CD52" s="120" t="s">
        <v>495</v>
      </c>
      <c r="CE52" s="514">
        <f>+CE45-CE50</f>
        <v>0</v>
      </c>
      <c r="CF52" s="49" t="s">
        <v>207</v>
      </c>
      <c r="CG52" s="49"/>
      <c r="CH52" s="49"/>
      <c r="CI52" s="120"/>
      <c r="CJ52" s="510"/>
      <c r="CK52" s="510"/>
      <c r="CL52" s="501"/>
      <c r="CM52" s="120" t="s">
        <v>495</v>
      </c>
      <c r="CN52" s="514">
        <f>+CN45-CN50</f>
        <v>0</v>
      </c>
      <c r="CO52" s="49" t="s">
        <v>207</v>
      </c>
      <c r="CP52" s="49"/>
      <c r="CQ52" s="49"/>
      <c r="CR52" s="120"/>
      <c r="CS52" s="510"/>
      <c r="CT52" s="510"/>
      <c r="CU52" s="501"/>
    </row>
    <row r="53" spans="1:99" x14ac:dyDescent="0.3">
      <c r="A53" s="120"/>
      <c r="B53" s="120"/>
      <c r="C53" s="120"/>
      <c r="D53" s="120"/>
      <c r="E53" s="120"/>
      <c r="F53" s="120"/>
      <c r="G53" s="509"/>
      <c r="H53" s="510"/>
      <c r="I53" s="501"/>
      <c r="J53" s="120"/>
      <c r="K53" s="120"/>
      <c r="L53" s="120"/>
      <c r="M53" s="120"/>
      <c r="N53" s="120"/>
      <c r="O53" s="120"/>
      <c r="P53" s="509"/>
      <c r="Q53" s="510"/>
      <c r="R53" s="501"/>
      <c r="S53" s="120"/>
      <c r="T53" s="120"/>
      <c r="U53" s="120"/>
      <c r="V53" s="120"/>
      <c r="W53" s="120"/>
      <c r="X53" s="120"/>
      <c r="Y53" s="509"/>
      <c r="Z53" s="510"/>
      <c r="AA53" s="501"/>
      <c r="AB53" s="120"/>
      <c r="AC53" s="120"/>
      <c r="AD53" s="120"/>
      <c r="AE53" s="120"/>
      <c r="AF53" s="120"/>
      <c r="AG53" s="120"/>
      <c r="AH53" s="509"/>
      <c r="AI53" s="510"/>
      <c r="AJ53" s="501"/>
      <c r="AK53" s="120"/>
      <c r="AL53" s="120"/>
      <c r="AM53" s="120"/>
      <c r="AN53" s="120"/>
      <c r="AO53" s="120"/>
      <c r="AP53" s="120"/>
      <c r="AQ53" s="509"/>
      <c r="AR53" s="510"/>
      <c r="AS53" s="501"/>
      <c r="AT53" s="120"/>
      <c r="AU53" s="120"/>
      <c r="AV53" s="120"/>
      <c r="AW53" s="120"/>
      <c r="AX53" s="120"/>
      <c r="AY53" s="120"/>
      <c r="AZ53" s="509"/>
      <c r="BA53" s="510"/>
      <c r="BB53" s="501"/>
      <c r="BC53" s="120"/>
      <c r="BD53" s="49"/>
      <c r="BE53" s="49"/>
      <c r="BF53" s="49"/>
      <c r="BG53" s="49"/>
      <c r="BH53" s="120"/>
      <c r="BI53" s="49"/>
      <c r="BJ53" s="49"/>
      <c r="BK53" s="501"/>
      <c r="BL53" s="120"/>
      <c r="BM53" s="49"/>
      <c r="BN53" s="49"/>
      <c r="BO53" s="49"/>
      <c r="BP53" s="49"/>
      <c r="BQ53" s="120"/>
      <c r="BR53" s="49"/>
      <c r="BS53" s="49"/>
      <c r="BT53" s="501"/>
      <c r="BU53" s="120"/>
      <c r="BV53" s="49"/>
      <c r="BW53" s="49"/>
      <c r="BX53" s="49"/>
      <c r="BY53" s="49"/>
      <c r="BZ53" s="120"/>
      <c r="CA53" s="49"/>
      <c r="CB53" s="49"/>
      <c r="CC53" s="501"/>
      <c r="CD53" s="120"/>
      <c r="CE53" s="49"/>
      <c r="CF53" s="49"/>
      <c r="CG53" s="49"/>
      <c r="CH53" s="49"/>
      <c r="CI53" s="120"/>
      <c r="CJ53" s="49"/>
      <c r="CK53" s="49"/>
      <c r="CL53" s="501"/>
      <c r="CM53" s="120"/>
      <c r="CN53" s="49"/>
      <c r="CO53" s="49"/>
      <c r="CP53" s="49"/>
      <c r="CQ53" s="49"/>
      <c r="CR53" s="120"/>
      <c r="CS53" s="49"/>
      <c r="CT53" s="49"/>
      <c r="CU53" s="501"/>
    </row>
    <row r="54" spans="1:99" x14ac:dyDescent="0.3">
      <c r="A54" s="120"/>
      <c r="B54" s="120"/>
      <c r="C54" s="120"/>
      <c r="D54" s="120"/>
      <c r="E54" s="120"/>
      <c r="F54" s="120"/>
      <c r="G54" s="509"/>
      <c r="H54" s="510"/>
      <c r="I54" s="501"/>
      <c r="J54" s="120"/>
      <c r="K54" s="120"/>
      <c r="L54" s="120"/>
      <c r="M54" s="120"/>
      <c r="N54" s="120"/>
      <c r="O54" s="120"/>
      <c r="P54" s="509"/>
      <c r="Q54" s="510"/>
      <c r="R54" s="501"/>
      <c r="S54" s="120"/>
      <c r="T54" s="120"/>
      <c r="U54" s="120"/>
      <c r="V54" s="120"/>
      <c r="W54" s="120"/>
      <c r="X54" s="120"/>
      <c r="Y54" s="509"/>
      <c r="Z54" s="510"/>
      <c r="AA54" s="501"/>
      <c r="AB54" s="120"/>
      <c r="AC54" s="120"/>
      <c r="AD54" s="120"/>
      <c r="AE54" s="120"/>
      <c r="AF54" s="120"/>
      <c r="AG54" s="120"/>
      <c r="AH54" s="509"/>
      <c r="AI54" s="510"/>
      <c r="AJ54" s="501"/>
      <c r="AK54" s="120"/>
      <c r="AL54" s="120"/>
      <c r="AM54" s="120"/>
      <c r="AN54" s="120"/>
      <c r="AO54" s="120"/>
      <c r="AP54" s="120"/>
      <c r="AQ54" s="509"/>
      <c r="AR54" s="510"/>
      <c r="AS54" s="501"/>
      <c r="AT54" s="120"/>
      <c r="AU54" s="120"/>
      <c r="AV54" s="120"/>
      <c r="AW54" s="120"/>
      <c r="AX54" s="120"/>
      <c r="AY54" s="120"/>
      <c r="AZ54" s="509"/>
      <c r="BA54" s="510"/>
      <c r="BB54" s="501"/>
      <c r="BC54" s="120"/>
      <c r="BD54" s="49"/>
      <c r="BE54" s="49"/>
      <c r="BF54" s="49"/>
      <c r="BG54" s="49"/>
      <c r="BH54" s="120"/>
      <c r="BI54" s="49"/>
      <c r="BJ54" s="49"/>
      <c r="BK54" s="501"/>
      <c r="BL54" s="120"/>
      <c r="BM54" s="49"/>
      <c r="BN54" s="49"/>
      <c r="BO54" s="49"/>
      <c r="BP54" s="49"/>
      <c r="BQ54" s="120"/>
      <c r="BR54" s="49"/>
      <c r="BS54" s="49"/>
      <c r="BT54" s="501"/>
      <c r="BU54" s="120"/>
      <c r="BV54" s="49"/>
      <c r="BW54" s="49"/>
      <c r="BX54" s="49"/>
      <c r="BY54" s="49"/>
      <c r="BZ54" s="120"/>
      <c r="CA54" s="49"/>
      <c r="CB54" s="49"/>
      <c r="CC54" s="501"/>
      <c r="CD54" s="120"/>
      <c r="CE54" s="49"/>
      <c r="CF54" s="49"/>
      <c r="CG54" s="49"/>
      <c r="CH54" s="49"/>
      <c r="CI54" s="120"/>
      <c r="CJ54" s="49"/>
      <c r="CK54" s="49"/>
      <c r="CL54" s="501"/>
      <c r="CM54" s="120"/>
      <c r="CN54" s="49"/>
      <c r="CO54" s="49"/>
      <c r="CP54" s="49"/>
      <c r="CQ54" s="49"/>
      <c r="CR54" s="120"/>
      <c r="CS54" s="49"/>
      <c r="CT54" s="49"/>
      <c r="CU54" s="501"/>
    </row>
    <row r="55" spans="1:99" s="597" customFormat="1" x14ac:dyDescent="0.3">
      <c r="A55" s="154" t="s">
        <v>224</v>
      </c>
      <c r="B55" s="511">
        <v>0</v>
      </c>
      <c r="C55" s="120"/>
      <c r="D55" s="120"/>
      <c r="E55" s="120"/>
      <c r="F55" s="120"/>
      <c r="G55" s="509"/>
      <c r="H55" s="510"/>
      <c r="I55" s="501"/>
      <c r="J55" s="154" t="s">
        <v>224</v>
      </c>
      <c r="K55" s="1034"/>
      <c r="L55" s="120"/>
      <c r="M55" s="120"/>
      <c r="N55" s="120"/>
      <c r="O55" s="120"/>
      <c r="P55" s="509"/>
      <c r="Q55" s="510"/>
      <c r="R55" s="501"/>
      <c r="S55" s="154" t="s">
        <v>224</v>
      </c>
      <c r="T55" s="1034"/>
      <c r="U55" s="120"/>
      <c r="V55" s="120"/>
      <c r="W55" s="120"/>
      <c r="X55" s="120"/>
      <c r="Y55" s="509"/>
      <c r="Z55" s="510"/>
      <c r="AA55" s="501"/>
      <c r="AB55" s="154" t="s">
        <v>224</v>
      </c>
      <c r="AC55" s="1034"/>
      <c r="AD55" s="120"/>
      <c r="AE55" s="120"/>
      <c r="AF55" s="120"/>
      <c r="AG55" s="120"/>
      <c r="AH55" s="509"/>
      <c r="AI55" s="510"/>
      <c r="AJ55" s="501"/>
      <c r="AK55" s="154" t="s">
        <v>224</v>
      </c>
      <c r="AL55" s="1034"/>
      <c r="AM55" s="120"/>
      <c r="AN55" s="120"/>
      <c r="AO55" s="120"/>
      <c r="AP55" s="120"/>
      <c r="AQ55" s="509"/>
      <c r="AR55" s="510"/>
      <c r="AS55" s="501"/>
      <c r="AT55" s="154" t="s">
        <v>224</v>
      </c>
      <c r="AU55" s="1034"/>
      <c r="AV55" s="120"/>
      <c r="AW55" s="120"/>
      <c r="AX55" s="120"/>
      <c r="AY55" s="120"/>
      <c r="AZ55" s="509"/>
      <c r="BA55" s="510"/>
      <c r="BB55" s="501"/>
      <c r="BC55" s="154" t="s">
        <v>224</v>
      </c>
      <c r="BD55" s="159"/>
      <c r="BE55" s="49"/>
      <c r="BF55" s="49"/>
      <c r="BG55" s="49"/>
      <c r="BH55" s="120"/>
      <c r="BI55" s="510"/>
      <c r="BJ55" s="510"/>
      <c r="BK55" s="501"/>
      <c r="BL55" s="154" t="s">
        <v>224</v>
      </c>
      <c r="BM55" s="189"/>
      <c r="BN55" s="49"/>
      <c r="BO55" s="49"/>
      <c r="BP55" s="49"/>
      <c r="BQ55" s="120"/>
      <c r="BR55" s="510"/>
      <c r="BS55" s="510"/>
      <c r="BT55" s="501"/>
      <c r="BU55" s="154" t="s">
        <v>224</v>
      </c>
      <c r="BV55" s="189"/>
      <c r="BW55" s="49"/>
      <c r="BX55" s="49"/>
      <c r="BY55" s="49"/>
      <c r="BZ55" s="120"/>
      <c r="CA55" s="510"/>
      <c r="CB55" s="510"/>
      <c r="CC55" s="501"/>
      <c r="CD55" s="154" t="s">
        <v>224</v>
      </c>
      <c r="CE55" s="189"/>
      <c r="CF55" s="49"/>
      <c r="CG55" s="49"/>
      <c r="CH55" s="49"/>
      <c r="CI55" s="120"/>
      <c r="CJ55" s="510"/>
      <c r="CK55" s="510"/>
      <c r="CL55" s="501"/>
      <c r="CM55" s="154" t="s">
        <v>224</v>
      </c>
      <c r="CN55" s="189"/>
      <c r="CO55" s="49"/>
      <c r="CP55" s="49"/>
      <c r="CQ55" s="49"/>
      <c r="CR55" s="120"/>
      <c r="CS55" s="510"/>
      <c r="CT55" s="510"/>
      <c r="CU55" s="501"/>
    </row>
    <row r="56" spans="1:99" ht="14.4" thickBot="1" x14ac:dyDescent="0.35">
      <c r="A56" s="155"/>
      <c r="B56" s="155"/>
      <c r="C56" s="155"/>
      <c r="D56" s="155"/>
      <c r="E56" s="155"/>
      <c r="F56" s="155"/>
      <c r="G56" s="521"/>
      <c r="H56" s="522"/>
      <c r="I56" s="523"/>
      <c r="J56" s="155"/>
      <c r="K56" s="155"/>
      <c r="L56" s="155"/>
      <c r="M56" s="155"/>
      <c r="N56" s="155"/>
      <c r="O56" s="155"/>
      <c r="P56" s="521"/>
      <c r="Q56" s="522"/>
      <c r="R56" s="523"/>
      <c r="S56" s="155"/>
      <c r="T56" s="155"/>
      <c r="U56" s="155"/>
      <c r="V56" s="155"/>
      <c r="W56" s="155"/>
      <c r="X56" s="155"/>
      <c r="Y56" s="521"/>
      <c r="Z56" s="522"/>
      <c r="AA56" s="523"/>
      <c r="AB56" s="155"/>
      <c r="AC56" s="155"/>
      <c r="AD56" s="155"/>
      <c r="AE56" s="155"/>
      <c r="AF56" s="155"/>
      <c r="AG56" s="155"/>
      <c r="AH56" s="521"/>
      <c r="AI56" s="522"/>
      <c r="AJ56" s="523"/>
      <c r="AK56" s="155"/>
      <c r="AL56" s="155"/>
      <c r="AM56" s="155"/>
      <c r="AN56" s="155"/>
      <c r="AO56" s="155"/>
      <c r="AP56" s="155"/>
      <c r="AQ56" s="521"/>
      <c r="AR56" s="522"/>
      <c r="AS56" s="523"/>
      <c r="AT56" s="155"/>
      <c r="AU56" s="155"/>
      <c r="AV56" s="155"/>
      <c r="AW56" s="155"/>
      <c r="AX56" s="155"/>
      <c r="AY56" s="155"/>
      <c r="AZ56" s="521"/>
      <c r="BA56" s="522"/>
      <c r="BB56" s="523"/>
      <c r="BC56" s="155"/>
      <c r="BD56" s="156"/>
      <c r="BE56" s="156"/>
      <c r="BF56" s="156"/>
      <c r="BG56" s="156"/>
      <c r="BH56" s="155"/>
      <c r="BI56" s="156"/>
      <c r="BJ56" s="156"/>
      <c r="BK56" s="523"/>
      <c r="BL56" s="155"/>
      <c r="BM56" s="156"/>
      <c r="BN56" s="156"/>
      <c r="BO56" s="156"/>
      <c r="BP56" s="156"/>
      <c r="BQ56" s="155"/>
      <c r="BR56" s="156"/>
      <c r="BS56" s="156"/>
      <c r="BT56" s="523"/>
      <c r="BU56" s="155"/>
      <c r="BV56" s="156"/>
      <c r="BW56" s="156"/>
      <c r="BX56" s="156"/>
      <c r="BY56" s="156"/>
      <c r="BZ56" s="155"/>
      <c r="CA56" s="156"/>
      <c r="CB56" s="156"/>
      <c r="CC56" s="523"/>
      <c r="CD56" s="155"/>
      <c r="CE56" s="156"/>
      <c r="CF56" s="156"/>
      <c r="CG56" s="156"/>
      <c r="CH56" s="156"/>
      <c r="CI56" s="155"/>
      <c r="CJ56" s="156"/>
      <c r="CK56" s="156"/>
      <c r="CL56" s="523"/>
      <c r="CM56" s="155"/>
      <c r="CN56" s="156"/>
      <c r="CO56" s="156"/>
      <c r="CP56" s="156"/>
      <c r="CQ56" s="156"/>
      <c r="CR56" s="155"/>
      <c r="CS56" s="156"/>
      <c r="CT56" s="156"/>
      <c r="CU56" s="523"/>
    </row>
    <row r="57" spans="1:99" x14ac:dyDescent="0.3">
      <c r="A57" s="120"/>
      <c r="B57" s="120"/>
      <c r="C57" s="120"/>
      <c r="D57" s="120"/>
      <c r="E57" s="120"/>
      <c r="F57" s="120"/>
      <c r="G57" s="509"/>
      <c r="H57" s="510"/>
      <c r="I57" s="501"/>
      <c r="J57" s="120"/>
      <c r="K57" s="120"/>
      <c r="L57" s="120"/>
      <c r="M57" s="120"/>
      <c r="N57" s="120"/>
      <c r="O57" s="120"/>
      <c r="P57" s="509"/>
      <c r="Q57" s="510"/>
      <c r="R57" s="501"/>
      <c r="S57" s="120"/>
      <c r="T57" s="120"/>
      <c r="U57" s="120"/>
      <c r="V57" s="120"/>
      <c r="W57" s="120"/>
      <c r="X57" s="120"/>
      <c r="Y57" s="509"/>
      <c r="Z57" s="510"/>
      <c r="AA57" s="501"/>
      <c r="AB57" s="120"/>
      <c r="AC57" s="120"/>
      <c r="AD57" s="120"/>
      <c r="AE57" s="120"/>
      <c r="AF57" s="120"/>
      <c r="AG57" s="120"/>
      <c r="AH57" s="509"/>
      <c r="AI57" s="510"/>
      <c r="AJ57" s="501"/>
      <c r="AK57" s="120"/>
      <c r="AL57" s="120"/>
      <c r="AM57" s="120"/>
      <c r="AN57" s="120"/>
      <c r="AO57" s="120"/>
      <c r="AP57" s="120"/>
      <c r="AQ57" s="509"/>
      <c r="AR57" s="510"/>
      <c r="AS57" s="501"/>
      <c r="AT57" s="120"/>
      <c r="AU57" s="120"/>
      <c r="AV57" s="120"/>
      <c r="AW57" s="120"/>
      <c r="AX57" s="120"/>
      <c r="AY57" s="120"/>
      <c r="AZ57" s="509"/>
      <c r="BA57" s="510"/>
      <c r="BB57" s="501"/>
      <c r="BC57" s="120"/>
      <c r="BD57" s="49"/>
      <c r="BE57" s="49"/>
      <c r="BF57" s="49"/>
      <c r="BG57" s="49"/>
      <c r="BH57" s="120"/>
      <c r="BI57" s="49"/>
      <c r="BJ57" s="49"/>
      <c r="BK57" s="501"/>
      <c r="BL57" s="120"/>
      <c r="BM57" s="49"/>
      <c r="BN57" s="49"/>
      <c r="BO57" s="49"/>
      <c r="BP57" s="49"/>
      <c r="BQ57" s="120"/>
      <c r="BR57" s="49"/>
      <c r="BS57" s="49"/>
      <c r="BT57" s="501"/>
      <c r="BU57" s="120"/>
      <c r="BV57" s="49"/>
      <c r="BW57" s="49"/>
      <c r="BX57" s="49"/>
      <c r="BY57" s="49"/>
      <c r="BZ57" s="120"/>
      <c r="CA57" s="49"/>
      <c r="CB57" s="49"/>
      <c r="CC57" s="501"/>
      <c r="CD57" s="120"/>
      <c r="CE57" s="49"/>
      <c r="CF57" s="49"/>
      <c r="CG57" s="49"/>
      <c r="CH57" s="49"/>
      <c r="CI57" s="120"/>
      <c r="CJ57" s="49"/>
      <c r="CK57" s="49"/>
      <c r="CL57" s="501"/>
      <c r="CM57" s="120"/>
      <c r="CN57" s="49"/>
      <c r="CO57" s="49"/>
      <c r="CP57" s="49"/>
      <c r="CQ57" s="49"/>
      <c r="CR57" s="120"/>
      <c r="CS57" s="49"/>
      <c r="CT57" s="49"/>
      <c r="CU57" s="501"/>
    </row>
    <row r="58" spans="1:99" s="597" customFormat="1" ht="15.6" x14ac:dyDescent="0.3">
      <c r="A58" s="153" t="s">
        <v>204</v>
      </c>
      <c r="B58" s="2285">
        <v>0</v>
      </c>
      <c r="C58" s="2286"/>
      <c r="D58" s="2286"/>
      <c r="E58" s="2286"/>
      <c r="F58" s="2287"/>
      <c r="G58" s="509"/>
      <c r="H58" s="510"/>
      <c r="I58" s="501"/>
      <c r="J58" s="153" t="s">
        <v>204</v>
      </c>
      <c r="K58" s="2291"/>
      <c r="L58" s="2292"/>
      <c r="M58" s="2292"/>
      <c r="N58" s="2292"/>
      <c r="O58" s="2293"/>
      <c r="P58" s="509"/>
      <c r="Q58" s="510"/>
      <c r="R58" s="501"/>
      <c r="S58" s="153" t="s">
        <v>204</v>
      </c>
      <c r="T58" s="2291"/>
      <c r="U58" s="2292"/>
      <c r="V58" s="2292"/>
      <c r="W58" s="2292"/>
      <c r="X58" s="2293"/>
      <c r="Y58" s="509"/>
      <c r="Z58" s="510"/>
      <c r="AA58" s="501"/>
      <c r="AB58" s="153" t="s">
        <v>204</v>
      </c>
      <c r="AC58" s="2291"/>
      <c r="AD58" s="2292"/>
      <c r="AE58" s="2292"/>
      <c r="AF58" s="2292"/>
      <c r="AG58" s="2293"/>
      <c r="AH58" s="509"/>
      <c r="AI58" s="510"/>
      <c r="AJ58" s="501"/>
      <c r="AK58" s="153" t="s">
        <v>204</v>
      </c>
      <c r="AL58" s="2291"/>
      <c r="AM58" s="2292"/>
      <c r="AN58" s="2292"/>
      <c r="AO58" s="2292"/>
      <c r="AP58" s="2293"/>
      <c r="AQ58" s="509"/>
      <c r="AR58" s="510"/>
      <c r="AS58" s="501"/>
      <c r="AT58" s="153" t="s">
        <v>204</v>
      </c>
      <c r="AU58" s="2291"/>
      <c r="AV58" s="2292"/>
      <c r="AW58" s="2292"/>
      <c r="AX58" s="2292"/>
      <c r="AY58" s="2293"/>
      <c r="AZ58" s="509"/>
      <c r="BA58" s="510"/>
      <c r="BB58" s="501"/>
      <c r="BC58" s="153" t="s">
        <v>204</v>
      </c>
      <c r="BD58" s="2288"/>
      <c r="BE58" s="2289"/>
      <c r="BF58" s="2289"/>
      <c r="BG58" s="2289"/>
      <c r="BH58" s="2290"/>
      <c r="BI58" s="510"/>
      <c r="BJ58" s="510"/>
      <c r="BK58" s="501"/>
      <c r="BL58" s="153" t="s">
        <v>204</v>
      </c>
      <c r="BM58" s="2282"/>
      <c r="BN58" s="2283"/>
      <c r="BO58" s="2283"/>
      <c r="BP58" s="2283"/>
      <c r="BQ58" s="2284"/>
      <c r="BR58" s="510"/>
      <c r="BS58" s="510"/>
      <c r="BT58" s="501"/>
      <c r="BU58" s="153" t="s">
        <v>204</v>
      </c>
      <c r="BV58" s="2282"/>
      <c r="BW58" s="2283"/>
      <c r="BX58" s="2283"/>
      <c r="BY58" s="2283"/>
      <c r="BZ58" s="2284"/>
      <c r="CA58" s="510"/>
      <c r="CB58" s="510"/>
      <c r="CC58" s="501"/>
      <c r="CD58" s="153" t="s">
        <v>204</v>
      </c>
      <c r="CE58" s="2282"/>
      <c r="CF58" s="2283"/>
      <c r="CG58" s="2283"/>
      <c r="CH58" s="2283"/>
      <c r="CI58" s="2284"/>
      <c r="CJ58" s="510"/>
      <c r="CK58" s="510"/>
      <c r="CL58" s="501"/>
      <c r="CM58" s="153" t="s">
        <v>204</v>
      </c>
      <c r="CN58" s="2282"/>
      <c r="CO58" s="2283"/>
      <c r="CP58" s="2283"/>
      <c r="CQ58" s="2283"/>
      <c r="CR58" s="2284"/>
      <c r="CS58" s="510"/>
      <c r="CT58" s="510"/>
      <c r="CU58" s="501"/>
    </row>
    <row r="59" spans="1:99" ht="14.4" thickBot="1" x14ac:dyDescent="0.35">
      <c r="A59" s="120"/>
      <c r="B59" s="120"/>
      <c r="C59" s="120"/>
      <c r="D59" s="120"/>
      <c r="E59" s="120"/>
      <c r="F59" s="120"/>
      <c r="G59" s="509"/>
      <c r="H59" s="510"/>
      <c r="I59" s="501"/>
      <c r="J59" s="120"/>
      <c r="K59" s="120"/>
      <c r="L59" s="120"/>
      <c r="M59" s="120"/>
      <c r="N59" s="120"/>
      <c r="O59" s="120"/>
      <c r="P59" s="509"/>
      <c r="Q59" s="510"/>
      <c r="R59" s="501"/>
      <c r="S59" s="120"/>
      <c r="T59" s="120"/>
      <c r="U59" s="120"/>
      <c r="V59" s="120"/>
      <c r="W59" s="120"/>
      <c r="X59" s="120"/>
      <c r="Y59" s="509"/>
      <c r="Z59" s="510"/>
      <c r="AA59" s="501"/>
      <c r="AB59" s="120"/>
      <c r="AC59" s="120"/>
      <c r="AD59" s="120"/>
      <c r="AE59" s="120"/>
      <c r="AF59" s="120"/>
      <c r="AG59" s="120"/>
      <c r="AH59" s="509"/>
      <c r="AI59" s="510"/>
      <c r="AJ59" s="501"/>
      <c r="AK59" s="120"/>
      <c r="AL59" s="120"/>
      <c r="AM59" s="120"/>
      <c r="AN59" s="120"/>
      <c r="AO59" s="120"/>
      <c r="AP59" s="120"/>
      <c r="AQ59" s="509"/>
      <c r="AR59" s="510"/>
      <c r="AS59" s="501"/>
      <c r="AT59" s="120"/>
      <c r="AU59" s="120"/>
      <c r="AV59" s="120"/>
      <c r="AW59" s="120"/>
      <c r="AX59" s="120"/>
      <c r="AY59" s="120"/>
      <c r="AZ59" s="509"/>
      <c r="BA59" s="510"/>
      <c r="BB59" s="501"/>
      <c r="BC59" s="120"/>
      <c r="BD59" s="49"/>
      <c r="BE59" s="49"/>
      <c r="BF59" s="49"/>
      <c r="BG59" s="49"/>
      <c r="BH59" s="120"/>
      <c r="BI59" s="49"/>
      <c r="BJ59" s="49"/>
      <c r="BK59" s="501"/>
      <c r="BL59" s="120"/>
      <c r="BM59" s="49"/>
      <c r="BN59" s="49"/>
      <c r="BO59" s="49"/>
      <c r="BP59" s="49"/>
      <c r="BQ59" s="120"/>
      <c r="BR59" s="49"/>
      <c r="BS59" s="49"/>
      <c r="BT59" s="501"/>
      <c r="BU59" s="120"/>
      <c r="BV59" s="49"/>
      <c r="BW59" s="49"/>
      <c r="BX59" s="49"/>
      <c r="BY59" s="49"/>
      <c r="BZ59" s="120"/>
      <c r="CA59" s="49"/>
      <c r="CB59" s="49"/>
      <c r="CC59" s="501"/>
      <c r="CD59" s="120"/>
      <c r="CE59" s="49"/>
      <c r="CF59" s="49"/>
      <c r="CG59" s="49"/>
      <c r="CH59" s="49"/>
      <c r="CI59" s="120"/>
      <c r="CJ59" s="49"/>
      <c r="CK59" s="49"/>
      <c r="CL59" s="501"/>
      <c r="CM59" s="120"/>
      <c r="CN59" s="49"/>
      <c r="CO59" s="49"/>
      <c r="CP59" s="49"/>
      <c r="CQ59" s="49"/>
      <c r="CR59" s="120"/>
      <c r="CS59" s="49"/>
      <c r="CT59" s="49"/>
      <c r="CU59" s="501"/>
    </row>
    <row r="60" spans="1:99" ht="16.2" thickBot="1" x14ac:dyDescent="0.35">
      <c r="A60" s="152" t="s">
        <v>205</v>
      </c>
      <c r="B60" s="120"/>
      <c r="C60" s="120"/>
      <c r="D60" s="120"/>
      <c r="E60" s="120"/>
      <c r="F60" s="120"/>
      <c r="G60" s="509"/>
      <c r="H60" s="510"/>
      <c r="I60" s="501"/>
      <c r="J60" s="152" t="s">
        <v>205</v>
      </c>
      <c r="K60" s="120"/>
      <c r="L60" s="120"/>
      <c r="M60" s="120"/>
      <c r="N60" s="120"/>
      <c r="O60" s="120"/>
      <c r="P60" s="509"/>
      <c r="Q60" s="510"/>
      <c r="R60" s="501"/>
      <c r="S60" s="152" t="s">
        <v>205</v>
      </c>
      <c r="T60" s="120"/>
      <c r="U60" s="120"/>
      <c r="V60" s="120"/>
      <c r="W60" s="120"/>
      <c r="X60" s="120"/>
      <c r="Y60" s="509"/>
      <c r="Z60" s="510"/>
      <c r="AA60" s="501"/>
      <c r="AB60" s="152" t="s">
        <v>205</v>
      </c>
      <c r="AC60" s="120"/>
      <c r="AD60" s="120"/>
      <c r="AE60" s="120"/>
      <c r="AF60" s="120"/>
      <c r="AG60" s="120"/>
      <c r="AH60" s="509"/>
      <c r="AI60" s="510"/>
      <c r="AJ60" s="501"/>
      <c r="AK60" s="152" t="s">
        <v>205</v>
      </c>
      <c r="AL60" s="120"/>
      <c r="AM60" s="120"/>
      <c r="AN60" s="120"/>
      <c r="AO60" s="120"/>
      <c r="AP60" s="120"/>
      <c r="AQ60" s="509"/>
      <c r="AR60" s="510"/>
      <c r="AS60" s="501"/>
      <c r="AT60" s="152" t="s">
        <v>205</v>
      </c>
      <c r="AU60" s="120"/>
      <c r="AV60" s="120"/>
      <c r="AW60" s="120"/>
      <c r="AX60" s="120"/>
      <c r="AY60" s="120"/>
      <c r="AZ60" s="509"/>
      <c r="BA60" s="510"/>
      <c r="BB60" s="501"/>
      <c r="BC60" s="152" t="s">
        <v>205</v>
      </c>
      <c r="BD60" s="49"/>
      <c r="BE60" s="49"/>
      <c r="BF60" s="49"/>
      <c r="BG60" s="49"/>
      <c r="BH60" s="120"/>
      <c r="BI60" s="49"/>
      <c r="BJ60" s="49"/>
      <c r="BK60" s="501"/>
      <c r="BL60" s="152" t="s">
        <v>205</v>
      </c>
      <c r="BM60" s="49"/>
      <c r="BN60" s="49"/>
      <c r="BO60" s="49"/>
      <c r="BP60" s="49"/>
      <c r="BQ60" s="120"/>
      <c r="BR60" s="49"/>
      <c r="BS60" s="49"/>
      <c r="BT60" s="501"/>
      <c r="BU60" s="152" t="s">
        <v>205</v>
      </c>
      <c r="BV60" s="49"/>
      <c r="BW60" s="49"/>
      <c r="BX60" s="49"/>
      <c r="BY60" s="49"/>
      <c r="BZ60" s="120"/>
      <c r="CA60" s="49"/>
      <c r="CB60" s="49"/>
      <c r="CC60" s="501"/>
      <c r="CD60" s="152" t="s">
        <v>205</v>
      </c>
      <c r="CE60" s="49"/>
      <c r="CF60" s="49"/>
      <c r="CG60" s="49"/>
      <c r="CH60" s="49"/>
      <c r="CI60" s="120"/>
      <c r="CJ60" s="49"/>
      <c r="CK60" s="49"/>
      <c r="CL60" s="501"/>
      <c r="CM60" s="152" t="s">
        <v>205</v>
      </c>
      <c r="CN60" s="49"/>
      <c r="CO60" s="49"/>
      <c r="CP60" s="49"/>
      <c r="CQ60" s="49"/>
      <c r="CR60" s="120"/>
      <c r="CS60" s="49"/>
      <c r="CT60" s="49"/>
      <c r="CU60" s="501"/>
    </row>
    <row r="61" spans="1:99" ht="14.4" thickBot="1" x14ac:dyDescent="0.35">
      <c r="A61" s="120" t="s">
        <v>206</v>
      </c>
      <c r="B61" s="511">
        <v>0</v>
      </c>
      <c r="C61" s="120" t="s">
        <v>207</v>
      </c>
      <c r="D61" s="120"/>
      <c r="E61" s="512" t="s">
        <v>208</v>
      </c>
      <c r="F61" s="513">
        <f>+F34</f>
        <v>0.18396000000000001</v>
      </c>
      <c r="G61" s="509"/>
      <c r="H61" s="510"/>
      <c r="I61" s="501"/>
      <c r="J61" s="120" t="s">
        <v>206</v>
      </c>
      <c r="K61" s="514">
        <f>+T61+AC61+AL61+AU61</f>
        <v>0</v>
      </c>
      <c r="L61" s="120" t="s">
        <v>207</v>
      </c>
      <c r="M61" s="120"/>
      <c r="N61" s="512" t="s">
        <v>208</v>
      </c>
      <c r="O61" s="513">
        <f>+O34</f>
        <v>0.18396000000000001</v>
      </c>
      <c r="P61" s="509"/>
      <c r="Q61" s="510"/>
      <c r="R61" s="501"/>
      <c r="S61" s="120" t="s">
        <v>206</v>
      </c>
      <c r="T61" s="1033"/>
      <c r="U61" s="120" t="s">
        <v>207</v>
      </c>
      <c r="V61" s="120"/>
      <c r="W61" s="512" t="s">
        <v>208</v>
      </c>
      <c r="X61" s="513">
        <f>+X34</f>
        <v>0.18396000000000001</v>
      </c>
      <c r="Y61" s="509"/>
      <c r="Z61" s="510"/>
      <c r="AA61" s="501"/>
      <c r="AB61" s="120" t="s">
        <v>206</v>
      </c>
      <c r="AC61" s="1033"/>
      <c r="AD61" s="120" t="s">
        <v>207</v>
      </c>
      <c r="AE61" s="120"/>
      <c r="AF61" s="512" t="s">
        <v>208</v>
      </c>
      <c r="AG61" s="513">
        <f>+AG34</f>
        <v>0.18396000000000001</v>
      </c>
      <c r="AH61" s="509"/>
      <c r="AI61" s="510"/>
      <c r="AJ61" s="501"/>
      <c r="AK61" s="120" t="s">
        <v>206</v>
      </c>
      <c r="AL61" s="1033"/>
      <c r="AM61" s="120" t="s">
        <v>207</v>
      </c>
      <c r="AN61" s="120"/>
      <c r="AO61" s="512" t="s">
        <v>208</v>
      </c>
      <c r="AP61" s="513">
        <f>+AP34</f>
        <v>0.18396000000000001</v>
      </c>
      <c r="AQ61" s="509"/>
      <c r="AR61" s="510"/>
      <c r="AS61" s="501"/>
      <c r="AT61" s="120" t="s">
        <v>206</v>
      </c>
      <c r="AU61" s="1033"/>
      <c r="AV61" s="120" t="s">
        <v>207</v>
      </c>
      <c r="AW61" s="120"/>
      <c r="AX61" s="512" t="s">
        <v>208</v>
      </c>
      <c r="AY61" s="513">
        <f>+AY34</f>
        <v>0.18396000000000001</v>
      </c>
      <c r="AZ61" s="509"/>
      <c r="BA61" s="510"/>
      <c r="BB61" s="501"/>
      <c r="BC61" s="120" t="s">
        <v>206</v>
      </c>
      <c r="BD61" s="514">
        <f>+BM61+BV61+CE61+CN61</f>
        <v>0</v>
      </c>
      <c r="BE61" s="49" t="s">
        <v>207</v>
      </c>
      <c r="BF61" s="49"/>
      <c r="BG61" s="122" t="s">
        <v>208</v>
      </c>
      <c r="BH61" s="513">
        <f>+BH34</f>
        <v>0.184163989077374</v>
      </c>
      <c r="BI61" s="49"/>
      <c r="BJ61" s="49"/>
      <c r="BK61" s="501"/>
      <c r="BL61" s="120" t="s">
        <v>206</v>
      </c>
      <c r="BM61" s="189"/>
      <c r="BN61" s="49" t="s">
        <v>207</v>
      </c>
      <c r="BO61" s="49"/>
      <c r="BP61" s="122" t="s">
        <v>208</v>
      </c>
      <c r="BQ61" s="513">
        <f>+BQ34</f>
        <v>0.184163989077374</v>
      </c>
      <c r="BR61" s="49"/>
      <c r="BS61" s="49"/>
      <c r="BT61" s="501"/>
      <c r="BU61" s="120" t="s">
        <v>206</v>
      </c>
      <c r="BV61" s="189"/>
      <c r="BW61" s="49" t="s">
        <v>207</v>
      </c>
      <c r="BX61" s="49"/>
      <c r="BY61" s="122" t="s">
        <v>208</v>
      </c>
      <c r="BZ61" s="513">
        <f>+BZ34</f>
        <v>0.184163989077374</v>
      </c>
      <c r="CA61" s="49"/>
      <c r="CB61" s="49"/>
      <c r="CC61" s="501"/>
      <c r="CD61" s="120" t="s">
        <v>206</v>
      </c>
      <c r="CE61" s="189"/>
      <c r="CF61" s="49" t="s">
        <v>207</v>
      </c>
      <c r="CG61" s="49"/>
      <c r="CH61" s="122" t="s">
        <v>208</v>
      </c>
      <c r="CI61" s="513">
        <f>+CI34</f>
        <v>0.184163989077374</v>
      </c>
      <c r="CJ61" s="49"/>
      <c r="CK61" s="49"/>
      <c r="CL61" s="501"/>
      <c r="CM61" s="120" t="s">
        <v>206</v>
      </c>
      <c r="CN61" s="189"/>
      <c r="CO61" s="49" t="s">
        <v>207</v>
      </c>
      <c r="CP61" s="49"/>
      <c r="CQ61" s="122" t="s">
        <v>208</v>
      </c>
      <c r="CR61" s="513">
        <f>+CR34</f>
        <v>0.184163989077374</v>
      </c>
      <c r="CS61" s="49"/>
      <c r="CT61" s="49"/>
      <c r="CU61" s="501"/>
    </row>
    <row r="62" spans="1:99" x14ac:dyDescent="0.3">
      <c r="A62" s="120" t="s">
        <v>209</v>
      </c>
      <c r="B62" s="511">
        <v>0</v>
      </c>
      <c r="C62" s="120" t="s">
        <v>207</v>
      </c>
      <c r="D62" s="120"/>
      <c r="E62" s="515" t="s">
        <v>210</v>
      </c>
      <c r="F62" s="513">
        <f>+F35</f>
        <v>0.27651999999999999</v>
      </c>
      <c r="G62" s="509"/>
      <c r="H62" s="510"/>
      <c r="I62" s="501"/>
      <c r="J62" s="120" t="s">
        <v>209</v>
      </c>
      <c r="K62" s="516">
        <f>+T62+AC62+AL62+AU62</f>
        <v>0</v>
      </c>
      <c r="L62" s="120" t="s">
        <v>207</v>
      </c>
      <c r="M62" s="120"/>
      <c r="N62" s="515" t="s">
        <v>210</v>
      </c>
      <c r="O62" s="513">
        <f>+O35</f>
        <v>0.27651999999999999</v>
      </c>
      <c r="P62" s="509"/>
      <c r="Q62" s="510"/>
      <c r="R62" s="501"/>
      <c r="S62" s="120" t="s">
        <v>209</v>
      </c>
      <c r="T62" s="1033"/>
      <c r="U62" s="120" t="s">
        <v>207</v>
      </c>
      <c r="V62" s="120"/>
      <c r="W62" s="515" t="s">
        <v>210</v>
      </c>
      <c r="X62" s="513">
        <f>+X35</f>
        <v>0.27651999999999999</v>
      </c>
      <c r="Y62" s="509"/>
      <c r="Z62" s="510"/>
      <c r="AA62" s="501"/>
      <c r="AB62" s="120" t="s">
        <v>209</v>
      </c>
      <c r="AC62" s="1033"/>
      <c r="AD62" s="120" t="s">
        <v>207</v>
      </c>
      <c r="AE62" s="120"/>
      <c r="AF62" s="515" t="s">
        <v>210</v>
      </c>
      <c r="AG62" s="513">
        <f>+AG35</f>
        <v>0.27651999999999999</v>
      </c>
      <c r="AH62" s="509"/>
      <c r="AI62" s="510"/>
      <c r="AJ62" s="501"/>
      <c r="AK62" s="120" t="s">
        <v>209</v>
      </c>
      <c r="AL62" s="1033"/>
      <c r="AM62" s="120" t="s">
        <v>207</v>
      </c>
      <c r="AN62" s="120"/>
      <c r="AO62" s="515" t="s">
        <v>210</v>
      </c>
      <c r="AP62" s="513">
        <f>+AP35</f>
        <v>0.27651999999999999</v>
      </c>
      <c r="AQ62" s="509"/>
      <c r="AR62" s="510"/>
      <c r="AS62" s="501"/>
      <c r="AT62" s="120" t="s">
        <v>209</v>
      </c>
      <c r="AU62" s="1033"/>
      <c r="AV62" s="120" t="s">
        <v>207</v>
      </c>
      <c r="AW62" s="120"/>
      <c r="AX62" s="515" t="s">
        <v>210</v>
      </c>
      <c r="AY62" s="513">
        <f>+AY35</f>
        <v>0.27651999999999999</v>
      </c>
      <c r="AZ62" s="509"/>
      <c r="BA62" s="510"/>
      <c r="BB62" s="501"/>
      <c r="BC62" s="120" t="s">
        <v>209</v>
      </c>
      <c r="BD62" s="516">
        <f>+BM62+BV62+CE62+CN62</f>
        <v>0</v>
      </c>
      <c r="BE62" s="49" t="s">
        <v>207</v>
      </c>
      <c r="BF62" s="49"/>
      <c r="BG62" s="123" t="s">
        <v>210</v>
      </c>
      <c r="BH62" s="513">
        <f>+BH35</f>
        <v>0.27587637411749499</v>
      </c>
      <c r="BI62" s="49"/>
      <c r="BJ62" s="49"/>
      <c r="BK62" s="501"/>
      <c r="BL62" s="120" t="s">
        <v>209</v>
      </c>
      <c r="BM62" s="189"/>
      <c r="BN62" s="49" t="s">
        <v>207</v>
      </c>
      <c r="BO62" s="49"/>
      <c r="BP62" s="123" t="s">
        <v>210</v>
      </c>
      <c r="BQ62" s="513">
        <f>+BQ35</f>
        <v>0.27587637411749499</v>
      </c>
      <c r="BR62" s="49"/>
      <c r="BS62" s="49"/>
      <c r="BT62" s="501"/>
      <c r="BU62" s="120" t="s">
        <v>209</v>
      </c>
      <c r="BV62" s="189"/>
      <c r="BW62" s="49" t="s">
        <v>207</v>
      </c>
      <c r="BX62" s="49"/>
      <c r="BY62" s="123" t="s">
        <v>210</v>
      </c>
      <c r="BZ62" s="513">
        <f>+BZ35</f>
        <v>0.27587637411749499</v>
      </c>
      <c r="CA62" s="49"/>
      <c r="CB62" s="49"/>
      <c r="CC62" s="501"/>
      <c r="CD62" s="120" t="s">
        <v>209</v>
      </c>
      <c r="CE62" s="189"/>
      <c r="CF62" s="49" t="s">
        <v>207</v>
      </c>
      <c r="CG62" s="49"/>
      <c r="CH62" s="123" t="s">
        <v>210</v>
      </c>
      <c r="CI62" s="513">
        <f>+CI35</f>
        <v>0.27587637411749499</v>
      </c>
      <c r="CJ62" s="49"/>
      <c r="CK62" s="49"/>
      <c r="CL62" s="501"/>
      <c r="CM62" s="120" t="s">
        <v>209</v>
      </c>
      <c r="CN62" s="189"/>
      <c r="CO62" s="49" t="s">
        <v>207</v>
      </c>
      <c r="CP62" s="49"/>
      <c r="CQ62" s="123" t="s">
        <v>210</v>
      </c>
      <c r="CR62" s="513">
        <f>+CR35</f>
        <v>0.27587637411749499</v>
      </c>
      <c r="CS62" s="49"/>
      <c r="CT62" s="49"/>
      <c r="CU62" s="501"/>
    </row>
    <row r="63" spans="1:99" x14ac:dyDescent="0.3">
      <c r="A63" s="120"/>
      <c r="B63" s="120"/>
      <c r="C63" s="120"/>
      <c r="D63" s="120"/>
      <c r="E63" s="517"/>
      <c r="F63" s="518"/>
      <c r="G63" s="509"/>
      <c r="H63" s="510"/>
      <c r="I63" s="501"/>
      <c r="J63" s="120"/>
      <c r="K63" s="120"/>
      <c r="L63" s="120"/>
      <c r="M63" s="120"/>
      <c r="N63" s="517"/>
      <c r="O63" s="518"/>
      <c r="P63" s="509"/>
      <c r="Q63" s="510"/>
      <c r="R63" s="501"/>
      <c r="S63" s="120"/>
      <c r="T63" s="120"/>
      <c r="U63" s="120"/>
      <c r="V63" s="120"/>
      <c r="W63" s="517"/>
      <c r="X63" s="518"/>
      <c r="Y63" s="509"/>
      <c r="Z63" s="510"/>
      <c r="AA63" s="501"/>
      <c r="AB63" s="120"/>
      <c r="AC63" s="120"/>
      <c r="AD63" s="120"/>
      <c r="AE63" s="120"/>
      <c r="AF63" s="517"/>
      <c r="AG63" s="518"/>
      <c r="AH63" s="509"/>
      <c r="AI63" s="510"/>
      <c r="AJ63" s="501"/>
      <c r="AK63" s="120"/>
      <c r="AL63" s="120"/>
      <c r="AM63" s="120"/>
      <c r="AN63" s="120"/>
      <c r="AO63" s="517"/>
      <c r="AP63" s="518"/>
      <c r="AQ63" s="509"/>
      <c r="AR63" s="510"/>
      <c r="AS63" s="501"/>
      <c r="AT63" s="120"/>
      <c r="AU63" s="120"/>
      <c r="AV63" s="120"/>
      <c r="AW63" s="120"/>
      <c r="AX63" s="517"/>
      <c r="AY63" s="518"/>
      <c r="AZ63" s="509"/>
      <c r="BA63" s="510"/>
      <c r="BB63" s="501"/>
      <c r="BC63" s="120"/>
      <c r="BD63" s="120"/>
      <c r="BE63" s="49"/>
      <c r="BF63" s="49"/>
      <c r="BG63" s="124"/>
      <c r="BH63" s="518"/>
      <c r="BI63" s="49"/>
      <c r="BJ63" s="49"/>
      <c r="BK63" s="501"/>
      <c r="BL63" s="120"/>
      <c r="BM63" s="49"/>
      <c r="BN63" s="49"/>
      <c r="BO63" s="49"/>
      <c r="BP63" s="124"/>
      <c r="BQ63" s="518"/>
      <c r="BR63" s="49"/>
      <c r="BS63" s="49"/>
      <c r="BT63" s="501"/>
      <c r="BU63" s="120"/>
      <c r="BV63" s="49"/>
      <c r="BW63" s="49"/>
      <c r="BX63" s="49"/>
      <c r="BY63" s="124"/>
      <c r="BZ63" s="518"/>
      <c r="CA63" s="49"/>
      <c r="CB63" s="49"/>
      <c r="CC63" s="501"/>
      <c r="CD63" s="120"/>
      <c r="CE63" s="49"/>
      <c r="CF63" s="49"/>
      <c r="CG63" s="49"/>
      <c r="CH63" s="124"/>
      <c r="CI63" s="518"/>
      <c r="CJ63" s="49"/>
      <c r="CK63" s="49"/>
      <c r="CL63" s="501"/>
      <c r="CM63" s="120"/>
      <c r="CN63" s="49"/>
      <c r="CO63" s="49"/>
      <c r="CP63" s="49"/>
      <c r="CQ63" s="124"/>
      <c r="CR63" s="518"/>
      <c r="CS63" s="49"/>
      <c r="CT63" s="49"/>
      <c r="CU63" s="501"/>
    </row>
    <row r="64" spans="1:99" ht="14.4" thickBot="1" x14ac:dyDescent="0.35">
      <c r="A64" s="120"/>
      <c r="B64" s="120"/>
      <c r="C64" s="120"/>
      <c r="D64" s="120"/>
      <c r="E64" s="517"/>
      <c r="F64" s="518"/>
      <c r="G64" s="509"/>
      <c r="H64" s="510"/>
      <c r="I64" s="501"/>
      <c r="J64" s="120"/>
      <c r="K64" s="120"/>
      <c r="L64" s="120"/>
      <c r="M64" s="120"/>
      <c r="N64" s="517"/>
      <c r="O64" s="518"/>
      <c r="P64" s="509"/>
      <c r="Q64" s="510"/>
      <c r="R64" s="501"/>
      <c r="S64" s="120"/>
      <c r="T64" s="120"/>
      <c r="U64" s="120"/>
      <c r="V64" s="120"/>
      <c r="W64" s="517"/>
      <c r="X64" s="518"/>
      <c r="Y64" s="509"/>
      <c r="Z64" s="510"/>
      <c r="AA64" s="501"/>
      <c r="AB64" s="120"/>
      <c r="AC64" s="120"/>
      <c r="AD64" s="120"/>
      <c r="AE64" s="120"/>
      <c r="AF64" s="517"/>
      <c r="AG64" s="518"/>
      <c r="AH64" s="509"/>
      <c r="AI64" s="510"/>
      <c r="AJ64" s="501"/>
      <c r="AK64" s="120"/>
      <c r="AL64" s="120"/>
      <c r="AM64" s="120"/>
      <c r="AN64" s="120"/>
      <c r="AO64" s="517"/>
      <c r="AP64" s="518"/>
      <c r="AQ64" s="509"/>
      <c r="AR64" s="510"/>
      <c r="AS64" s="501"/>
      <c r="AT64" s="120"/>
      <c r="AU64" s="120"/>
      <c r="AV64" s="120"/>
      <c r="AW64" s="120"/>
      <c r="AX64" s="517"/>
      <c r="AY64" s="518"/>
      <c r="AZ64" s="509"/>
      <c r="BA64" s="510"/>
      <c r="BB64" s="501"/>
      <c r="BC64" s="120"/>
      <c r="BD64" s="120"/>
      <c r="BE64" s="49"/>
      <c r="BF64" s="49"/>
      <c r="BG64" s="124"/>
      <c r="BH64" s="518"/>
      <c r="BI64" s="49"/>
      <c r="BJ64" s="49"/>
      <c r="BK64" s="501"/>
      <c r="BL64" s="120"/>
      <c r="BM64" s="49"/>
      <c r="BN64" s="49"/>
      <c r="BO64" s="49"/>
      <c r="BP64" s="124"/>
      <c r="BQ64" s="518"/>
      <c r="BR64" s="49"/>
      <c r="BS64" s="49"/>
      <c r="BT64" s="501"/>
      <c r="BU64" s="120"/>
      <c r="BV64" s="49"/>
      <c r="BW64" s="49"/>
      <c r="BX64" s="49"/>
      <c r="BY64" s="124"/>
      <c r="BZ64" s="518"/>
      <c r="CA64" s="49"/>
      <c r="CB64" s="49"/>
      <c r="CC64" s="501"/>
      <c r="CD64" s="120"/>
      <c r="CE64" s="49"/>
      <c r="CF64" s="49"/>
      <c r="CG64" s="49"/>
      <c r="CH64" s="124"/>
      <c r="CI64" s="518"/>
      <c r="CJ64" s="49"/>
      <c r="CK64" s="49"/>
      <c r="CL64" s="501"/>
      <c r="CM64" s="120"/>
      <c r="CN64" s="49"/>
      <c r="CO64" s="49"/>
      <c r="CP64" s="49"/>
      <c r="CQ64" s="124"/>
      <c r="CR64" s="518"/>
      <c r="CS64" s="49"/>
      <c r="CT64" s="49"/>
      <c r="CU64" s="501"/>
    </row>
    <row r="65" spans="1:99" ht="16.2" thickBot="1" x14ac:dyDescent="0.35">
      <c r="A65" s="152" t="s">
        <v>211</v>
      </c>
      <c r="B65" s="120"/>
      <c r="C65" s="120"/>
      <c r="D65" s="120"/>
      <c r="E65" s="517"/>
      <c r="F65" s="518"/>
      <c r="G65" s="509"/>
      <c r="H65" s="510"/>
      <c r="I65" s="501"/>
      <c r="J65" s="152" t="s">
        <v>211</v>
      </c>
      <c r="K65" s="120"/>
      <c r="L65" s="120"/>
      <c r="M65" s="120"/>
      <c r="N65" s="517"/>
      <c r="O65" s="518"/>
      <c r="P65" s="509"/>
      <c r="Q65" s="510"/>
      <c r="R65" s="501"/>
      <c r="S65" s="152" t="s">
        <v>211</v>
      </c>
      <c r="T65" s="120"/>
      <c r="U65" s="120"/>
      <c r="V65" s="120"/>
      <c r="W65" s="517"/>
      <c r="X65" s="518"/>
      <c r="Y65" s="509"/>
      <c r="Z65" s="510"/>
      <c r="AA65" s="501"/>
      <c r="AB65" s="152" t="s">
        <v>211</v>
      </c>
      <c r="AC65" s="120"/>
      <c r="AD65" s="120"/>
      <c r="AE65" s="120"/>
      <c r="AF65" s="517"/>
      <c r="AG65" s="518"/>
      <c r="AH65" s="509"/>
      <c r="AI65" s="510"/>
      <c r="AJ65" s="501"/>
      <c r="AK65" s="152" t="s">
        <v>211</v>
      </c>
      <c r="AL65" s="120"/>
      <c r="AM65" s="120"/>
      <c r="AN65" s="120"/>
      <c r="AO65" s="517"/>
      <c r="AP65" s="518"/>
      <c r="AQ65" s="509"/>
      <c r="AR65" s="510"/>
      <c r="AS65" s="501"/>
      <c r="AT65" s="152" t="s">
        <v>211</v>
      </c>
      <c r="AU65" s="120"/>
      <c r="AV65" s="120"/>
      <c r="AW65" s="120"/>
      <c r="AX65" s="517"/>
      <c r="AY65" s="518"/>
      <c r="AZ65" s="509"/>
      <c r="BA65" s="510"/>
      <c r="BB65" s="501"/>
      <c r="BC65" s="152" t="s">
        <v>211</v>
      </c>
      <c r="BD65" s="120"/>
      <c r="BE65" s="49"/>
      <c r="BF65" s="49"/>
      <c r="BG65" s="124"/>
      <c r="BH65" s="518"/>
      <c r="BI65" s="49"/>
      <c r="BJ65" s="49"/>
      <c r="BK65" s="501"/>
      <c r="BL65" s="152" t="s">
        <v>211</v>
      </c>
      <c r="BM65" s="49"/>
      <c r="BN65" s="49"/>
      <c r="BO65" s="49"/>
      <c r="BP65" s="124"/>
      <c r="BQ65" s="518"/>
      <c r="BR65" s="49"/>
      <c r="BS65" s="49"/>
      <c r="BT65" s="501"/>
      <c r="BU65" s="152" t="s">
        <v>211</v>
      </c>
      <c r="BV65" s="49"/>
      <c r="BW65" s="49"/>
      <c r="BX65" s="49"/>
      <c r="BY65" s="124"/>
      <c r="BZ65" s="518"/>
      <c r="CA65" s="49"/>
      <c r="CB65" s="49"/>
      <c r="CC65" s="501"/>
      <c r="CD65" s="152" t="s">
        <v>211</v>
      </c>
      <c r="CE65" s="49"/>
      <c r="CF65" s="49"/>
      <c r="CG65" s="49"/>
      <c r="CH65" s="124"/>
      <c r="CI65" s="518"/>
      <c r="CJ65" s="49"/>
      <c r="CK65" s="49"/>
      <c r="CL65" s="501"/>
      <c r="CM65" s="152" t="s">
        <v>211</v>
      </c>
      <c r="CN65" s="49"/>
      <c r="CO65" s="49"/>
      <c r="CP65" s="49"/>
      <c r="CQ65" s="124"/>
      <c r="CR65" s="518"/>
      <c r="CS65" s="49"/>
      <c r="CT65" s="49"/>
      <c r="CU65" s="501"/>
    </row>
    <row r="66" spans="1:99" x14ac:dyDescent="0.3">
      <c r="A66" s="120" t="s">
        <v>497</v>
      </c>
      <c r="B66" s="511">
        <v>0</v>
      </c>
      <c r="C66" s="120" t="s">
        <v>207</v>
      </c>
      <c r="D66" s="120"/>
      <c r="E66" s="517" t="s">
        <v>213</v>
      </c>
      <c r="F66" s="518">
        <f>IF(B66+B67=0,0,2*(F61*B61+F62*B62)/(B67+(2*B66)))</f>
        <v>0</v>
      </c>
      <c r="G66" s="509"/>
      <c r="H66" s="510"/>
      <c r="I66" s="501"/>
      <c r="J66" s="120" t="s">
        <v>497</v>
      </c>
      <c r="K66" s="514">
        <f>+T66+AC66+AL66+AU66</f>
        <v>0</v>
      </c>
      <c r="L66" s="120" t="s">
        <v>207</v>
      </c>
      <c r="M66" s="120"/>
      <c r="N66" s="517" t="s">
        <v>213</v>
      </c>
      <c r="O66" s="518">
        <f>IF(K66+K67=0,0,2*(O61*K61+O62*K62)/(K67+(2*K66)))</f>
        <v>0</v>
      </c>
      <c r="P66" s="509"/>
      <c r="Q66" s="510"/>
      <c r="R66" s="501"/>
      <c r="S66" s="120" t="s">
        <v>497</v>
      </c>
      <c r="T66" s="1033"/>
      <c r="U66" s="120" t="s">
        <v>207</v>
      </c>
      <c r="V66" s="120"/>
      <c r="W66" s="517" t="s">
        <v>213</v>
      </c>
      <c r="X66" s="518">
        <f>IF(T66+T67=0,0,2*(X61*T61+X62*T62)/(T67+(2*T66)))</f>
        <v>0</v>
      </c>
      <c r="Y66" s="509"/>
      <c r="Z66" s="510"/>
      <c r="AA66" s="501"/>
      <c r="AB66" s="120" t="s">
        <v>497</v>
      </c>
      <c r="AC66" s="1033"/>
      <c r="AD66" s="120" t="s">
        <v>207</v>
      </c>
      <c r="AE66" s="120"/>
      <c r="AF66" s="517" t="s">
        <v>213</v>
      </c>
      <c r="AG66" s="518">
        <f>IF(AC66+AC67=0,0,2*(AG61*AC61+AG62*AC62)/(AC67+(2*AC66)))</f>
        <v>0</v>
      </c>
      <c r="AH66" s="509"/>
      <c r="AI66" s="510"/>
      <c r="AJ66" s="501"/>
      <c r="AK66" s="120" t="s">
        <v>497</v>
      </c>
      <c r="AL66" s="1033"/>
      <c r="AM66" s="120" t="s">
        <v>207</v>
      </c>
      <c r="AN66" s="120"/>
      <c r="AO66" s="517" t="s">
        <v>213</v>
      </c>
      <c r="AP66" s="518">
        <f>IF(AL66+AL67=0,0,2*(AP61*AL61+AP62*AL62)/(AL67+(2*AL66)))</f>
        <v>0</v>
      </c>
      <c r="AQ66" s="509"/>
      <c r="AR66" s="510"/>
      <c r="AS66" s="501"/>
      <c r="AT66" s="120" t="s">
        <v>497</v>
      </c>
      <c r="AU66" s="1033"/>
      <c r="AV66" s="120" t="s">
        <v>207</v>
      </c>
      <c r="AW66" s="120"/>
      <c r="AX66" s="517" t="s">
        <v>213</v>
      </c>
      <c r="AY66" s="518">
        <f>IF(AU66+AU67=0,0,2*(AY61*AU61+AY62*AU62)/(AU67+(2*AU66)))</f>
        <v>0</v>
      </c>
      <c r="AZ66" s="509"/>
      <c r="BA66" s="510"/>
      <c r="BB66" s="501"/>
      <c r="BC66" s="120" t="s">
        <v>497</v>
      </c>
      <c r="BD66" s="514">
        <f>+BM66+BV66+CE66+CN66</f>
        <v>0</v>
      </c>
      <c r="BE66" s="49" t="s">
        <v>207</v>
      </c>
      <c r="BF66" s="49"/>
      <c r="BG66" s="124" t="s">
        <v>213</v>
      </c>
      <c r="BH66" s="518">
        <f>IF(BD66+BD67=0,0,2*(BH61*BD61+BH62*BD62)/(BD67+(2*BD66)))</f>
        <v>0</v>
      </c>
      <c r="BI66" s="49"/>
      <c r="BJ66" s="49"/>
      <c r="BK66" s="501"/>
      <c r="BL66" s="120" t="s">
        <v>497</v>
      </c>
      <c r="BM66" s="189"/>
      <c r="BN66" s="49" t="s">
        <v>207</v>
      </c>
      <c r="BO66" s="49"/>
      <c r="BP66" s="124" t="s">
        <v>213</v>
      </c>
      <c r="BQ66" s="518">
        <f>IF(BM66+BM67=0,0,2*(BQ61*BM61+BQ62*BM62)/(BM67+(2*BM66)))</f>
        <v>0</v>
      </c>
      <c r="BR66" s="49"/>
      <c r="BS66" s="49"/>
      <c r="BT66" s="501"/>
      <c r="BU66" s="120" t="s">
        <v>497</v>
      </c>
      <c r="BV66" s="189"/>
      <c r="BW66" s="49" t="s">
        <v>207</v>
      </c>
      <c r="BX66" s="49"/>
      <c r="BY66" s="124" t="s">
        <v>213</v>
      </c>
      <c r="BZ66" s="518">
        <f>IF(BV66+BV67=0,0,2*(BZ61*BV61+BZ62*BV62)/(BV67+(2*BV66)))</f>
        <v>0</v>
      </c>
      <c r="CA66" s="49"/>
      <c r="CB66" s="49"/>
      <c r="CC66" s="501"/>
      <c r="CD66" s="120" t="s">
        <v>497</v>
      </c>
      <c r="CE66" s="189"/>
      <c r="CF66" s="49" t="s">
        <v>207</v>
      </c>
      <c r="CG66" s="49"/>
      <c r="CH66" s="124" t="s">
        <v>213</v>
      </c>
      <c r="CI66" s="518">
        <f>IF(CE66+CE67=0,0,2*(CI61*CE61+CI62*CE62)/(CE67+(2*CE66)))</f>
        <v>0</v>
      </c>
      <c r="CJ66" s="49"/>
      <c r="CK66" s="49"/>
      <c r="CL66" s="501"/>
      <c r="CM66" s="120" t="s">
        <v>497</v>
      </c>
      <c r="CN66" s="189"/>
      <c r="CO66" s="49" t="s">
        <v>207</v>
      </c>
      <c r="CP66" s="49"/>
      <c r="CQ66" s="124" t="s">
        <v>213</v>
      </c>
      <c r="CR66" s="518">
        <f>IF(CN66+CN67=0,0,2*(CR61*CN61+CR62*CN62)/(CN67+(2*CN66)))</f>
        <v>0</v>
      </c>
      <c r="CS66" s="49"/>
      <c r="CT66" s="49"/>
      <c r="CU66" s="501"/>
    </row>
    <row r="67" spans="1:99" x14ac:dyDescent="0.3">
      <c r="A67" s="120" t="s">
        <v>498</v>
      </c>
      <c r="B67" s="511">
        <v>0</v>
      </c>
      <c r="C67" s="120" t="s">
        <v>207</v>
      </c>
      <c r="D67" s="120"/>
      <c r="E67" s="517" t="s">
        <v>215</v>
      </c>
      <c r="F67" s="518">
        <f>F66/2</f>
        <v>0</v>
      </c>
      <c r="G67" s="509"/>
      <c r="H67" s="510"/>
      <c r="I67" s="501"/>
      <c r="J67" s="120" t="s">
        <v>498</v>
      </c>
      <c r="K67" s="514">
        <f>+T67+AC67+AL67+AU67</f>
        <v>0</v>
      </c>
      <c r="L67" s="120" t="s">
        <v>207</v>
      </c>
      <c r="M67" s="120"/>
      <c r="N67" s="517" t="s">
        <v>215</v>
      </c>
      <c r="O67" s="518">
        <f>O66/2</f>
        <v>0</v>
      </c>
      <c r="P67" s="509"/>
      <c r="Q67" s="510"/>
      <c r="R67" s="501"/>
      <c r="S67" s="120" t="s">
        <v>498</v>
      </c>
      <c r="T67" s="1032"/>
      <c r="U67" s="120" t="s">
        <v>207</v>
      </c>
      <c r="V67" s="120"/>
      <c r="W67" s="517" t="s">
        <v>215</v>
      </c>
      <c r="X67" s="518">
        <f>X66/2</f>
        <v>0</v>
      </c>
      <c r="Y67" s="509"/>
      <c r="Z67" s="510"/>
      <c r="AA67" s="501"/>
      <c r="AB67" s="120" t="s">
        <v>498</v>
      </c>
      <c r="AC67" s="1032"/>
      <c r="AD67" s="120" t="s">
        <v>207</v>
      </c>
      <c r="AE67" s="120"/>
      <c r="AF67" s="517" t="s">
        <v>215</v>
      </c>
      <c r="AG67" s="518">
        <f>AG66/2</f>
        <v>0</v>
      </c>
      <c r="AH67" s="509"/>
      <c r="AI67" s="510"/>
      <c r="AJ67" s="501"/>
      <c r="AK67" s="120" t="s">
        <v>498</v>
      </c>
      <c r="AL67" s="1032"/>
      <c r="AM67" s="120" t="s">
        <v>207</v>
      </c>
      <c r="AN67" s="120"/>
      <c r="AO67" s="517" t="s">
        <v>215</v>
      </c>
      <c r="AP67" s="518">
        <f>AP66/2</f>
        <v>0</v>
      </c>
      <c r="AQ67" s="509"/>
      <c r="AR67" s="510"/>
      <c r="AS67" s="501"/>
      <c r="AT67" s="120" t="s">
        <v>498</v>
      </c>
      <c r="AU67" s="1032"/>
      <c r="AV67" s="120" t="s">
        <v>207</v>
      </c>
      <c r="AW67" s="120"/>
      <c r="AX67" s="517" t="s">
        <v>215</v>
      </c>
      <c r="AY67" s="518">
        <f>AY66/2</f>
        <v>0</v>
      </c>
      <c r="AZ67" s="509"/>
      <c r="BA67" s="510"/>
      <c r="BB67" s="501"/>
      <c r="BC67" s="120" t="s">
        <v>498</v>
      </c>
      <c r="BD67" s="514">
        <f>+BM67+BV67+CE67+CN67</f>
        <v>0</v>
      </c>
      <c r="BE67" s="49" t="s">
        <v>207</v>
      </c>
      <c r="BF67" s="49"/>
      <c r="BG67" s="124" t="s">
        <v>215</v>
      </c>
      <c r="BH67" s="518">
        <f>BH66/2</f>
        <v>0</v>
      </c>
      <c r="BI67" s="49"/>
      <c r="BJ67" s="49"/>
      <c r="BK67" s="501"/>
      <c r="BL67" s="120" t="s">
        <v>498</v>
      </c>
      <c r="BM67" s="189"/>
      <c r="BN67" s="49" t="s">
        <v>207</v>
      </c>
      <c r="BO67" s="49"/>
      <c r="BP67" s="124" t="s">
        <v>215</v>
      </c>
      <c r="BQ67" s="518">
        <f>BQ66/2</f>
        <v>0</v>
      </c>
      <c r="BR67" s="49"/>
      <c r="BS67" s="49"/>
      <c r="BT67" s="501"/>
      <c r="BU67" s="120" t="s">
        <v>498</v>
      </c>
      <c r="BV67" s="189"/>
      <c r="BW67" s="49" t="s">
        <v>207</v>
      </c>
      <c r="BX67" s="49"/>
      <c r="BY67" s="124" t="s">
        <v>215</v>
      </c>
      <c r="BZ67" s="518">
        <f>BZ66/2</f>
        <v>0</v>
      </c>
      <c r="CA67" s="49"/>
      <c r="CB67" s="49"/>
      <c r="CC67" s="501"/>
      <c r="CD67" s="120" t="s">
        <v>498</v>
      </c>
      <c r="CE67" s="189"/>
      <c r="CF67" s="49" t="s">
        <v>207</v>
      </c>
      <c r="CG67" s="49"/>
      <c r="CH67" s="124" t="s">
        <v>215</v>
      </c>
      <c r="CI67" s="518">
        <f>CI66/2</f>
        <v>0</v>
      </c>
      <c r="CJ67" s="49"/>
      <c r="CK67" s="49"/>
      <c r="CL67" s="501"/>
      <c r="CM67" s="120" t="s">
        <v>498</v>
      </c>
      <c r="CN67" s="189"/>
      <c r="CO67" s="49" t="s">
        <v>207</v>
      </c>
      <c r="CP67" s="49"/>
      <c r="CQ67" s="124" t="s">
        <v>215</v>
      </c>
      <c r="CR67" s="518">
        <f>CR66/2</f>
        <v>0</v>
      </c>
      <c r="CS67" s="49"/>
      <c r="CT67" s="49"/>
      <c r="CU67" s="501"/>
    </row>
    <row r="68" spans="1:99" x14ac:dyDescent="0.3">
      <c r="A68" s="120"/>
      <c r="B68" s="120"/>
      <c r="C68" s="120"/>
      <c r="D68" s="120"/>
      <c r="E68" s="517"/>
      <c r="F68" s="518"/>
      <c r="G68" s="509"/>
      <c r="H68" s="510"/>
      <c r="I68" s="501"/>
      <c r="J68" s="120"/>
      <c r="K68" s="120"/>
      <c r="L68" s="120"/>
      <c r="M68" s="120"/>
      <c r="N68" s="517"/>
      <c r="O68" s="518"/>
      <c r="P68" s="509"/>
      <c r="Q68" s="510"/>
      <c r="R68" s="501"/>
      <c r="S68" s="120"/>
      <c r="T68" s="120"/>
      <c r="U68" s="120"/>
      <c r="V68" s="120"/>
      <c r="W68" s="517"/>
      <c r="X68" s="518"/>
      <c r="Y68" s="509"/>
      <c r="Z68" s="510"/>
      <c r="AA68" s="501"/>
      <c r="AB68" s="120"/>
      <c r="AC68" s="120"/>
      <c r="AD68" s="120"/>
      <c r="AE68" s="120"/>
      <c r="AF68" s="517"/>
      <c r="AG68" s="518"/>
      <c r="AH68" s="509"/>
      <c r="AI68" s="510"/>
      <c r="AJ68" s="501"/>
      <c r="AK68" s="120"/>
      <c r="AL68" s="120"/>
      <c r="AM68" s="120"/>
      <c r="AN68" s="120"/>
      <c r="AO68" s="517"/>
      <c r="AP68" s="518"/>
      <c r="AQ68" s="509"/>
      <c r="AR68" s="510"/>
      <c r="AS68" s="501"/>
      <c r="AT68" s="120"/>
      <c r="AU68" s="120"/>
      <c r="AV68" s="120"/>
      <c r="AW68" s="120"/>
      <c r="AX68" s="517"/>
      <c r="AY68" s="518"/>
      <c r="AZ68" s="509"/>
      <c r="BA68" s="510"/>
      <c r="BB68" s="501"/>
      <c r="BC68" s="120"/>
      <c r="BD68" s="120"/>
      <c r="BE68" s="49"/>
      <c r="BF68" s="49"/>
      <c r="BG68" s="124"/>
      <c r="BH68" s="518"/>
      <c r="BI68" s="49"/>
      <c r="BJ68" s="49"/>
      <c r="BK68" s="501"/>
      <c r="BL68" s="120"/>
      <c r="BM68" s="49"/>
      <c r="BN68" s="49"/>
      <c r="BO68" s="49"/>
      <c r="BP68" s="124"/>
      <c r="BQ68" s="518"/>
      <c r="BR68" s="49"/>
      <c r="BS68" s="49"/>
      <c r="BT68" s="501"/>
      <c r="BU68" s="120"/>
      <c r="BV68" s="49"/>
      <c r="BW68" s="49"/>
      <c r="BX68" s="49"/>
      <c r="BY68" s="124"/>
      <c r="BZ68" s="518"/>
      <c r="CA68" s="49"/>
      <c r="CB68" s="49"/>
      <c r="CC68" s="501"/>
      <c r="CD68" s="120"/>
      <c r="CE68" s="49"/>
      <c r="CF68" s="49"/>
      <c r="CG68" s="49"/>
      <c r="CH68" s="124"/>
      <c r="CI68" s="518"/>
      <c r="CJ68" s="49"/>
      <c r="CK68" s="49"/>
      <c r="CL68" s="501"/>
      <c r="CM68" s="120"/>
      <c r="CN68" s="49"/>
      <c r="CO68" s="49"/>
      <c r="CP68" s="49"/>
      <c r="CQ68" s="124"/>
      <c r="CR68" s="518"/>
      <c r="CS68" s="49"/>
      <c r="CT68" s="49"/>
      <c r="CU68" s="501"/>
    </row>
    <row r="69" spans="1:99" ht="14.4" thickBot="1" x14ac:dyDescent="0.35">
      <c r="A69" s="120"/>
      <c r="B69" s="120"/>
      <c r="C69" s="120"/>
      <c r="D69" s="120"/>
      <c r="E69" s="517"/>
      <c r="F69" s="518"/>
      <c r="G69" s="509"/>
      <c r="H69" s="510"/>
      <c r="I69" s="501"/>
      <c r="J69" s="120"/>
      <c r="K69" s="120"/>
      <c r="L69" s="120"/>
      <c r="M69" s="120"/>
      <c r="N69" s="517"/>
      <c r="O69" s="518"/>
      <c r="P69" s="509"/>
      <c r="Q69" s="510"/>
      <c r="R69" s="501"/>
      <c r="S69" s="120"/>
      <c r="T69" s="120"/>
      <c r="U69" s="120"/>
      <c r="V69" s="120"/>
      <c r="W69" s="517"/>
      <c r="X69" s="518"/>
      <c r="Y69" s="509"/>
      <c r="Z69" s="510"/>
      <c r="AA69" s="501"/>
      <c r="AB69" s="120"/>
      <c r="AC69" s="120"/>
      <c r="AD69" s="120"/>
      <c r="AE69" s="120"/>
      <c r="AF69" s="517"/>
      <c r="AG69" s="518"/>
      <c r="AH69" s="509"/>
      <c r="AI69" s="510"/>
      <c r="AJ69" s="501"/>
      <c r="AK69" s="120"/>
      <c r="AL69" s="120"/>
      <c r="AM69" s="120"/>
      <c r="AN69" s="120"/>
      <c r="AO69" s="517"/>
      <c r="AP69" s="518"/>
      <c r="AQ69" s="509"/>
      <c r="AR69" s="510"/>
      <c r="AS69" s="501"/>
      <c r="AT69" s="120"/>
      <c r="AU69" s="120"/>
      <c r="AV69" s="120"/>
      <c r="AW69" s="120"/>
      <c r="AX69" s="517"/>
      <c r="AY69" s="518"/>
      <c r="AZ69" s="509"/>
      <c r="BA69" s="510"/>
      <c r="BB69" s="501"/>
      <c r="BC69" s="120"/>
      <c r="BD69" s="120"/>
      <c r="BE69" s="49"/>
      <c r="BF69" s="49"/>
      <c r="BG69" s="124"/>
      <c r="BH69" s="518"/>
      <c r="BI69" s="49"/>
      <c r="BJ69" s="49"/>
      <c r="BK69" s="501"/>
      <c r="BL69" s="120"/>
      <c r="BM69" s="49"/>
      <c r="BN69" s="49"/>
      <c r="BO69" s="49"/>
      <c r="BP69" s="124"/>
      <c r="BQ69" s="518"/>
      <c r="BR69" s="49"/>
      <c r="BS69" s="49"/>
      <c r="BT69" s="501"/>
      <c r="BU69" s="120"/>
      <c r="BV69" s="49"/>
      <c r="BW69" s="49"/>
      <c r="BX69" s="49"/>
      <c r="BY69" s="124"/>
      <c r="BZ69" s="518"/>
      <c r="CA69" s="49"/>
      <c r="CB69" s="49"/>
      <c r="CC69" s="501"/>
      <c r="CD69" s="120"/>
      <c r="CE69" s="49"/>
      <c r="CF69" s="49"/>
      <c r="CG69" s="49"/>
      <c r="CH69" s="124"/>
      <c r="CI69" s="518"/>
      <c r="CJ69" s="49"/>
      <c r="CK69" s="49"/>
      <c r="CL69" s="501"/>
      <c r="CM69" s="120"/>
      <c r="CN69" s="49"/>
      <c r="CO69" s="49"/>
      <c r="CP69" s="49"/>
      <c r="CQ69" s="124"/>
      <c r="CR69" s="518"/>
      <c r="CS69" s="49"/>
      <c r="CT69" s="49"/>
      <c r="CU69" s="501"/>
    </row>
    <row r="70" spans="1:99" ht="16.2" thickBot="1" x14ac:dyDescent="0.35">
      <c r="A70" s="152" t="s">
        <v>216</v>
      </c>
      <c r="B70" s="120"/>
      <c r="C70" s="120"/>
      <c r="D70" s="120"/>
      <c r="E70" s="517"/>
      <c r="F70" s="518"/>
      <c r="G70" s="509"/>
      <c r="H70" s="510"/>
      <c r="I70" s="501"/>
      <c r="J70" s="152" t="s">
        <v>216</v>
      </c>
      <c r="K70" s="120"/>
      <c r="L70" s="120"/>
      <c r="M70" s="120"/>
      <c r="N70" s="517"/>
      <c r="O70" s="518"/>
      <c r="P70" s="509"/>
      <c r="Q70" s="510"/>
      <c r="R70" s="501"/>
      <c r="S70" s="152" t="s">
        <v>216</v>
      </c>
      <c r="T70" s="120"/>
      <c r="U70" s="120"/>
      <c r="V70" s="120"/>
      <c r="W70" s="517"/>
      <c r="X70" s="518"/>
      <c r="Y70" s="509"/>
      <c r="Z70" s="510"/>
      <c r="AA70" s="501"/>
      <c r="AB70" s="152" t="s">
        <v>216</v>
      </c>
      <c r="AC70" s="120"/>
      <c r="AD70" s="120"/>
      <c r="AE70" s="120"/>
      <c r="AF70" s="517"/>
      <c r="AG70" s="518"/>
      <c r="AH70" s="509"/>
      <c r="AI70" s="510"/>
      <c r="AJ70" s="501"/>
      <c r="AK70" s="152" t="s">
        <v>216</v>
      </c>
      <c r="AL70" s="120"/>
      <c r="AM70" s="120"/>
      <c r="AN70" s="120"/>
      <c r="AO70" s="517"/>
      <c r="AP70" s="518"/>
      <c r="AQ70" s="509"/>
      <c r="AR70" s="510"/>
      <c r="AS70" s="501"/>
      <c r="AT70" s="152" t="s">
        <v>216</v>
      </c>
      <c r="AU70" s="120"/>
      <c r="AV70" s="120"/>
      <c r="AW70" s="120"/>
      <c r="AX70" s="517"/>
      <c r="AY70" s="518"/>
      <c r="AZ70" s="509"/>
      <c r="BA70" s="510"/>
      <c r="BB70" s="501"/>
      <c r="BC70" s="152" t="s">
        <v>216</v>
      </c>
      <c r="BD70" s="120"/>
      <c r="BE70" s="49"/>
      <c r="BF70" s="49"/>
      <c r="BG70" s="124"/>
      <c r="BH70" s="518"/>
      <c r="BI70" s="49"/>
      <c r="BJ70" s="49"/>
      <c r="BK70" s="501"/>
      <c r="BL70" s="152" t="s">
        <v>216</v>
      </c>
      <c r="BM70" s="49"/>
      <c r="BN70" s="49"/>
      <c r="BO70" s="49"/>
      <c r="BP70" s="124"/>
      <c r="BQ70" s="518"/>
      <c r="BR70" s="49"/>
      <c r="BS70" s="49"/>
      <c r="BT70" s="501"/>
      <c r="BU70" s="152" t="s">
        <v>216</v>
      </c>
      <c r="BV70" s="49"/>
      <c r="BW70" s="49"/>
      <c r="BX70" s="49"/>
      <c r="BY70" s="124"/>
      <c r="BZ70" s="518"/>
      <c r="CA70" s="49"/>
      <c r="CB70" s="49"/>
      <c r="CC70" s="501"/>
      <c r="CD70" s="152" t="s">
        <v>216</v>
      </c>
      <c r="CE70" s="49"/>
      <c r="CF70" s="49"/>
      <c r="CG70" s="49"/>
      <c r="CH70" s="124"/>
      <c r="CI70" s="518"/>
      <c r="CJ70" s="49"/>
      <c r="CK70" s="49"/>
      <c r="CL70" s="501"/>
      <c r="CM70" s="152" t="s">
        <v>216</v>
      </c>
      <c r="CN70" s="49"/>
      <c r="CO70" s="49"/>
      <c r="CP70" s="49"/>
      <c r="CQ70" s="124"/>
      <c r="CR70" s="518"/>
      <c r="CS70" s="49"/>
      <c r="CT70" s="49"/>
      <c r="CU70" s="501"/>
    </row>
    <row r="71" spans="1:99" x14ac:dyDescent="0.3">
      <c r="A71" s="120" t="s">
        <v>499</v>
      </c>
      <c r="B71" s="514">
        <f>+B66</f>
        <v>0</v>
      </c>
      <c r="C71" s="120" t="s">
        <v>207</v>
      </c>
      <c r="D71" s="120"/>
      <c r="E71" s="515" t="s">
        <v>218</v>
      </c>
      <c r="F71" s="519">
        <f>IF(B71=0,0,F66*B66/B71)</f>
        <v>0</v>
      </c>
      <c r="G71" s="509"/>
      <c r="H71" s="510"/>
      <c r="I71" s="501"/>
      <c r="J71" s="120" t="s">
        <v>499</v>
      </c>
      <c r="K71" s="514">
        <f>+T71+AC71+AL71+AU71</f>
        <v>0</v>
      </c>
      <c r="L71" s="120" t="s">
        <v>207</v>
      </c>
      <c r="M71" s="120"/>
      <c r="N71" s="515" t="s">
        <v>218</v>
      </c>
      <c r="O71" s="519">
        <f>IF(K71=0,0,O66*K66/K71)</f>
        <v>0</v>
      </c>
      <c r="P71" s="509"/>
      <c r="Q71" s="510"/>
      <c r="R71" s="501"/>
      <c r="S71" s="120" t="s">
        <v>499</v>
      </c>
      <c r="T71" s="514">
        <f>+T66</f>
        <v>0</v>
      </c>
      <c r="U71" s="120" t="s">
        <v>207</v>
      </c>
      <c r="V71" s="120"/>
      <c r="W71" s="515" t="s">
        <v>218</v>
      </c>
      <c r="X71" s="519">
        <f>IF(T71=0,0,X66*T66/T71)</f>
        <v>0</v>
      </c>
      <c r="Y71" s="509"/>
      <c r="Z71" s="510"/>
      <c r="AA71" s="501"/>
      <c r="AB71" s="120" t="s">
        <v>499</v>
      </c>
      <c r="AC71" s="514">
        <f>+AC66</f>
        <v>0</v>
      </c>
      <c r="AD71" s="120" t="s">
        <v>207</v>
      </c>
      <c r="AE71" s="120"/>
      <c r="AF71" s="515" t="s">
        <v>218</v>
      </c>
      <c r="AG71" s="519">
        <f>IF(AC71=0,0,AG66*AC66/AC71)</f>
        <v>0</v>
      </c>
      <c r="AH71" s="509"/>
      <c r="AI71" s="510"/>
      <c r="AJ71" s="501"/>
      <c r="AK71" s="120" t="s">
        <v>499</v>
      </c>
      <c r="AL71" s="514">
        <f>+AL66</f>
        <v>0</v>
      </c>
      <c r="AM71" s="120" t="s">
        <v>207</v>
      </c>
      <c r="AN71" s="120"/>
      <c r="AO71" s="515" t="s">
        <v>218</v>
      </c>
      <c r="AP71" s="519">
        <f>IF(AL71=0,0,AP66*AL66/AL71)</f>
        <v>0</v>
      </c>
      <c r="AQ71" s="509"/>
      <c r="AR71" s="510"/>
      <c r="AS71" s="501"/>
      <c r="AT71" s="120" t="s">
        <v>499</v>
      </c>
      <c r="AU71" s="514">
        <f>+AU66</f>
        <v>0</v>
      </c>
      <c r="AV71" s="120" t="s">
        <v>207</v>
      </c>
      <c r="AW71" s="120"/>
      <c r="AX71" s="515" t="s">
        <v>218</v>
      </c>
      <c r="AY71" s="519">
        <f>IF(AU71=0,0,AY66*AU66/AU71)</f>
        <v>0</v>
      </c>
      <c r="AZ71" s="509"/>
      <c r="BA71" s="510"/>
      <c r="BB71" s="501"/>
      <c r="BC71" s="120" t="s">
        <v>499</v>
      </c>
      <c r="BD71" s="514">
        <f>+BM71+BV71+CE71+CN71</f>
        <v>0</v>
      </c>
      <c r="BE71" s="49" t="s">
        <v>207</v>
      </c>
      <c r="BF71" s="49"/>
      <c r="BG71" s="123" t="s">
        <v>218</v>
      </c>
      <c r="BH71" s="519">
        <f>IF(BD71=0,0,BH66*BD66/BD71)</f>
        <v>0</v>
      </c>
      <c r="BI71" s="49"/>
      <c r="BJ71" s="49"/>
      <c r="BK71" s="501"/>
      <c r="BL71" s="120" t="s">
        <v>499</v>
      </c>
      <c r="BM71" s="514">
        <f>+BM66</f>
        <v>0</v>
      </c>
      <c r="BN71" s="49" t="s">
        <v>207</v>
      </c>
      <c r="BO71" s="49"/>
      <c r="BP71" s="123" t="s">
        <v>218</v>
      </c>
      <c r="BQ71" s="519">
        <f>IF(BM71=0,0,BQ66*BM66/BM71)</f>
        <v>0</v>
      </c>
      <c r="BR71" s="49"/>
      <c r="BS71" s="49"/>
      <c r="BT71" s="501"/>
      <c r="BU71" s="120" t="s">
        <v>499</v>
      </c>
      <c r="BV71" s="514">
        <f>+BV66</f>
        <v>0</v>
      </c>
      <c r="BW71" s="49" t="s">
        <v>207</v>
      </c>
      <c r="BX71" s="49"/>
      <c r="BY71" s="123" t="s">
        <v>218</v>
      </c>
      <c r="BZ71" s="519">
        <f>IF(BV71=0,0,BZ66*BV66/BV71)</f>
        <v>0</v>
      </c>
      <c r="CA71" s="49"/>
      <c r="CB71" s="49"/>
      <c r="CC71" s="501"/>
      <c r="CD71" s="120" t="s">
        <v>499</v>
      </c>
      <c r="CE71" s="514">
        <f>+CE66</f>
        <v>0</v>
      </c>
      <c r="CF71" s="49" t="s">
        <v>207</v>
      </c>
      <c r="CG71" s="49"/>
      <c r="CH71" s="123" t="s">
        <v>218</v>
      </c>
      <c r="CI71" s="519">
        <f>IF(CE71=0,0,CI66*CE66/CE71)</f>
        <v>0</v>
      </c>
      <c r="CJ71" s="49"/>
      <c r="CK71" s="49"/>
      <c r="CL71" s="501"/>
      <c r="CM71" s="120" t="s">
        <v>499</v>
      </c>
      <c r="CN71" s="514">
        <f>+CN66</f>
        <v>0</v>
      </c>
      <c r="CO71" s="49" t="s">
        <v>207</v>
      </c>
      <c r="CP71" s="49"/>
      <c r="CQ71" s="123" t="s">
        <v>218</v>
      </c>
      <c r="CR71" s="519">
        <f>IF(CN71=0,0,CR66*CN66/CN71)</f>
        <v>0</v>
      </c>
      <c r="CS71" s="49"/>
      <c r="CT71" s="49"/>
      <c r="CU71" s="501"/>
    </row>
    <row r="72" spans="1:99" ht="14.4" thickBot="1" x14ac:dyDescent="0.35">
      <c r="A72" s="120" t="s">
        <v>500</v>
      </c>
      <c r="B72" s="514">
        <f>+B67</f>
        <v>0</v>
      </c>
      <c r="C72" s="120" t="s">
        <v>207</v>
      </c>
      <c r="D72" s="120"/>
      <c r="E72" s="520" t="s">
        <v>220</v>
      </c>
      <c r="F72" s="519">
        <f>IF(B72=0,0,F67*B67/B72)</f>
        <v>0</v>
      </c>
      <c r="G72" s="509"/>
      <c r="H72" s="510"/>
      <c r="I72" s="501"/>
      <c r="J72" s="120" t="s">
        <v>500</v>
      </c>
      <c r="K72" s="514">
        <f>+T72+AC72+AL72+AU72</f>
        <v>0</v>
      </c>
      <c r="L72" s="120" t="s">
        <v>207</v>
      </c>
      <c r="M72" s="120"/>
      <c r="N72" s="520" t="s">
        <v>220</v>
      </c>
      <c r="O72" s="519">
        <f>IF(K72=0,0,O67*K67/K72)</f>
        <v>0</v>
      </c>
      <c r="P72" s="509"/>
      <c r="Q72" s="510"/>
      <c r="R72" s="501"/>
      <c r="S72" s="120" t="s">
        <v>500</v>
      </c>
      <c r="T72" s="514">
        <f>+T67</f>
        <v>0</v>
      </c>
      <c r="U72" s="120" t="s">
        <v>207</v>
      </c>
      <c r="V72" s="120"/>
      <c r="W72" s="520" t="s">
        <v>220</v>
      </c>
      <c r="X72" s="519">
        <f>IF(T72=0,0,X67*T67/T72)</f>
        <v>0</v>
      </c>
      <c r="Y72" s="509"/>
      <c r="Z72" s="510"/>
      <c r="AA72" s="501"/>
      <c r="AB72" s="120" t="s">
        <v>500</v>
      </c>
      <c r="AC72" s="514">
        <f>+AC67</f>
        <v>0</v>
      </c>
      <c r="AD72" s="120" t="s">
        <v>207</v>
      </c>
      <c r="AE72" s="120"/>
      <c r="AF72" s="520" t="s">
        <v>220</v>
      </c>
      <c r="AG72" s="519">
        <f>IF(AC72=0,0,AG67*AC67/AC72)</f>
        <v>0</v>
      </c>
      <c r="AH72" s="509"/>
      <c r="AI72" s="510"/>
      <c r="AJ72" s="501"/>
      <c r="AK72" s="120" t="s">
        <v>500</v>
      </c>
      <c r="AL72" s="514">
        <f>+AL67</f>
        <v>0</v>
      </c>
      <c r="AM72" s="120" t="s">
        <v>207</v>
      </c>
      <c r="AN72" s="120"/>
      <c r="AO72" s="520" t="s">
        <v>220</v>
      </c>
      <c r="AP72" s="519">
        <f>IF(AL72=0,0,AP67*AL67/AL72)</f>
        <v>0</v>
      </c>
      <c r="AQ72" s="509"/>
      <c r="AR72" s="510"/>
      <c r="AS72" s="501"/>
      <c r="AT72" s="120" t="s">
        <v>500</v>
      </c>
      <c r="AU72" s="514">
        <f>+AU67</f>
        <v>0</v>
      </c>
      <c r="AV72" s="120" t="s">
        <v>207</v>
      </c>
      <c r="AW72" s="120"/>
      <c r="AX72" s="520" t="s">
        <v>220</v>
      </c>
      <c r="AY72" s="519">
        <f>IF(AU72=0,0,AY67*AU67/AU72)</f>
        <v>0</v>
      </c>
      <c r="AZ72" s="509"/>
      <c r="BA72" s="510"/>
      <c r="BB72" s="501"/>
      <c r="BC72" s="120" t="s">
        <v>500</v>
      </c>
      <c r="BD72" s="514">
        <f>+BM72+BV72+CE72+CN72</f>
        <v>0</v>
      </c>
      <c r="BE72" s="49" t="s">
        <v>207</v>
      </c>
      <c r="BF72" s="49"/>
      <c r="BG72" s="125" t="s">
        <v>220</v>
      </c>
      <c r="BH72" s="519">
        <f>IF(BD72=0,0,BH67*BD67/BD72)</f>
        <v>0</v>
      </c>
      <c r="BI72" s="49"/>
      <c r="BJ72" s="49"/>
      <c r="BK72" s="501"/>
      <c r="BL72" s="120" t="s">
        <v>500</v>
      </c>
      <c r="BM72" s="514">
        <f>+BM67</f>
        <v>0</v>
      </c>
      <c r="BN72" s="49" t="s">
        <v>207</v>
      </c>
      <c r="BO72" s="49"/>
      <c r="BP72" s="125" t="s">
        <v>220</v>
      </c>
      <c r="BQ72" s="519">
        <f>IF(BM72=0,0,BQ67*BM67/BM72)</f>
        <v>0</v>
      </c>
      <c r="BR72" s="49"/>
      <c r="BS72" s="49"/>
      <c r="BT72" s="501"/>
      <c r="BU72" s="120" t="s">
        <v>500</v>
      </c>
      <c r="BV72" s="514">
        <f>+BV67</f>
        <v>0</v>
      </c>
      <c r="BW72" s="49" t="s">
        <v>207</v>
      </c>
      <c r="BX72" s="49"/>
      <c r="BY72" s="125" t="s">
        <v>220</v>
      </c>
      <c r="BZ72" s="519">
        <f>IF(BV72=0,0,BZ67*BV67/BV72)</f>
        <v>0</v>
      </c>
      <c r="CA72" s="49"/>
      <c r="CB72" s="49"/>
      <c r="CC72" s="501"/>
      <c r="CD72" s="120" t="s">
        <v>500</v>
      </c>
      <c r="CE72" s="514">
        <f>+CE67</f>
        <v>0</v>
      </c>
      <c r="CF72" s="49" t="s">
        <v>207</v>
      </c>
      <c r="CG72" s="49"/>
      <c r="CH72" s="125" t="s">
        <v>220</v>
      </c>
      <c r="CI72" s="519">
        <f>IF(CE72=0,0,CI67*CE67/CE72)</f>
        <v>0</v>
      </c>
      <c r="CJ72" s="49"/>
      <c r="CK72" s="49"/>
      <c r="CL72" s="501"/>
      <c r="CM72" s="120" t="s">
        <v>500</v>
      </c>
      <c r="CN72" s="514">
        <f>+CN67</f>
        <v>0</v>
      </c>
      <c r="CO72" s="49" t="s">
        <v>207</v>
      </c>
      <c r="CP72" s="49"/>
      <c r="CQ72" s="125" t="s">
        <v>220</v>
      </c>
      <c r="CR72" s="519">
        <f>IF(CN72=0,0,CR67*CN67/CN72)</f>
        <v>0</v>
      </c>
      <c r="CS72" s="49"/>
      <c r="CT72" s="49"/>
      <c r="CU72" s="501"/>
    </row>
    <row r="73" spans="1:99" x14ac:dyDescent="0.3">
      <c r="A73" s="120"/>
      <c r="B73" s="120"/>
      <c r="C73" s="120"/>
      <c r="D73" s="120"/>
      <c r="E73" s="120"/>
      <c r="F73" s="120"/>
      <c r="G73" s="509"/>
      <c r="H73" s="510"/>
      <c r="I73" s="501"/>
      <c r="J73" s="120"/>
      <c r="K73" s="120"/>
      <c r="L73" s="120"/>
      <c r="M73" s="120"/>
      <c r="N73" s="120"/>
      <c r="O73" s="120"/>
      <c r="P73" s="509"/>
      <c r="Q73" s="510"/>
      <c r="R73" s="501"/>
      <c r="S73" s="120"/>
      <c r="T73" s="120"/>
      <c r="U73" s="120"/>
      <c r="V73" s="120"/>
      <c r="W73" s="120"/>
      <c r="X73" s="120"/>
      <c r="Y73" s="509"/>
      <c r="Z73" s="510"/>
      <c r="AA73" s="501"/>
      <c r="AB73" s="120"/>
      <c r="AC73" s="120"/>
      <c r="AD73" s="120"/>
      <c r="AE73" s="120"/>
      <c r="AF73" s="120"/>
      <c r="AG73" s="120"/>
      <c r="AH73" s="509"/>
      <c r="AI73" s="510"/>
      <c r="AJ73" s="501"/>
      <c r="AK73" s="120"/>
      <c r="AL73" s="120"/>
      <c r="AM73" s="120"/>
      <c r="AN73" s="120"/>
      <c r="AO73" s="120"/>
      <c r="AP73" s="120"/>
      <c r="AQ73" s="509"/>
      <c r="AR73" s="510"/>
      <c r="AS73" s="501"/>
      <c r="AT73" s="120"/>
      <c r="AU73" s="120"/>
      <c r="AV73" s="120"/>
      <c r="AW73" s="120"/>
      <c r="AX73" s="120"/>
      <c r="AY73" s="120"/>
      <c r="AZ73" s="509"/>
      <c r="BA73" s="510"/>
      <c r="BB73" s="501"/>
      <c r="BC73" s="120"/>
      <c r="BD73" s="120"/>
      <c r="BE73" s="49"/>
      <c r="BF73" s="49"/>
      <c r="BG73" s="49"/>
      <c r="BH73" s="120"/>
      <c r="BI73" s="49"/>
      <c r="BJ73" s="49"/>
      <c r="BK73" s="501"/>
      <c r="BL73" s="120"/>
      <c r="BM73" s="120"/>
      <c r="BN73" s="49"/>
      <c r="BO73" s="49"/>
      <c r="BP73" s="49"/>
      <c r="BQ73" s="120"/>
      <c r="BR73" s="49"/>
      <c r="BS73" s="49"/>
      <c r="BT73" s="501"/>
      <c r="BU73" s="120"/>
      <c r="BV73" s="120"/>
      <c r="BW73" s="49"/>
      <c r="BX73" s="49"/>
      <c r="BY73" s="49"/>
      <c r="BZ73" s="120"/>
      <c r="CA73" s="49"/>
      <c r="CB73" s="49"/>
      <c r="CC73" s="501"/>
      <c r="CD73" s="120"/>
      <c r="CE73" s="120"/>
      <c r="CF73" s="49"/>
      <c r="CG73" s="49"/>
      <c r="CH73" s="49"/>
      <c r="CI73" s="120"/>
      <c r="CJ73" s="49"/>
      <c r="CK73" s="49"/>
      <c r="CL73" s="501"/>
      <c r="CM73" s="120"/>
      <c r="CN73" s="120"/>
      <c r="CO73" s="49"/>
      <c r="CP73" s="49"/>
      <c r="CQ73" s="49"/>
      <c r="CR73" s="120"/>
      <c r="CS73" s="49"/>
      <c r="CT73" s="49"/>
      <c r="CU73" s="501"/>
    </row>
    <row r="74" spans="1:99" ht="14.4" thickBot="1" x14ac:dyDescent="0.35">
      <c r="A74" s="120"/>
      <c r="B74" s="120"/>
      <c r="C74" s="120"/>
      <c r="D74" s="120"/>
      <c r="E74" s="120"/>
      <c r="F74" s="120"/>
      <c r="G74" s="509"/>
      <c r="H74" s="510"/>
      <c r="I74" s="501"/>
      <c r="J74" s="120"/>
      <c r="K74" s="120"/>
      <c r="L74" s="120"/>
      <c r="M74" s="120"/>
      <c r="N74" s="120"/>
      <c r="O74" s="120"/>
      <c r="P74" s="509"/>
      <c r="Q74" s="510"/>
      <c r="R74" s="501"/>
      <c r="S74" s="120"/>
      <c r="T74" s="120"/>
      <c r="U74" s="120"/>
      <c r="V74" s="120"/>
      <c r="W74" s="120"/>
      <c r="X74" s="120"/>
      <c r="Y74" s="509"/>
      <c r="Z74" s="510"/>
      <c r="AA74" s="501"/>
      <c r="AB74" s="120"/>
      <c r="AC74" s="120"/>
      <c r="AD74" s="120"/>
      <c r="AE74" s="120"/>
      <c r="AF74" s="120"/>
      <c r="AG74" s="120"/>
      <c r="AH74" s="509"/>
      <c r="AI74" s="510"/>
      <c r="AJ74" s="501"/>
      <c r="AK74" s="120"/>
      <c r="AL74" s="120"/>
      <c r="AM74" s="120"/>
      <c r="AN74" s="120"/>
      <c r="AO74" s="120"/>
      <c r="AP74" s="120"/>
      <c r="AQ74" s="509"/>
      <c r="AR74" s="510"/>
      <c r="AS74" s="501"/>
      <c r="AT74" s="120"/>
      <c r="AU74" s="120"/>
      <c r="AV74" s="120"/>
      <c r="AW74" s="120"/>
      <c r="AX74" s="120"/>
      <c r="AY74" s="120"/>
      <c r="AZ74" s="509"/>
      <c r="BA74" s="510"/>
      <c r="BB74" s="501"/>
      <c r="BC74" s="120"/>
      <c r="BD74" s="120"/>
      <c r="BE74" s="49"/>
      <c r="BF74" s="49"/>
      <c r="BG74" s="49"/>
      <c r="BH74" s="120"/>
      <c r="BI74" s="49"/>
      <c r="BJ74" s="49"/>
      <c r="BK74" s="501"/>
      <c r="BL74" s="120"/>
      <c r="BM74" s="120"/>
      <c r="BN74" s="49"/>
      <c r="BO74" s="49"/>
      <c r="BP74" s="49"/>
      <c r="BQ74" s="120"/>
      <c r="BR74" s="49"/>
      <c r="BS74" s="49"/>
      <c r="BT74" s="501"/>
      <c r="BU74" s="120"/>
      <c r="BV74" s="120"/>
      <c r="BW74" s="49"/>
      <c r="BX74" s="49"/>
      <c r="BY74" s="49"/>
      <c r="BZ74" s="120"/>
      <c r="CA74" s="49"/>
      <c r="CB74" s="49"/>
      <c r="CC74" s="501"/>
      <c r="CD74" s="120"/>
      <c r="CE74" s="120"/>
      <c r="CF74" s="49"/>
      <c r="CG74" s="49"/>
      <c r="CH74" s="49"/>
      <c r="CI74" s="120"/>
      <c r="CJ74" s="49"/>
      <c r="CK74" s="49"/>
      <c r="CL74" s="501"/>
      <c r="CM74" s="120"/>
      <c r="CN74" s="120"/>
      <c r="CO74" s="49"/>
      <c r="CP74" s="49"/>
      <c r="CQ74" s="49"/>
      <c r="CR74" s="120"/>
      <c r="CS74" s="49"/>
      <c r="CT74" s="49"/>
      <c r="CU74" s="501"/>
    </row>
    <row r="75" spans="1:99" ht="16.2" thickBot="1" x14ac:dyDescent="0.35">
      <c r="A75" s="152" t="s">
        <v>221</v>
      </c>
      <c r="B75" s="120"/>
      <c r="C75" s="120"/>
      <c r="D75" s="120"/>
      <c r="E75" s="120"/>
      <c r="F75" s="120"/>
      <c r="G75" s="509"/>
      <c r="H75" s="510"/>
      <c r="I75" s="501"/>
      <c r="J75" s="152" t="s">
        <v>221</v>
      </c>
      <c r="K75" s="120"/>
      <c r="L75" s="120"/>
      <c r="M75" s="120"/>
      <c r="N75" s="120"/>
      <c r="O75" s="120"/>
      <c r="P75" s="509"/>
      <c r="Q75" s="510"/>
      <c r="R75" s="501"/>
      <c r="S75" s="152" t="s">
        <v>221</v>
      </c>
      <c r="T75" s="120"/>
      <c r="U75" s="120"/>
      <c r="V75" s="120"/>
      <c r="W75" s="120"/>
      <c r="X75" s="120"/>
      <c r="Y75" s="509"/>
      <c r="Z75" s="510"/>
      <c r="AA75" s="501"/>
      <c r="AB75" s="152" t="s">
        <v>221</v>
      </c>
      <c r="AC75" s="120"/>
      <c r="AD75" s="120"/>
      <c r="AE75" s="120"/>
      <c r="AF75" s="120"/>
      <c r="AG75" s="120"/>
      <c r="AH75" s="509"/>
      <c r="AI75" s="510"/>
      <c r="AJ75" s="501"/>
      <c r="AK75" s="152" t="s">
        <v>221</v>
      </c>
      <c r="AL75" s="120"/>
      <c r="AM75" s="120"/>
      <c r="AN75" s="120"/>
      <c r="AO75" s="120"/>
      <c r="AP75" s="120"/>
      <c r="AQ75" s="509"/>
      <c r="AR75" s="510"/>
      <c r="AS75" s="501"/>
      <c r="AT75" s="152" t="s">
        <v>221</v>
      </c>
      <c r="AU75" s="120"/>
      <c r="AV75" s="120"/>
      <c r="AW75" s="120"/>
      <c r="AX75" s="120"/>
      <c r="AY75" s="120"/>
      <c r="AZ75" s="509"/>
      <c r="BA75" s="510"/>
      <c r="BB75" s="501"/>
      <c r="BC75" s="152" t="s">
        <v>221</v>
      </c>
      <c r="BD75" s="120"/>
      <c r="BE75" s="49"/>
      <c r="BF75" s="49"/>
      <c r="BG75" s="49"/>
      <c r="BH75" s="120"/>
      <c r="BI75" s="49"/>
      <c r="BJ75" s="49"/>
      <c r="BK75" s="501"/>
      <c r="BL75" s="152" t="s">
        <v>221</v>
      </c>
      <c r="BM75" s="120"/>
      <c r="BN75" s="49"/>
      <c r="BO75" s="49"/>
      <c r="BP75" s="49"/>
      <c r="BQ75" s="120"/>
      <c r="BR75" s="49"/>
      <c r="BS75" s="49"/>
      <c r="BT75" s="501"/>
      <c r="BU75" s="152" t="s">
        <v>221</v>
      </c>
      <c r="BV75" s="120"/>
      <c r="BW75" s="49"/>
      <c r="BX75" s="49"/>
      <c r="BY75" s="49"/>
      <c r="BZ75" s="120"/>
      <c r="CA75" s="49"/>
      <c r="CB75" s="49"/>
      <c r="CC75" s="501"/>
      <c r="CD75" s="152" t="s">
        <v>221</v>
      </c>
      <c r="CE75" s="120"/>
      <c r="CF75" s="49"/>
      <c r="CG75" s="49"/>
      <c r="CH75" s="49"/>
      <c r="CI75" s="120"/>
      <c r="CJ75" s="49"/>
      <c r="CK75" s="49"/>
      <c r="CL75" s="501"/>
      <c r="CM75" s="152" t="s">
        <v>221</v>
      </c>
      <c r="CN75" s="120"/>
      <c r="CO75" s="49"/>
      <c r="CP75" s="49"/>
      <c r="CQ75" s="49"/>
      <c r="CR75" s="120"/>
      <c r="CS75" s="49"/>
      <c r="CT75" s="49"/>
      <c r="CU75" s="501"/>
    </row>
    <row r="76" spans="1:99" x14ac:dyDescent="0.3">
      <c r="A76" s="120" t="s">
        <v>501</v>
      </c>
      <c r="B76" s="514">
        <f>+B71</f>
        <v>0</v>
      </c>
      <c r="C76" s="120" t="s">
        <v>207</v>
      </c>
      <c r="D76" s="120"/>
      <c r="E76" s="120"/>
      <c r="F76" s="120"/>
      <c r="G76" s="509"/>
      <c r="H76" s="510"/>
      <c r="I76" s="501"/>
      <c r="J76" s="120" t="s">
        <v>501</v>
      </c>
      <c r="K76" s="514">
        <f>+T76+AC76+AL76+AU76</f>
        <v>0</v>
      </c>
      <c r="L76" s="120" t="s">
        <v>207</v>
      </c>
      <c r="M76" s="120"/>
      <c r="N76" s="120"/>
      <c r="O76" s="120"/>
      <c r="P76" s="509"/>
      <c r="Q76" s="510"/>
      <c r="R76" s="501"/>
      <c r="S76" s="120" t="s">
        <v>501</v>
      </c>
      <c r="T76" s="514">
        <f>+T71*60%</f>
        <v>0</v>
      </c>
      <c r="U76" s="120" t="s">
        <v>207</v>
      </c>
      <c r="V76" s="120"/>
      <c r="W76" s="120"/>
      <c r="X76" s="120"/>
      <c r="Y76" s="509"/>
      <c r="Z76" s="510"/>
      <c r="AA76" s="501"/>
      <c r="AB76" s="120" t="s">
        <v>501</v>
      </c>
      <c r="AC76" s="514">
        <f>+AC71*60%</f>
        <v>0</v>
      </c>
      <c r="AD76" s="120" t="s">
        <v>207</v>
      </c>
      <c r="AE76" s="120"/>
      <c r="AF76" s="120"/>
      <c r="AG76" s="120"/>
      <c r="AH76" s="509"/>
      <c r="AI76" s="510"/>
      <c r="AJ76" s="501"/>
      <c r="AK76" s="120" t="s">
        <v>501</v>
      </c>
      <c r="AL76" s="514">
        <f>+AL71*60%</f>
        <v>0</v>
      </c>
      <c r="AM76" s="120" t="s">
        <v>207</v>
      </c>
      <c r="AN76" s="120"/>
      <c r="AO76" s="120"/>
      <c r="AP76" s="120"/>
      <c r="AQ76" s="509"/>
      <c r="AR76" s="510"/>
      <c r="AS76" s="501"/>
      <c r="AT76" s="120" t="s">
        <v>501</v>
      </c>
      <c r="AU76" s="514">
        <f>+AU71*60%</f>
        <v>0</v>
      </c>
      <c r="AV76" s="120" t="s">
        <v>207</v>
      </c>
      <c r="AW76" s="120"/>
      <c r="AX76" s="120"/>
      <c r="AY76" s="120"/>
      <c r="AZ76" s="509"/>
      <c r="BA76" s="510"/>
      <c r="BB76" s="501"/>
      <c r="BC76" s="120" t="s">
        <v>501</v>
      </c>
      <c r="BD76" s="514">
        <f>+BM76+BV76+CE76+CN76</f>
        <v>0</v>
      </c>
      <c r="BE76" s="49" t="s">
        <v>207</v>
      </c>
      <c r="BF76" s="49"/>
      <c r="BG76" s="49"/>
      <c r="BH76" s="120"/>
      <c r="BI76" s="49"/>
      <c r="BJ76" s="49"/>
      <c r="BK76" s="501"/>
      <c r="BL76" s="120" t="s">
        <v>501</v>
      </c>
      <c r="BM76" s="514">
        <f>+BM71*60%</f>
        <v>0</v>
      </c>
      <c r="BN76" s="49" t="s">
        <v>207</v>
      </c>
      <c r="BO76" s="49"/>
      <c r="BP76" s="49"/>
      <c r="BQ76" s="120"/>
      <c r="BR76" s="49"/>
      <c r="BS76" s="49"/>
      <c r="BT76" s="501"/>
      <c r="BU76" s="120" t="s">
        <v>501</v>
      </c>
      <c r="BV76" s="514">
        <f>+BV71*60%</f>
        <v>0</v>
      </c>
      <c r="BW76" s="49" t="s">
        <v>207</v>
      </c>
      <c r="BX76" s="49"/>
      <c r="BY76" s="49"/>
      <c r="BZ76" s="120"/>
      <c r="CA76" s="49"/>
      <c r="CB76" s="49"/>
      <c r="CC76" s="501"/>
      <c r="CD76" s="120" t="s">
        <v>501</v>
      </c>
      <c r="CE76" s="514">
        <f>+CE71*60%</f>
        <v>0</v>
      </c>
      <c r="CF76" s="49" t="s">
        <v>207</v>
      </c>
      <c r="CG76" s="49"/>
      <c r="CH76" s="49"/>
      <c r="CI76" s="120"/>
      <c r="CJ76" s="49"/>
      <c r="CK76" s="49"/>
      <c r="CL76" s="501"/>
      <c r="CM76" s="120" t="s">
        <v>501</v>
      </c>
      <c r="CN76" s="514">
        <f>+CN71*60%</f>
        <v>0</v>
      </c>
      <c r="CO76" s="49" t="s">
        <v>207</v>
      </c>
      <c r="CP76" s="49"/>
      <c r="CQ76" s="49"/>
      <c r="CR76" s="120"/>
      <c r="CS76" s="49"/>
      <c r="CT76" s="49"/>
      <c r="CU76" s="501"/>
    </row>
    <row r="77" spans="1:99" x14ac:dyDescent="0.3">
      <c r="A77" s="120" t="s">
        <v>502</v>
      </c>
      <c r="B77" s="514">
        <f>+B72</f>
        <v>0</v>
      </c>
      <c r="C77" s="120" t="s">
        <v>207</v>
      </c>
      <c r="D77" s="120"/>
      <c r="E77" s="120"/>
      <c r="F77" s="120"/>
      <c r="G77" s="509"/>
      <c r="H77" s="510"/>
      <c r="I77" s="501"/>
      <c r="J77" s="120" t="s">
        <v>502</v>
      </c>
      <c r="K77" s="514">
        <f>+T77+AC77+AL77+AU77</f>
        <v>0</v>
      </c>
      <c r="L77" s="120" t="s">
        <v>207</v>
      </c>
      <c r="M77" s="120"/>
      <c r="N77" s="120"/>
      <c r="O77" s="120"/>
      <c r="P77" s="509"/>
      <c r="Q77" s="510"/>
      <c r="R77" s="501"/>
      <c r="S77" s="120" t="s">
        <v>502</v>
      </c>
      <c r="T77" s="514">
        <f>+T72</f>
        <v>0</v>
      </c>
      <c r="U77" s="120" t="s">
        <v>207</v>
      </c>
      <c r="V77" s="120"/>
      <c r="W77" s="120"/>
      <c r="X77" s="120"/>
      <c r="Y77" s="509"/>
      <c r="Z77" s="510"/>
      <c r="AA77" s="501"/>
      <c r="AB77" s="120" t="s">
        <v>502</v>
      </c>
      <c r="AC77" s="514">
        <f>+AC72</f>
        <v>0</v>
      </c>
      <c r="AD77" s="120" t="s">
        <v>207</v>
      </c>
      <c r="AE77" s="120"/>
      <c r="AF77" s="120"/>
      <c r="AG77" s="120"/>
      <c r="AH77" s="509"/>
      <c r="AI77" s="510"/>
      <c r="AJ77" s="501"/>
      <c r="AK77" s="120" t="s">
        <v>502</v>
      </c>
      <c r="AL77" s="514">
        <f>+AL72</f>
        <v>0</v>
      </c>
      <c r="AM77" s="120" t="s">
        <v>207</v>
      </c>
      <c r="AN77" s="120"/>
      <c r="AO77" s="120"/>
      <c r="AP77" s="120"/>
      <c r="AQ77" s="509"/>
      <c r="AR77" s="510"/>
      <c r="AS77" s="501"/>
      <c r="AT77" s="120" t="s">
        <v>502</v>
      </c>
      <c r="AU77" s="514">
        <f>+AU72</f>
        <v>0</v>
      </c>
      <c r="AV77" s="120" t="s">
        <v>207</v>
      </c>
      <c r="AW77" s="120"/>
      <c r="AX77" s="120"/>
      <c r="AY77" s="120"/>
      <c r="AZ77" s="509"/>
      <c r="BA77" s="510"/>
      <c r="BB77" s="501"/>
      <c r="BC77" s="120" t="s">
        <v>502</v>
      </c>
      <c r="BD77" s="514">
        <f>+BM77+BV77+CE77+CN77</f>
        <v>0</v>
      </c>
      <c r="BE77" s="49" t="s">
        <v>207</v>
      </c>
      <c r="BF77" s="49"/>
      <c r="BG77" s="49"/>
      <c r="BH77" s="120"/>
      <c r="BI77" s="49"/>
      <c r="BJ77" s="49"/>
      <c r="BK77" s="501"/>
      <c r="BL77" s="120" t="s">
        <v>502</v>
      </c>
      <c r="BM77" s="514">
        <f>+BM72</f>
        <v>0</v>
      </c>
      <c r="BN77" s="49" t="s">
        <v>207</v>
      </c>
      <c r="BO77" s="49"/>
      <c r="BP77" s="49"/>
      <c r="BQ77" s="120"/>
      <c r="BR77" s="49"/>
      <c r="BS77" s="49"/>
      <c r="BT77" s="501"/>
      <c r="BU77" s="120" t="s">
        <v>502</v>
      </c>
      <c r="BV77" s="514">
        <f>+BV72</f>
        <v>0</v>
      </c>
      <c r="BW77" s="49" t="s">
        <v>207</v>
      </c>
      <c r="BX77" s="49"/>
      <c r="BY77" s="49"/>
      <c r="BZ77" s="120"/>
      <c r="CA77" s="49"/>
      <c r="CB77" s="49"/>
      <c r="CC77" s="501"/>
      <c r="CD77" s="120" t="s">
        <v>502</v>
      </c>
      <c r="CE77" s="514">
        <f>+CE72</f>
        <v>0</v>
      </c>
      <c r="CF77" s="49" t="s">
        <v>207</v>
      </c>
      <c r="CG77" s="49"/>
      <c r="CH77" s="49"/>
      <c r="CI77" s="120"/>
      <c r="CJ77" s="49"/>
      <c r="CK77" s="49"/>
      <c r="CL77" s="501"/>
      <c r="CM77" s="120" t="s">
        <v>502</v>
      </c>
      <c r="CN77" s="514">
        <f>+CN72</f>
        <v>0</v>
      </c>
      <c r="CO77" s="49" t="s">
        <v>207</v>
      </c>
      <c r="CP77" s="49"/>
      <c r="CQ77" s="49"/>
      <c r="CR77" s="120"/>
      <c r="CS77" s="49"/>
      <c r="CT77" s="49"/>
      <c r="CU77" s="501"/>
    </row>
    <row r="78" spans="1:99" x14ac:dyDescent="0.3">
      <c r="A78" s="120" t="s">
        <v>503</v>
      </c>
      <c r="B78" s="514">
        <f>+B71-B76</f>
        <v>0</v>
      </c>
      <c r="C78" s="120" t="s">
        <v>207</v>
      </c>
      <c r="D78" s="120"/>
      <c r="E78" s="120"/>
      <c r="F78" s="120"/>
      <c r="G78" s="509"/>
      <c r="H78" s="510"/>
      <c r="I78" s="501"/>
      <c r="J78" s="120" t="s">
        <v>503</v>
      </c>
      <c r="K78" s="514">
        <f>+T78+AC78+AL78+AU78</f>
        <v>0</v>
      </c>
      <c r="L78" s="120" t="s">
        <v>207</v>
      </c>
      <c r="M78" s="120"/>
      <c r="N78" s="120"/>
      <c r="O78" s="120"/>
      <c r="P78" s="509"/>
      <c r="Q78" s="510"/>
      <c r="R78" s="501"/>
      <c r="S78" s="120" t="s">
        <v>503</v>
      </c>
      <c r="T78" s="514">
        <f>+T71-T76</f>
        <v>0</v>
      </c>
      <c r="U78" s="120" t="s">
        <v>207</v>
      </c>
      <c r="V78" s="120"/>
      <c r="W78" s="120"/>
      <c r="X78" s="120"/>
      <c r="Y78" s="509"/>
      <c r="Z78" s="510"/>
      <c r="AA78" s="501"/>
      <c r="AB78" s="120" t="s">
        <v>503</v>
      </c>
      <c r="AC78" s="514">
        <f>+AC71-AC76</f>
        <v>0</v>
      </c>
      <c r="AD78" s="120" t="s">
        <v>207</v>
      </c>
      <c r="AE78" s="120"/>
      <c r="AF78" s="120"/>
      <c r="AG78" s="120"/>
      <c r="AH78" s="509"/>
      <c r="AI78" s="510"/>
      <c r="AJ78" s="501"/>
      <c r="AK78" s="120" t="s">
        <v>503</v>
      </c>
      <c r="AL78" s="514">
        <f>+AL71-AL76</f>
        <v>0</v>
      </c>
      <c r="AM78" s="120" t="s">
        <v>207</v>
      </c>
      <c r="AN78" s="120"/>
      <c r="AO78" s="120"/>
      <c r="AP78" s="120"/>
      <c r="AQ78" s="509"/>
      <c r="AR78" s="510"/>
      <c r="AS78" s="501"/>
      <c r="AT78" s="120" t="s">
        <v>503</v>
      </c>
      <c r="AU78" s="514">
        <f>+AU71-AU76</f>
        <v>0</v>
      </c>
      <c r="AV78" s="120" t="s">
        <v>207</v>
      </c>
      <c r="AW78" s="120"/>
      <c r="AX78" s="120"/>
      <c r="AY78" s="120"/>
      <c r="AZ78" s="509"/>
      <c r="BA78" s="510"/>
      <c r="BB78" s="501"/>
      <c r="BC78" s="120" t="s">
        <v>503</v>
      </c>
      <c r="BD78" s="514">
        <f>+BM78+BV78+CE78+CN78</f>
        <v>0</v>
      </c>
      <c r="BE78" s="49" t="s">
        <v>207</v>
      </c>
      <c r="BF78" s="49"/>
      <c r="BG78" s="49"/>
      <c r="BH78" s="120"/>
      <c r="BI78" s="49"/>
      <c r="BJ78" s="49"/>
      <c r="BK78" s="501"/>
      <c r="BL78" s="120" t="s">
        <v>503</v>
      </c>
      <c r="BM78" s="514">
        <f>+BM71-BM76</f>
        <v>0</v>
      </c>
      <c r="BN78" s="49" t="s">
        <v>207</v>
      </c>
      <c r="BO78" s="49"/>
      <c r="BP78" s="49"/>
      <c r="BQ78" s="120"/>
      <c r="BR78" s="49"/>
      <c r="BS78" s="49"/>
      <c r="BT78" s="501"/>
      <c r="BU78" s="120" t="s">
        <v>503</v>
      </c>
      <c r="BV78" s="514">
        <f>+BV71-BV76</f>
        <v>0</v>
      </c>
      <c r="BW78" s="49" t="s">
        <v>207</v>
      </c>
      <c r="BX78" s="49"/>
      <c r="BY78" s="49"/>
      <c r="BZ78" s="120"/>
      <c r="CA78" s="49"/>
      <c r="CB78" s="49"/>
      <c r="CC78" s="501"/>
      <c r="CD78" s="120" t="s">
        <v>503</v>
      </c>
      <c r="CE78" s="514">
        <f>+CE71-CE76</f>
        <v>0</v>
      </c>
      <c r="CF78" s="49" t="s">
        <v>207</v>
      </c>
      <c r="CG78" s="49"/>
      <c r="CH78" s="49"/>
      <c r="CI78" s="120"/>
      <c r="CJ78" s="49"/>
      <c r="CK78" s="49"/>
      <c r="CL78" s="501"/>
      <c r="CM78" s="120" t="s">
        <v>503</v>
      </c>
      <c r="CN78" s="514">
        <f>+CN71-CN76</f>
        <v>0</v>
      </c>
      <c r="CO78" s="49" t="s">
        <v>207</v>
      </c>
      <c r="CP78" s="49"/>
      <c r="CQ78" s="49"/>
      <c r="CR78" s="120"/>
      <c r="CS78" s="49"/>
      <c r="CT78" s="49"/>
      <c r="CU78" s="501"/>
    </row>
    <row r="79" spans="1:99" x14ac:dyDescent="0.3">
      <c r="A79" s="120" t="s">
        <v>504</v>
      </c>
      <c r="B79" s="514">
        <f>+B72-B77</f>
        <v>0</v>
      </c>
      <c r="C79" s="120" t="s">
        <v>207</v>
      </c>
      <c r="D79" s="120"/>
      <c r="E79" s="120"/>
      <c r="F79" s="120"/>
      <c r="G79" s="509"/>
      <c r="H79" s="510"/>
      <c r="I79" s="501"/>
      <c r="J79" s="120" t="s">
        <v>504</v>
      </c>
      <c r="K79" s="514">
        <f>+T79+AC79+AL79+AU79</f>
        <v>0</v>
      </c>
      <c r="L79" s="120" t="s">
        <v>207</v>
      </c>
      <c r="M79" s="120"/>
      <c r="N79" s="120"/>
      <c r="O79" s="120"/>
      <c r="P79" s="509"/>
      <c r="Q79" s="510"/>
      <c r="R79" s="501"/>
      <c r="S79" s="120" t="s">
        <v>504</v>
      </c>
      <c r="T79" s="514">
        <f>+T72-T77</f>
        <v>0</v>
      </c>
      <c r="U79" s="120" t="s">
        <v>207</v>
      </c>
      <c r="V79" s="120"/>
      <c r="W79" s="120"/>
      <c r="X79" s="120"/>
      <c r="Y79" s="509"/>
      <c r="Z79" s="510"/>
      <c r="AA79" s="501"/>
      <c r="AB79" s="120" t="s">
        <v>504</v>
      </c>
      <c r="AC79" s="514">
        <f>+AC72-AC77</f>
        <v>0</v>
      </c>
      <c r="AD79" s="120" t="s">
        <v>207</v>
      </c>
      <c r="AE79" s="120"/>
      <c r="AF79" s="120"/>
      <c r="AG79" s="120"/>
      <c r="AH79" s="509"/>
      <c r="AI79" s="510"/>
      <c r="AJ79" s="501"/>
      <c r="AK79" s="120" t="s">
        <v>504</v>
      </c>
      <c r="AL79" s="514">
        <f>+AL72-AL77</f>
        <v>0</v>
      </c>
      <c r="AM79" s="120" t="s">
        <v>207</v>
      </c>
      <c r="AN79" s="120"/>
      <c r="AO79" s="120"/>
      <c r="AP79" s="120"/>
      <c r="AQ79" s="509"/>
      <c r="AR79" s="510"/>
      <c r="AS79" s="501"/>
      <c r="AT79" s="120" t="s">
        <v>504</v>
      </c>
      <c r="AU79" s="514">
        <f>+AU72-AU77</f>
        <v>0</v>
      </c>
      <c r="AV79" s="120" t="s">
        <v>207</v>
      </c>
      <c r="AW79" s="120"/>
      <c r="AX79" s="120"/>
      <c r="AY79" s="120"/>
      <c r="AZ79" s="509"/>
      <c r="BA79" s="510"/>
      <c r="BB79" s="501"/>
      <c r="BC79" s="120" t="s">
        <v>504</v>
      </c>
      <c r="BD79" s="514">
        <f>+BM79+BV79+CE79+CN79</f>
        <v>0</v>
      </c>
      <c r="BE79" s="49" t="s">
        <v>207</v>
      </c>
      <c r="BF79" s="49"/>
      <c r="BG79" s="49"/>
      <c r="BH79" s="120"/>
      <c r="BI79" s="49"/>
      <c r="BJ79" s="49"/>
      <c r="BK79" s="501"/>
      <c r="BL79" s="120" t="s">
        <v>504</v>
      </c>
      <c r="BM79" s="514">
        <f>+BM72-BM77</f>
        <v>0</v>
      </c>
      <c r="BN79" s="49" t="s">
        <v>207</v>
      </c>
      <c r="BO79" s="49"/>
      <c r="BP79" s="49"/>
      <c r="BQ79" s="120"/>
      <c r="BR79" s="49"/>
      <c r="BS79" s="49"/>
      <c r="BT79" s="501"/>
      <c r="BU79" s="120" t="s">
        <v>504</v>
      </c>
      <c r="BV79" s="514">
        <f>+BV72-BV77</f>
        <v>0</v>
      </c>
      <c r="BW79" s="49" t="s">
        <v>207</v>
      </c>
      <c r="BX79" s="49"/>
      <c r="BY79" s="49"/>
      <c r="BZ79" s="120"/>
      <c r="CA79" s="49"/>
      <c r="CB79" s="49"/>
      <c r="CC79" s="501"/>
      <c r="CD79" s="120" t="s">
        <v>504</v>
      </c>
      <c r="CE79" s="514">
        <f>+CE72-CE77</f>
        <v>0</v>
      </c>
      <c r="CF79" s="49" t="s">
        <v>207</v>
      </c>
      <c r="CG79" s="49"/>
      <c r="CH79" s="49"/>
      <c r="CI79" s="120"/>
      <c r="CJ79" s="49"/>
      <c r="CK79" s="49"/>
      <c r="CL79" s="501"/>
      <c r="CM79" s="120" t="s">
        <v>504</v>
      </c>
      <c r="CN79" s="514">
        <f>+CN72-CN77</f>
        <v>0</v>
      </c>
      <c r="CO79" s="49" t="s">
        <v>207</v>
      </c>
      <c r="CP79" s="49"/>
      <c r="CQ79" s="49"/>
      <c r="CR79" s="120"/>
      <c r="CS79" s="49"/>
      <c r="CT79" s="49"/>
      <c r="CU79" s="501"/>
    </row>
    <row r="80" spans="1:99" x14ac:dyDescent="0.3">
      <c r="A80" s="120"/>
      <c r="B80" s="120"/>
      <c r="C80" s="120"/>
      <c r="D80" s="120"/>
      <c r="E80" s="120"/>
      <c r="F80" s="120"/>
      <c r="G80" s="509"/>
      <c r="H80" s="510"/>
      <c r="I80" s="501"/>
      <c r="J80" s="120"/>
      <c r="K80" s="120"/>
      <c r="L80" s="120"/>
      <c r="M80" s="120"/>
      <c r="N80" s="120"/>
      <c r="O80" s="120"/>
      <c r="P80" s="509"/>
      <c r="Q80" s="510"/>
      <c r="R80" s="501"/>
      <c r="S80" s="120"/>
      <c r="T80" s="120"/>
      <c r="U80" s="120"/>
      <c r="V80" s="120"/>
      <c r="W80" s="120"/>
      <c r="X80" s="120"/>
      <c r="Y80" s="509"/>
      <c r="Z80" s="510"/>
      <c r="AA80" s="501"/>
      <c r="AB80" s="120"/>
      <c r="AC80" s="120"/>
      <c r="AD80" s="120"/>
      <c r="AE80" s="120"/>
      <c r="AF80" s="120"/>
      <c r="AG80" s="120"/>
      <c r="AH80" s="509"/>
      <c r="AI80" s="510"/>
      <c r="AJ80" s="501"/>
      <c r="AK80" s="120"/>
      <c r="AL80" s="120"/>
      <c r="AM80" s="120"/>
      <c r="AN80" s="120"/>
      <c r="AO80" s="120"/>
      <c r="AP80" s="120"/>
      <c r="AQ80" s="509"/>
      <c r="AR80" s="510"/>
      <c r="AS80" s="501"/>
      <c r="AT80" s="120"/>
      <c r="AU80" s="120"/>
      <c r="AV80" s="120"/>
      <c r="AW80" s="120"/>
      <c r="AX80" s="120"/>
      <c r="AY80" s="120"/>
      <c r="AZ80" s="509"/>
      <c r="BA80" s="510"/>
      <c r="BB80" s="501"/>
      <c r="BC80" s="120"/>
      <c r="BD80" s="49"/>
      <c r="BE80" s="49"/>
      <c r="BF80" s="49"/>
      <c r="BG80" s="49"/>
      <c r="BH80" s="120"/>
      <c r="BI80" s="49"/>
      <c r="BJ80" s="49"/>
      <c r="BK80" s="501"/>
      <c r="BL80" s="120"/>
      <c r="BM80" s="49"/>
      <c r="BN80" s="49"/>
      <c r="BO80" s="49"/>
      <c r="BP80" s="49"/>
      <c r="BQ80" s="120"/>
      <c r="BR80" s="49"/>
      <c r="BS80" s="49"/>
      <c r="BT80" s="501"/>
      <c r="BU80" s="120"/>
      <c r="BV80" s="49"/>
      <c r="BW80" s="49"/>
      <c r="BX80" s="49"/>
      <c r="BY80" s="49"/>
      <c r="BZ80" s="120"/>
      <c r="CA80" s="49"/>
      <c r="CB80" s="49"/>
      <c r="CC80" s="501"/>
      <c r="CD80" s="120"/>
      <c r="CE80" s="49"/>
      <c r="CF80" s="49"/>
      <c r="CG80" s="49"/>
      <c r="CH80" s="49"/>
      <c r="CI80" s="120"/>
      <c r="CJ80" s="49"/>
      <c r="CK80" s="49"/>
      <c r="CL80" s="501"/>
      <c r="CM80" s="120"/>
      <c r="CN80" s="49"/>
      <c r="CO80" s="49"/>
      <c r="CP80" s="49"/>
      <c r="CQ80" s="49"/>
      <c r="CR80" s="120"/>
      <c r="CS80" s="49"/>
      <c r="CT80" s="49"/>
      <c r="CU80" s="501"/>
    </row>
    <row r="81" spans="1:99" x14ac:dyDescent="0.3">
      <c r="A81" s="120"/>
      <c r="B81" s="120"/>
      <c r="C81" s="120"/>
      <c r="D81" s="120"/>
      <c r="E81" s="120"/>
      <c r="F81" s="120"/>
      <c r="G81" s="509"/>
      <c r="H81" s="510"/>
      <c r="I81" s="501"/>
      <c r="J81" s="120"/>
      <c r="K81" s="120"/>
      <c r="L81" s="120"/>
      <c r="M81" s="120"/>
      <c r="N81" s="120"/>
      <c r="O81" s="120"/>
      <c r="P81" s="509"/>
      <c r="Q81" s="510"/>
      <c r="R81" s="501"/>
      <c r="S81" s="120"/>
      <c r="T81" s="120"/>
      <c r="U81" s="120"/>
      <c r="V81" s="120"/>
      <c r="W81" s="120"/>
      <c r="X81" s="120"/>
      <c r="Y81" s="509"/>
      <c r="Z81" s="510"/>
      <c r="AA81" s="501"/>
      <c r="AB81" s="120"/>
      <c r="AC81" s="120"/>
      <c r="AD81" s="120"/>
      <c r="AE81" s="120"/>
      <c r="AF81" s="120"/>
      <c r="AG81" s="120"/>
      <c r="AH81" s="509"/>
      <c r="AI81" s="510"/>
      <c r="AJ81" s="501"/>
      <c r="AK81" s="120"/>
      <c r="AL81" s="120"/>
      <c r="AM81" s="120"/>
      <c r="AN81" s="120"/>
      <c r="AO81" s="120"/>
      <c r="AP81" s="120"/>
      <c r="AQ81" s="509"/>
      <c r="AR81" s="510"/>
      <c r="AS81" s="501"/>
      <c r="AT81" s="120"/>
      <c r="AU81" s="120"/>
      <c r="AV81" s="120"/>
      <c r="AW81" s="120"/>
      <c r="AX81" s="120"/>
      <c r="AY81" s="120"/>
      <c r="AZ81" s="509"/>
      <c r="BA81" s="510"/>
      <c r="BB81" s="501"/>
      <c r="BC81" s="120"/>
      <c r="BD81" s="49"/>
      <c r="BE81" s="49"/>
      <c r="BF81" s="49"/>
      <c r="BG81" s="49"/>
      <c r="BH81" s="120"/>
      <c r="BI81" s="49"/>
      <c r="BJ81" s="49"/>
      <c r="BK81" s="501"/>
      <c r="BL81" s="120"/>
      <c r="BM81" s="49"/>
      <c r="BN81" s="49"/>
      <c r="BO81" s="49"/>
      <c r="BP81" s="49"/>
      <c r="BQ81" s="120"/>
      <c r="BR81" s="49"/>
      <c r="BS81" s="49"/>
      <c r="BT81" s="501"/>
      <c r="BU81" s="120"/>
      <c r="BV81" s="49"/>
      <c r="BW81" s="49"/>
      <c r="BX81" s="49"/>
      <c r="BY81" s="49"/>
      <c r="BZ81" s="120"/>
      <c r="CA81" s="49"/>
      <c r="CB81" s="49"/>
      <c r="CC81" s="501"/>
      <c r="CD81" s="120"/>
      <c r="CE81" s="49"/>
      <c r="CF81" s="49"/>
      <c r="CG81" s="49"/>
      <c r="CH81" s="49"/>
      <c r="CI81" s="120"/>
      <c r="CJ81" s="49"/>
      <c r="CK81" s="49"/>
      <c r="CL81" s="501"/>
      <c r="CM81" s="120"/>
      <c r="CN81" s="49"/>
      <c r="CO81" s="49"/>
      <c r="CP81" s="49"/>
      <c r="CQ81" s="49"/>
      <c r="CR81" s="120"/>
      <c r="CS81" s="49"/>
      <c r="CT81" s="49"/>
      <c r="CU81" s="501"/>
    </row>
    <row r="82" spans="1:99" x14ac:dyDescent="0.3">
      <c r="A82" s="154" t="s">
        <v>224</v>
      </c>
      <c r="B82" s="511">
        <v>0</v>
      </c>
      <c r="C82" s="120"/>
      <c r="D82" s="120"/>
      <c r="E82" s="120"/>
      <c r="F82" s="120"/>
      <c r="G82" s="509"/>
      <c r="H82" s="510"/>
      <c r="I82" s="501"/>
      <c r="J82" s="154" t="s">
        <v>224</v>
      </c>
      <c r="K82" s="1034"/>
      <c r="L82" s="120"/>
      <c r="M82" s="120"/>
      <c r="N82" s="120"/>
      <c r="O82" s="120"/>
      <c r="P82" s="509"/>
      <c r="Q82" s="510"/>
      <c r="R82" s="501"/>
      <c r="S82" s="154" t="s">
        <v>224</v>
      </c>
      <c r="T82" s="1034"/>
      <c r="U82" s="120"/>
      <c r="V82" s="120"/>
      <c r="W82" s="120"/>
      <c r="X82" s="120"/>
      <c r="Y82" s="509"/>
      <c r="Z82" s="510"/>
      <c r="AA82" s="501"/>
      <c r="AB82" s="154" t="s">
        <v>224</v>
      </c>
      <c r="AC82" s="1034"/>
      <c r="AD82" s="120"/>
      <c r="AE82" s="120"/>
      <c r="AF82" s="120"/>
      <c r="AG82" s="120"/>
      <c r="AH82" s="509"/>
      <c r="AI82" s="510"/>
      <c r="AJ82" s="501"/>
      <c r="AK82" s="154" t="s">
        <v>224</v>
      </c>
      <c r="AL82" s="1034"/>
      <c r="AM82" s="120"/>
      <c r="AN82" s="120"/>
      <c r="AO82" s="120"/>
      <c r="AP82" s="120"/>
      <c r="AQ82" s="509"/>
      <c r="AR82" s="510"/>
      <c r="AS82" s="501"/>
      <c r="AT82" s="154" t="s">
        <v>224</v>
      </c>
      <c r="AU82" s="1034"/>
      <c r="AV82" s="120"/>
      <c r="AW82" s="120"/>
      <c r="AX82" s="120"/>
      <c r="AY82" s="120"/>
      <c r="AZ82" s="509"/>
      <c r="BA82" s="510"/>
      <c r="BB82" s="501"/>
      <c r="BC82" s="154" t="s">
        <v>224</v>
      </c>
      <c r="BD82" s="159"/>
      <c r="BE82" s="49"/>
      <c r="BF82" s="49"/>
      <c r="BG82" s="49"/>
      <c r="BH82" s="120"/>
      <c r="BI82" s="49"/>
      <c r="BJ82" s="49"/>
      <c r="BK82" s="501"/>
      <c r="BL82" s="154" t="s">
        <v>224</v>
      </c>
      <c r="BM82" s="189"/>
      <c r="BN82" s="49"/>
      <c r="BO82" s="49"/>
      <c r="BP82" s="49"/>
      <c r="BQ82" s="120"/>
      <c r="BR82" s="49"/>
      <c r="BS82" s="49"/>
      <c r="BT82" s="501"/>
      <c r="BU82" s="154" t="s">
        <v>224</v>
      </c>
      <c r="BV82" s="189"/>
      <c r="BW82" s="49"/>
      <c r="BX82" s="49"/>
      <c r="BY82" s="49"/>
      <c r="BZ82" s="120"/>
      <c r="CA82" s="49"/>
      <c r="CB82" s="49"/>
      <c r="CC82" s="501"/>
      <c r="CD82" s="154" t="s">
        <v>224</v>
      </c>
      <c r="CE82" s="189"/>
      <c r="CF82" s="49"/>
      <c r="CG82" s="49"/>
      <c r="CH82" s="49"/>
      <c r="CI82" s="120"/>
      <c r="CJ82" s="49"/>
      <c r="CK82" s="49"/>
      <c r="CL82" s="501"/>
      <c r="CM82" s="154" t="s">
        <v>224</v>
      </c>
      <c r="CN82" s="189"/>
      <c r="CO82" s="49"/>
      <c r="CP82" s="49"/>
      <c r="CQ82" s="49"/>
      <c r="CR82" s="120"/>
      <c r="CS82" s="49"/>
      <c r="CT82" s="49"/>
      <c r="CU82" s="501"/>
    </row>
    <row r="83" spans="1:99" ht="14.4" thickBot="1" x14ac:dyDescent="0.35">
      <c r="A83" s="155"/>
      <c r="B83" s="155"/>
      <c r="C83" s="155"/>
      <c r="D83" s="155"/>
      <c r="E83" s="155"/>
      <c r="F83" s="155"/>
      <c r="G83" s="521"/>
      <c r="H83" s="522"/>
      <c r="I83" s="523"/>
      <c r="J83" s="155"/>
      <c r="K83" s="155"/>
      <c r="L83" s="155"/>
      <c r="M83" s="155"/>
      <c r="N83" s="155"/>
      <c r="O83" s="155"/>
      <c r="P83" s="521"/>
      <c r="Q83" s="522"/>
      <c r="R83" s="523"/>
      <c r="S83" s="155"/>
      <c r="T83" s="155"/>
      <c r="U83" s="155"/>
      <c r="V83" s="155"/>
      <c r="W83" s="155"/>
      <c r="X83" s="155"/>
      <c r="Y83" s="521"/>
      <c r="Z83" s="522"/>
      <c r="AA83" s="523"/>
      <c r="AB83" s="155"/>
      <c r="AC83" s="155"/>
      <c r="AD83" s="155"/>
      <c r="AE83" s="155"/>
      <c r="AF83" s="155"/>
      <c r="AG83" s="155"/>
      <c r="AH83" s="521"/>
      <c r="AI83" s="522"/>
      <c r="AJ83" s="523"/>
      <c r="AK83" s="155"/>
      <c r="AL83" s="155"/>
      <c r="AM83" s="155"/>
      <c r="AN83" s="155"/>
      <c r="AO83" s="155"/>
      <c r="AP83" s="155"/>
      <c r="AQ83" s="521"/>
      <c r="AR83" s="522"/>
      <c r="AS83" s="523"/>
      <c r="AT83" s="155"/>
      <c r="AU83" s="155"/>
      <c r="AV83" s="155"/>
      <c r="AW83" s="155"/>
      <c r="AX83" s="155"/>
      <c r="AY83" s="155"/>
      <c r="AZ83" s="521"/>
      <c r="BA83" s="522"/>
      <c r="BB83" s="523"/>
      <c r="BC83" s="155"/>
      <c r="BD83" s="156"/>
      <c r="BE83" s="156"/>
      <c r="BF83" s="156"/>
      <c r="BG83" s="156"/>
      <c r="BH83" s="155"/>
      <c r="BI83" s="156"/>
      <c r="BJ83" s="156"/>
      <c r="BK83" s="523"/>
      <c r="BL83" s="155"/>
      <c r="BM83" s="156"/>
      <c r="BN83" s="156"/>
      <c r="BO83" s="156"/>
      <c r="BP83" s="156"/>
      <c r="BQ83" s="155"/>
      <c r="BR83" s="156"/>
      <c r="BS83" s="156"/>
      <c r="BT83" s="523"/>
      <c r="BU83" s="155"/>
      <c r="BV83" s="156"/>
      <c r="BW83" s="156"/>
      <c r="BX83" s="156"/>
      <c r="BY83" s="156"/>
      <c r="BZ83" s="155"/>
      <c r="CA83" s="156"/>
      <c r="CB83" s="156"/>
      <c r="CC83" s="523"/>
      <c r="CD83" s="155"/>
      <c r="CE83" s="156"/>
      <c r="CF83" s="156"/>
      <c r="CG83" s="156"/>
      <c r="CH83" s="156"/>
      <c r="CI83" s="155"/>
      <c r="CJ83" s="156"/>
      <c r="CK83" s="156"/>
      <c r="CL83" s="523"/>
      <c r="CM83" s="155"/>
      <c r="CN83" s="156"/>
      <c r="CO83" s="156"/>
      <c r="CP83" s="156"/>
      <c r="CQ83" s="156"/>
      <c r="CR83" s="155"/>
      <c r="CS83" s="156"/>
      <c r="CT83" s="156"/>
      <c r="CU83" s="523"/>
    </row>
  </sheetData>
  <sheetProtection algorithmName="SHA-512" hashValue="+tXCNpcMKbtbilB6PzurS6EifxuxUiJrTd6hnSQe53FU/qcHWtgaMhwbua5BNFD/OtgbBQT7g9v3ZuqVcJxhuA==" saltValue="ha5R9nby5MhPZOy2KsIVtg==" spinCount="100000" sheet="1" objects="1" scenarios="1"/>
  <mergeCells count="33">
    <mergeCell ref="CN31:CR31"/>
    <mergeCell ref="B58:F58"/>
    <mergeCell ref="BD58:BH58"/>
    <mergeCell ref="BM58:BQ58"/>
    <mergeCell ref="BV58:BZ58"/>
    <mergeCell ref="CE58:CI58"/>
    <mergeCell ref="CN58:CR58"/>
    <mergeCell ref="K58:O58"/>
    <mergeCell ref="T58:X58"/>
    <mergeCell ref="AC58:AG58"/>
    <mergeCell ref="AL58:AP58"/>
    <mergeCell ref="AU58:AY58"/>
    <mergeCell ref="B31:F31"/>
    <mergeCell ref="BD31:BH31"/>
    <mergeCell ref="BM31:BQ31"/>
    <mergeCell ref="BV31:BZ31"/>
    <mergeCell ref="CE31:CI31"/>
    <mergeCell ref="K31:O31"/>
    <mergeCell ref="T31:X31"/>
    <mergeCell ref="AC31:AG31"/>
    <mergeCell ref="AL31:AP31"/>
    <mergeCell ref="AU31:AY31"/>
    <mergeCell ref="CN4:CR4"/>
    <mergeCell ref="B4:F4"/>
    <mergeCell ref="BD4:BH4"/>
    <mergeCell ref="BM4:BQ4"/>
    <mergeCell ref="CE4:CI4"/>
    <mergeCell ref="BV4:BZ4"/>
    <mergeCell ref="K4:O4"/>
    <mergeCell ref="T4:X4"/>
    <mergeCell ref="AC4:AG4"/>
    <mergeCell ref="AL4:AP4"/>
    <mergeCell ref="AU4:AY4"/>
  </mergeCells>
  <dataValidations count="8">
    <dataValidation type="decimal" operator="lessThan" allowBlank="1" showInputMessage="1" showErrorMessage="1" errorTitle="Wrong data entered" error="The CHP's generated electricity and heat can not big higher than the plant inputs. Please review your data and re-enter as appropriate." sqref="CN39 CE66 BV39 CN66 BM66 BM39 BV66 CE39 AU39 AL66 AC39 AU66 T66 T39 AC66 AL39">
      <formula1>T34+T35-T40</formula1>
    </dataValidation>
    <dataValidation type="decimal" operator="lessThan" allowBlank="1" showInputMessage="1" showErrorMessage="1" errorTitle="Wrong data entered" error="The CHP's generated electricity and heat can not big higher than the plant inputs. Please review your data and re-enter as appropriate." sqref="CN40 CE67 BV40 CN67 BM67 BM40 BV67 CE40 AU40 AL67 AC40 AU67 T67 T40 AC67 AL40">
      <formula1>T34+T35-T39</formula1>
    </dataValidation>
    <dataValidation type="decimal" operator="lessThanOrEqual" allowBlank="1" showInputMessage="1" showErrorMessage="1" errorTitle="Wrong data entered" error="The delievred electricity can not be greater than that generated. Please review your data and re-enter as appropriate." sqref="B44 B17 CE71 BM44 BM17 BM71 CN44 CE17 CE44 BV71 CN71 CN17 BV44 BV17 B71 AL71 T44 T17 T71 AU44 AL17 AL44 AC71 AU71 AU17 AC44 AC17">
      <formula1>B12</formula1>
    </dataValidation>
    <dataValidation type="decimal" operator="lessThanOrEqual" allowBlank="1" showInputMessage="1" showErrorMessage="1" errorTitle="Wrong data entered" error="The delievred heat can not be greater than that generated. Please review your data and re-enter as appropriate." sqref="B45 B18 CE72 BM45 BM18 BM72 CN45 CE18 CE45 BV72 CN72 CN18 BV45 BV18 B72 AL72 T45 T18 T72 AU45 AL18 AL45 AC72 AU72 AU18 AC45 AC18">
      <formula1>B13</formula1>
    </dataValidation>
    <dataValidation type="decimal" operator="lessThanOrEqual" allowBlank="1" showInputMessage="1" showErrorMessage="1" errorTitle="Wrong data entered" error="The consumed heat can not be higher than the delivered heat. Please review your data and re-enter as appropriate." sqref="B50 B23 CE77 BM50 BM23 BM77 CN50 CE23 CE50 BV77 CN77 CN23 BV50 BV23 B77 AL77 T50 T23 T77 AU50 AL23 AL50 AC77 AU77 AU23 AC50 AC23">
      <formula1>B18-B25</formula1>
    </dataValidation>
    <dataValidation type="decimal" operator="lessThanOrEqual" allowBlank="1" showInputMessage="1" showErrorMessage="1" errorTitle="Wrong data entered" error="The consumed electricity can not be higher than the delivered electricity. Please review your data and re-enter as appropriate." sqref="B22 CE76 BM49 BM22 BM76 CN49 CE22 CE49 BV76 CN76 CN22 BV49 BV22 B49 B76 AL76 T49 T22 T76 AU49 AL22 AL49 AC76 AU76 AU22 AC49 AC22">
      <formula1>B17-B24</formula1>
    </dataValidation>
    <dataValidation type="decimal" operator="lessThanOrEqual" allowBlank="1" showInputMessage="1" showErrorMessage="1" errorTitle="Wrong data entered" error="The consumed electricity can not be higher than the delivered electricity. Please review your data and re-enter as appropriate." sqref="B24:B25 B51:B52 CE78:CE79 BM51:BM52 BM24:BM25 BM78:BM79 CN51:CN52 CE24:CE25 CE51:CE52 BV78:BV79 CN78:CN79 CN24:CN25 BV51:BV52 BV24:BV25 B78:B79 AL78:AL79 T51:T52 T24:T25 T78:T79 AU51:AU52 AL24:AL25 AL51:AL52 AC78:AC79 AU78:AU79 AU24:AU25 AC51:AC52 AC24:AC25">
      <formula1>B17-B22</formula1>
    </dataValidation>
    <dataValidation type="list" allowBlank="1" showInputMessage="1" showErrorMessage="1" sqref="BD28 BD55 BD82 BM82 BM55 BM28 BV28 BV55 BV82 CE82 CE55 CE28 CN28 CN82 CN55 K28 K55 K82 T82 T55 T28 AC28 AC55 AC82 AL82 AL55 AL28 AU28 AU82 AU55">
      <formula1>"Y,N"</formula1>
    </dataValidation>
  </dataValidation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5" tint="-0.249977111117893"/>
  </sheetPr>
  <dimension ref="A1:Z189"/>
  <sheetViews>
    <sheetView topLeftCell="H43" zoomScale="80" zoomScaleNormal="80" workbookViewId="0"/>
  </sheetViews>
  <sheetFormatPr defaultColWidth="9.109375" defaultRowHeight="13.8" x14ac:dyDescent="0.3"/>
  <cols>
    <col min="1" max="1" width="10.33203125" style="592" customWidth="1"/>
    <col min="2" max="2" width="12.6640625" style="362" customWidth="1"/>
    <col min="3" max="3" width="40.6640625" style="362" customWidth="1"/>
    <col min="4" max="4" width="16.33203125" style="362" customWidth="1"/>
    <col min="5" max="8" width="14" style="362" customWidth="1"/>
    <col min="9" max="9" width="13.109375" style="362" customWidth="1"/>
    <col min="10" max="10" width="12.33203125" style="590" customWidth="1"/>
    <col min="11" max="11" width="14.33203125" style="591" customWidth="1"/>
    <col min="12" max="14" width="11.77734375" style="362" customWidth="1"/>
    <col min="15" max="15" width="11" style="362" customWidth="1"/>
    <col min="16" max="16" width="19.109375" style="362" customWidth="1"/>
    <col min="17" max="17" width="11" style="362" customWidth="1"/>
    <col min="18" max="18" width="14" style="362" customWidth="1"/>
    <col min="19" max="20" width="9.109375" style="362"/>
    <col min="21" max="21" width="9.109375" style="362" customWidth="1"/>
    <col min="22" max="22" width="15.77734375" style="362" customWidth="1"/>
    <col min="23" max="23" width="9.109375" style="362" customWidth="1"/>
    <col min="24" max="24" width="13.77734375" style="362" customWidth="1"/>
    <col min="25" max="16384" width="9.109375" style="362"/>
  </cols>
  <sheetData>
    <row r="1" spans="1:26" ht="23.4" x14ac:dyDescent="0.45">
      <c r="A1" s="312" t="s">
        <v>10</v>
      </c>
      <c r="B1" s="313"/>
      <c r="C1" s="49"/>
      <c r="D1" s="49"/>
      <c r="E1" s="49"/>
      <c r="F1" s="49"/>
      <c r="G1" s="49"/>
      <c r="H1" s="49"/>
      <c r="I1" s="49"/>
      <c r="J1" s="314"/>
      <c r="K1" s="315"/>
      <c r="L1" s="49"/>
      <c r="M1" s="49"/>
      <c r="N1" s="49"/>
      <c r="O1" s="49"/>
      <c r="P1" s="49"/>
      <c r="Q1" s="49"/>
      <c r="R1" s="49"/>
      <c r="S1" s="49"/>
      <c r="T1" s="49"/>
      <c r="U1" s="49"/>
      <c r="V1" s="49"/>
      <c r="W1" s="49"/>
      <c r="X1" s="49"/>
      <c r="Y1" s="49"/>
      <c r="Z1" s="49"/>
    </row>
    <row r="2" spans="1:26" x14ac:dyDescent="0.3">
      <c r="A2" s="524"/>
      <c r="B2" s="525"/>
      <c r="C2" s="525"/>
      <c r="D2" s="525"/>
      <c r="E2" s="525"/>
      <c r="F2" s="525"/>
      <c r="G2" s="525"/>
      <c r="H2" s="525"/>
      <c r="I2" s="525"/>
      <c r="J2" s="526"/>
      <c r="K2" s="527"/>
      <c r="L2" s="527"/>
      <c r="M2" s="527"/>
      <c r="N2" s="527"/>
      <c r="O2" s="525"/>
      <c r="P2" s="525"/>
      <c r="Q2" s="525"/>
      <c r="R2" s="525"/>
      <c r="S2" s="525"/>
      <c r="T2" s="525"/>
      <c r="U2" s="525"/>
      <c r="V2" s="525"/>
      <c r="W2" s="525"/>
      <c r="X2" s="525"/>
      <c r="Y2" s="525"/>
      <c r="Z2" s="525"/>
    </row>
    <row r="3" spans="1:26" x14ac:dyDescent="0.3">
      <c r="A3" s="320"/>
      <c r="B3" s="49"/>
      <c r="C3" s="49"/>
      <c r="D3" s="49"/>
      <c r="E3" s="49"/>
      <c r="F3" s="49"/>
      <c r="G3" s="49"/>
      <c r="H3" s="49"/>
      <c r="I3" s="49"/>
      <c r="J3" s="314"/>
      <c r="K3" s="321"/>
      <c r="L3" s="49"/>
      <c r="M3" s="49"/>
      <c r="N3" s="49"/>
      <c r="O3" s="49"/>
      <c r="P3" s="49"/>
      <c r="Q3" s="49"/>
      <c r="R3" s="49"/>
      <c r="S3" s="49"/>
      <c r="T3" s="49"/>
      <c r="U3" s="49"/>
      <c r="V3" s="49"/>
      <c r="W3" s="49"/>
      <c r="X3" s="49"/>
      <c r="Y3" s="49"/>
      <c r="Z3" s="49"/>
    </row>
    <row r="4" spans="1:26" s="593" customFormat="1" ht="21" x14ac:dyDescent="0.3">
      <c r="A4" s="528" t="s">
        <v>20</v>
      </c>
      <c r="B4" s="529" t="str">
        <f>+Performance!C2</f>
        <v>MINISTRY OF JUSTICE (MoJ)</v>
      </c>
      <c r="C4" s="529"/>
      <c r="D4" s="529"/>
      <c r="E4" s="529"/>
      <c r="F4" s="529"/>
      <c r="G4" s="529"/>
      <c r="H4" s="529"/>
      <c r="I4" s="529"/>
      <c r="J4" s="529"/>
      <c r="K4" s="529"/>
      <c r="L4" s="529"/>
      <c r="M4" s="529"/>
      <c r="N4" s="529"/>
      <c r="O4" s="529"/>
      <c r="P4" s="529"/>
      <c r="Q4" s="529"/>
      <c r="R4" s="529"/>
      <c r="S4" s="529"/>
      <c r="T4" s="529"/>
      <c r="U4" s="529"/>
      <c r="V4" s="529"/>
      <c r="W4" s="529"/>
      <c r="X4" s="529"/>
      <c r="Y4" s="529"/>
      <c r="Z4" s="529"/>
    </row>
    <row r="5" spans="1:26" ht="21" x14ac:dyDescent="0.3">
      <c r="A5" s="320"/>
      <c r="B5" s="324"/>
      <c r="C5" s="324"/>
      <c r="D5" s="324"/>
      <c r="E5" s="324"/>
      <c r="F5" s="324"/>
      <c r="G5" s="324"/>
      <c r="H5" s="324"/>
      <c r="I5" s="324"/>
      <c r="J5" s="324"/>
      <c r="K5" s="325"/>
      <c r="L5" s="325"/>
      <c r="M5" s="325"/>
      <c r="N5" s="325"/>
      <c r="O5" s="49"/>
      <c r="P5" s="49"/>
      <c r="Q5" s="49"/>
      <c r="R5" s="49"/>
      <c r="S5" s="49"/>
      <c r="T5" s="49"/>
      <c r="U5" s="49"/>
      <c r="V5" s="49"/>
      <c r="W5" s="49"/>
      <c r="X5" s="49"/>
      <c r="Y5" s="49"/>
      <c r="Z5" s="49"/>
    </row>
    <row r="6" spans="1:26" ht="27.75" customHeight="1" x14ac:dyDescent="0.3">
      <c r="A6" s="530">
        <v>1</v>
      </c>
      <c r="B6" s="531" t="s">
        <v>21</v>
      </c>
      <c r="C6" s="532"/>
      <c r="D6" s="2311" t="str">
        <f>+$A$1</f>
        <v>Baseline</v>
      </c>
      <c r="E6" s="2311"/>
      <c r="F6" s="2311"/>
      <c r="G6" s="2311"/>
      <c r="H6" s="2311"/>
      <c r="I6" s="2311"/>
      <c r="J6" s="2311"/>
      <c r="K6" s="533"/>
      <c r="L6" s="533"/>
      <c r="M6" s="533"/>
      <c r="N6" s="533"/>
      <c r="O6" s="525"/>
      <c r="P6" s="534"/>
      <c r="Q6" s="534"/>
      <c r="R6" s="525"/>
      <c r="S6" s="525"/>
      <c r="T6" s="525"/>
      <c r="U6" s="525"/>
      <c r="V6" s="525"/>
      <c r="W6" s="525"/>
      <c r="X6" s="525"/>
      <c r="Y6" s="525"/>
      <c r="Z6" s="525"/>
    </row>
    <row r="7" spans="1:26" s="594" customFormat="1" ht="23.4" x14ac:dyDescent="0.3">
      <c r="A7" s="535">
        <v>1.1000000000000001</v>
      </c>
      <c r="B7" s="536" t="s">
        <v>22</v>
      </c>
      <c r="C7" s="537"/>
      <c r="D7" s="2311"/>
      <c r="E7" s="2311"/>
      <c r="F7" s="2311"/>
      <c r="G7" s="2311"/>
      <c r="H7" s="2311"/>
      <c r="I7" s="2311"/>
      <c r="J7" s="2311"/>
      <c r="K7" s="538"/>
      <c r="L7" s="538"/>
      <c r="M7" s="538"/>
      <c r="N7" s="538"/>
      <c r="O7" s="538"/>
      <c r="P7" s="538"/>
      <c r="Q7" s="538"/>
      <c r="R7" s="538"/>
      <c r="S7" s="538"/>
      <c r="T7" s="538"/>
      <c r="U7" s="538"/>
      <c r="V7" s="538"/>
      <c r="W7" s="538"/>
      <c r="X7" s="538"/>
      <c r="Y7" s="539"/>
      <c r="Z7" s="539"/>
    </row>
    <row r="8" spans="1:26" ht="15.75" customHeight="1" x14ac:dyDescent="0.3">
      <c r="A8" s="320"/>
      <c r="B8" s="43"/>
      <c r="C8" s="49"/>
      <c r="D8" s="336"/>
      <c r="E8" s="336"/>
      <c r="F8" s="336"/>
      <c r="G8" s="336"/>
      <c r="H8" s="336"/>
      <c r="I8" s="336"/>
      <c r="J8" s="336"/>
      <c r="K8" s="336"/>
      <c r="L8" s="49"/>
      <c r="M8" s="49"/>
      <c r="N8" s="49"/>
      <c r="O8" s="49"/>
      <c r="P8" s="49"/>
      <c r="Q8" s="49"/>
      <c r="R8" s="49"/>
      <c r="S8" s="49"/>
      <c r="T8" s="49"/>
      <c r="U8" s="49"/>
      <c r="V8" s="49"/>
      <c r="W8" s="49"/>
      <c r="X8" s="49"/>
      <c r="Y8" s="49"/>
      <c r="Z8" s="49"/>
    </row>
    <row r="9" spans="1:26" ht="15.75" customHeight="1" x14ac:dyDescent="0.3">
      <c r="A9" s="320"/>
      <c r="B9" s="43"/>
      <c r="C9" s="49"/>
      <c r="D9" s="336"/>
      <c r="E9" s="336"/>
      <c r="F9" s="336"/>
      <c r="G9" s="336"/>
      <c r="H9" s="336"/>
      <c r="I9" s="336"/>
      <c r="J9" s="336"/>
      <c r="K9" s="336"/>
      <c r="L9" s="49"/>
      <c r="M9" s="49"/>
      <c r="N9" s="49"/>
      <c r="O9" s="49"/>
      <c r="P9" s="49"/>
      <c r="Q9" s="49"/>
      <c r="R9" s="49"/>
      <c r="S9" s="49"/>
      <c r="T9" s="49"/>
      <c r="U9" s="49"/>
      <c r="V9" s="49"/>
      <c r="W9" s="49"/>
      <c r="X9" s="49"/>
      <c r="Y9" s="49"/>
      <c r="Z9" s="49"/>
    </row>
    <row r="10" spans="1:26" ht="15.75" customHeight="1" x14ac:dyDescent="0.3">
      <c r="A10" s="320"/>
      <c r="B10" s="43"/>
      <c r="C10" s="49"/>
      <c r="D10" s="336"/>
      <c r="E10" s="336"/>
      <c r="F10" s="336"/>
      <c r="G10" s="336"/>
      <c r="H10" s="336"/>
      <c r="I10" s="336"/>
      <c r="J10" s="336"/>
      <c r="K10" s="336"/>
      <c r="L10" s="49"/>
      <c r="M10" s="49"/>
      <c r="N10" s="49"/>
      <c r="O10" s="49"/>
      <c r="P10" s="49"/>
      <c r="Q10" s="49"/>
      <c r="R10" s="49"/>
      <c r="S10" s="49"/>
      <c r="T10" s="49"/>
      <c r="U10" s="49"/>
      <c r="V10" s="49"/>
      <c r="W10" s="49"/>
      <c r="X10" s="49"/>
      <c r="Y10" s="49"/>
      <c r="Z10" s="49"/>
    </row>
    <row r="11" spans="1:26" ht="15.75" customHeight="1" thickBot="1" x14ac:dyDescent="0.35">
      <c r="A11" s="320"/>
      <c r="B11" s="43"/>
      <c r="C11" s="30"/>
      <c r="D11" s="43"/>
      <c r="E11" s="336"/>
      <c r="F11" s="336"/>
      <c r="G11" s="336"/>
      <c r="H11" s="336"/>
      <c r="I11" s="336"/>
      <c r="J11" s="336"/>
      <c r="K11" s="336"/>
      <c r="L11" s="49"/>
      <c r="M11" s="49"/>
      <c r="N11" s="49"/>
      <c r="O11" s="49"/>
      <c r="P11" s="49"/>
      <c r="Q11" s="49"/>
      <c r="R11" s="49"/>
      <c r="S11" s="49"/>
      <c r="T11" s="49"/>
      <c r="U11" s="49"/>
      <c r="V11" s="49"/>
      <c r="W11" s="49"/>
      <c r="X11" s="49"/>
      <c r="Y11" s="49"/>
      <c r="Z11" s="49"/>
    </row>
    <row r="12" spans="1:26" ht="15.75" customHeight="1" thickBot="1" x14ac:dyDescent="0.35">
      <c r="A12" s="320"/>
      <c r="B12" s="337"/>
      <c r="C12" s="337"/>
      <c r="D12" s="337"/>
      <c r="E12" s="337"/>
      <c r="F12" s="337"/>
      <c r="G12" s="337"/>
      <c r="H12" s="337"/>
      <c r="I12" s="337"/>
      <c r="J12" s="337"/>
      <c r="K12" s="337"/>
      <c r="L12" s="49"/>
      <c r="M12" s="49"/>
      <c r="N12" s="49"/>
      <c r="O12" s="1860" t="s">
        <v>23</v>
      </c>
      <c r="P12" s="1861"/>
      <c r="Q12" s="1861"/>
      <c r="R12" s="1862"/>
      <c r="S12" s="49"/>
      <c r="T12" s="49"/>
      <c r="U12" s="1863" t="s">
        <v>144</v>
      </c>
      <c r="V12" s="1864"/>
      <c r="W12" s="1864"/>
      <c r="X12" s="1865"/>
      <c r="Y12" s="49"/>
      <c r="Z12" s="49"/>
    </row>
    <row r="13" spans="1:26" ht="28.2" customHeight="1" thickBot="1" x14ac:dyDescent="0.35">
      <c r="A13" s="320"/>
      <c r="B13" s="337"/>
      <c r="C13" s="337"/>
      <c r="D13" s="1866" t="s">
        <v>23</v>
      </c>
      <c r="E13" s="1867"/>
      <c r="F13" s="1868"/>
      <c r="G13" s="1869" t="s">
        <v>144</v>
      </c>
      <c r="H13" s="1870"/>
      <c r="I13" s="1849" t="s">
        <v>24</v>
      </c>
      <c r="J13" s="1850"/>
      <c r="K13" s="1851"/>
      <c r="L13" s="49"/>
      <c r="M13" s="49"/>
      <c r="N13" s="49"/>
      <c r="O13" s="1860" t="s">
        <v>25</v>
      </c>
      <c r="P13" s="1861"/>
      <c r="Q13" s="1861"/>
      <c r="R13" s="1862"/>
      <c r="S13" s="49"/>
      <c r="T13" s="49"/>
      <c r="U13" s="1863" t="s">
        <v>25</v>
      </c>
      <c r="V13" s="1864"/>
      <c r="W13" s="1864"/>
      <c r="X13" s="1865"/>
      <c r="Y13" s="49"/>
      <c r="Z13" s="49"/>
    </row>
    <row r="14" spans="1:26" ht="15.75" customHeight="1" thickBot="1" x14ac:dyDescent="0.35">
      <c r="A14" s="320"/>
      <c r="B14" s="337"/>
      <c r="C14" s="337"/>
      <c r="D14" s="338" t="s">
        <v>26</v>
      </c>
      <c r="E14" s="1087" t="s">
        <v>27</v>
      </c>
      <c r="F14" s="339" t="s">
        <v>28</v>
      </c>
      <c r="G14" s="1215" t="s">
        <v>29</v>
      </c>
      <c r="H14" s="1214" t="s">
        <v>28</v>
      </c>
      <c r="I14" s="1852"/>
      <c r="J14" s="1853"/>
      <c r="K14" s="1854"/>
      <c r="L14" s="49"/>
      <c r="M14" s="49"/>
      <c r="N14" s="49"/>
      <c r="O14" s="1084" t="s">
        <v>30</v>
      </c>
      <c r="P14" s="1085"/>
      <c r="Q14" s="1084" t="s">
        <v>31</v>
      </c>
      <c r="R14" s="1085"/>
      <c r="S14" s="49"/>
      <c r="T14" s="49"/>
      <c r="U14" s="2305" t="s">
        <v>30</v>
      </c>
      <c r="V14" s="2306"/>
      <c r="W14" s="2305" t="s">
        <v>31</v>
      </c>
      <c r="X14" s="2306"/>
      <c r="Y14" s="49"/>
      <c r="Z14" s="49"/>
    </row>
    <row r="15" spans="1:26" ht="28.95" customHeight="1" thickBot="1" x14ac:dyDescent="0.35">
      <c r="A15" s="320"/>
      <c r="B15" s="1881" t="s">
        <v>32</v>
      </c>
      <c r="C15" s="1882"/>
      <c r="D15" s="340">
        <f>SUM(D16:D39)</f>
        <v>1780410156</v>
      </c>
      <c r="E15" s="341"/>
      <c r="F15" s="342">
        <f>SUM(F16:F39)</f>
        <v>533707.53609535005</v>
      </c>
      <c r="G15" s="560">
        <f>SUM(G16:G39)</f>
        <v>0</v>
      </c>
      <c r="H15" s="344">
        <f>SUM(H16:H39)</f>
        <v>0</v>
      </c>
      <c r="I15" s="1871"/>
      <c r="J15" s="1872"/>
      <c r="K15" s="1873"/>
      <c r="L15" s="345"/>
      <c r="M15" s="49"/>
      <c r="N15" s="49"/>
      <c r="O15" s="346" t="s">
        <v>33</v>
      </c>
      <c r="P15" s="347" t="s">
        <v>34</v>
      </c>
      <c r="Q15" s="346" t="s">
        <v>35</v>
      </c>
      <c r="R15" s="347" t="s">
        <v>34</v>
      </c>
      <c r="S15" s="31"/>
      <c r="T15" s="49"/>
      <c r="U15" s="1211" t="s">
        <v>33</v>
      </c>
      <c r="V15" s="1212" t="s">
        <v>34</v>
      </c>
      <c r="W15" s="1211" t="s">
        <v>35</v>
      </c>
      <c r="X15" s="1212" t="s">
        <v>34</v>
      </c>
      <c r="Y15" s="49"/>
      <c r="Z15" s="49"/>
    </row>
    <row r="16" spans="1:26" ht="15" customHeight="1" thickBot="1" x14ac:dyDescent="0.35">
      <c r="A16" s="320" t="s">
        <v>372</v>
      </c>
      <c r="B16" s="1883" t="s">
        <v>36</v>
      </c>
      <c r="C16" s="649" t="s">
        <v>37</v>
      </c>
      <c r="D16" s="540">
        <v>414942276</v>
      </c>
      <c r="E16" s="61">
        <f>+O16+Q16</f>
        <v>0.53290999999999999</v>
      </c>
      <c r="F16" s="349">
        <f>P16+R16</f>
        <v>221126.88830316003</v>
      </c>
      <c r="G16" s="348"/>
      <c r="H16" s="652">
        <f>IF(Performance!$L$2="y",F16,E16*G16/1000)</f>
        <v>0</v>
      </c>
      <c r="I16" s="2302"/>
      <c r="J16" s="2303"/>
      <c r="K16" s="2304"/>
      <c r="L16" s="49"/>
      <c r="M16" s="49"/>
      <c r="N16" s="49"/>
      <c r="O16" s="62">
        <f>+'Emission Factors'!C7</f>
        <v>0.49381000000000003</v>
      </c>
      <c r="P16" s="32">
        <f>(D16*O16)/1000</f>
        <v>204902.64531156002</v>
      </c>
      <c r="Q16" s="63">
        <f>+'Emission Factors'!C8</f>
        <v>3.9100000000000003E-2</v>
      </c>
      <c r="R16" s="32">
        <f>(D16*Q16)/1000</f>
        <v>16224.242991600002</v>
      </c>
      <c r="S16" s="31"/>
      <c r="T16" s="49"/>
      <c r="U16" s="64">
        <f>+O16</f>
        <v>0.49381000000000003</v>
      </c>
      <c r="V16" s="82">
        <f>IF(Performance!$L$2="y",P16,$G16*U16/1000)</f>
        <v>0</v>
      </c>
      <c r="W16" s="64">
        <f>+Q16</f>
        <v>3.9100000000000003E-2</v>
      </c>
      <c r="X16" s="33">
        <f>IF(Performance!$L$2="y",R16,$G16*W16/1000)</f>
        <v>0</v>
      </c>
      <c r="Y16" s="49"/>
      <c r="Z16" s="49"/>
    </row>
    <row r="17" spans="1:26" ht="15" customHeight="1" thickBot="1" x14ac:dyDescent="0.35">
      <c r="A17" s="320" t="s">
        <v>372</v>
      </c>
      <c r="B17" s="1884"/>
      <c r="C17" s="649" t="s">
        <v>38</v>
      </c>
      <c r="D17" s="540">
        <v>117671584</v>
      </c>
      <c r="E17" s="61">
        <f>+O17+Q17</f>
        <v>0.53290999999999999</v>
      </c>
      <c r="F17" s="349">
        <f>P17+R17</f>
        <v>62708.363829440001</v>
      </c>
      <c r="G17" s="348"/>
      <c r="H17" s="652">
        <f>IF(Performance!$L$2="y",F17,E17*G17/1000)</f>
        <v>0</v>
      </c>
      <c r="I17" s="2302"/>
      <c r="J17" s="2303"/>
      <c r="K17" s="2304"/>
      <c r="L17" s="49"/>
      <c r="M17" s="49"/>
      <c r="N17" s="49"/>
      <c r="O17" s="62">
        <f>+O16</f>
        <v>0.49381000000000003</v>
      </c>
      <c r="P17" s="32">
        <f>(D17*O17)/1000</f>
        <v>58107.404895040003</v>
      </c>
      <c r="Q17" s="63">
        <f>+Q16</f>
        <v>3.9100000000000003E-2</v>
      </c>
      <c r="R17" s="32">
        <f>(D17*Q17)/1000</f>
        <v>4600.9589344000005</v>
      </c>
      <c r="S17" s="31"/>
      <c r="T17" s="49"/>
      <c r="U17" s="65">
        <f>+O17</f>
        <v>0.49381000000000003</v>
      </c>
      <c r="V17" s="83">
        <f>IF(Performance!$L$2="y",P17,$G17*U17/1000)</f>
        <v>0</v>
      </c>
      <c r="W17" s="65">
        <f>+Q17</f>
        <v>3.9100000000000003E-2</v>
      </c>
      <c r="X17" s="34">
        <f>IF(Performance!$L$2="y",R17,$G17*W17/1000)</f>
        <v>0</v>
      </c>
      <c r="Y17" s="49"/>
      <c r="Z17" s="49"/>
    </row>
    <row r="18" spans="1:26" ht="17.25" customHeight="1" thickBot="1" x14ac:dyDescent="0.35">
      <c r="A18" s="320" t="s">
        <v>372</v>
      </c>
      <c r="B18" s="1884"/>
      <c r="C18" s="649" t="s">
        <v>39</v>
      </c>
      <c r="D18" s="540">
        <v>22945741</v>
      </c>
      <c r="E18" s="61">
        <f>+O18+Q18</f>
        <v>0.53290999999999999</v>
      </c>
      <c r="F18" s="349">
        <f>P18+R18</f>
        <v>12228.014836310002</v>
      </c>
      <c r="G18" s="348"/>
      <c r="H18" s="652">
        <f>IF(Performance!$L$2="y",F18,E18*G18/1000)</f>
        <v>0</v>
      </c>
      <c r="I18" s="2302"/>
      <c r="J18" s="2303"/>
      <c r="K18" s="2304"/>
      <c r="L18" s="49"/>
      <c r="M18" s="49"/>
      <c r="N18" s="49"/>
      <c r="O18" s="62">
        <f>+O17</f>
        <v>0.49381000000000003</v>
      </c>
      <c r="P18" s="32">
        <f>(D18*O18)/1000</f>
        <v>11330.836363210001</v>
      </c>
      <c r="Q18" s="63">
        <f>+Q17</f>
        <v>3.9100000000000003E-2</v>
      </c>
      <c r="R18" s="32">
        <f>(D18*Q18)/1000</f>
        <v>897.17847310000002</v>
      </c>
      <c r="S18" s="31"/>
      <c r="T18" s="49"/>
      <c r="U18" s="65">
        <f>+O18</f>
        <v>0.49381000000000003</v>
      </c>
      <c r="V18" s="83">
        <f>IF(Performance!$L$2="y",P18,$G18*U18/1000)</f>
        <v>0</v>
      </c>
      <c r="W18" s="65">
        <f>+Q18</f>
        <v>3.9100000000000003E-2</v>
      </c>
      <c r="X18" s="34">
        <f>IF(Performance!$L$2="y",R18,$G18*W18/1000)</f>
        <v>0</v>
      </c>
      <c r="Y18" s="49"/>
      <c r="Z18" s="49"/>
    </row>
    <row r="19" spans="1:26" ht="17.25" customHeight="1" thickBot="1" x14ac:dyDescent="0.35">
      <c r="A19" s="320" t="s">
        <v>372</v>
      </c>
      <c r="B19" s="1884"/>
      <c r="C19" s="649" t="s">
        <v>40</v>
      </c>
      <c r="D19" s="540">
        <v>0</v>
      </c>
      <c r="E19" s="61">
        <f>+O19+Q19</f>
        <v>0.53290999999999999</v>
      </c>
      <c r="F19" s="349">
        <f>P19+R19</f>
        <v>0</v>
      </c>
      <c r="G19" s="348"/>
      <c r="H19" s="652">
        <f>IF(Performance!$L$2="y",F19,E19*G19/1000)</f>
        <v>0</v>
      </c>
      <c r="I19" s="2302"/>
      <c r="J19" s="2303"/>
      <c r="K19" s="2304"/>
      <c r="L19" s="49"/>
      <c r="M19" s="49"/>
      <c r="N19" s="49"/>
      <c r="O19" s="66">
        <f>+O18</f>
        <v>0.49381000000000003</v>
      </c>
      <c r="P19" s="35">
        <f>(D19*O19)/1000</f>
        <v>0</v>
      </c>
      <c r="Q19" s="67">
        <f>+Q18</f>
        <v>3.9100000000000003E-2</v>
      </c>
      <c r="R19" s="35">
        <f>(D19*Q19)/1000</f>
        <v>0</v>
      </c>
      <c r="S19" s="31"/>
      <c r="T19" s="49"/>
      <c r="U19" s="68">
        <f>+O19</f>
        <v>0.49381000000000003</v>
      </c>
      <c r="V19" s="84">
        <f>IF(Performance!$L$2="y",P19,$G19*U19/1000)</f>
        <v>0</v>
      </c>
      <c r="W19" s="68">
        <f>+Q19</f>
        <v>3.9100000000000003E-2</v>
      </c>
      <c r="X19" s="36">
        <f>IF(Performance!$L$2="y",R19,$G19*W19/1000)</f>
        <v>0</v>
      </c>
      <c r="Y19" s="49"/>
      <c r="Z19" s="49"/>
    </row>
    <row r="20" spans="1:26" ht="15.75" customHeight="1" thickBot="1" x14ac:dyDescent="0.35">
      <c r="A20" s="320" t="s">
        <v>370</v>
      </c>
      <c r="B20" s="1884"/>
      <c r="C20" s="37" t="s">
        <v>41</v>
      </c>
      <c r="D20" s="540">
        <v>1098226508</v>
      </c>
      <c r="E20" s="69">
        <f>+'Emission Factors'!C11</f>
        <v>0.18396000000000001</v>
      </c>
      <c r="F20" s="349">
        <f>(D20*E20)/1000</f>
        <v>202029.74841168002</v>
      </c>
      <c r="G20" s="348"/>
      <c r="H20" s="652">
        <f>IF(Performance!$L$2="y",F20,E20*G20/1000)</f>
        <v>0</v>
      </c>
      <c r="I20" s="2302"/>
      <c r="J20" s="2303"/>
      <c r="K20" s="2304"/>
      <c r="L20" s="49"/>
      <c r="M20" s="49"/>
      <c r="N20" s="49"/>
      <c r="O20" s="49"/>
      <c r="P20" s="49"/>
      <c r="Q20" s="49"/>
      <c r="R20" s="49"/>
      <c r="S20" s="49"/>
      <c r="T20" s="49"/>
      <c r="U20" s="49"/>
      <c r="V20" s="49"/>
      <c r="W20" s="49"/>
      <c r="X20" s="49"/>
      <c r="Y20" s="49"/>
      <c r="Z20" s="49"/>
    </row>
    <row r="21" spans="1:26" ht="15.75" customHeight="1" thickBot="1" x14ac:dyDescent="0.35">
      <c r="A21" s="320" t="s">
        <v>370</v>
      </c>
      <c r="B21" s="1884"/>
      <c r="C21" s="37" t="s">
        <v>42</v>
      </c>
      <c r="D21" s="540">
        <v>90767896</v>
      </c>
      <c r="E21" s="69">
        <f>+'Emission Factors'!C12</f>
        <v>0.27651999999999999</v>
      </c>
      <c r="F21" s="349">
        <f t="shared" ref="F21:F39" si="0">(D21*E21)/1000</f>
        <v>25099.138601919996</v>
      </c>
      <c r="G21" s="348"/>
      <c r="H21" s="652">
        <f>IF(Performance!$L$2="y",F21,E21*G21/1000)</f>
        <v>0</v>
      </c>
      <c r="I21" s="2302"/>
      <c r="J21" s="2303"/>
      <c r="K21" s="2304"/>
      <c r="L21" s="49"/>
      <c r="M21" s="49"/>
      <c r="N21" s="49"/>
      <c r="O21" s="1860" t="s">
        <v>23</v>
      </c>
      <c r="P21" s="1861"/>
      <c r="Q21" s="1861"/>
      <c r="R21" s="1862"/>
      <c r="S21" s="49"/>
      <c r="T21" s="49"/>
      <c r="U21" s="1863" t="s">
        <v>144</v>
      </c>
      <c r="V21" s="1864"/>
      <c r="W21" s="1864"/>
      <c r="X21" s="1865"/>
      <c r="Y21" s="49"/>
      <c r="Z21" s="49"/>
    </row>
    <row r="22" spans="1:26" ht="13.5" customHeight="1" thickBot="1" x14ac:dyDescent="0.35">
      <c r="A22" s="320" t="s">
        <v>370</v>
      </c>
      <c r="B22" s="1884"/>
      <c r="C22" s="37" t="s">
        <v>43</v>
      </c>
      <c r="D22" s="540">
        <v>10245561</v>
      </c>
      <c r="E22" s="69">
        <f>+'Emission Factors'!C13</f>
        <v>0.21443999999999999</v>
      </c>
      <c r="F22" s="349">
        <f t="shared" si="0"/>
        <v>2197.05810084</v>
      </c>
      <c r="G22" s="348"/>
      <c r="H22" s="652">
        <f>IF(Performance!$L$2="y",F22,E22*G22/1000)</f>
        <v>0</v>
      </c>
      <c r="I22" s="2302"/>
      <c r="J22" s="2303"/>
      <c r="K22" s="2304"/>
      <c r="L22" s="49"/>
      <c r="M22" s="49"/>
      <c r="N22" s="49"/>
      <c r="O22" s="1874" t="s">
        <v>44</v>
      </c>
      <c r="P22" s="1875"/>
      <c r="Q22" s="1874" t="s">
        <v>45</v>
      </c>
      <c r="R22" s="1875"/>
      <c r="S22" s="49"/>
      <c r="T22" s="49"/>
      <c r="U22" s="2305" t="s">
        <v>44</v>
      </c>
      <c r="V22" s="2306"/>
      <c r="W22" s="2305" t="s">
        <v>45</v>
      </c>
      <c r="X22" s="2306"/>
      <c r="Y22" s="49"/>
      <c r="Z22" s="49"/>
    </row>
    <row r="23" spans="1:26" ht="15.75" customHeight="1" thickBot="1" x14ac:dyDescent="0.35">
      <c r="A23" s="320" t="s">
        <v>370</v>
      </c>
      <c r="B23" s="1884"/>
      <c r="C23" s="37" t="s">
        <v>46</v>
      </c>
      <c r="D23" s="540">
        <v>21720420</v>
      </c>
      <c r="E23" s="69">
        <f>+'Emission Factors'!C14</f>
        <v>0.3392</v>
      </c>
      <c r="F23" s="349">
        <f t="shared" si="0"/>
        <v>7367.5664639999995</v>
      </c>
      <c r="G23" s="348"/>
      <c r="H23" s="652">
        <f>IF(Performance!$L$2="y",F23,E23*G23/1000)</f>
        <v>0</v>
      </c>
      <c r="I23" s="2302"/>
      <c r="J23" s="2303"/>
      <c r="K23" s="2304"/>
      <c r="L23" s="49"/>
      <c r="M23" s="49"/>
      <c r="N23" s="49"/>
      <c r="O23" s="1891" t="s">
        <v>33</v>
      </c>
      <c r="P23" s="1893" t="s">
        <v>34</v>
      </c>
      <c r="Q23" s="1891" t="s">
        <v>35</v>
      </c>
      <c r="R23" s="1893" t="s">
        <v>34</v>
      </c>
      <c r="S23" s="49"/>
      <c r="T23" s="49"/>
      <c r="U23" s="2309" t="s">
        <v>33</v>
      </c>
      <c r="V23" s="2307" t="s">
        <v>34</v>
      </c>
      <c r="W23" s="2309" t="s">
        <v>35</v>
      </c>
      <c r="X23" s="2307" t="s">
        <v>34</v>
      </c>
      <c r="Y23" s="49"/>
      <c r="Z23" s="49"/>
    </row>
    <row r="24" spans="1:26" ht="15.75" customHeight="1" thickBot="1" x14ac:dyDescent="0.35">
      <c r="A24" s="320" t="s">
        <v>370</v>
      </c>
      <c r="B24" s="1884"/>
      <c r="C24" s="37" t="s">
        <v>47</v>
      </c>
      <c r="D24" s="540">
        <v>0</v>
      </c>
      <c r="E24" s="69">
        <f>+'Emission Factors'!C15</f>
        <v>0</v>
      </c>
      <c r="F24" s="349">
        <f t="shared" si="0"/>
        <v>0</v>
      </c>
      <c r="G24" s="348"/>
      <c r="H24" s="652">
        <f>IF(Performance!$L$2="y",F24,E24*G24/1000)</f>
        <v>0</v>
      </c>
      <c r="I24" s="2302"/>
      <c r="J24" s="2303"/>
      <c r="K24" s="2304"/>
      <c r="L24" s="49"/>
      <c r="M24" s="49"/>
      <c r="N24" s="49"/>
      <c r="O24" s="2365"/>
      <c r="P24" s="1894"/>
      <c r="Q24" s="2365"/>
      <c r="R24" s="1894"/>
      <c r="S24" s="49"/>
      <c r="T24" s="49"/>
      <c r="U24" s="2310"/>
      <c r="V24" s="2308"/>
      <c r="W24" s="2310"/>
      <c r="X24" s="2308"/>
      <c r="Y24" s="49"/>
      <c r="Z24" s="49"/>
    </row>
    <row r="25" spans="1:26" ht="15.75" customHeight="1" thickBot="1" x14ac:dyDescent="0.35">
      <c r="A25" s="320" t="s">
        <v>372</v>
      </c>
      <c r="B25" s="1884"/>
      <c r="C25" s="649" t="s">
        <v>48</v>
      </c>
      <c r="D25" s="540">
        <v>3890170</v>
      </c>
      <c r="E25" s="69">
        <f>+O25+Q25</f>
        <v>0.24440000000000001</v>
      </c>
      <c r="F25" s="349">
        <f>P25+R25</f>
        <v>950.75754799999993</v>
      </c>
      <c r="G25" s="348"/>
      <c r="H25" s="652">
        <f>IF(Performance!$L$2="y",F25,E25*G25/1000)</f>
        <v>0</v>
      </c>
      <c r="I25" s="2302"/>
      <c r="J25" s="2303"/>
      <c r="K25" s="2304"/>
      <c r="L25" s="49"/>
      <c r="M25" s="49"/>
      <c r="N25" s="49"/>
      <c r="O25" s="70">
        <f>+'Emission Factors'!C33</f>
        <v>0.23218</v>
      </c>
      <c r="P25" s="38">
        <f>(D25*O25)/1000</f>
        <v>903.21967059999997</v>
      </c>
      <c r="Q25" s="71">
        <f>+'Emission Factors'!C34</f>
        <v>1.222E-2</v>
      </c>
      <c r="R25" s="38">
        <f>(D25*Q25)/1000</f>
        <v>47.537877399999999</v>
      </c>
      <c r="S25" s="49"/>
      <c r="T25" s="49"/>
      <c r="U25" s="72">
        <f>+O25</f>
        <v>0.23218</v>
      </c>
      <c r="V25" s="39">
        <f>IF(Performance!$L$2="y",P25,$G25*U25/1000)</f>
        <v>0</v>
      </c>
      <c r="W25" s="73">
        <f>+Q25</f>
        <v>1.222E-2</v>
      </c>
      <c r="X25" s="39">
        <f>IF(Performance!$L$2="y",R25,$G25*W25/1000)</f>
        <v>0</v>
      </c>
      <c r="Y25" s="49"/>
      <c r="Z25" s="49"/>
    </row>
    <row r="26" spans="1:26" ht="15.75" customHeight="1" thickBot="1" x14ac:dyDescent="0.35">
      <c r="A26" s="320" t="s">
        <v>372</v>
      </c>
      <c r="B26" s="1884"/>
      <c r="C26" s="37" t="s">
        <v>49</v>
      </c>
      <c r="D26" s="540">
        <v>0</v>
      </c>
      <c r="E26" s="69">
        <f>+'Emission Factors'!C17</f>
        <v>0</v>
      </c>
      <c r="F26" s="349">
        <f>(D26*E26)/1000</f>
        <v>0</v>
      </c>
      <c r="G26" s="348"/>
      <c r="H26" s="652">
        <f>IF(Performance!$L$2="y",F26,E26*G26/1000)</f>
        <v>0</v>
      </c>
      <c r="I26" s="2302"/>
      <c r="J26" s="2303"/>
      <c r="K26" s="2304"/>
      <c r="L26" s="49"/>
      <c r="M26" s="49"/>
      <c r="N26" s="49"/>
      <c r="O26" s="49"/>
      <c r="P26" s="49"/>
      <c r="Q26" s="49"/>
      <c r="R26" s="49"/>
      <c r="S26" s="49"/>
      <c r="T26" s="49"/>
      <c r="U26" s="49"/>
      <c r="V26" s="49"/>
      <c r="W26" s="49"/>
      <c r="X26" s="49"/>
      <c r="Y26" s="49"/>
      <c r="Z26" s="49"/>
    </row>
    <row r="27" spans="1:26" ht="23.25" customHeight="1" thickBot="1" x14ac:dyDescent="0.35">
      <c r="A27" s="320" t="s">
        <v>372</v>
      </c>
      <c r="B27" s="1884"/>
      <c r="C27" s="37" t="s">
        <v>50</v>
      </c>
      <c r="D27" s="540">
        <v>0</v>
      </c>
      <c r="E27" s="351">
        <v>0</v>
      </c>
      <c r="F27" s="349">
        <f t="shared" si="0"/>
        <v>0</v>
      </c>
      <c r="G27" s="348"/>
      <c r="H27" s="652">
        <f>IF(Performance!$L$2="y",F27,E27*G27/1000)</f>
        <v>0</v>
      </c>
      <c r="I27" s="2302"/>
      <c r="J27" s="2303"/>
      <c r="K27" s="2304"/>
      <c r="L27" s="49"/>
      <c r="M27" s="49"/>
      <c r="N27" s="49"/>
      <c r="O27" s="1874" t="s">
        <v>511</v>
      </c>
      <c r="P27" s="1875"/>
      <c r="Q27" s="1874" t="s">
        <v>512</v>
      </c>
      <c r="R27" s="1875"/>
      <c r="S27" s="49"/>
      <c r="T27" s="49"/>
      <c r="U27" s="2305" t="s">
        <v>511</v>
      </c>
      <c r="V27" s="2306"/>
      <c r="W27" s="2305" t="s">
        <v>512</v>
      </c>
      <c r="X27" s="2306"/>
      <c r="Y27" s="49"/>
      <c r="Z27" s="49"/>
    </row>
    <row r="28" spans="1:26" ht="15" customHeight="1" thickBot="1" x14ac:dyDescent="0.35">
      <c r="A28" s="320" t="s">
        <v>372</v>
      </c>
      <c r="B28" s="1884"/>
      <c r="C28" s="37" t="s">
        <v>369</v>
      </c>
      <c r="D28" s="540">
        <v>0</v>
      </c>
      <c r="E28" s="69">
        <f>+O28+Q28</f>
        <v>0.24226392066073935</v>
      </c>
      <c r="F28" s="349">
        <f t="shared" si="0"/>
        <v>0</v>
      </c>
      <c r="G28" s="348"/>
      <c r="H28" s="652">
        <f>IF(Performance!$L$2="y",F28,E28*G28/1000)</f>
        <v>0</v>
      </c>
      <c r="I28" s="2302"/>
      <c r="J28" s="2303"/>
      <c r="K28" s="2304"/>
      <c r="L28" s="49"/>
      <c r="M28" s="49"/>
      <c r="N28" s="49"/>
      <c r="O28" s="70">
        <f>+'Emission Factors'!C31</f>
        <v>0.24226392066073935</v>
      </c>
      <c r="P28" s="38">
        <f>(D28*O28)/1000</f>
        <v>0</v>
      </c>
      <c r="Q28" s="71">
        <f>+'Emission Factors'!C32</f>
        <v>0</v>
      </c>
      <c r="R28" s="38">
        <f>(D28*Q28)/1000</f>
        <v>0</v>
      </c>
      <c r="S28" s="49"/>
      <c r="T28" s="49"/>
      <c r="U28" s="72">
        <f>+O28</f>
        <v>0.24226392066073935</v>
      </c>
      <c r="V28" s="39">
        <f>IF(Performance!$L$2="y",P28,$G28*U28/1000)</f>
        <v>0</v>
      </c>
      <c r="W28" s="73">
        <f>+Q28</f>
        <v>0</v>
      </c>
      <c r="X28" s="39">
        <f>IF(Performance!$L$2="y",R28,$G28*W28/1000)</f>
        <v>0</v>
      </c>
      <c r="Y28" s="49"/>
      <c r="Z28" s="49"/>
    </row>
    <row r="29" spans="1:26" ht="15.75" customHeight="1" thickBot="1" x14ac:dyDescent="0.35">
      <c r="A29" s="320" t="s">
        <v>370</v>
      </c>
      <c r="B29" s="1884"/>
      <c r="C29" s="352" t="s">
        <v>368</v>
      </c>
      <c r="D29" s="540">
        <v>0</v>
      </c>
      <c r="E29" s="540">
        <v>0</v>
      </c>
      <c r="F29" s="353">
        <f t="shared" si="0"/>
        <v>0</v>
      </c>
      <c r="G29" s="348"/>
      <c r="H29" s="652">
        <f>IF(Performance!$L$2="y",F29,E29*G29/1000)</f>
        <v>0</v>
      </c>
      <c r="I29" s="2302"/>
      <c r="J29" s="2303"/>
      <c r="K29" s="2304"/>
      <c r="L29" s="49"/>
      <c r="M29" s="49"/>
      <c r="N29" s="49"/>
      <c r="O29" s="49"/>
      <c r="P29" s="49"/>
      <c r="Q29" s="49"/>
      <c r="R29" s="49"/>
      <c r="S29" s="49"/>
      <c r="T29" s="49"/>
      <c r="U29" s="49"/>
      <c r="V29" s="49"/>
      <c r="W29" s="49"/>
      <c r="X29" s="49"/>
      <c r="Y29" s="49"/>
      <c r="Z29" s="49"/>
    </row>
    <row r="30" spans="1:26" ht="15" customHeight="1" thickBot="1" x14ac:dyDescent="0.35">
      <c r="A30" s="320" t="s">
        <v>370</v>
      </c>
      <c r="B30" s="1883" t="s">
        <v>53</v>
      </c>
      <c r="C30" s="184" t="s">
        <v>54</v>
      </c>
      <c r="D30" s="540">
        <v>0</v>
      </c>
      <c r="E30" s="151">
        <f>+'Emission Factors'!C21</f>
        <v>0</v>
      </c>
      <c r="F30" s="356">
        <f t="shared" si="0"/>
        <v>0</v>
      </c>
      <c r="G30" s="348"/>
      <c r="H30" s="652">
        <f>IF(Performance!$L$2="y",F30,E30*G30/1000)</f>
        <v>0</v>
      </c>
      <c r="I30" s="2302"/>
      <c r="J30" s="2303"/>
      <c r="K30" s="2304"/>
      <c r="L30" s="49"/>
      <c r="M30" s="49"/>
      <c r="N30" s="49"/>
      <c r="O30" s="49"/>
      <c r="P30" s="49"/>
      <c r="Q30" s="49"/>
      <c r="R30" s="49"/>
      <c r="S30" s="49"/>
      <c r="T30" s="49"/>
      <c r="U30" s="49"/>
      <c r="V30" s="49"/>
      <c r="W30" s="49"/>
      <c r="X30" s="49"/>
      <c r="Y30" s="49"/>
      <c r="Z30" s="49"/>
    </row>
    <row r="31" spans="1:26" ht="15" customHeight="1" thickBot="1" x14ac:dyDescent="0.35">
      <c r="A31" s="320" t="s">
        <v>370</v>
      </c>
      <c r="B31" s="1884"/>
      <c r="C31" s="37" t="s">
        <v>55</v>
      </c>
      <c r="D31" s="540">
        <v>0</v>
      </c>
      <c r="E31" s="69">
        <f>+'Emission Factors'!C22</f>
        <v>0</v>
      </c>
      <c r="F31" s="85">
        <f t="shared" si="0"/>
        <v>0</v>
      </c>
      <c r="G31" s="348"/>
      <c r="H31" s="652">
        <f>IF(Performance!$L$2="y",F31,E31*G31/1000)</f>
        <v>0</v>
      </c>
      <c r="I31" s="2302"/>
      <c r="J31" s="2303"/>
      <c r="K31" s="2304"/>
      <c r="L31" s="49"/>
      <c r="M31" s="49"/>
      <c r="N31" s="49"/>
      <c r="O31" s="49"/>
      <c r="P31" s="49"/>
      <c r="Q31" s="49"/>
      <c r="R31" s="49"/>
      <c r="S31" s="49"/>
      <c r="T31" s="49"/>
      <c r="U31" s="49"/>
      <c r="V31" s="49"/>
      <c r="W31" s="49"/>
      <c r="X31" s="49"/>
      <c r="Y31" s="49"/>
      <c r="Z31" s="49"/>
    </row>
    <row r="32" spans="1:26" ht="15" customHeight="1" thickBot="1" x14ac:dyDescent="0.35">
      <c r="A32" s="320" t="s">
        <v>370</v>
      </c>
      <c r="B32" s="1884"/>
      <c r="C32" s="37" t="s">
        <v>56</v>
      </c>
      <c r="D32" s="540">
        <v>0</v>
      </c>
      <c r="E32" s="69">
        <f>+'Emission Factors'!C23</f>
        <v>0</v>
      </c>
      <c r="F32" s="85">
        <f t="shared" si="0"/>
        <v>0</v>
      </c>
      <c r="G32" s="348"/>
      <c r="H32" s="652">
        <f>IF(Performance!$L$2="y",F32,E32*G32/1000)</f>
        <v>0</v>
      </c>
      <c r="I32" s="2302"/>
      <c r="J32" s="2303"/>
      <c r="K32" s="2304"/>
      <c r="L32" s="49"/>
      <c r="M32" s="49"/>
      <c r="N32" s="49"/>
      <c r="O32" s="49"/>
      <c r="P32" s="49"/>
      <c r="Q32" s="49"/>
      <c r="R32" s="49"/>
      <c r="S32" s="49"/>
      <c r="T32" s="49"/>
      <c r="U32" s="49"/>
      <c r="V32" s="49"/>
      <c r="W32" s="49"/>
      <c r="X32" s="49"/>
      <c r="Y32" s="49"/>
      <c r="Z32" s="49"/>
    </row>
    <row r="33" spans="1:26" ht="15" customHeight="1" thickBot="1" x14ac:dyDescent="0.35">
      <c r="A33" s="320" t="s">
        <v>370</v>
      </c>
      <c r="B33" s="1884"/>
      <c r="C33" s="37" t="s">
        <v>52</v>
      </c>
      <c r="D33" s="540">
        <v>0</v>
      </c>
      <c r="E33" s="351"/>
      <c r="F33" s="85">
        <f t="shared" si="0"/>
        <v>0</v>
      </c>
      <c r="G33" s="348"/>
      <c r="H33" s="652">
        <f>IF(Performance!$L$2="y",F33,E33*G33/1000)</f>
        <v>0</v>
      </c>
      <c r="I33" s="2302"/>
      <c r="J33" s="2303"/>
      <c r="K33" s="2304"/>
      <c r="L33" s="49"/>
      <c r="M33" s="49"/>
      <c r="N33" s="49"/>
      <c r="O33" s="49"/>
      <c r="P33" s="49"/>
      <c r="Q33" s="49"/>
      <c r="R33" s="49"/>
      <c r="S33" s="49"/>
      <c r="T33" s="49"/>
      <c r="U33" s="49"/>
      <c r="V33" s="49"/>
      <c r="W33" s="49"/>
      <c r="X33" s="49"/>
      <c r="Y33" s="49"/>
      <c r="Z33" s="49"/>
    </row>
    <row r="34" spans="1:26" ht="15" customHeight="1" thickBot="1" x14ac:dyDescent="0.35">
      <c r="A34" s="320" t="s">
        <v>370</v>
      </c>
      <c r="B34" s="1884"/>
      <c r="C34" s="357" t="s">
        <v>57</v>
      </c>
      <c r="D34" s="540">
        <v>0</v>
      </c>
      <c r="E34" s="541">
        <v>0</v>
      </c>
      <c r="F34" s="348">
        <f t="shared" si="0"/>
        <v>0</v>
      </c>
      <c r="G34" s="348"/>
      <c r="H34" s="348">
        <f>IF(Performance!$L$2="y",F34,E34*G34/1000)</f>
        <v>0</v>
      </c>
      <c r="I34" s="2302"/>
      <c r="J34" s="2303"/>
      <c r="K34" s="2304"/>
      <c r="L34" s="49"/>
      <c r="M34" s="49"/>
      <c r="N34" s="49"/>
      <c r="O34" s="49"/>
      <c r="P34" s="49"/>
      <c r="Q34" s="49"/>
      <c r="R34" s="49"/>
      <c r="S34" s="49"/>
      <c r="T34" s="49"/>
      <c r="U34" s="49"/>
      <c r="V34" s="49"/>
      <c r="W34" s="49"/>
      <c r="X34" s="49"/>
      <c r="Y34" s="49"/>
      <c r="Z34" s="49"/>
    </row>
    <row r="35" spans="1:26" ht="15" customHeight="1" thickBot="1" x14ac:dyDescent="0.35">
      <c r="A35" s="320" t="s">
        <v>370</v>
      </c>
      <c r="B35" s="1884"/>
      <c r="C35" s="357" t="s">
        <v>58</v>
      </c>
      <c r="D35" s="540">
        <v>0</v>
      </c>
      <c r="E35" s="541">
        <v>0</v>
      </c>
      <c r="F35" s="348">
        <f t="shared" si="0"/>
        <v>0</v>
      </c>
      <c r="G35" s="348"/>
      <c r="H35" s="348">
        <f>IF(Performance!$L$2="y",F35,E35*G35/1000)</f>
        <v>0</v>
      </c>
      <c r="I35" s="2302"/>
      <c r="J35" s="2303"/>
      <c r="K35" s="2304"/>
      <c r="L35" s="49"/>
      <c r="M35" s="49"/>
      <c r="N35" s="49"/>
      <c r="O35" s="49"/>
      <c r="P35" s="49"/>
      <c r="Q35" s="49"/>
      <c r="R35" s="49"/>
      <c r="S35" s="49"/>
      <c r="T35" s="49"/>
      <c r="U35" s="49"/>
      <c r="V35" s="49"/>
      <c r="W35" s="49"/>
      <c r="X35" s="49"/>
      <c r="Y35" s="49"/>
      <c r="Z35" s="49"/>
    </row>
    <row r="36" spans="1:26" ht="15" customHeight="1" thickBot="1" x14ac:dyDescent="0.35">
      <c r="A36" s="320" t="s">
        <v>370</v>
      </c>
      <c r="B36" s="1884"/>
      <c r="C36" s="357" t="s">
        <v>59</v>
      </c>
      <c r="D36" s="540">
        <v>0</v>
      </c>
      <c r="E36" s="541">
        <v>0</v>
      </c>
      <c r="F36" s="348">
        <f t="shared" si="0"/>
        <v>0</v>
      </c>
      <c r="G36" s="348"/>
      <c r="H36" s="348">
        <f>IF(Performance!$L$2="y",F36,E36*G36/1000)</f>
        <v>0</v>
      </c>
      <c r="I36" s="2302"/>
      <c r="J36" s="2303"/>
      <c r="K36" s="2304"/>
      <c r="L36" s="49"/>
      <c r="M36" s="49"/>
      <c r="N36" s="49"/>
      <c r="O36" s="49"/>
      <c r="P36" s="49"/>
      <c r="Q36" s="49"/>
      <c r="R36" s="49"/>
      <c r="S36" s="49"/>
      <c r="T36" s="49"/>
      <c r="U36" s="49"/>
      <c r="V36" s="49"/>
      <c r="W36" s="49"/>
      <c r="X36" s="49"/>
      <c r="Y36" s="49"/>
      <c r="Z36" s="49"/>
    </row>
    <row r="37" spans="1:26" ht="15" customHeight="1" thickBot="1" x14ac:dyDescent="0.35">
      <c r="A37" s="320" t="s">
        <v>370</v>
      </c>
      <c r="B37" s="1884"/>
      <c r="C37" s="357" t="s">
        <v>60</v>
      </c>
      <c r="D37" s="540">
        <v>0</v>
      </c>
      <c r="E37" s="541">
        <v>0</v>
      </c>
      <c r="F37" s="348">
        <f t="shared" si="0"/>
        <v>0</v>
      </c>
      <c r="G37" s="348"/>
      <c r="H37" s="348">
        <f>IF(Performance!$L$2="y",F37,E37*G37/1000)</f>
        <v>0</v>
      </c>
      <c r="I37" s="2302"/>
      <c r="J37" s="2303"/>
      <c r="K37" s="2304"/>
      <c r="L37" s="49"/>
      <c r="M37" s="49"/>
      <c r="N37" s="49"/>
      <c r="O37" s="49"/>
      <c r="P37" s="49"/>
      <c r="Q37" s="49"/>
      <c r="R37" s="49"/>
      <c r="S37" s="49"/>
      <c r="T37" s="49"/>
      <c r="U37" s="49"/>
      <c r="V37" s="49"/>
      <c r="W37" s="49"/>
      <c r="X37" s="49"/>
      <c r="Y37" s="49"/>
      <c r="Z37" s="49"/>
    </row>
    <row r="38" spans="1:26" ht="15" customHeight="1" thickBot="1" x14ac:dyDescent="0.35">
      <c r="A38" s="320" t="s">
        <v>370</v>
      </c>
      <c r="B38" s="1884"/>
      <c r="C38" s="357" t="s">
        <v>61</v>
      </c>
      <c r="D38" s="540">
        <v>0</v>
      </c>
      <c r="E38" s="541">
        <v>0</v>
      </c>
      <c r="F38" s="348">
        <f t="shared" si="0"/>
        <v>0</v>
      </c>
      <c r="G38" s="348"/>
      <c r="H38" s="348">
        <f>IF(Performance!$L$2="y",F38,E38*G38/1000)</f>
        <v>0</v>
      </c>
      <c r="I38" s="2302"/>
      <c r="J38" s="2303"/>
      <c r="K38" s="2304"/>
      <c r="L38" s="49"/>
      <c r="M38" s="49"/>
      <c r="N38" s="49"/>
      <c r="O38" s="49"/>
      <c r="P38" s="49"/>
      <c r="Q38" s="49"/>
      <c r="R38" s="49"/>
      <c r="S38" s="49"/>
      <c r="T38" s="49"/>
      <c r="U38" s="49"/>
      <c r="V38" s="49"/>
      <c r="W38" s="49"/>
      <c r="X38" s="49"/>
      <c r="Y38" s="49"/>
      <c r="Z38" s="49"/>
    </row>
    <row r="39" spans="1:26" ht="15.75" customHeight="1" thickBot="1" x14ac:dyDescent="0.35">
      <c r="A39" s="320" t="s">
        <v>370</v>
      </c>
      <c r="B39" s="1885"/>
      <c r="C39" s="358" t="s">
        <v>62</v>
      </c>
      <c r="D39" s="540">
        <v>0</v>
      </c>
      <c r="E39" s="541">
        <v>0</v>
      </c>
      <c r="F39" s="354">
        <f t="shared" si="0"/>
        <v>0</v>
      </c>
      <c r="G39" s="348"/>
      <c r="H39" s="348">
        <f>IF(Performance!$L$2="y",F39,E39*G39/1000)</f>
        <v>0</v>
      </c>
      <c r="I39" s="2302"/>
      <c r="J39" s="2303"/>
      <c r="K39" s="2304"/>
      <c r="L39" s="49"/>
      <c r="M39" s="49"/>
      <c r="N39" s="49"/>
      <c r="O39" s="49"/>
      <c r="P39" s="49"/>
      <c r="Q39" s="49"/>
      <c r="R39" s="49"/>
      <c r="S39" s="49"/>
      <c r="T39" s="49"/>
      <c r="U39" s="49"/>
      <c r="V39" s="49"/>
      <c r="W39" s="49"/>
      <c r="X39" s="49"/>
      <c r="Y39" s="49"/>
      <c r="Z39" s="49"/>
    </row>
    <row r="40" spans="1:26" x14ac:dyDescent="0.3">
      <c r="A40" s="320"/>
      <c r="B40" s="49" t="s">
        <v>63</v>
      </c>
      <c r="C40" s="337"/>
      <c r="D40" s="337"/>
      <c r="E40" s="337"/>
      <c r="F40" s="337"/>
      <c r="G40" s="337"/>
      <c r="H40" s="337"/>
      <c r="I40" s="337"/>
      <c r="J40" s="337"/>
      <c r="K40" s="337"/>
      <c r="L40" s="49"/>
      <c r="M40" s="49"/>
      <c r="N40" s="49"/>
      <c r="O40" s="49"/>
      <c r="P40" s="49"/>
      <c r="Q40" s="49"/>
      <c r="R40" s="49"/>
      <c r="S40" s="49"/>
      <c r="T40" s="49"/>
      <c r="U40" s="49"/>
      <c r="V40" s="49"/>
      <c r="W40" s="49"/>
      <c r="X40" s="49"/>
      <c r="Y40" s="49"/>
      <c r="Z40" s="49"/>
    </row>
    <row r="41" spans="1:26" s="594" customFormat="1" ht="23.4" x14ac:dyDescent="0.3">
      <c r="A41" s="535" t="s">
        <v>64</v>
      </c>
      <c r="B41" s="536" t="s">
        <v>65</v>
      </c>
      <c r="C41" s="537"/>
      <c r="D41" s="2311" t="str">
        <f>+$A$1</f>
        <v>Baseline</v>
      </c>
      <c r="E41" s="2311"/>
      <c r="F41" s="2311"/>
      <c r="G41" s="2311"/>
      <c r="H41" s="2311"/>
      <c r="I41" s="2311"/>
      <c r="J41" s="2311"/>
      <c r="K41" s="538"/>
      <c r="L41" s="538"/>
      <c r="M41" s="538"/>
      <c r="N41" s="538"/>
      <c r="O41" s="538"/>
      <c r="P41" s="538"/>
      <c r="Q41" s="538"/>
      <c r="R41" s="538"/>
      <c r="S41" s="538"/>
      <c r="T41" s="538"/>
      <c r="U41" s="538"/>
      <c r="V41" s="538"/>
      <c r="W41" s="538"/>
      <c r="X41" s="538"/>
      <c r="Y41" s="539"/>
      <c r="Z41" s="539"/>
    </row>
    <row r="42" spans="1:26" ht="14.4" thickBot="1" x14ac:dyDescent="0.35">
      <c r="A42" s="320"/>
      <c r="B42" s="43" t="s">
        <v>66</v>
      </c>
      <c r="C42" s="359"/>
      <c r="D42" s="337"/>
      <c r="E42" s="337"/>
      <c r="F42" s="337"/>
      <c r="G42" s="337"/>
      <c r="H42" s="337"/>
      <c r="I42" s="337"/>
      <c r="J42" s="337"/>
      <c r="K42" s="337"/>
      <c r="L42" s="49"/>
      <c r="M42" s="49"/>
      <c r="N42" s="49"/>
      <c r="O42" s="49"/>
      <c r="P42" s="49"/>
      <c r="Q42" s="49"/>
      <c r="R42" s="49"/>
      <c r="S42" s="49"/>
      <c r="T42" s="49"/>
      <c r="U42" s="49"/>
      <c r="V42" s="49"/>
      <c r="W42" s="49"/>
      <c r="X42" s="49"/>
      <c r="Y42" s="49"/>
      <c r="Z42" s="49"/>
    </row>
    <row r="43" spans="1:26" ht="30" customHeight="1" thickBot="1" x14ac:dyDescent="0.35">
      <c r="A43" s="320"/>
      <c r="B43" s="49"/>
      <c r="C43" s="49"/>
      <c r="D43" s="1898" t="s">
        <v>23</v>
      </c>
      <c r="E43" s="1899"/>
      <c r="F43" s="1900"/>
      <c r="G43" s="1901" t="s">
        <v>144</v>
      </c>
      <c r="H43" s="1902"/>
      <c r="I43" s="1903" t="s">
        <v>24</v>
      </c>
      <c r="J43" s="1904"/>
      <c r="K43" s="1905"/>
      <c r="L43" s="49"/>
      <c r="M43" s="49"/>
      <c r="N43" s="49"/>
      <c r="O43" s="49"/>
      <c r="P43" s="49"/>
      <c r="Q43" s="49"/>
      <c r="R43" s="49"/>
      <c r="S43" s="49"/>
      <c r="T43" s="49"/>
      <c r="U43" s="49"/>
      <c r="V43" s="49"/>
      <c r="W43" s="49"/>
      <c r="X43" s="49"/>
      <c r="Y43" s="49"/>
      <c r="Z43" s="49"/>
    </row>
    <row r="44" spans="1:26" ht="39" customHeight="1" thickBot="1" x14ac:dyDescent="0.35">
      <c r="A44" s="320"/>
      <c r="B44" s="360"/>
      <c r="C44" s="359"/>
      <c r="D44" s="51" t="s">
        <v>67</v>
      </c>
      <c r="E44" s="41" t="s">
        <v>68</v>
      </c>
      <c r="F44" s="361" t="s">
        <v>28</v>
      </c>
      <c r="G44" s="1214" t="s">
        <v>67</v>
      </c>
      <c r="H44" s="1216" t="s">
        <v>28</v>
      </c>
      <c r="I44" s="1906"/>
      <c r="J44" s="1907"/>
      <c r="K44" s="1908"/>
      <c r="L44" s="49"/>
      <c r="M44" s="49"/>
      <c r="N44" s="49"/>
      <c r="O44" s="49"/>
      <c r="P44" s="49"/>
      <c r="Q44" s="49"/>
      <c r="R44" s="49"/>
      <c r="S44" s="49"/>
      <c r="T44" s="49"/>
      <c r="U44" s="49"/>
      <c r="V44" s="49"/>
      <c r="W44" s="49"/>
      <c r="X44" s="49"/>
      <c r="Y44" s="49"/>
      <c r="Z44" s="49"/>
    </row>
    <row r="45" spans="1:26" ht="13.5" customHeight="1" thickBot="1" x14ac:dyDescent="0.35">
      <c r="A45" s="320" t="s">
        <v>370</v>
      </c>
      <c r="B45" s="1924" t="s">
        <v>69</v>
      </c>
      <c r="C45" s="1925"/>
      <c r="D45" s="542">
        <v>4127000</v>
      </c>
      <c r="E45" s="364"/>
      <c r="F45" s="42">
        <f>D45/1000</f>
        <v>4127</v>
      </c>
      <c r="G45" s="363"/>
      <c r="H45" s="651">
        <f>G45/1000</f>
        <v>0</v>
      </c>
      <c r="I45" s="2302"/>
      <c r="J45" s="2303"/>
      <c r="K45" s="2304"/>
      <c r="L45" s="49"/>
      <c r="M45" s="49"/>
      <c r="N45" s="49"/>
      <c r="O45" s="49"/>
      <c r="P45" s="49"/>
      <c r="Q45" s="49"/>
      <c r="R45" s="49"/>
      <c r="S45" s="49"/>
      <c r="T45" s="49"/>
      <c r="U45" s="49"/>
      <c r="V45" s="49"/>
      <c r="W45" s="49"/>
      <c r="X45" s="49"/>
      <c r="Y45" s="49"/>
      <c r="Z45" s="49"/>
    </row>
    <row r="46" spans="1:26" x14ac:dyDescent="0.3">
      <c r="A46" s="365"/>
      <c r="B46" s="337"/>
      <c r="C46" s="337"/>
      <c r="D46" s="337"/>
      <c r="E46" s="337"/>
      <c r="F46" s="366"/>
      <c r="G46" s="337"/>
      <c r="H46" s="337"/>
      <c r="I46" s="337"/>
      <c r="J46" s="337"/>
      <c r="K46" s="337"/>
      <c r="L46" s="49"/>
      <c r="M46" s="49"/>
      <c r="N46" s="49"/>
      <c r="O46" s="49"/>
      <c r="P46" s="49"/>
      <c r="Q46" s="49"/>
      <c r="R46" s="49"/>
      <c r="S46" s="49"/>
      <c r="T46" s="49"/>
      <c r="U46" s="49"/>
      <c r="V46" s="49"/>
      <c r="W46" s="49"/>
      <c r="X46" s="49"/>
      <c r="Y46" s="49"/>
      <c r="Z46" s="49"/>
    </row>
    <row r="47" spans="1:26" s="594" customFormat="1" ht="23.4" x14ac:dyDescent="0.3">
      <c r="A47" s="535" t="s">
        <v>70</v>
      </c>
      <c r="B47" s="536" t="s">
        <v>71</v>
      </c>
      <c r="C47" s="537"/>
      <c r="D47" s="2311" t="str">
        <f>+$A$1</f>
        <v>Baseline</v>
      </c>
      <c r="E47" s="2311"/>
      <c r="F47" s="2311"/>
      <c r="G47" s="2311"/>
      <c r="H47" s="2311"/>
      <c r="I47" s="2311"/>
      <c r="J47" s="2311"/>
      <c r="K47" s="538"/>
      <c r="L47" s="538"/>
      <c r="M47" s="538"/>
      <c r="N47" s="538"/>
      <c r="O47" s="538"/>
      <c r="P47" s="538"/>
      <c r="Q47" s="538"/>
      <c r="R47" s="538"/>
      <c r="S47" s="538"/>
      <c r="T47" s="538"/>
      <c r="U47" s="538"/>
      <c r="V47" s="538"/>
      <c r="W47" s="538"/>
      <c r="X47" s="538"/>
      <c r="Y47" s="539"/>
      <c r="Z47" s="539"/>
    </row>
    <row r="48" spans="1:26" x14ac:dyDescent="0.3">
      <c r="A48" s="320"/>
      <c r="B48" s="43" t="s">
        <v>72</v>
      </c>
      <c r="C48" s="359"/>
      <c r="D48" s="337"/>
      <c r="E48" s="337"/>
      <c r="F48" s="337"/>
      <c r="G48" s="337"/>
      <c r="H48" s="337"/>
      <c r="I48" s="337"/>
      <c r="J48" s="337"/>
      <c r="K48" s="337"/>
      <c r="L48" s="49"/>
      <c r="M48" s="49"/>
      <c r="N48" s="49"/>
      <c r="O48" s="49"/>
      <c r="P48" s="49"/>
      <c r="Q48" s="49"/>
      <c r="R48" s="49"/>
      <c r="S48" s="49"/>
      <c r="T48" s="49"/>
      <c r="U48" s="49"/>
      <c r="V48" s="49"/>
      <c r="W48" s="49"/>
      <c r="X48" s="49"/>
      <c r="Y48" s="49"/>
      <c r="Z48" s="49"/>
    </row>
    <row r="49" spans="1:26" x14ac:dyDescent="0.3">
      <c r="A49" s="320"/>
      <c r="B49" s="43" t="s">
        <v>73</v>
      </c>
      <c r="C49" s="359"/>
      <c r="D49" s="337"/>
      <c r="E49" s="337"/>
      <c r="F49" s="337"/>
      <c r="G49" s="337"/>
      <c r="H49" s="337"/>
      <c r="I49" s="337"/>
      <c r="J49" s="337"/>
      <c r="K49" s="337"/>
      <c r="L49" s="49"/>
      <c r="M49" s="49"/>
      <c r="N49" s="49"/>
      <c r="O49" s="49"/>
      <c r="P49" s="49"/>
      <c r="Q49" s="49"/>
      <c r="R49" s="49"/>
      <c r="S49" s="49"/>
      <c r="T49" s="49"/>
      <c r="U49" s="49"/>
      <c r="V49" s="49"/>
      <c r="W49" s="49"/>
      <c r="X49" s="49"/>
      <c r="Y49" s="49"/>
      <c r="Z49" s="49"/>
    </row>
    <row r="50" spans="1:26" x14ac:dyDescent="0.3">
      <c r="A50" s="320"/>
      <c r="B50" s="43" t="s">
        <v>74</v>
      </c>
      <c r="C50" s="359"/>
      <c r="D50" s="337"/>
      <c r="E50" s="337"/>
      <c r="F50" s="337"/>
      <c r="G50" s="337"/>
      <c r="H50" s="337"/>
      <c r="I50" s="337"/>
      <c r="J50" s="337"/>
      <c r="K50" s="337"/>
      <c r="L50" s="49"/>
      <c r="M50" s="49"/>
      <c r="N50" s="49"/>
      <c r="O50" s="49" t="s">
        <v>75</v>
      </c>
      <c r="P50" s="49"/>
      <c r="Q50" s="49"/>
      <c r="R50" s="49"/>
      <c r="S50" s="49"/>
      <c r="T50" s="49"/>
      <c r="U50" s="49"/>
      <c r="V50" s="49"/>
      <c r="W50" s="49"/>
      <c r="X50" s="49"/>
      <c r="Y50" s="49"/>
      <c r="Z50" s="49"/>
    </row>
    <row r="51" spans="1:26" ht="14.4" thickBot="1" x14ac:dyDescent="0.35">
      <c r="A51" s="320"/>
      <c r="B51" s="43" t="s">
        <v>76</v>
      </c>
      <c r="C51" s="359"/>
      <c r="D51" s="337"/>
      <c r="E51" s="337"/>
      <c r="F51" s="337"/>
      <c r="G51" s="337"/>
      <c r="H51" s="337"/>
      <c r="I51" s="337"/>
      <c r="J51" s="337"/>
      <c r="K51" s="337"/>
      <c r="L51" s="49"/>
      <c r="M51" s="49"/>
      <c r="N51" s="49"/>
      <c r="O51" s="49"/>
      <c r="P51" s="49"/>
      <c r="Q51" s="49"/>
      <c r="R51" s="49"/>
      <c r="S51" s="49"/>
      <c r="T51" s="49"/>
      <c r="U51" s="49"/>
      <c r="V51" s="49"/>
      <c r="W51" s="49"/>
      <c r="X51" s="49"/>
      <c r="Y51" s="49"/>
      <c r="Z51" s="49"/>
    </row>
    <row r="52" spans="1:26" ht="13.5" customHeight="1" thickBot="1" x14ac:dyDescent="0.35">
      <c r="A52" s="320"/>
      <c r="B52" s="143" t="s">
        <v>363</v>
      </c>
      <c r="C52" s="359"/>
      <c r="D52" s="337"/>
      <c r="E52" s="337"/>
      <c r="F52" s="337"/>
      <c r="G52" s="337"/>
      <c r="H52" s="337"/>
      <c r="I52" s="337"/>
      <c r="J52" s="337"/>
      <c r="K52" s="337"/>
      <c r="L52" s="49"/>
      <c r="M52" s="49"/>
      <c r="N52" s="49"/>
      <c r="O52" s="2317" t="s">
        <v>77</v>
      </c>
      <c r="P52" s="2318"/>
      <c r="Q52" s="2318"/>
      <c r="R52" s="2318"/>
      <c r="S52" s="2318"/>
      <c r="T52" s="2318"/>
      <c r="U52" s="2318"/>
      <c r="V52" s="2318"/>
      <c r="W52" s="2319"/>
      <c r="X52" s="49"/>
      <c r="Y52" s="49"/>
      <c r="Z52" s="49"/>
    </row>
    <row r="53" spans="1:26" ht="15.75" customHeight="1" thickBot="1" x14ac:dyDescent="0.35">
      <c r="A53" s="320" t="s">
        <v>370</v>
      </c>
      <c r="B53" s="43"/>
      <c r="C53" s="359"/>
      <c r="D53" s="337"/>
      <c r="E53" s="337"/>
      <c r="F53" s="367"/>
      <c r="G53" s="337"/>
      <c r="H53" s="337"/>
      <c r="I53" s="337"/>
      <c r="J53" s="337"/>
      <c r="K53" s="49"/>
      <c r="L53" s="49"/>
      <c r="M53" s="49"/>
      <c r="N53" s="49"/>
      <c r="O53" s="479"/>
      <c r="P53" s="480"/>
      <c r="Q53" s="1918" t="s">
        <v>78</v>
      </c>
      <c r="R53" s="1918" t="s">
        <v>80</v>
      </c>
      <c r="S53" s="1921" t="s">
        <v>27</v>
      </c>
      <c r="T53" s="2320" t="s">
        <v>374</v>
      </c>
      <c r="U53" s="1938" t="s">
        <v>24</v>
      </c>
      <c r="V53" s="1939"/>
      <c r="W53" s="1940"/>
      <c r="X53" s="49"/>
      <c r="Y53" s="49"/>
      <c r="Z53" s="49"/>
    </row>
    <row r="54" spans="1:26" ht="26.25" customHeight="1" thickBot="1" x14ac:dyDescent="0.35">
      <c r="A54" s="320"/>
      <c r="B54" s="1929" t="s">
        <v>79</v>
      </c>
      <c r="C54" s="1930"/>
      <c r="D54" s="1933" t="s">
        <v>23</v>
      </c>
      <c r="E54" s="1934"/>
      <c r="F54" s="1935"/>
      <c r="G54" s="148"/>
      <c r="H54" s="148"/>
      <c r="I54" s="1849" t="s">
        <v>24</v>
      </c>
      <c r="J54" s="1850"/>
      <c r="K54" s="1851"/>
      <c r="L54" s="49"/>
      <c r="M54" s="49"/>
      <c r="N54" s="49"/>
      <c r="O54" s="1101"/>
      <c r="P54" s="1102"/>
      <c r="Q54" s="1919"/>
      <c r="R54" s="1919"/>
      <c r="S54" s="1922"/>
      <c r="T54" s="2321"/>
      <c r="U54" s="1941"/>
      <c r="V54" s="1942"/>
      <c r="W54" s="1943"/>
      <c r="X54" s="49"/>
      <c r="Y54" s="49"/>
      <c r="Z54" s="49"/>
    </row>
    <row r="55" spans="1:26" ht="15.75" customHeight="1" thickBot="1" x14ac:dyDescent="0.35">
      <c r="A55" s="320"/>
      <c r="B55" s="1931"/>
      <c r="C55" s="1932"/>
      <c r="D55" s="368" t="s">
        <v>81</v>
      </c>
      <c r="E55" s="369" t="s">
        <v>27</v>
      </c>
      <c r="F55" s="370" t="s">
        <v>28</v>
      </c>
      <c r="G55" s="148"/>
      <c r="H55" s="148"/>
      <c r="I55" s="1852"/>
      <c r="J55" s="1853"/>
      <c r="K55" s="1854"/>
      <c r="L55" s="49"/>
      <c r="M55" s="49"/>
      <c r="N55" s="49"/>
      <c r="O55" s="1103"/>
      <c r="P55" s="1104"/>
      <c r="Q55" s="1920"/>
      <c r="R55" s="1920"/>
      <c r="S55" s="1923"/>
      <c r="T55" s="44">
        <f>SUM(T56:T61)</f>
        <v>0</v>
      </c>
      <c r="U55" s="1944"/>
      <c r="V55" s="1945"/>
      <c r="W55" s="1946"/>
      <c r="X55" s="49"/>
      <c r="Y55" s="49"/>
      <c r="Z55" s="49"/>
    </row>
    <row r="56" spans="1:26" ht="31.5" customHeight="1" thickBot="1" x14ac:dyDescent="0.35">
      <c r="A56" s="320"/>
      <c r="B56" s="2312" t="s">
        <v>77</v>
      </c>
      <c r="C56" s="2313"/>
      <c r="D56" s="371">
        <f>SUM(D57:D75)</f>
        <v>34172448</v>
      </c>
      <c r="E56" s="372"/>
      <c r="F56" s="373">
        <f>SUM(F57:F75)</f>
        <v>6810.8784894600003</v>
      </c>
      <c r="G56" s="148"/>
      <c r="H56" s="148"/>
      <c r="I56" s="2314"/>
      <c r="J56" s="2315"/>
      <c r="K56" s="2316"/>
      <c r="L56" s="1055"/>
      <c r="M56" s="486"/>
      <c r="N56" s="49"/>
      <c r="O56" s="374" t="s">
        <v>82</v>
      </c>
      <c r="P56" s="375"/>
      <c r="Q56" s="45" t="s">
        <v>83</v>
      </c>
      <c r="R56" s="348">
        <v>0</v>
      </c>
      <c r="S56" s="75">
        <f>+'Emission Factors'!C36</f>
        <v>2.3307000000000002</v>
      </c>
      <c r="T56" s="145">
        <f t="shared" ref="T56:T61" si="1">(R56*S56)/1000</f>
        <v>0</v>
      </c>
      <c r="U56" s="2222"/>
      <c r="V56" s="2322"/>
      <c r="W56" s="2323"/>
      <c r="X56" s="49"/>
      <c r="Y56" s="49"/>
      <c r="Z56" s="49"/>
    </row>
    <row r="57" spans="1:26" ht="15" customHeight="1" thickBot="1" x14ac:dyDescent="0.35">
      <c r="A57" s="320" t="s">
        <v>370</v>
      </c>
      <c r="B57" s="1883" t="s">
        <v>84</v>
      </c>
      <c r="C57" s="184" t="s">
        <v>85</v>
      </c>
      <c r="D57" s="543">
        <v>0</v>
      </c>
      <c r="E57" s="544">
        <f>+'Emission Factors'!C48</f>
        <v>0.182</v>
      </c>
      <c r="F57" s="356">
        <f>(D57*E57)/1000</f>
        <v>0</v>
      </c>
      <c r="G57" s="376"/>
      <c r="H57" s="376"/>
      <c r="I57" s="2302"/>
      <c r="J57" s="2303"/>
      <c r="K57" s="2304"/>
      <c r="L57" s="1055"/>
      <c r="M57" s="486"/>
      <c r="N57" s="49"/>
      <c r="O57" s="1099" t="s">
        <v>86</v>
      </c>
      <c r="P57" s="1100"/>
      <c r="Q57" s="47" t="s">
        <v>83</v>
      </c>
      <c r="R57" s="348">
        <v>0</v>
      </c>
      <c r="S57" s="78">
        <f>+'Emission Factors'!C37</f>
        <v>0</v>
      </c>
      <c r="T57" s="146">
        <f t="shared" si="1"/>
        <v>0</v>
      </c>
      <c r="U57" s="2294"/>
      <c r="V57" s="2295"/>
      <c r="W57" s="2296"/>
      <c r="X57" s="49"/>
      <c r="Y57" s="49"/>
      <c r="Z57" s="49"/>
    </row>
    <row r="58" spans="1:26" ht="15" customHeight="1" thickBot="1" x14ac:dyDescent="0.35">
      <c r="A58" s="320" t="s">
        <v>370</v>
      </c>
      <c r="B58" s="1884"/>
      <c r="C58" s="37" t="s">
        <v>87</v>
      </c>
      <c r="D58" s="545">
        <v>0</v>
      </c>
      <c r="E58" s="546">
        <f>+'Emission Factors'!C49</f>
        <v>0.21493000000000001</v>
      </c>
      <c r="F58" s="85">
        <f t="shared" ref="F58:F75" si="2">(D58*E58)/1000</f>
        <v>0</v>
      </c>
      <c r="G58" s="148"/>
      <c r="H58" s="148"/>
      <c r="I58" s="2302"/>
      <c r="J58" s="2303"/>
      <c r="K58" s="2304"/>
      <c r="L58" s="1055"/>
      <c r="M58" s="486"/>
      <c r="N58" s="49"/>
      <c r="O58" s="1099" t="s">
        <v>88</v>
      </c>
      <c r="P58" s="1100"/>
      <c r="Q58" s="47" t="s">
        <v>83</v>
      </c>
      <c r="R58" s="348">
        <v>0</v>
      </c>
      <c r="S58" s="78">
        <f>+'Emission Factors'!C38</f>
        <v>2.6694</v>
      </c>
      <c r="T58" s="146">
        <f t="shared" si="1"/>
        <v>0</v>
      </c>
      <c r="U58" s="2294"/>
      <c r="V58" s="2295"/>
      <c r="W58" s="2296"/>
      <c r="X58" s="49"/>
      <c r="Y58" s="49"/>
      <c r="Z58" s="49"/>
    </row>
    <row r="59" spans="1:26" ht="15" customHeight="1" thickBot="1" x14ac:dyDescent="0.35">
      <c r="A59" s="320" t="s">
        <v>370</v>
      </c>
      <c r="B59" s="1884"/>
      <c r="C59" s="37" t="s">
        <v>89</v>
      </c>
      <c r="D59" s="545">
        <v>0</v>
      </c>
      <c r="E59" s="546">
        <f>+'Emission Factors'!C50</f>
        <v>0.29762</v>
      </c>
      <c r="F59" s="85">
        <f t="shared" si="2"/>
        <v>0</v>
      </c>
      <c r="G59" s="148"/>
      <c r="H59" s="148"/>
      <c r="I59" s="2302"/>
      <c r="J59" s="2303"/>
      <c r="K59" s="2304"/>
      <c r="L59" s="1055"/>
      <c r="M59" s="486"/>
      <c r="N59" s="49"/>
      <c r="O59" s="1099" t="s">
        <v>90</v>
      </c>
      <c r="P59" s="1100"/>
      <c r="Q59" s="47" t="s">
        <v>83</v>
      </c>
      <c r="R59" s="348">
        <v>0</v>
      </c>
      <c r="S59" s="78">
        <f>+'Emission Factors'!C39</f>
        <v>0</v>
      </c>
      <c r="T59" s="146">
        <f t="shared" si="1"/>
        <v>0</v>
      </c>
      <c r="U59" s="2294"/>
      <c r="V59" s="2295"/>
      <c r="W59" s="2296"/>
      <c r="X59" s="49"/>
      <c r="Y59" s="49"/>
      <c r="Z59" s="49"/>
    </row>
    <row r="60" spans="1:26" ht="15" customHeight="1" thickBot="1" x14ac:dyDescent="0.35">
      <c r="A60" s="320" t="s">
        <v>370</v>
      </c>
      <c r="B60" s="1884"/>
      <c r="C60" s="37" t="s">
        <v>91</v>
      </c>
      <c r="D60" s="545">
        <v>288088</v>
      </c>
      <c r="E60" s="546">
        <f>+'Emission Factors'!C51</f>
        <v>0.20780999999999999</v>
      </c>
      <c r="F60" s="85">
        <f t="shared" si="2"/>
        <v>59.867567279999996</v>
      </c>
      <c r="G60" s="148"/>
      <c r="H60" s="148"/>
      <c r="I60" s="2302"/>
      <c r="J60" s="2303"/>
      <c r="K60" s="2304"/>
      <c r="L60" s="1055"/>
      <c r="M60" s="486"/>
      <c r="N60" s="49"/>
      <c r="O60" s="1099" t="s">
        <v>92</v>
      </c>
      <c r="P60" s="1100"/>
      <c r="Q60" s="47" t="s">
        <v>93</v>
      </c>
      <c r="R60" s="348">
        <v>0</v>
      </c>
      <c r="S60" s="78">
        <f>+'Emission Factors'!C40</f>
        <v>2.7335571120054967</v>
      </c>
      <c r="T60" s="146">
        <f t="shared" si="1"/>
        <v>0</v>
      </c>
      <c r="U60" s="2294"/>
      <c r="V60" s="2295"/>
      <c r="W60" s="2296"/>
      <c r="X60" s="49"/>
      <c r="Y60" s="49"/>
      <c r="Z60" s="49"/>
    </row>
    <row r="61" spans="1:26" ht="15" customHeight="1" thickBot="1" x14ac:dyDescent="0.35">
      <c r="A61" s="320" t="s">
        <v>370</v>
      </c>
      <c r="B61" s="1884"/>
      <c r="C61" s="37" t="s">
        <v>94</v>
      </c>
      <c r="D61" s="545">
        <v>352752</v>
      </c>
      <c r="E61" s="546">
        <f>+'Emission Factors'!C52</f>
        <v>0.15276999999999999</v>
      </c>
      <c r="F61" s="85">
        <f t="shared" si="2"/>
        <v>53.889923039999992</v>
      </c>
      <c r="G61" s="148"/>
      <c r="H61" s="148"/>
      <c r="I61" s="2302"/>
      <c r="J61" s="2303"/>
      <c r="K61" s="2304"/>
      <c r="L61" s="1055"/>
      <c r="M61" s="486"/>
      <c r="N61" s="49"/>
      <c r="O61" s="1105" t="s">
        <v>95</v>
      </c>
      <c r="P61" s="1106"/>
      <c r="Q61" s="48" t="s">
        <v>83</v>
      </c>
      <c r="R61" s="348">
        <v>0</v>
      </c>
      <c r="S61" s="79">
        <f>+'Emission Factors'!C41</f>
        <v>1.4967999999999999</v>
      </c>
      <c r="T61" s="147">
        <f t="shared" si="1"/>
        <v>0</v>
      </c>
      <c r="U61" s="2223"/>
      <c r="V61" s="2297"/>
      <c r="W61" s="2298"/>
      <c r="X61" s="49"/>
      <c r="Y61" s="49"/>
      <c r="Z61" s="49"/>
    </row>
    <row r="62" spans="1:26" ht="15" customHeight="1" thickBot="1" x14ac:dyDescent="0.35">
      <c r="A62" s="320" t="s">
        <v>370</v>
      </c>
      <c r="B62" s="1884"/>
      <c r="C62" s="37" t="s">
        <v>96</v>
      </c>
      <c r="D62" s="545">
        <v>7992154</v>
      </c>
      <c r="E62" s="546">
        <f>+'Emission Factors'!C53</f>
        <v>0.18939</v>
      </c>
      <c r="F62" s="85">
        <f t="shared" si="2"/>
        <v>1513.6340460600002</v>
      </c>
      <c r="G62" s="148"/>
      <c r="H62" s="148"/>
      <c r="I62" s="2302"/>
      <c r="J62" s="2303"/>
      <c r="K62" s="2304"/>
      <c r="L62" s="1055"/>
      <c r="M62" s="486"/>
      <c r="N62" s="49"/>
      <c r="O62" s="49"/>
      <c r="P62" s="49"/>
      <c r="Q62" s="49"/>
      <c r="R62" s="49"/>
      <c r="S62" s="49"/>
      <c r="T62" s="49"/>
      <c r="U62" s="49"/>
      <c r="V62" s="49"/>
      <c r="W62" s="49"/>
      <c r="X62" s="49"/>
      <c r="Y62" s="49"/>
      <c r="Z62" s="49"/>
    </row>
    <row r="63" spans="1:26" ht="15" customHeight="1" thickBot="1" x14ac:dyDescent="0.35">
      <c r="A63" s="320" t="s">
        <v>370</v>
      </c>
      <c r="B63" s="1884"/>
      <c r="C63" s="37" t="s">
        <v>97</v>
      </c>
      <c r="D63" s="545">
        <v>121024</v>
      </c>
      <c r="E63" s="546">
        <f>+'Emission Factors'!C54</f>
        <v>0.25762000000000002</v>
      </c>
      <c r="F63" s="85">
        <f t="shared" si="2"/>
        <v>31.178202880000001</v>
      </c>
      <c r="G63" s="148"/>
      <c r="H63" s="148"/>
      <c r="I63" s="2302"/>
      <c r="J63" s="2303"/>
      <c r="K63" s="2304"/>
      <c r="L63" s="1055"/>
      <c r="M63" s="486"/>
      <c r="N63" s="49"/>
      <c r="O63" s="1966" t="s">
        <v>367</v>
      </c>
      <c r="P63" s="1966"/>
      <c r="Q63" s="1966"/>
      <c r="R63" s="1966"/>
      <c r="S63" s="1966"/>
      <c r="T63" s="1966"/>
      <c r="U63" s="1966"/>
      <c r="V63" s="1966"/>
      <c r="W63" s="1966"/>
      <c r="X63" s="49"/>
      <c r="Y63" s="49"/>
      <c r="Z63" s="49"/>
    </row>
    <row r="64" spans="1:26" ht="15" customHeight="1" thickBot="1" x14ac:dyDescent="0.35">
      <c r="A64" s="320" t="s">
        <v>370</v>
      </c>
      <c r="B64" s="1884"/>
      <c r="C64" s="37" t="s">
        <v>98</v>
      </c>
      <c r="D64" s="545">
        <v>8461945</v>
      </c>
      <c r="E64" s="546">
        <f>+'Emission Factors'!C55</f>
        <v>0.19835</v>
      </c>
      <c r="F64" s="85">
        <f t="shared" si="2"/>
        <v>1678.42679075</v>
      </c>
      <c r="G64" s="148"/>
      <c r="H64" s="148"/>
      <c r="I64" s="2302"/>
      <c r="J64" s="2303"/>
      <c r="K64" s="2304"/>
      <c r="L64" s="1055"/>
      <c r="M64" s="486"/>
      <c r="N64" s="49"/>
      <c r="O64" s="1966"/>
      <c r="P64" s="1966"/>
      <c r="Q64" s="1966"/>
      <c r="R64" s="1966"/>
      <c r="S64" s="1966"/>
      <c r="T64" s="1966"/>
      <c r="U64" s="1966"/>
      <c r="V64" s="1966"/>
      <c r="W64" s="1966"/>
      <c r="X64" s="49"/>
      <c r="Y64" s="49"/>
      <c r="Z64" s="49"/>
    </row>
    <row r="65" spans="1:26" ht="15" customHeight="1" thickBot="1" x14ac:dyDescent="0.35">
      <c r="A65" s="320" t="s">
        <v>370</v>
      </c>
      <c r="B65" s="1884"/>
      <c r="C65" s="37" t="s">
        <v>99</v>
      </c>
      <c r="D65" s="545">
        <v>0</v>
      </c>
      <c r="E65" s="546">
        <f>+'Emission Factors'!C56</f>
        <v>0.12820999999999999</v>
      </c>
      <c r="F65" s="85">
        <f t="shared" si="2"/>
        <v>0</v>
      </c>
      <c r="G65" s="148"/>
      <c r="H65" s="148"/>
      <c r="I65" s="2302"/>
      <c r="J65" s="2303"/>
      <c r="K65" s="2304"/>
      <c r="L65" s="1055"/>
      <c r="M65" s="486"/>
      <c r="N65" s="49"/>
      <c r="O65" s="1966"/>
      <c r="P65" s="1966"/>
      <c r="Q65" s="1966"/>
      <c r="R65" s="1966"/>
      <c r="S65" s="1966"/>
      <c r="T65" s="1966"/>
      <c r="U65" s="1966"/>
      <c r="V65" s="1966"/>
      <c r="W65" s="1966"/>
      <c r="X65" s="49"/>
      <c r="Y65" s="49"/>
      <c r="Z65" s="49"/>
    </row>
    <row r="66" spans="1:26" ht="15" customHeight="1" thickBot="1" x14ac:dyDescent="0.35">
      <c r="A66" s="320" t="s">
        <v>370</v>
      </c>
      <c r="B66" s="1884"/>
      <c r="C66" s="37" t="s">
        <v>100</v>
      </c>
      <c r="D66" s="545">
        <v>0</v>
      </c>
      <c r="E66" s="546">
        <f>+'Emission Factors'!C57</f>
        <v>0.22600999999999999</v>
      </c>
      <c r="F66" s="85">
        <f t="shared" si="2"/>
        <v>0</v>
      </c>
      <c r="G66" s="148"/>
      <c r="H66" s="148"/>
      <c r="I66" s="2302"/>
      <c r="J66" s="2303"/>
      <c r="K66" s="2304"/>
      <c r="L66" s="1055"/>
      <c r="M66" s="486"/>
      <c r="N66" s="49"/>
      <c r="O66" s="1966"/>
      <c r="P66" s="1966"/>
      <c r="Q66" s="1966"/>
      <c r="R66" s="1966"/>
      <c r="S66" s="1966"/>
      <c r="T66" s="1966"/>
      <c r="U66" s="1966"/>
      <c r="V66" s="1966"/>
      <c r="W66" s="1966"/>
      <c r="X66" s="49"/>
      <c r="Y66" s="49"/>
      <c r="Z66" s="49"/>
    </row>
    <row r="67" spans="1:26" ht="15" customHeight="1" thickBot="1" x14ac:dyDescent="0.35">
      <c r="A67" s="320" t="s">
        <v>370</v>
      </c>
      <c r="B67" s="1884"/>
      <c r="C67" s="37" t="s">
        <v>101</v>
      </c>
      <c r="D67" s="545">
        <v>350</v>
      </c>
      <c r="E67" s="546">
        <f>+'Emission Factors'!C58</f>
        <v>0.22452</v>
      </c>
      <c r="F67" s="85">
        <f t="shared" si="2"/>
        <v>7.8581999999999999E-2</v>
      </c>
      <c r="G67" s="148"/>
      <c r="H67" s="148"/>
      <c r="I67" s="2302"/>
      <c r="J67" s="2303"/>
      <c r="K67" s="2304"/>
      <c r="L67" s="1055"/>
      <c r="M67" s="486"/>
      <c r="N67" s="49"/>
      <c r="O67" s="49"/>
      <c r="P67" s="49"/>
      <c r="Q67" s="49"/>
      <c r="R67" s="49"/>
      <c r="S67" s="49"/>
      <c r="T67" s="49"/>
      <c r="U67" s="49"/>
      <c r="V67" s="49"/>
      <c r="W67" s="49"/>
      <c r="X67" s="49"/>
      <c r="Y67" s="49"/>
      <c r="Z67" s="49"/>
    </row>
    <row r="68" spans="1:26" ht="15" customHeight="1" thickBot="1" x14ac:dyDescent="0.35">
      <c r="A68" s="320" t="s">
        <v>370</v>
      </c>
      <c r="B68" s="1884"/>
      <c r="C68" s="37" t="s">
        <v>102</v>
      </c>
      <c r="D68" s="545">
        <v>16956135</v>
      </c>
      <c r="E68" s="546">
        <f>+'Emission Factors'!C59</f>
        <v>0.20487</v>
      </c>
      <c r="F68" s="85">
        <f t="shared" si="2"/>
        <v>3473.80337745</v>
      </c>
      <c r="G68" s="148"/>
      <c r="H68" s="148"/>
      <c r="I68" s="2302"/>
      <c r="J68" s="2303"/>
      <c r="K68" s="2304"/>
      <c r="L68" s="1055"/>
      <c r="M68" s="486"/>
      <c r="N68" s="49"/>
      <c r="O68" s="49"/>
      <c r="P68" s="49"/>
      <c r="Q68" s="49"/>
      <c r="R68" s="49"/>
      <c r="S68" s="49"/>
      <c r="T68" s="49"/>
      <c r="U68" s="49"/>
      <c r="V68" s="49"/>
      <c r="W68" s="49"/>
      <c r="X68" s="49"/>
      <c r="Y68" s="49"/>
      <c r="Z68" s="49"/>
    </row>
    <row r="69" spans="1:26" ht="15" customHeight="1" thickBot="1" x14ac:dyDescent="0.35">
      <c r="A69" s="320" t="s">
        <v>370</v>
      </c>
      <c r="B69" s="1884"/>
      <c r="C69" s="37" t="s">
        <v>103</v>
      </c>
      <c r="D69" s="545">
        <v>0</v>
      </c>
      <c r="E69" s="546">
        <f>+'Emission Factors'!C60</f>
        <v>8.7400000000000005E-2</v>
      </c>
      <c r="F69" s="85">
        <f t="shared" si="2"/>
        <v>0</v>
      </c>
      <c r="G69" s="148"/>
      <c r="H69" s="148"/>
      <c r="I69" s="2302"/>
      <c r="J69" s="2303"/>
      <c r="K69" s="2304"/>
      <c r="L69" s="1055"/>
      <c r="M69" s="486"/>
      <c r="N69" s="49"/>
      <c r="O69" s="49"/>
      <c r="P69" s="49"/>
      <c r="Q69" s="49"/>
      <c r="R69" s="49"/>
      <c r="S69" s="49"/>
      <c r="T69" s="49"/>
      <c r="U69" s="49"/>
      <c r="V69" s="49"/>
      <c r="W69" s="49"/>
      <c r="X69" s="49"/>
      <c r="Y69" s="49"/>
      <c r="Z69" s="49"/>
    </row>
    <row r="70" spans="1:26" ht="15" customHeight="1" thickBot="1" x14ac:dyDescent="0.35">
      <c r="A70" s="320" t="s">
        <v>370</v>
      </c>
      <c r="B70" s="1884"/>
      <c r="C70" s="37" t="s">
        <v>104</v>
      </c>
      <c r="D70" s="545">
        <v>0</v>
      </c>
      <c r="E70" s="546">
        <f>+'Emission Factors'!C61</f>
        <v>0.10569000000000001</v>
      </c>
      <c r="F70" s="85">
        <f t="shared" si="2"/>
        <v>0</v>
      </c>
      <c r="G70" s="148"/>
      <c r="H70" s="148"/>
      <c r="I70" s="2302"/>
      <c r="J70" s="2303"/>
      <c r="K70" s="2304"/>
      <c r="L70" s="1055"/>
      <c r="M70" s="486"/>
      <c r="N70" s="49"/>
      <c r="O70" s="49"/>
      <c r="P70" s="49"/>
      <c r="Q70" s="49"/>
      <c r="R70" s="49"/>
      <c r="S70" s="49"/>
      <c r="T70" s="49"/>
      <c r="U70" s="49"/>
      <c r="V70" s="49"/>
      <c r="W70" s="49"/>
      <c r="X70" s="49"/>
      <c r="Y70" s="49"/>
      <c r="Z70" s="49"/>
    </row>
    <row r="71" spans="1:26" ht="15" customHeight="1" thickBot="1" x14ac:dyDescent="0.35">
      <c r="A71" s="320" t="s">
        <v>370</v>
      </c>
      <c r="B71" s="1884"/>
      <c r="C71" s="37" t="s">
        <v>105</v>
      </c>
      <c r="D71" s="545">
        <v>0</v>
      </c>
      <c r="E71" s="546">
        <f>+'Emission Factors'!C62</f>
        <v>0.13977000000000001</v>
      </c>
      <c r="F71" s="85">
        <f t="shared" si="2"/>
        <v>0</v>
      </c>
      <c r="G71" s="148"/>
      <c r="H71" s="148"/>
      <c r="I71" s="2302"/>
      <c r="J71" s="2303"/>
      <c r="K71" s="2304"/>
      <c r="L71" s="1055"/>
      <c r="M71" s="486"/>
      <c r="N71" s="49"/>
      <c r="O71" s="49"/>
      <c r="P71" s="49"/>
      <c r="Q71" s="49"/>
      <c r="R71" s="49"/>
      <c r="S71" s="49"/>
      <c r="T71" s="49"/>
      <c r="U71" s="49"/>
      <c r="V71" s="49"/>
      <c r="W71" s="49"/>
      <c r="X71" s="49"/>
      <c r="Y71" s="49"/>
      <c r="Z71" s="49"/>
    </row>
    <row r="72" spans="1:26" ht="15" customHeight="1" thickBot="1" x14ac:dyDescent="0.35">
      <c r="A72" s="320" t="s">
        <v>370</v>
      </c>
      <c r="B72" s="1884"/>
      <c r="C72" s="37" t="s">
        <v>106</v>
      </c>
      <c r="D72" s="545">
        <v>0</v>
      </c>
      <c r="E72" s="546">
        <f>+'Emission Factors'!C63</f>
        <v>0.11856</v>
      </c>
      <c r="F72" s="85">
        <f t="shared" si="2"/>
        <v>0</v>
      </c>
      <c r="G72" s="148"/>
      <c r="H72" s="148"/>
      <c r="I72" s="2302"/>
      <c r="J72" s="2303"/>
      <c r="K72" s="2304"/>
      <c r="L72" s="1055"/>
      <c r="M72" s="486"/>
      <c r="N72" s="49"/>
      <c r="O72" s="49"/>
      <c r="P72" s="49"/>
      <c r="Q72" s="49"/>
      <c r="R72" s="49"/>
      <c r="S72" s="49"/>
      <c r="T72" s="49"/>
      <c r="U72" s="49"/>
      <c r="V72" s="49"/>
      <c r="W72" s="49"/>
      <c r="X72" s="49"/>
      <c r="Y72" s="49"/>
      <c r="Z72" s="49"/>
    </row>
    <row r="73" spans="1:26" ht="15" customHeight="1" thickBot="1" x14ac:dyDescent="0.35">
      <c r="A73" s="320" t="s">
        <v>370</v>
      </c>
      <c r="B73" s="1884"/>
      <c r="C73" s="37" t="s">
        <v>107</v>
      </c>
      <c r="D73" s="545">
        <v>0</v>
      </c>
      <c r="E73" s="547">
        <v>0</v>
      </c>
      <c r="F73" s="348">
        <f t="shared" si="2"/>
        <v>0</v>
      </c>
      <c r="G73" s="148"/>
      <c r="H73" s="148"/>
      <c r="I73" s="2302"/>
      <c r="J73" s="2303"/>
      <c r="K73" s="2304"/>
      <c r="L73" s="1055"/>
      <c r="M73" s="486"/>
      <c r="N73" s="49"/>
      <c r="O73" s="49"/>
      <c r="P73" s="49"/>
      <c r="Q73" s="49"/>
      <c r="R73" s="49"/>
      <c r="S73" s="49"/>
      <c r="T73" s="49"/>
      <c r="U73" s="49"/>
      <c r="V73" s="49"/>
      <c r="W73" s="49"/>
      <c r="X73" s="49"/>
      <c r="Y73" s="49"/>
      <c r="Z73" s="49"/>
    </row>
    <row r="74" spans="1:26" ht="15" customHeight="1" thickBot="1" x14ac:dyDescent="0.35">
      <c r="A74" s="320" t="s">
        <v>370</v>
      </c>
      <c r="B74" s="1884"/>
      <c r="C74" s="37" t="s">
        <v>108</v>
      </c>
      <c r="D74" s="545">
        <v>0</v>
      </c>
      <c r="E74" s="547">
        <v>0</v>
      </c>
      <c r="F74" s="348">
        <f t="shared" si="2"/>
        <v>0</v>
      </c>
      <c r="G74" s="148"/>
      <c r="H74" s="148"/>
      <c r="I74" s="2302"/>
      <c r="J74" s="2303"/>
      <c r="K74" s="2304"/>
      <c r="L74" s="1055"/>
      <c r="M74" s="486"/>
      <c r="N74" s="49"/>
      <c r="O74" s="49"/>
      <c r="P74" s="49"/>
      <c r="Q74" s="49"/>
      <c r="R74" s="49"/>
      <c r="S74" s="49"/>
      <c r="T74" s="49"/>
      <c r="U74" s="49"/>
      <c r="V74" s="49"/>
      <c r="W74" s="49"/>
      <c r="X74" s="49"/>
      <c r="Y74" s="49"/>
      <c r="Z74" s="49"/>
    </row>
    <row r="75" spans="1:26" ht="15" customHeight="1" thickBot="1" x14ac:dyDescent="0.35">
      <c r="A75" s="320" t="s">
        <v>370</v>
      </c>
      <c r="B75" s="1885"/>
      <c r="C75" s="548" t="s">
        <v>109</v>
      </c>
      <c r="D75" s="549">
        <v>0</v>
      </c>
      <c r="E75" s="547">
        <v>0</v>
      </c>
      <c r="F75" s="354">
        <f t="shared" si="2"/>
        <v>0</v>
      </c>
      <c r="G75" s="173"/>
      <c r="H75" s="173"/>
      <c r="I75" s="2302"/>
      <c r="J75" s="2303"/>
      <c r="K75" s="2304"/>
      <c r="L75" s="1055"/>
      <c r="M75" s="486"/>
      <c r="N75" s="49"/>
      <c r="O75" s="49"/>
      <c r="P75" s="49"/>
      <c r="Q75" s="49"/>
      <c r="R75" s="49"/>
      <c r="S75" s="49"/>
      <c r="T75" s="49"/>
      <c r="U75" s="49"/>
      <c r="V75" s="49"/>
      <c r="W75" s="49"/>
      <c r="X75" s="49"/>
      <c r="Y75" s="49"/>
      <c r="Z75" s="49"/>
    </row>
    <row r="76" spans="1:26" ht="29.25" customHeight="1" thickBot="1" x14ac:dyDescent="0.35">
      <c r="A76" s="320"/>
      <c r="B76" s="2324" t="s">
        <v>110</v>
      </c>
      <c r="C76" s="2325"/>
      <c r="D76" s="378">
        <f>SUM(D77:D95)</f>
        <v>80677266</v>
      </c>
      <c r="E76" s="379"/>
      <c r="F76" s="380">
        <f>SUM(F77:F95)</f>
        <v>16528.35148542</v>
      </c>
      <c r="G76" s="148"/>
      <c r="H76" s="148"/>
      <c r="I76" s="2302"/>
      <c r="J76" s="2303"/>
      <c r="K76" s="2304"/>
      <c r="L76" s="1055"/>
      <c r="M76" s="486"/>
      <c r="N76" s="49"/>
      <c r="O76" s="49"/>
      <c r="P76" s="49"/>
      <c r="Q76" s="49"/>
      <c r="R76" s="49"/>
      <c r="S76" s="49"/>
      <c r="T76" s="49"/>
      <c r="U76" s="49"/>
      <c r="V76" s="49"/>
      <c r="W76" s="49"/>
      <c r="X76" s="49"/>
      <c r="Y76" s="49"/>
      <c r="Z76" s="49"/>
    </row>
    <row r="77" spans="1:26" ht="15" customHeight="1" thickBot="1" x14ac:dyDescent="0.35">
      <c r="A77" s="320" t="s">
        <v>371</v>
      </c>
      <c r="B77" s="1883" t="s">
        <v>111</v>
      </c>
      <c r="C77" s="46" t="s">
        <v>85</v>
      </c>
      <c r="D77" s="545">
        <v>0</v>
      </c>
      <c r="E77" s="381">
        <f>+E57</f>
        <v>0.182</v>
      </c>
      <c r="F77" s="356">
        <f>(D77*E77)/1000</f>
        <v>0</v>
      </c>
      <c r="G77" s="376"/>
      <c r="H77" s="376"/>
      <c r="I77" s="2302"/>
      <c r="J77" s="2303"/>
      <c r="K77" s="2304"/>
      <c r="L77" s="1055"/>
      <c r="M77" s="486"/>
      <c r="N77" s="49"/>
      <c r="O77" s="49"/>
      <c r="P77" s="49"/>
      <c r="Q77" s="49"/>
      <c r="R77" s="49"/>
      <c r="S77" s="49"/>
      <c r="T77" s="49"/>
      <c r="U77" s="49"/>
      <c r="V77" s="49"/>
      <c r="W77" s="49"/>
      <c r="X77" s="49"/>
      <c r="Y77" s="49"/>
      <c r="Z77" s="49"/>
    </row>
    <row r="78" spans="1:26" ht="15" customHeight="1" thickBot="1" x14ac:dyDescent="0.35">
      <c r="A78" s="320" t="s">
        <v>371</v>
      </c>
      <c r="B78" s="1884"/>
      <c r="C78" s="648" t="s">
        <v>87</v>
      </c>
      <c r="D78" s="545">
        <v>0</v>
      </c>
      <c r="E78" s="382">
        <f t="shared" ref="E78:E92" si="3">+E58</f>
        <v>0.21493000000000001</v>
      </c>
      <c r="F78" s="85">
        <f t="shared" ref="F78:F95" si="4">(D78*E78)/1000</f>
        <v>0</v>
      </c>
      <c r="G78" s="148"/>
      <c r="H78" s="148"/>
      <c r="I78" s="2302"/>
      <c r="J78" s="2303"/>
      <c r="K78" s="2304"/>
      <c r="L78" s="1055"/>
      <c r="M78" s="486"/>
      <c r="N78" s="49"/>
      <c r="O78" s="49"/>
      <c r="P78" s="49"/>
      <c r="Q78" s="49"/>
      <c r="R78" s="49"/>
      <c r="S78" s="49"/>
      <c r="T78" s="49"/>
      <c r="U78" s="49"/>
      <c r="V78" s="49"/>
      <c r="W78" s="49"/>
      <c r="X78" s="49"/>
      <c r="Y78" s="49"/>
      <c r="Z78" s="49"/>
    </row>
    <row r="79" spans="1:26" ht="15" customHeight="1" thickBot="1" x14ac:dyDescent="0.35">
      <c r="A79" s="320" t="s">
        <v>371</v>
      </c>
      <c r="B79" s="1884"/>
      <c r="C79" s="648" t="s">
        <v>89</v>
      </c>
      <c r="D79" s="545">
        <v>0</v>
      </c>
      <c r="E79" s="382">
        <f t="shared" si="3"/>
        <v>0.29762</v>
      </c>
      <c r="F79" s="85">
        <f t="shared" si="4"/>
        <v>0</v>
      </c>
      <c r="G79" s="148"/>
      <c r="H79" s="148"/>
      <c r="I79" s="2302"/>
      <c r="J79" s="2303"/>
      <c r="K79" s="2304"/>
      <c r="L79" s="1055"/>
      <c r="M79" s="486"/>
      <c r="N79" s="49"/>
      <c r="O79" s="49"/>
      <c r="P79" s="49"/>
      <c r="Q79" s="49"/>
      <c r="R79" s="49"/>
      <c r="S79" s="49"/>
      <c r="T79" s="49"/>
      <c r="U79" s="49"/>
      <c r="V79" s="49"/>
      <c r="W79" s="49"/>
      <c r="X79" s="49"/>
      <c r="Y79" s="49"/>
      <c r="Z79" s="49"/>
    </row>
    <row r="80" spans="1:26" ht="15" customHeight="1" thickBot="1" x14ac:dyDescent="0.35">
      <c r="A80" s="320" t="s">
        <v>371</v>
      </c>
      <c r="B80" s="1884"/>
      <c r="C80" s="648" t="s">
        <v>91</v>
      </c>
      <c r="D80" s="545">
        <v>0</v>
      </c>
      <c r="E80" s="382">
        <f t="shared" si="3"/>
        <v>0.20780999999999999</v>
      </c>
      <c r="F80" s="85">
        <f t="shared" si="4"/>
        <v>0</v>
      </c>
      <c r="G80" s="148"/>
      <c r="H80" s="148"/>
      <c r="I80" s="2302"/>
      <c r="J80" s="2303"/>
      <c r="K80" s="2304"/>
      <c r="L80" s="1055"/>
      <c r="M80" s="486"/>
      <c r="N80" s="49"/>
      <c r="O80" s="49"/>
      <c r="P80" s="49"/>
      <c r="Q80" s="49"/>
      <c r="R80" s="49"/>
      <c r="S80" s="49"/>
      <c r="T80" s="49"/>
      <c r="U80" s="49"/>
      <c r="V80" s="49"/>
      <c r="W80" s="49"/>
      <c r="X80" s="49"/>
      <c r="Y80" s="49"/>
      <c r="Z80" s="49"/>
    </row>
    <row r="81" spans="1:26" ht="15" customHeight="1" thickBot="1" x14ac:dyDescent="0.35">
      <c r="A81" s="320" t="s">
        <v>371</v>
      </c>
      <c r="B81" s="1884"/>
      <c r="C81" s="648" t="s">
        <v>94</v>
      </c>
      <c r="D81" s="545">
        <v>0</v>
      </c>
      <c r="E81" s="382">
        <f t="shared" si="3"/>
        <v>0.15276999999999999</v>
      </c>
      <c r="F81" s="85">
        <f t="shared" si="4"/>
        <v>0</v>
      </c>
      <c r="G81" s="148"/>
      <c r="H81" s="148"/>
      <c r="I81" s="2302"/>
      <c r="J81" s="2303"/>
      <c r="K81" s="2304"/>
      <c r="L81" s="1055"/>
      <c r="M81" s="486"/>
      <c r="N81" s="49"/>
      <c r="O81" s="49"/>
      <c r="P81" s="49"/>
      <c r="Q81" s="49"/>
      <c r="R81" s="49"/>
      <c r="S81" s="49"/>
      <c r="T81" s="49"/>
      <c r="U81" s="49"/>
      <c r="V81" s="49"/>
      <c r="W81" s="49"/>
      <c r="X81" s="49"/>
      <c r="Y81" s="49"/>
      <c r="Z81" s="49"/>
    </row>
    <row r="82" spans="1:26" ht="15" customHeight="1" thickBot="1" x14ac:dyDescent="0.35">
      <c r="A82" s="320" t="s">
        <v>371</v>
      </c>
      <c r="B82" s="1884"/>
      <c r="C82" s="648" t="s">
        <v>96</v>
      </c>
      <c r="D82" s="545">
        <v>0</v>
      </c>
      <c r="E82" s="382">
        <f t="shared" si="3"/>
        <v>0.18939</v>
      </c>
      <c r="F82" s="85">
        <f t="shared" si="4"/>
        <v>0</v>
      </c>
      <c r="G82" s="148"/>
      <c r="H82" s="148"/>
      <c r="I82" s="2302"/>
      <c r="J82" s="2303"/>
      <c r="K82" s="2304"/>
      <c r="L82" s="1055"/>
      <c r="M82" s="486"/>
      <c r="N82" s="49"/>
      <c r="O82" s="49"/>
      <c r="P82" s="49"/>
      <c r="Q82" s="49"/>
      <c r="R82" s="49"/>
      <c r="S82" s="49"/>
      <c r="T82" s="49"/>
      <c r="U82" s="49"/>
      <c r="V82" s="49"/>
      <c r="W82" s="49"/>
      <c r="X82" s="49"/>
      <c r="Y82" s="49"/>
      <c r="Z82" s="49"/>
    </row>
    <row r="83" spans="1:26" ht="15" customHeight="1" thickBot="1" x14ac:dyDescent="0.35">
      <c r="A83" s="320" t="s">
        <v>371</v>
      </c>
      <c r="B83" s="1884"/>
      <c r="C83" s="648" t="s">
        <v>97</v>
      </c>
      <c r="D83" s="545">
        <v>0</v>
      </c>
      <c r="E83" s="382">
        <f t="shared" si="3"/>
        <v>0.25762000000000002</v>
      </c>
      <c r="F83" s="85">
        <f t="shared" si="4"/>
        <v>0</v>
      </c>
      <c r="G83" s="148"/>
      <c r="H83" s="148"/>
      <c r="I83" s="2302"/>
      <c r="J83" s="2303"/>
      <c r="K83" s="2304"/>
      <c r="L83" s="1055"/>
      <c r="M83" s="486"/>
      <c r="N83" s="49"/>
      <c r="O83" s="49"/>
      <c r="P83" s="49"/>
      <c r="Q83" s="49"/>
      <c r="R83" s="49"/>
      <c r="S83" s="49"/>
      <c r="T83" s="49"/>
      <c r="U83" s="49"/>
      <c r="V83" s="49"/>
      <c r="W83" s="49"/>
      <c r="X83" s="49"/>
      <c r="Y83" s="49"/>
      <c r="Z83" s="49"/>
    </row>
    <row r="84" spans="1:26" ht="15" customHeight="1" thickBot="1" x14ac:dyDescent="0.35">
      <c r="A84" s="320" t="s">
        <v>371</v>
      </c>
      <c r="B84" s="1884"/>
      <c r="C84" s="648" t="s">
        <v>98</v>
      </c>
      <c r="D84" s="545">
        <v>0</v>
      </c>
      <c r="E84" s="382">
        <f t="shared" si="3"/>
        <v>0.19835</v>
      </c>
      <c r="F84" s="85">
        <f t="shared" si="4"/>
        <v>0</v>
      </c>
      <c r="G84" s="148"/>
      <c r="H84" s="148"/>
      <c r="I84" s="2302"/>
      <c r="J84" s="2303"/>
      <c r="K84" s="2304"/>
      <c r="L84" s="1055"/>
      <c r="M84" s="486"/>
      <c r="N84" s="49"/>
      <c r="O84" s="49"/>
      <c r="P84" s="49"/>
      <c r="Q84" s="49"/>
      <c r="R84" s="49"/>
      <c r="S84" s="49"/>
      <c r="T84" s="49"/>
      <c r="U84" s="49"/>
      <c r="V84" s="49"/>
      <c r="W84" s="49"/>
      <c r="X84" s="49"/>
      <c r="Y84" s="49"/>
      <c r="Z84" s="49"/>
    </row>
    <row r="85" spans="1:26" ht="15" customHeight="1" thickBot="1" x14ac:dyDescent="0.35">
      <c r="A85" s="320" t="s">
        <v>371</v>
      </c>
      <c r="B85" s="1884"/>
      <c r="C85" s="648" t="s">
        <v>99</v>
      </c>
      <c r="D85" s="545">
        <v>0</v>
      </c>
      <c r="E85" s="382">
        <f t="shared" si="3"/>
        <v>0.12820999999999999</v>
      </c>
      <c r="F85" s="85">
        <f t="shared" si="4"/>
        <v>0</v>
      </c>
      <c r="G85" s="148"/>
      <c r="H85" s="148"/>
      <c r="I85" s="2302"/>
      <c r="J85" s="2303"/>
      <c r="K85" s="2304"/>
      <c r="L85" s="1055"/>
      <c r="M85" s="486"/>
      <c r="N85" s="49"/>
      <c r="O85" s="49"/>
      <c r="P85" s="49"/>
      <c r="Q85" s="49"/>
      <c r="R85" s="49"/>
      <c r="S85" s="49"/>
      <c r="T85" s="49"/>
      <c r="U85" s="49"/>
      <c r="V85" s="49"/>
      <c r="W85" s="49"/>
      <c r="X85" s="49"/>
      <c r="Y85" s="49"/>
      <c r="Z85" s="49"/>
    </row>
    <row r="86" spans="1:26" ht="15" customHeight="1" thickBot="1" x14ac:dyDescent="0.35">
      <c r="A86" s="320" t="s">
        <v>371</v>
      </c>
      <c r="B86" s="1884"/>
      <c r="C86" s="648" t="s">
        <v>100</v>
      </c>
      <c r="D86" s="545">
        <v>0</v>
      </c>
      <c r="E86" s="382">
        <f t="shared" si="3"/>
        <v>0.22600999999999999</v>
      </c>
      <c r="F86" s="85">
        <f t="shared" si="4"/>
        <v>0</v>
      </c>
      <c r="G86" s="148"/>
      <c r="H86" s="148"/>
      <c r="I86" s="2302"/>
      <c r="J86" s="2303"/>
      <c r="K86" s="2304"/>
      <c r="L86" s="1055"/>
      <c r="M86" s="486"/>
      <c r="N86" s="49"/>
      <c r="O86" s="49"/>
      <c r="P86" s="49"/>
      <c r="Q86" s="49"/>
      <c r="R86" s="49"/>
      <c r="S86" s="49"/>
      <c r="T86" s="49"/>
      <c r="U86" s="49"/>
      <c r="V86" s="49"/>
      <c r="W86" s="49"/>
      <c r="X86" s="49"/>
      <c r="Y86" s="49"/>
      <c r="Z86" s="49"/>
    </row>
    <row r="87" spans="1:26" ht="15" customHeight="1" thickBot="1" x14ac:dyDescent="0.35">
      <c r="A87" s="320" t="s">
        <v>371</v>
      </c>
      <c r="B87" s="1884"/>
      <c r="C87" s="648" t="s">
        <v>101</v>
      </c>
      <c r="D87" s="545">
        <v>0</v>
      </c>
      <c r="E87" s="382">
        <f t="shared" si="3"/>
        <v>0.22452</v>
      </c>
      <c r="F87" s="85">
        <f t="shared" si="4"/>
        <v>0</v>
      </c>
      <c r="G87" s="148"/>
      <c r="H87" s="148"/>
      <c r="I87" s="2302"/>
      <c r="J87" s="2303"/>
      <c r="K87" s="2304"/>
      <c r="L87" s="1055"/>
      <c r="M87" s="486"/>
      <c r="N87" s="49"/>
      <c r="O87" s="49"/>
      <c r="P87" s="49"/>
      <c r="Q87" s="49"/>
      <c r="R87" s="49"/>
      <c r="S87" s="49"/>
      <c r="T87" s="49"/>
      <c r="U87" s="49"/>
      <c r="V87" s="49"/>
      <c r="W87" s="49"/>
      <c r="X87" s="49"/>
      <c r="Y87" s="49"/>
      <c r="Z87" s="49"/>
    </row>
    <row r="88" spans="1:26" ht="15" customHeight="1" thickBot="1" x14ac:dyDescent="0.35">
      <c r="A88" s="320" t="s">
        <v>371</v>
      </c>
      <c r="B88" s="1884"/>
      <c r="C88" s="648" t="s">
        <v>102</v>
      </c>
      <c r="D88" s="545">
        <v>80677266</v>
      </c>
      <c r="E88" s="382">
        <f t="shared" si="3"/>
        <v>0.20487</v>
      </c>
      <c r="F88" s="85">
        <f t="shared" si="4"/>
        <v>16528.35148542</v>
      </c>
      <c r="G88" s="148"/>
      <c r="H88" s="148"/>
      <c r="I88" s="2302" t="s">
        <v>533</v>
      </c>
      <c r="J88" s="2303"/>
      <c r="K88" s="2304"/>
      <c r="L88" s="1055"/>
      <c r="M88" s="486"/>
      <c r="N88" s="49"/>
      <c r="O88" s="49"/>
      <c r="P88" s="49"/>
      <c r="Q88" s="49"/>
      <c r="R88" s="49"/>
      <c r="S88" s="49"/>
      <c r="T88" s="49"/>
      <c r="U88" s="49"/>
      <c r="V88" s="49"/>
      <c r="W88" s="49"/>
      <c r="X88" s="49"/>
      <c r="Y88" s="49"/>
      <c r="Z88" s="49"/>
    </row>
    <row r="89" spans="1:26" ht="15" customHeight="1" thickBot="1" x14ac:dyDescent="0.35">
      <c r="A89" s="320" t="s">
        <v>371</v>
      </c>
      <c r="B89" s="1884"/>
      <c r="C89" s="648" t="s">
        <v>103</v>
      </c>
      <c r="D89" s="545">
        <v>0</v>
      </c>
      <c r="E89" s="382">
        <f t="shared" si="3"/>
        <v>8.7400000000000005E-2</v>
      </c>
      <c r="F89" s="85">
        <f t="shared" si="4"/>
        <v>0</v>
      </c>
      <c r="G89" s="148"/>
      <c r="H89" s="148"/>
      <c r="I89" s="2302"/>
      <c r="J89" s="2303"/>
      <c r="K89" s="2304"/>
      <c r="L89" s="1055"/>
      <c r="M89" s="486"/>
      <c r="N89" s="49"/>
      <c r="O89" s="49"/>
      <c r="P89" s="49"/>
      <c r="Q89" s="49"/>
      <c r="R89" s="49"/>
      <c r="S89" s="49"/>
      <c r="T89" s="49"/>
      <c r="U89" s="49"/>
      <c r="V89" s="49"/>
      <c r="W89" s="49"/>
      <c r="X89" s="49"/>
      <c r="Y89" s="49"/>
      <c r="Z89" s="49"/>
    </row>
    <row r="90" spans="1:26" ht="15" customHeight="1" thickBot="1" x14ac:dyDescent="0.35">
      <c r="A90" s="320" t="s">
        <v>371</v>
      </c>
      <c r="B90" s="1884"/>
      <c r="C90" s="648" t="s">
        <v>104</v>
      </c>
      <c r="D90" s="545">
        <v>0</v>
      </c>
      <c r="E90" s="382">
        <f t="shared" si="3"/>
        <v>0.10569000000000001</v>
      </c>
      <c r="F90" s="85">
        <f t="shared" si="4"/>
        <v>0</v>
      </c>
      <c r="G90" s="148"/>
      <c r="H90" s="148"/>
      <c r="I90" s="2302"/>
      <c r="J90" s="2303"/>
      <c r="K90" s="2304"/>
      <c r="L90" s="1055"/>
      <c r="M90" s="486"/>
      <c r="N90" s="49"/>
      <c r="O90" s="49"/>
      <c r="P90" s="49"/>
      <c r="Q90" s="49"/>
      <c r="R90" s="49"/>
      <c r="S90" s="49"/>
      <c r="T90" s="49"/>
      <c r="U90" s="49"/>
      <c r="V90" s="49"/>
      <c r="W90" s="49"/>
      <c r="X90" s="49"/>
      <c r="Y90" s="49"/>
      <c r="Z90" s="49"/>
    </row>
    <row r="91" spans="1:26" ht="15" customHeight="1" thickBot="1" x14ac:dyDescent="0.35">
      <c r="A91" s="320" t="s">
        <v>371</v>
      </c>
      <c r="B91" s="1884"/>
      <c r="C91" s="648" t="s">
        <v>105</v>
      </c>
      <c r="D91" s="545">
        <v>0</v>
      </c>
      <c r="E91" s="382">
        <f t="shared" si="3"/>
        <v>0.13977000000000001</v>
      </c>
      <c r="F91" s="85">
        <f t="shared" si="4"/>
        <v>0</v>
      </c>
      <c r="G91" s="148"/>
      <c r="H91" s="148"/>
      <c r="I91" s="2302"/>
      <c r="J91" s="2303"/>
      <c r="K91" s="2304"/>
      <c r="L91" s="1055"/>
      <c r="M91" s="486"/>
      <c r="N91" s="49"/>
      <c r="O91" s="49"/>
      <c r="P91" s="49"/>
      <c r="Q91" s="49"/>
      <c r="R91" s="49"/>
      <c r="S91" s="49"/>
      <c r="T91" s="49"/>
      <c r="U91" s="49"/>
      <c r="V91" s="49"/>
      <c r="W91" s="49"/>
      <c r="X91" s="49"/>
      <c r="Y91" s="49"/>
      <c r="Z91" s="49"/>
    </row>
    <row r="92" spans="1:26" ht="15" customHeight="1" thickBot="1" x14ac:dyDescent="0.35">
      <c r="A92" s="320" t="s">
        <v>371</v>
      </c>
      <c r="B92" s="1884"/>
      <c r="C92" s="648" t="s">
        <v>106</v>
      </c>
      <c r="D92" s="545">
        <v>0</v>
      </c>
      <c r="E92" s="382">
        <f t="shared" si="3"/>
        <v>0.11856</v>
      </c>
      <c r="F92" s="85">
        <f t="shared" si="4"/>
        <v>0</v>
      </c>
      <c r="G92" s="148"/>
      <c r="H92" s="148"/>
      <c r="I92" s="2302"/>
      <c r="J92" s="2303"/>
      <c r="K92" s="2304"/>
      <c r="L92" s="1055"/>
      <c r="M92" s="486"/>
      <c r="N92" s="49"/>
      <c r="O92" s="49"/>
      <c r="P92" s="49"/>
      <c r="Q92" s="49"/>
      <c r="R92" s="49"/>
      <c r="S92" s="49"/>
      <c r="T92" s="49"/>
      <c r="U92" s="49"/>
      <c r="V92" s="49"/>
      <c r="W92" s="49"/>
      <c r="X92" s="49"/>
      <c r="Y92" s="49"/>
      <c r="Z92" s="49"/>
    </row>
    <row r="93" spans="1:26" ht="15" customHeight="1" thickBot="1" x14ac:dyDescent="0.35">
      <c r="A93" s="320" t="s">
        <v>371</v>
      </c>
      <c r="B93" s="1884"/>
      <c r="C93" s="648" t="s">
        <v>107</v>
      </c>
      <c r="D93" s="545">
        <v>0</v>
      </c>
      <c r="E93" s="547">
        <v>0</v>
      </c>
      <c r="F93" s="348">
        <f t="shared" si="4"/>
        <v>0</v>
      </c>
      <c r="G93" s="148"/>
      <c r="H93" s="148"/>
      <c r="I93" s="2302"/>
      <c r="J93" s="2303"/>
      <c r="K93" s="2304"/>
      <c r="L93" s="1055"/>
      <c r="M93" s="486"/>
      <c r="N93" s="49"/>
      <c r="O93" s="49"/>
      <c r="P93" s="49"/>
      <c r="Q93" s="49"/>
      <c r="R93" s="49"/>
      <c r="S93" s="49"/>
      <c r="T93" s="49"/>
      <c r="U93" s="49"/>
      <c r="V93" s="49"/>
      <c r="W93" s="49"/>
      <c r="X93" s="49"/>
      <c r="Y93" s="49"/>
      <c r="Z93" s="49"/>
    </row>
    <row r="94" spans="1:26" ht="15" customHeight="1" thickBot="1" x14ac:dyDescent="0.35">
      <c r="A94" s="320" t="s">
        <v>371</v>
      </c>
      <c r="B94" s="1884"/>
      <c r="C94" s="648" t="s">
        <v>108</v>
      </c>
      <c r="D94" s="545">
        <v>0</v>
      </c>
      <c r="E94" s="547">
        <v>0</v>
      </c>
      <c r="F94" s="348">
        <f t="shared" si="4"/>
        <v>0</v>
      </c>
      <c r="G94" s="148"/>
      <c r="H94" s="148"/>
      <c r="I94" s="2302"/>
      <c r="J94" s="2303"/>
      <c r="K94" s="2304"/>
      <c r="L94" s="1055"/>
      <c r="M94" s="486"/>
      <c r="N94" s="49"/>
      <c r="O94" s="49"/>
      <c r="P94" s="49"/>
      <c r="Q94" s="49"/>
      <c r="R94" s="49"/>
      <c r="S94" s="49"/>
      <c r="T94" s="49"/>
      <c r="U94" s="49"/>
      <c r="V94" s="49"/>
      <c r="W94" s="49"/>
      <c r="X94" s="49"/>
      <c r="Y94" s="49"/>
      <c r="Z94" s="49"/>
    </row>
    <row r="95" spans="1:26" ht="15" customHeight="1" thickBot="1" x14ac:dyDescent="0.35">
      <c r="A95" s="320" t="s">
        <v>371</v>
      </c>
      <c r="B95" s="1885"/>
      <c r="C95" s="377" t="s">
        <v>109</v>
      </c>
      <c r="D95" s="545">
        <v>0</v>
      </c>
      <c r="E95" s="547">
        <v>0</v>
      </c>
      <c r="F95" s="354">
        <f t="shared" si="4"/>
        <v>0</v>
      </c>
      <c r="G95" s="173"/>
      <c r="H95" s="173"/>
      <c r="I95" s="2302"/>
      <c r="J95" s="2303"/>
      <c r="K95" s="2304"/>
      <c r="L95" s="1055"/>
      <c r="M95" s="486"/>
      <c r="N95" s="49"/>
      <c r="O95" s="49"/>
      <c r="P95" s="49"/>
      <c r="Q95" s="49"/>
      <c r="R95" s="49"/>
      <c r="S95" s="49"/>
      <c r="T95" s="49"/>
      <c r="U95" s="49"/>
      <c r="V95" s="49"/>
      <c r="W95" s="49"/>
      <c r="X95" s="49"/>
      <c r="Y95" s="49"/>
      <c r="Z95" s="49"/>
    </row>
    <row r="96" spans="1:26" ht="15.75" customHeight="1" thickBot="1" x14ac:dyDescent="0.35">
      <c r="A96" s="320"/>
      <c r="B96" s="383" t="s">
        <v>112</v>
      </c>
      <c r="C96" s="384"/>
      <c r="D96" s="378">
        <f>SUM(D97:D109)</f>
        <v>2636348</v>
      </c>
      <c r="E96" s="379"/>
      <c r="F96" s="380">
        <f>SUM(F97:F109)</f>
        <v>401.99705054319998</v>
      </c>
      <c r="G96" s="148"/>
      <c r="H96" s="148"/>
      <c r="I96" s="2302"/>
      <c r="J96" s="2303"/>
      <c r="K96" s="2304"/>
      <c r="L96" s="1055"/>
      <c r="M96" s="486"/>
      <c r="N96" s="49"/>
      <c r="O96" s="49"/>
      <c r="P96" s="49"/>
      <c r="Q96" s="49"/>
      <c r="R96" s="49"/>
      <c r="S96" s="49"/>
      <c r="T96" s="49"/>
      <c r="U96" s="49"/>
      <c r="V96" s="49"/>
      <c r="W96" s="49"/>
      <c r="X96" s="49"/>
      <c r="Y96" s="49"/>
      <c r="Z96" s="49"/>
    </row>
    <row r="97" spans="1:26" ht="15" customHeight="1" thickBot="1" x14ac:dyDescent="0.35">
      <c r="A97" s="320" t="s">
        <v>371</v>
      </c>
      <c r="B97" s="1883" t="s">
        <v>113</v>
      </c>
      <c r="C97" s="184" t="s">
        <v>114</v>
      </c>
      <c r="D97" s="543">
        <v>1888056</v>
      </c>
      <c r="E97" s="381">
        <f>+'Emission Factors'!C88</f>
        <v>0.18838469999999999</v>
      </c>
      <c r="F97" s="385">
        <f t="shared" ref="F97" si="5">(D97*E97)/1000</f>
        <v>355.68086314319999</v>
      </c>
      <c r="G97" s="376"/>
      <c r="H97" s="376"/>
      <c r="I97" s="2302"/>
      <c r="J97" s="2303"/>
      <c r="K97" s="2304"/>
      <c r="L97" s="1055"/>
      <c r="M97" s="486"/>
      <c r="N97" s="49"/>
      <c r="O97" s="49"/>
      <c r="P97" s="49"/>
      <c r="Q97" s="49"/>
      <c r="R97" s="49"/>
      <c r="S97" s="49"/>
      <c r="T97" s="49"/>
      <c r="U97" s="49"/>
      <c r="V97" s="49"/>
      <c r="W97" s="49"/>
      <c r="X97" s="49"/>
      <c r="Y97" s="49"/>
      <c r="Z97" s="49"/>
    </row>
    <row r="98" spans="1:26" ht="15" customHeight="1" thickBot="1" x14ac:dyDescent="0.35">
      <c r="A98" s="320" t="s">
        <v>371</v>
      </c>
      <c r="B98" s="1884"/>
      <c r="C98" s="37" t="s">
        <v>115</v>
      </c>
      <c r="D98" s="545">
        <v>742050</v>
      </c>
      <c r="E98" s="382">
        <f>+'Emission Factors'!C89</f>
        <v>6.1129999999999997E-2</v>
      </c>
      <c r="F98" s="385">
        <f t="shared" ref="F98:F109" si="6">(D98*E98)/1000</f>
        <v>45.3615165</v>
      </c>
      <c r="G98" s="148"/>
      <c r="H98" s="148"/>
      <c r="I98" s="2302"/>
      <c r="J98" s="2303"/>
      <c r="K98" s="2304"/>
      <c r="L98" s="1055"/>
      <c r="M98" s="486"/>
      <c r="N98" s="49"/>
      <c r="O98" s="49"/>
      <c r="P98" s="49"/>
      <c r="Q98" s="49"/>
      <c r="R98" s="49"/>
      <c r="S98" s="49"/>
      <c r="T98" s="49"/>
      <c r="U98" s="49"/>
      <c r="V98" s="49"/>
      <c r="W98" s="49"/>
      <c r="X98" s="49"/>
      <c r="Y98" s="49"/>
      <c r="Z98" s="49"/>
    </row>
    <row r="99" spans="1:26" ht="15" customHeight="1" thickBot="1" x14ac:dyDescent="0.35">
      <c r="A99" s="320" t="s">
        <v>371</v>
      </c>
      <c r="B99" s="1884"/>
      <c r="C99" s="37" t="s">
        <v>116</v>
      </c>
      <c r="D99" s="545">
        <v>0</v>
      </c>
      <c r="E99" s="382">
        <f>+'Emission Factors'!C90</f>
        <v>8.3979999999999999E-2</v>
      </c>
      <c r="F99" s="385">
        <f t="shared" si="6"/>
        <v>0</v>
      </c>
      <c r="G99" s="148"/>
      <c r="H99" s="148"/>
      <c r="I99" s="2302"/>
      <c r="J99" s="2303"/>
      <c r="K99" s="2304"/>
      <c r="L99" s="1055"/>
      <c r="M99" s="486"/>
      <c r="N99" s="49"/>
      <c r="O99" s="49"/>
      <c r="P99" s="49"/>
      <c r="Q99" s="49"/>
      <c r="R99" s="49"/>
      <c r="S99" s="49"/>
      <c r="T99" s="49"/>
      <c r="U99" s="49"/>
      <c r="V99" s="49"/>
      <c r="W99" s="49"/>
      <c r="X99" s="49"/>
      <c r="Y99" s="49"/>
      <c r="Z99" s="49"/>
    </row>
    <row r="100" spans="1:26" ht="15" customHeight="1" thickBot="1" x14ac:dyDescent="0.35">
      <c r="A100" s="320" t="s">
        <v>371</v>
      </c>
      <c r="B100" s="1884"/>
      <c r="C100" s="37" t="s">
        <v>117</v>
      </c>
      <c r="D100" s="545">
        <v>0</v>
      </c>
      <c r="E100" s="382">
        <f>+'Emission Factors'!C91</f>
        <v>7.8560000000000005E-2</v>
      </c>
      <c r="F100" s="385">
        <f t="shared" si="6"/>
        <v>0</v>
      </c>
      <c r="G100" s="148"/>
      <c r="H100" s="148"/>
      <c r="I100" s="2302"/>
      <c r="J100" s="2303"/>
      <c r="K100" s="2304"/>
      <c r="L100" s="1055"/>
      <c r="M100" s="486"/>
      <c r="N100" s="49"/>
      <c r="O100" s="49"/>
      <c r="P100" s="49"/>
      <c r="Q100" s="49"/>
      <c r="R100" s="49"/>
      <c r="S100" s="49"/>
      <c r="T100" s="49"/>
      <c r="U100" s="49"/>
      <c r="V100" s="49"/>
      <c r="W100" s="49"/>
      <c r="X100" s="49"/>
      <c r="Y100" s="49"/>
      <c r="Z100" s="49"/>
    </row>
    <row r="101" spans="1:26" ht="15" customHeight="1" thickBot="1" x14ac:dyDescent="0.35">
      <c r="A101" s="320" t="s">
        <v>371</v>
      </c>
      <c r="B101" s="1884"/>
      <c r="C101" s="37" t="s">
        <v>118</v>
      </c>
      <c r="D101" s="545">
        <v>5372</v>
      </c>
      <c r="E101" s="382">
        <f>+'Emission Factors'!C92</f>
        <v>0.15964999999999999</v>
      </c>
      <c r="F101" s="385">
        <f t="shared" si="6"/>
        <v>0.85763979999999995</v>
      </c>
      <c r="G101" s="148"/>
      <c r="H101" s="148"/>
      <c r="I101" s="2302"/>
      <c r="J101" s="2303"/>
      <c r="K101" s="2304"/>
      <c r="L101" s="1055"/>
      <c r="M101" s="486"/>
      <c r="N101" s="49"/>
      <c r="O101" s="49"/>
      <c r="P101" s="49"/>
      <c r="Q101" s="49"/>
      <c r="R101" s="49"/>
      <c r="S101" s="49"/>
      <c r="T101" s="49"/>
      <c r="U101" s="49"/>
      <c r="V101" s="49"/>
      <c r="W101" s="49"/>
      <c r="X101" s="49"/>
      <c r="Y101" s="49"/>
      <c r="Z101" s="49"/>
    </row>
    <row r="102" spans="1:26" ht="15" customHeight="1" thickBot="1" x14ac:dyDescent="0.35">
      <c r="A102" s="320" t="s">
        <v>371</v>
      </c>
      <c r="B102" s="1884"/>
      <c r="C102" s="37" t="s">
        <v>119</v>
      </c>
      <c r="D102" s="545">
        <v>0</v>
      </c>
      <c r="E102" s="382">
        <f>+'Emission Factors'!C93</f>
        <v>0.17175000000000001</v>
      </c>
      <c r="F102" s="385">
        <f t="shared" si="6"/>
        <v>0</v>
      </c>
      <c r="G102" s="148"/>
      <c r="H102" s="148"/>
      <c r="I102" s="2302"/>
      <c r="J102" s="2303"/>
      <c r="K102" s="2304"/>
      <c r="L102" s="1055"/>
      <c r="M102" s="486"/>
      <c r="N102" s="49"/>
      <c r="O102" s="49"/>
      <c r="P102" s="49"/>
      <c r="Q102" s="49"/>
      <c r="R102" s="49"/>
      <c r="S102" s="49"/>
      <c r="T102" s="49"/>
      <c r="U102" s="49"/>
      <c r="V102" s="49"/>
      <c r="W102" s="49"/>
      <c r="X102" s="49"/>
      <c r="Y102" s="49"/>
      <c r="Z102" s="49"/>
    </row>
    <row r="103" spans="1:26" ht="15" customHeight="1" thickBot="1" x14ac:dyDescent="0.35">
      <c r="A103" s="320" t="s">
        <v>371</v>
      </c>
      <c r="B103" s="1884"/>
      <c r="C103" s="37" t="s">
        <v>120</v>
      </c>
      <c r="D103" s="545">
        <v>870</v>
      </c>
      <c r="E103" s="382">
        <f>+'Emission Factors'!C94</f>
        <v>0.11153</v>
      </c>
      <c r="F103" s="385">
        <f t="shared" si="6"/>
        <v>9.7031100000000009E-2</v>
      </c>
      <c r="G103" s="148"/>
      <c r="H103" s="148"/>
      <c r="I103" s="2302"/>
      <c r="J103" s="2303"/>
      <c r="K103" s="2304"/>
      <c r="L103" s="1055"/>
      <c r="M103" s="486"/>
      <c r="N103" s="49"/>
      <c r="O103" s="49"/>
      <c r="P103" s="49"/>
      <c r="Q103" s="49"/>
      <c r="R103" s="49"/>
      <c r="S103" s="49"/>
      <c r="T103" s="49"/>
      <c r="U103" s="49"/>
      <c r="V103" s="49"/>
      <c r="W103" s="49"/>
      <c r="X103" s="49"/>
      <c r="Y103" s="49"/>
      <c r="Z103" s="49"/>
    </row>
    <row r="104" spans="1:26" ht="15" customHeight="1" thickBot="1" x14ac:dyDescent="0.35">
      <c r="A104" s="320" t="s">
        <v>371</v>
      </c>
      <c r="B104" s="1884"/>
      <c r="C104" s="37" t="s">
        <v>121</v>
      </c>
      <c r="D104" s="545">
        <v>0</v>
      </c>
      <c r="E104" s="382">
        <f>+'Emission Factors'!C95</f>
        <v>8.3769999999999997E-2</v>
      </c>
      <c r="F104" s="385">
        <f t="shared" si="6"/>
        <v>0</v>
      </c>
      <c r="G104" s="148"/>
      <c r="H104" s="148"/>
      <c r="I104" s="2302"/>
      <c r="J104" s="2303"/>
      <c r="K104" s="2304"/>
      <c r="L104" s="1055"/>
      <c r="M104" s="486"/>
      <c r="N104" s="49"/>
      <c r="O104" s="49"/>
      <c r="P104" s="49"/>
      <c r="Q104" s="49"/>
      <c r="R104" s="49"/>
      <c r="S104" s="49"/>
      <c r="T104" s="49"/>
      <c r="U104" s="49"/>
      <c r="V104" s="49"/>
      <c r="W104" s="49"/>
      <c r="X104" s="49"/>
      <c r="Y104" s="49"/>
      <c r="Z104" s="49"/>
    </row>
    <row r="105" spans="1:26" ht="15" customHeight="1" thickBot="1" x14ac:dyDescent="0.35">
      <c r="A105" s="320" t="s">
        <v>371</v>
      </c>
      <c r="B105" s="1884"/>
      <c r="C105" s="37" t="s">
        <v>122</v>
      </c>
      <c r="D105" s="545">
        <v>0</v>
      </c>
      <c r="E105" s="382">
        <f>+'Emission Factors'!C96</f>
        <v>0.10462</v>
      </c>
      <c r="F105" s="385">
        <f t="shared" si="6"/>
        <v>0</v>
      </c>
      <c r="G105" s="148"/>
      <c r="H105" s="148"/>
      <c r="I105" s="2302"/>
      <c r="J105" s="2303"/>
      <c r="K105" s="2304"/>
      <c r="L105" s="1055"/>
      <c r="M105" s="486"/>
      <c r="N105" s="49"/>
      <c r="O105" s="49"/>
      <c r="P105" s="49"/>
      <c r="Q105" s="49"/>
      <c r="R105" s="49"/>
      <c r="S105" s="49"/>
      <c r="T105" s="49"/>
      <c r="U105" s="49"/>
      <c r="V105" s="49"/>
      <c r="W105" s="49"/>
      <c r="X105" s="49"/>
      <c r="Y105" s="49"/>
      <c r="Z105" s="49"/>
    </row>
    <row r="106" spans="1:26" ht="15" customHeight="1" thickBot="1" x14ac:dyDescent="0.35">
      <c r="A106" s="320" t="s">
        <v>371</v>
      </c>
      <c r="B106" s="1884"/>
      <c r="C106" s="37" t="s">
        <v>123</v>
      </c>
      <c r="D106" s="545">
        <v>0</v>
      </c>
      <c r="E106" s="382">
        <f>+'Emission Factors'!C97</f>
        <v>3.0620000000000001E-2</v>
      </c>
      <c r="F106" s="385">
        <f t="shared" si="6"/>
        <v>0</v>
      </c>
      <c r="G106" s="148"/>
      <c r="H106" s="148"/>
      <c r="I106" s="2302"/>
      <c r="J106" s="2303"/>
      <c r="K106" s="2304"/>
      <c r="L106" s="1055"/>
      <c r="M106" s="486"/>
      <c r="N106" s="49"/>
      <c r="O106" s="49"/>
      <c r="P106" s="49"/>
      <c r="Q106" s="49"/>
      <c r="R106" s="49"/>
      <c r="S106" s="49"/>
      <c r="T106" s="49"/>
      <c r="U106" s="49"/>
      <c r="V106" s="49"/>
      <c r="W106" s="49"/>
      <c r="X106" s="49"/>
      <c r="Y106" s="49"/>
      <c r="Z106" s="49"/>
    </row>
    <row r="107" spans="1:26" ht="15" customHeight="1" thickBot="1" x14ac:dyDescent="0.35">
      <c r="A107" s="320" t="s">
        <v>371</v>
      </c>
      <c r="B107" s="1884"/>
      <c r="C107" s="37" t="s">
        <v>107</v>
      </c>
      <c r="D107" s="545">
        <v>0</v>
      </c>
      <c r="E107" s="547">
        <v>0</v>
      </c>
      <c r="F107" s="348">
        <f t="shared" si="6"/>
        <v>0</v>
      </c>
      <c r="G107" s="148"/>
      <c r="H107" s="148"/>
      <c r="I107" s="2302"/>
      <c r="J107" s="2303"/>
      <c r="K107" s="2304"/>
      <c r="L107" s="1055"/>
      <c r="M107" s="486"/>
      <c r="N107" s="49"/>
      <c r="O107" s="49"/>
      <c r="P107" s="49"/>
      <c r="Q107" s="49"/>
      <c r="R107" s="49"/>
      <c r="S107" s="49"/>
      <c r="T107" s="49"/>
      <c r="U107" s="49"/>
      <c r="V107" s="49"/>
      <c r="W107" s="49"/>
      <c r="X107" s="49"/>
      <c r="Y107" s="49"/>
      <c r="Z107" s="49"/>
    </row>
    <row r="108" spans="1:26" ht="15" customHeight="1" thickBot="1" x14ac:dyDescent="0.35">
      <c r="A108" s="320" t="s">
        <v>371</v>
      </c>
      <c r="B108" s="1884"/>
      <c r="C108" s="37" t="s">
        <v>108</v>
      </c>
      <c r="D108" s="545">
        <v>0</v>
      </c>
      <c r="E108" s="547">
        <v>0</v>
      </c>
      <c r="F108" s="348">
        <f t="shared" si="6"/>
        <v>0</v>
      </c>
      <c r="G108" s="148"/>
      <c r="H108" s="148"/>
      <c r="I108" s="2302"/>
      <c r="J108" s="2303"/>
      <c r="K108" s="2304"/>
      <c r="L108" s="1055"/>
      <c r="M108" s="486"/>
      <c r="N108" s="49"/>
      <c r="O108" s="49"/>
      <c r="P108" s="49"/>
      <c r="Q108" s="49"/>
      <c r="R108" s="49"/>
      <c r="S108" s="49"/>
      <c r="T108" s="49"/>
      <c r="U108" s="49"/>
      <c r="V108" s="49"/>
      <c r="W108" s="49"/>
      <c r="X108" s="49"/>
      <c r="Y108" s="49"/>
      <c r="Z108" s="49"/>
    </row>
    <row r="109" spans="1:26" ht="15" customHeight="1" thickBot="1" x14ac:dyDescent="0.35">
      <c r="A109" s="320" t="s">
        <v>371</v>
      </c>
      <c r="B109" s="1885"/>
      <c r="C109" s="548" t="s">
        <v>109</v>
      </c>
      <c r="D109" s="549">
        <v>0</v>
      </c>
      <c r="E109" s="1217">
        <v>0</v>
      </c>
      <c r="F109" s="354">
        <f t="shared" si="6"/>
        <v>0</v>
      </c>
      <c r="G109" s="173"/>
      <c r="H109" s="173"/>
      <c r="I109" s="2302"/>
      <c r="J109" s="2303"/>
      <c r="K109" s="2304"/>
      <c r="L109" s="1055"/>
      <c r="M109" s="486"/>
      <c r="N109" s="49"/>
      <c r="O109" s="49"/>
      <c r="P109" s="49"/>
      <c r="Q109" s="49"/>
      <c r="R109" s="49"/>
      <c r="S109" s="49"/>
      <c r="T109" s="49"/>
      <c r="U109" s="49"/>
      <c r="V109" s="49"/>
      <c r="W109" s="49"/>
      <c r="X109" s="49"/>
      <c r="Y109" s="49"/>
      <c r="Z109" s="49"/>
    </row>
    <row r="110" spans="1:26" ht="14.4" thickBot="1" x14ac:dyDescent="0.35">
      <c r="A110" s="320"/>
      <c r="B110" s="337"/>
      <c r="C110" s="337"/>
      <c r="D110" s="337"/>
      <c r="E110" s="337"/>
      <c r="F110" s="366"/>
      <c r="G110" s="337"/>
      <c r="H110" s="386"/>
      <c r="I110" s="49"/>
      <c r="J110" s="49"/>
      <c r="K110" s="49"/>
      <c r="L110" s="49"/>
      <c r="M110" s="49"/>
      <c r="N110" s="49"/>
      <c r="O110" s="49"/>
      <c r="P110" s="49"/>
      <c r="Q110" s="49"/>
      <c r="R110" s="49"/>
      <c r="S110" s="49"/>
      <c r="T110" s="49"/>
      <c r="U110" s="49"/>
      <c r="V110" s="49"/>
      <c r="W110" s="49"/>
      <c r="X110" s="49"/>
      <c r="Y110" s="49"/>
      <c r="Z110" s="49"/>
    </row>
    <row r="111" spans="1:26" ht="13.5" customHeight="1" thickBot="1" x14ac:dyDescent="0.35">
      <c r="A111" s="320"/>
      <c r="B111" s="1093" t="s">
        <v>124</v>
      </c>
      <c r="C111" s="387"/>
      <c r="D111" s="388"/>
      <c r="E111" s="389"/>
      <c r="F111" s="390">
        <f>+F96+F76+F56+T55+F45+F15</f>
        <v>561575.76312077325</v>
      </c>
      <c r="G111" s="49"/>
      <c r="H111" s="49"/>
      <c r="I111" s="49"/>
      <c r="J111" s="49"/>
      <c r="K111" s="49"/>
      <c r="L111" s="49"/>
      <c r="M111" s="49"/>
      <c r="N111" s="49"/>
      <c r="O111" s="49"/>
      <c r="P111" s="49"/>
      <c r="Q111" s="49"/>
      <c r="R111" s="49"/>
      <c r="S111" s="49"/>
      <c r="T111" s="49"/>
      <c r="U111" s="49"/>
      <c r="V111" s="49"/>
      <c r="W111" s="49"/>
      <c r="X111" s="49"/>
      <c r="Y111" s="49"/>
      <c r="Z111" s="49"/>
    </row>
    <row r="112" spans="1:26" s="589" customFormat="1" ht="15" thickBot="1" x14ac:dyDescent="0.35">
      <c r="A112" s="391"/>
      <c r="B112" s="392" t="s">
        <v>125</v>
      </c>
      <c r="C112" s="393"/>
      <c r="D112" s="393"/>
      <c r="E112" s="393"/>
      <c r="F112" s="393"/>
      <c r="G112" s="393"/>
      <c r="H112" s="394"/>
      <c r="I112" s="395"/>
      <c r="J112" s="396"/>
      <c r="K112" s="396"/>
      <c r="L112" s="396"/>
      <c r="M112" s="396"/>
      <c r="N112" s="396"/>
      <c r="O112" s="396"/>
      <c r="P112" s="396"/>
      <c r="Q112" s="396"/>
      <c r="R112" s="396"/>
      <c r="S112" s="396"/>
      <c r="T112" s="396"/>
      <c r="U112" s="396"/>
      <c r="V112" s="396"/>
      <c r="W112" s="396"/>
      <c r="X112" s="396"/>
      <c r="Y112" s="396"/>
      <c r="Z112" s="396"/>
    </row>
    <row r="113" spans="1:26" ht="15.75" customHeight="1" thickBot="1" x14ac:dyDescent="0.35">
      <c r="A113" s="320"/>
      <c r="B113" s="397"/>
      <c r="C113" s="398"/>
      <c r="D113" s="1999" t="s">
        <v>23</v>
      </c>
      <c r="E113" s="2000"/>
      <c r="F113" s="2001"/>
      <c r="G113" s="376"/>
      <c r="H113" s="376"/>
      <c r="I113" s="2002" t="s">
        <v>24</v>
      </c>
      <c r="J113" s="2003"/>
      <c r="K113" s="2004"/>
      <c r="L113" s="361" t="s">
        <v>408</v>
      </c>
      <c r="M113" s="49"/>
      <c r="N113" s="49"/>
      <c r="O113" s="49"/>
      <c r="P113" s="49"/>
      <c r="Q113" s="49"/>
      <c r="R113" s="49"/>
      <c r="S113" s="49"/>
      <c r="T113" s="49"/>
      <c r="U113" s="49"/>
      <c r="V113" s="49"/>
      <c r="W113" s="49"/>
      <c r="X113" s="49"/>
      <c r="Y113" s="49"/>
      <c r="Z113" s="49"/>
    </row>
    <row r="114" spans="1:26" ht="15.75" customHeight="1" thickBot="1" x14ac:dyDescent="0.35">
      <c r="A114" s="320"/>
      <c r="B114" s="397"/>
      <c r="C114" s="398"/>
      <c r="D114" s="399" t="s">
        <v>81</v>
      </c>
      <c r="E114" s="400" t="s">
        <v>171</v>
      </c>
      <c r="F114" s="401" t="s">
        <v>174</v>
      </c>
      <c r="G114" s="148"/>
      <c r="H114" s="148"/>
      <c r="I114" s="2005"/>
      <c r="J114" s="2006"/>
      <c r="K114" s="2007"/>
      <c r="L114" s="663" t="s">
        <v>28</v>
      </c>
      <c r="M114" s="49"/>
      <c r="N114" s="49"/>
      <c r="O114" s="49"/>
      <c r="P114" s="49"/>
      <c r="Q114" s="49"/>
      <c r="R114" s="49"/>
      <c r="S114" s="49"/>
      <c r="T114" s="49"/>
      <c r="U114" s="49"/>
      <c r="V114" s="49"/>
      <c r="W114" s="49"/>
      <c r="X114" s="49"/>
      <c r="Y114" s="49"/>
      <c r="Z114" s="49"/>
    </row>
    <row r="115" spans="1:26" ht="13.5" customHeight="1" thickBot="1" x14ac:dyDescent="0.35">
      <c r="A115" s="320"/>
      <c r="B115" s="402" t="s">
        <v>126</v>
      </c>
      <c r="C115" s="403"/>
      <c r="D115" s="404">
        <f>SUM(D116:D124)</f>
        <v>0</v>
      </c>
      <c r="E115" s="405"/>
      <c r="F115" s="406">
        <f>SUM(F116:F124)</f>
        <v>0</v>
      </c>
      <c r="G115" s="148"/>
      <c r="H115" s="148"/>
      <c r="I115" s="2005"/>
      <c r="J115" s="2006"/>
      <c r="K115" s="2007"/>
      <c r="L115" s="660">
        <f>SUM(L116:L124)</f>
        <v>0</v>
      </c>
      <c r="M115" s="49"/>
      <c r="N115" s="49"/>
      <c r="O115" s="49"/>
      <c r="P115" s="49"/>
      <c r="Q115" s="49"/>
      <c r="R115" s="49"/>
      <c r="S115" s="49"/>
      <c r="T115" s="49"/>
      <c r="U115" s="49"/>
      <c r="V115" s="49"/>
      <c r="W115" s="49"/>
      <c r="X115" s="49"/>
      <c r="Y115" s="49"/>
      <c r="Z115" s="49"/>
    </row>
    <row r="116" spans="1:26" ht="15" customHeight="1" x14ac:dyDescent="0.3">
      <c r="A116" s="320" t="s">
        <v>373</v>
      </c>
      <c r="B116" s="407" t="s">
        <v>127</v>
      </c>
      <c r="C116" s="550"/>
      <c r="D116" s="543">
        <v>0</v>
      </c>
      <c r="E116" s="551">
        <f>+'Emission Factors'!C107</f>
        <v>0.10817160000000001</v>
      </c>
      <c r="F116" s="563">
        <f>(D116*E116)/1000</f>
        <v>0</v>
      </c>
      <c r="G116" s="376"/>
      <c r="H116" s="376"/>
      <c r="I116" s="2384"/>
      <c r="J116" s="2385"/>
      <c r="K116" s="2386"/>
      <c r="L116" s="559">
        <f>+F116*2.09</f>
        <v>0</v>
      </c>
      <c r="M116" s="49"/>
      <c r="N116" s="49"/>
      <c r="O116" s="49"/>
      <c r="P116" s="49"/>
      <c r="Q116" s="49"/>
      <c r="R116" s="49"/>
      <c r="S116" s="49"/>
      <c r="T116" s="49"/>
      <c r="U116" s="49"/>
      <c r="V116" s="49"/>
      <c r="W116" s="49"/>
      <c r="X116" s="49"/>
      <c r="Y116" s="49"/>
      <c r="Z116" s="49"/>
    </row>
    <row r="117" spans="1:26" ht="15.75" customHeight="1" x14ac:dyDescent="0.3">
      <c r="A117" s="320" t="s">
        <v>373</v>
      </c>
      <c r="B117" s="111" t="s">
        <v>128</v>
      </c>
      <c r="C117" s="552"/>
      <c r="D117" s="545">
        <v>0</v>
      </c>
      <c r="E117" s="553">
        <f>+'Emission Factors'!C108</f>
        <v>0.1030813</v>
      </c>
      <c r="F117" s="564">
        <f t="shared" ref="F117:F124" si="7">(D117*E117)/1000</f>
        <v>0</v>
      </c>
      <c r="G117" s="148"/>
      <c r="H117" s="148"/>
      <c r="I117" s="2369"/>
      <c r="J117" s="2370"/>
      <c r="K117" s="2371"/>
      <c r="L117" s="661">
        <f t="shared" ref="L117:L123" si="8">+F117*2.09</f>
        <v>0</v>
      </c>
      <c r="M117" s="49"/>
      <c r="N117" s="49"/>
      <c r="O117" s="49"/>
      <c r="P117" s="49"/>
      <c r="Q117" s="49"/>
      <c r="R117" s="49"/>
      <c r="S117" s="49"/>
      <c r="T117" s="49"/>
      <c r="U117" s="49"/>
      <c r="V117" s="49"/>
      <c r="W117" s="49"/>
      <c r="X117" s="49"/>
      <c r="Y117" s="49"/>
      <c r="Z117" s="49"/>
    </row>
    <row r="118" spans="1:26" ht="15" customHeight="1" x14ac:dyDescent="0.3">
      <c r="A118" s="320" t="s">
        <v>373</v>
      </c>
      <c r="B118" s="111" t="s">
        <v>129</v>
      </c>
      <c r="C118" s="552"/>
      <c r="D118" s="545">
        <v>0</v>
      </c>
      <c r="E118" s="553">
        <f>+'Emission Factors'!C109</f>
        <v>0.1546274</v>
      </c>
      <c r="F118" s="564">
        <f t="shared" si="7"/>
        <v>0</v>
      </c>
      <c r="G118" s="148"/>
      <c r="H118" s="148"/>
      <c r="I118" s="2369"/>
      <c r="J118" s="2370"/>
      <c r="K118" s="2371"/>
      <c r="L118" s="661">
        <f t="shared" si="8"/>
        <v>0</v>
      </c>
      <c r="M118" s="49"/>
      <c r="N118" s="49"/>
      <c r="O118" s="49"/>
      <c r="P118" s="49"/>
      <c r="Q118" s="49"/>
      <c r="R118" s="49"/>
      <c r="S118" s="49"/>
      <c r="T118" s="49"/>
      <c r="U118" s="49"/>
      <c r="V118" s="49"/>
      <c r="W118" s="49"/>
      <c r="X118" s="49"/>
      <c r="Y118" s="49"/>
      <c r="Z118" s="49"/>
    </row>
    <row r="119" spans="1:26" ht="15.75" customHeight="1" x14ac:dyDescent="0.3">
      <c r="A119" s="320" t="s">
        <v>373</v>
      </c>
      <c r="B119" s="111" t="s">
        <v>130</v>
      </c>
      <c r="C119" s="552"/>
      <c r="D119" s="545">
        <v>0</v>
      </c>
      <c r="E119" s="553">
        <f>+'Emission Factors'!C110</f>
        <v>0.1235079</v>
      </c>
      <c r="F119" s="564">
        <f t="shared" si="7"/>
        <v>0</v>
      </c>
      <c r="G119" s="148"/>
      <c r="H119" s="148"/>
      <c r="I119" s="2369"/>
      <c r="J119" s="2370"/>
      <c r="K119" s="2371"/>
      <c r="L119" s="661">
        <f t="shared" si="8"/>
        <v>0</v>
      </c>
      <c r="M119" s="49"/>
      <c r="N119" s="49"/>
      <c r="O119" s="49"/>
      <c r="P119" s="49"/>
      <c r="Q119" s="49"/>
      <c r="R119" s="49"/>
      <c r="S119" s="49"/>
      <c r="T119" s="49"/>
      <c r="U119" s="49"/>
      <c r="V119" s="49"/>
      <c r="W119" s="49"/>
      <c r="X119" s="49"/>
      <c r="Y119" s="49"/>
      <c r="Z119" s="49"/>
    </row>
    <row r="120" spans="1:26" ht="15" customHeight="1" x14ac:dyDescent="0.3">
      <c r="A120" s="320" t="s">
        <v>373</v>
      </c>
      <c r="B120" s="111" t="s">
        <v>131</v>
      </c>
      <c r="C120" s="552"/>
      <c r="D120" s="545">
        <v>0</v>
      </c>
      <c r="E120" s="553">
        <f>+'Emission Factors'!C111</f>
        <v>9.0164800000000003E-2</v>
      </c>
      <c r="F120" s="564">
        <f t="shared" si="7"/>
        <v>0</v>
      </c>
      <c r="G120" s="148"/>
      <c r="H120" s="148"/>
      <c r="I120" s="2369"/>
      <c r="J120" s="2370"/>
      <c r="K120" s="2371"/>
      <c r="L120" s="661">
        <f t="shared" si="8"/>
        <v>0</v>
      </c>
      <c r="M120" s="49"/>
      <c r="N120" s="49"/>
      <c r="O120" s="49"/>
      <c r="P120" s="49"/>
      <c r="Q120" s="49"/>
      <c r="R120" s="49"/>
      <c r="S120" s="49"/>
      <c r="T120" s="49"/>
      <c r="U120" s="49"/>
      <c r="V120" s="49"/>
      <c r="W120" s="49"/>
      <c r="X120" s="49"/>
      <c r="Y120" s="49"/>
      <c r="Z120" s="49"/>
    </row>
    <row r="121" spans="1:26" ht="15.75" customHeight="1" x14ac:dyDescent="0.3">
      <c r="A121" s="320" t="s">
        <v>373</v>
      </c>
      <c r="B121" s="111" t="s">
        <v>132</v>
      </c>
      <c r="C121" s="552"/>
      <c r="D121" s="545">
        <v>0</v>
      </c>
      <c r="E121" s="553">
        <f>+'Emission Factors'!C112</f>
        <v>0.14426149999999999</v>
      </c>
      <c r="F121" s="564">
        <f t="shared" si="7"/>
        <v>0</v>
      </c>
      <c r="G121" s="148"/>
      <c r="H121" s="148"/>
      <c r="I121" s="2369"/>
      <c r="J121" s="2370"/>
      <c r="K121" s="2371"/>
      <c r="L121" s="661">
        <f t="shared" si="8"/>
        <v>0</v>
      </c>
      <c r="M121" s="49"/>
      <c r="N121" s="49"/>
      <c r="O121" s="49"/>
      <c r="P121" s="49"/>
      <c r="Q121" s="49"/>
      <c r="R121" s="49"/>
      <c r="S121" s="49"/>
      <c r="T121" s="49"/>
      <c r="U121" s="49"/>
      <c r="V121" s="49"/>
      <c r="W121" s="49"/>
      <c r="X121" s="49"/>
      <c r="Y121" s="49"/>
      <c r="Z121" s="49"/>
    </row>
    <row r="122" spans="1:26" ht="15" customHeight="1" x14ac:dyDescent="0.3">
      <c r="A122" s="320" t="s">
        <v>373</v>
      </c>
      <c r="B122" s="111" t="s">
        <v>133</v>
      </c>
      <c r="C122" s="552"/>
      <c r="D122" s="545">
        <v>0</v>
      </c>
      <c r="E122" s="553">
        <f>+'Emission Factors'!C113</f>
        <v>0.26146920000000001</v>
      </c>
      <c r="F122" s="564">
        <f t="shared" si="7"/>
        <v>0</v>
      </c>
      <c r="G122" s="148"/>
      <c r="H122" s="148"/>
      <c r="I122" s="2369"/>
      <c r="J122" s="2370"/>
      <c r="K122" s="2371"/>
      <c r="L122" s="661">
        <f t="shared" si="8"/>
        <v>0</v>
      </c>
      <c r="M122" s="49"/>
      <c r="N122" s="49"/>
      <c r="O122" s="49"/>
      <c r="P122" s="49"/>
      <c r="Q122" s="49"/>
      <c r="R122" s="49"/>
      <c r="S122" s="49"/>
      <c r="T122" s="49"/>
      <c r="U122" s="49"/>
      <c r="V122" s="49"/>
      <c r="W122" s="49"/>
      <c r="X122" s="49"/>
      <c r="Y122" s="49"/>
      <c r="Z122" s="49"/>
    </row>
    <row r="123" spans="1:26" ht="15.75" customHeight="1" thickBot="1" x14ac:dyDescent="0.35">
      <c r="A123" s="320" t="s">
        <v>373</v>
      </c>
      <c r="B123" s="111" t="s">
        <v>134</v>
      </c>
      <c r="C123" s="552"/>
      <c r="D123" s="545">
        <v>0</v>
      </c>
      <c r="E123" s="553">
        <f>+'Emission Factors'!C114</f>
        <v>0.36064829999999998</v>
      </c>
      <c r="F123" s="564">
        <f>(D123*E123)/1000</f>
        <v>0</v>
      </c>
      <c r="G123" s="148"/>
      <c r="H123" s="148"/>
      <c r="I123" s="2369"/>
      <c r="J123" s="2370"/>
      <c r="K123" s="2371"/>
      <c r="L123" s="662">
        <f t="shared" si="8"/>
        <v>0</v>
      </c>
      <c r="M123" s="49"/>
      <c r="N123" s="49"/>
      <c r="O123" s="49"/>
      <c r="P123" s="49"/>
      <c r="Q123" s="49"/>
      <c r="R123" s="49"/>
      <c r="S123" s="49"/>
      <c r="T123" s="49"/>
      <c r="U123" s="49"/>
      <c r="V123" s="49"/>
      <c r="W123" s="49"/>
      <c r="X123" s="49"/>
      <c r="Y123" s="49"/>
      <c r="Z123" s="49"/>
    </row>
    <row r="124" spans="1:26" ht="15" customHeight="1" thickBot="1" x14ac:dyDescent="0.35">
      <c r="A124" s="320" t="s">
        <v>373</v>
      </c>
      <c r="B124" s="409" t="s">
        <v>135</v>
      </c>
      <c r="C124" s="554"/>
      <c r="D124" s="549">
        <v>0</v>
      </c>
      <c r="E124" s="555">
        <f>+'Emission Factors'!C115</f>
        <v>1.7770000000000001E-2</v>
      </c>
      <c r="F124" s="565">
        <f t="shared" si="7"/>
        <v>0</v>
      </c>
      <c r="G124" s="173"/>
      <c r="H124" s="173"/>
      <c r="I124" s="2372"/>
      <c r="J124" s="2373"/>
      <c r="K124" s="2374"/>
      <c r="L124" s="49"/>
      <c r="M124" s="49"/>
      <c r="N124" s="49"/>
      <c r="O124" s="49"/>
      <c r="P124" s="49"/>
      <c r="Q124" s="49"/>
      <c r="R124" s="49"/>
      <c r="S124" s="49"/>
      <c r="T124" s="49"/>
      <c r="U124" s="49"/>
      <c r="V124" s="49"/>
      <c r="W124" s="49"/>
      <c r="X124" s="49"/>
      <c r="Y124" s="49"/>
      <c r="Z124" s="49"/>
    </row>
    <row r="125" spans="1:26" ht="15" customHeight="1" x14ac:dyDescent="0.3">
      <c r="A125" s="320"/>
      <c r="B125" s="659" t="s">
        <v>407</v>
      </c>
      <c r="C125" s="650"/>
      <c r="D125" s="412"/>
      <c r="E125" s="413"/>
      <c r="F125" s="414"/>
      <c r="G125" s="414"/>
      <c r="H125" s="414"/>
      <c r="I125" s="415"/>
      <c r="J125" s="415"/>
      <c r="K125" s="415"/>
      <c r="L125" s="49"/>
      <c r="M125" s="49"/>
      <c r="N125" s="49"/>
      <c r="O125" s="49"/>
      <c r="P125" s="49"/>
      <c r="Q125" s="49"/>
      <c r="R125" s="49"/>
      <c r="S125" s="49"/>
      <c r="T125" s="49"/>
      <c r="U125" s="49"/>
      <c r="V125" s="49"/>
      <c r="W125" s="49"/>
      <c r="X125" s="49"/>
      <c r="Y125" s="49"/>
      <c r="Z125" s="49"/>
    </row>
    <row r="126" spans="1:26" s="594" customFormat="1" ht="23.4" x14ac:dyDescent="0.3">
      <c r="A126" s="535"/>
      <c r="B126" s="531" t="s">
        <v>136</v>
      </c>
      <c r="C126" s="537"/>
      <c r="D126" s="2311" t="str">
        <f>+$A$1</f>
        <v>Baseline</v>
      </c>
      <c r="E126" s="2311"/>
      <c r="F126" s="2311"/>
      <c r="G126" s="2311"/>
      <c r="H126" s="2311"/>
      <c r="I126" s="2311"/>
      <c r="J126" s="2311"/>
      <c r="K126" s="538"/>
      <c r="L126" s="538"/>
      <c r="M126" s="538"/>
      <c r="N126" s="538"/>
      <c r="O126" s="538"/>
      <c r="P126" s="538"/>
      <c r="Q126" s="538"/>
      <c r="R126" s="538"/>
      <c r="S126" s="538"/>
      <c r="T126" s="538"/>
      <c r="U126" s="538"/>
      <c r="V126" s="538"/>
      <c r="W126" s="538"/>
      <c r="X126" s="538"/>
      <c r="Y126" s="539"/>
      <c r="Z126" s="539"/>
    </row>
    <row r="127" spans="1:26" ht="15" customHeight="1" thickBot="1" x14ac:dyDescent="0.35">
      <c r="A127" s="320"/>
      <c r="B127" s="43" t="s">
        <v>137</v>
      </c>
      <c r="C127" s="650"/>
      <c r="D127" s="412"/>
      <c r="E127" s="413"/>
      <c r="F127" s="414"/>
      <c r="G127" s="414"/>
      <c r="H127" s="414"/>
      <c r="I127" s="415"/>
      <c r="J127" s="415"/>
      <c r="K127" s="415"/>
      <c r="L127" s="49"/>
      <c r="M127" s="49"/>
      <c r="N127" s="49"/>
      <c r="O127" s="49"/>
      <c r="P127" s="49"/>
      <c r="Q127" s="49"/>
      <c r="R127" s="49"/>
      <c r="S127" s="49"/>
      <c r="T127" s="49"/>
      <c r="U127" s="49"/>
      <c r="V127" s="49"/>
      <c r="W127" s="49"/>
      <c r="X127" s="49"/>
      <c r="Y127" s="49"/>
      <c r="Z127" s="49"/>
    </row>
    <row r="128" spans="1:26" ht="30.75" customHeight="1" thickBot="1" x14ac:dyDescent="0.35">
      <c r="A128" s="320"/>
      <c r="B128" s="49"/>
      <c r="C128" s="49"/>
      <c r="D128" s="416"/>
      <c r="E128" s="650"/>
      <c r="F128" s="417" t="s">
        <v>23</v>
      </c>
      <c r="G128" s="418"/>
      <c r="H128" s="419" t="s">
        <v>144</v>
      </c>
      <c r="I128" s="2031" t="s">
        <v>24</v>
      </c>
      <c r="J128" s="2032"/>
      <c r="K128" s="2033"/>
      <c r="L128" s="49"/>
      <c r="M128" s="49"/>
      <c r="N128" s="49"/>
      <c r="O128" s="415"/>
      <c r="P128" s="49"/>
      <c r="Q128" s="49"/>
      <c r="R128" s="49"/>
      <c r="S128" s="49"/>
      <c r="T128" s="49"/>
      <c r="U128" s="49"/>
      <c r="V128" s="49"/>
      <c r="W128" s="49"/>
      <c r="X128" s="49"/>
      <c r="Y128" s="49"/>
      <c r="Z128" s="49"/>
    </row>
    <row r="129" spans="1:26" ht="15" customHeight="1" thickBot="1" x14ac:dyDescent="0.35">
      <c r="A129" s="320"/>
      <c r="B129" s="49"/>
      <c r="C129" s="49"/>
      <c r="D129" s="43" t="str">
        <f>IF(D29&gt;0,"Please add F7 to relevant to total for relevant scope","")</f>
        <v/>
      </c>
      <c r="E129" s="650"/>
      <c r="F129" s="51" t="s">
        <v>28</v>
      </c>
      <c r="G129" s="418"/>
      <c r="H129" s="1214" t="s">
        <v>28</v>
      </c>
      <c r="I129" s="2034"/>
      <c r="J129" s="2035"/>
      <c r="K129" s="2036"/>
      <c r="L129" s="49"/>
      <c r="M129" s="49"/>
      <c r="N129" s="49"/>
      <c r="O129" s="415"/>
      <c r="P129" s="49"/>
      <c r="Q129" s="49"/>
      <c r="R129" s="49"/>
      <c r="S129" s="49"/>
      <c r="T129" s="49"/>
      <c r="U129" s="49"/>
      <c r="V129" s="49"/>
      <c r="W129" s="49"/>
      <c r="X129" s="49"/>
      <c r="Y129" s="49"/>
      <c r="Z129" s="49"/>
    </row>
    <row r="130" spans="1:26" ht="15" customHeight="1" thickBot="1" x14ac:dyDescent="0.35">
      <c r="A130" s="420"/>
      <c r="B130" s="420"/>
      <c r="C130" s="420"/>
      <c r="D130" s="1089" t="s">
        <v>138</v>
      </c>
      <c r="E130" s="1094"/>
      <c r="F130" s="42">
        <f>F131+F132+F133</f>
        <v>561575.76312077325</v>
      </c>
      <c r="G130" s="418"/>
      <c r="H130" s="651">
        <f>H131+H132+H133</f>
        <v>0</v>
      </c>
      <c r="I130" s="2366"/>
      <c r="J130" s="2367"/>
      <c r="K130" s="2368"/>
      <c r="L130" s="420"/>
      <c r="M130" s="420"/>
      <c r="N130" s="49"/>
      <c r="O130" s="415"/>
      <c r="P130" s="49"/>
      <c r="Q130" s="49"/>
      <c r="R130" s="49"/>
      <c r="S130" s="49"/>
      <c r="T130" s="49"/>
      <c r="U130" s="49"/>
      <c r="V130" s="49"/>
      <c r="W130" s="49"/>
      <c r="X130" s="49"/>
      <c r="Y130" s="49"/>
      <c r="Z130" s="49"/>
    </row>
    <row r="131" spans="1:26" ht="15" customHeight="1" x14ac:dyDescent="0.3">
      <c r="A131" s="420"/>
      <c r="B131" s="420"/>
      <c r="C131" s="420"/>
      <c r="D131" s="52" t="s">
        <v>139</v>
      </c>
      <c r="E131" s="53"/>
      <c r="F131" s="177">
        <f>F56+T55+F45+F20+F21+F22+F23+F24+F30+F31+F32+F33+F34+F35+F36+F37+F38+F39+F29</f>
        <v>247631.39006790001</v>
      </c>
      <c r="G131" s="421"/>
      <c r="H131" s="652">
        <f>H45+H20+H21+H22+H23+H24+H30+H31+H32+H33+H34+H35+H36+H37+H38+H39+H29</f>
        <v>0</v>
      </c>
      <c r="I131" s="2375"/>
      <c r="J131" s="2376"/>
      <c r="K131" s="2377"/>
      <c r="L131" s="420"/>
      <c r="M131" s="420"/>
      <c r="N131" s="49"/>
      <c r="O131" s="415"/>
      <c r="P131" s="49"/>
      <c r="Q131" s="49"/>
      <c r="R131" s="49"/>
      <c r="S131" s="49"/>
      <c r="T131" s="49"/>
      <c r="U131" s="49"/>
      <c r="V131" s="49"/>
      <c r="W131" s="49"/>
      <c r="X131" s="49"/>
      <c r="Y131" s="49"/>
      <c r="Z131" s="49"/>
    </row>
    <row r="132" spans="1:26" ht="15" customHeight="1" x14ac:dyDescent="0.3">
      <c r="A132" s="420"/>
      <c r="B132" s="420"/>
      <c r="C132" s="420"/>
      <c r="D132" s="54" t="s">
        <v>140</v>
      </c>
      <c r="E132" s="55"/>
      <c r="F132" s="177">
        <f>+P16+P17+P18+P19+P25+P28+F26+F27</f>
        <v>275244.10624041001</v>
      </c>
      <c r="G132" s="422"/>
      <c r="H132" s="652">
        <f>+V16+V17+V18+V19+V25+V28+H26+H27</f>
        <v>0</v>
      </c>
      <c r="I132" s="2378"/>
      <c r="J132" s="2379"/>
      <c r="K132" s="2380"/>
      <c r="L132" s="420"/>
      <c r="M132" s="420"/>
      <c r="N132" s="49"/>
      <c r="O132" s="415"/>
      <c r="P132" s="49"/>
      <c r="Q132" s="49"/>
      <c r="R132" s="49"/>
      <c r="S132" s="49"/>
      <c r="T132" s="49"/>
      <c r="U132" s="49"/>
      <c r="V132" s="49"/>
      <c r="W132" s="49"/>
      <c r="X132" s="49"/>
      <c r="Y132" s="49"/>
      <c r="Z132" s="49"/>
    </row>
    <row r="133" spans="1:26" ht="15" customHeight="1" thickBot="1" x14ac:dyDescent="0.35">
      <c r="A133" s="420"/>
      <c r="B133" s="420"/>
      <c r="C133" s="420"/>
      <c r="D133" s="56" t="s">
        <v>141</v>
      </c>
      <c r="E133" s="57"/>
      <c r="F133" s="178">
        <f>+R16+R17+R18+R19+R25+F76+F96+R28</f>
        <v>38700.266812463204</v>
      </c>
      <c r="G133" s="423"/>
      <c r="H133" s="180">
        <f>+X16+X17+X18+X19+X25+X28</f>
        <v>0</v>
      </c>
      <c r="I133" s="2381"/>
      <c r="J133" s="2382"/>
      <c r="K133" s="2383"/>
      <c r="L133" s="420"/>
      <c r="M133" s="420"/>
      <c r="N133" s="49"/>
      <c r="O133" s="415"/>
      <c r="P133" s="49"/>
      <c r="Q133" s="49"/>
      <c r="R133" s="49"/>
      <c r="S133" s="49"/>
      <c r="T133" s="49"/>
      <c r="U133" s="49"/>
      <c r="V133" s="49"/>
      <c r="W133" s="49"/>
      <c r="X133" s="49"/>
      <c r="Y133" s="49"/>
      <c r="Z133" s="49"/>
    </row>
    <row r="134" spans="1:26" ht="15" customHeight="1" thickBot="1" x14ac:dyDescent="0.35">
      <c r="A134" s="420"/>
      <c r="B134" s="420"/>
      <c r="C134" s="420"/>
      <c r="D134" s="2017" t="s">
        <v>172</v>
      </c>
      <c r="E134" s="2018"/>
      <c r="F134" s="42">
        <f>F115</f>
        <v>0</v>
      </c>
      <c r="G134" s="424"/>
      <c r="H134" s="651"/>
      <c r="I134" s="1090"/>
      <c r="J134" s="1091"/>
      <c r="K134" s="1092"/>
      <c r="L134" s="420"/>
      <c r="M134" s="420"/>
      <c r="N134" s="49"/>
      <c r="O134" s="415"/>
      <c r="P134" s="49"/>
      <c r="Q134" s="49"/>
      <c r="R134" s="49"/>
      <c r="S134" s="49"/>
      <c r="T134" s="49"/>
      <c r="U134" s="49"/>
      <c r="V134" s="49"/>
      <c r="W134" s="49"/>
      <c r="X134" s="49"/>
      <c r="Y134" s="49"/>
      <c r="Z134" s="49"/>
    </row>
    <row r="135" spans="1:26" ht="27.75" customHeight="1" x14ac:dyDescent="0.3">
      <c r="A135" s="320"/>
      <c r="B135" s="2019" t="s">
        <v>142</v>
      </c>
      <c r="C135" s="2019"/>
      <c r="D135" s="2019"/>
      <c r="E135" s="2019"/>
      <c r="F135" s="2019"/>
      <c r="G135" s="2019"/>
      <c r="H135" s="2019"/>
      <c r="I135" s="2019"/>
      <c r="J135" s="2019"/>
      <c r="K135" s="2019"/>
      <c r="L135" s="2019"/>
      <c r="M135" s="49"/>
      <c r="N135" s="49"/>
      <c r="O135" s="49"/>
      <c r="P135" s="49"/>
      <c r="Q135" s="49"/>
      <c r="R135" s="49"/>
      <c r="S135" s="49"/>
      <c r="T135" s="49"/>
      <c r="U135" s="49"/>
      <c r="V135" s="49"/>
      <c r="W135" s="49"/>
      <c r="X135" s="49"/>
      <c r="Y135" s="49"/>
      <c r="Z135" s="49"/>
    </row>
    <row r="136" spans="1:26" ht="27.75" customHeight="1" x14ac:dyDescent="0.3">
      <c r="A136" s="320"/>
      <c r="B136" s="1088"/>
      <c r="C136" s="1088"/>
      <c r="D136" s="1088"/>
      <c r="E136" s="1088"/>
      <c r="F136" s="1088"/>
      <c r="G136" s="1088"/>
      <c r="H136" s="1088"/>
      <c r="I136" s="1088"/>
      <c r="J136" s="1088"/>
      <c r="K136" s="1088"/>
      <c r="L136" s="1088"/>
      <c r="M136" s="49"/>
      <c r="N136" s="49"/>
      <c r="O136" s="49"/>
      <c r="P136" s="49"/>
      <c r="Q136" s="49"/>
      <c r="R136" s="49"/>
      <c r="S136" s="49"/>
      <c r="T136" s="49"/>
      <c r="U136" s="49"/>
      <c r="V136" s="49"/>
      <c r="W136" s="49"/>
      <c r="X136" s="49"/>
      <c r="Y136" s="49"/>
      <c r="Z136" s="49"/>
    </row>
    <row r="137" spans="1:26" ht="27.75" customHeight="1" x14ac:dyDescent="0.3">
      <c r="A137" s="530">
        <v>2</v>
      </c>
      <c r="B137" s="531" t="s">
        <v>143</v>
      </c>
      <c r="C137" s="532"/>
      <c r="D137" s="2311" t="str">
        <f>+$A$1</f>
        <v>Baseline</v>
      </c>
      <c r="E137" s="2311"/>
      <c r="F137" s="2311"/>
      <c r="G137" s="2311"/>
      <c r="H137" s="2311"/>
      <c r="I137" s="2311"/>
      <c r="J137" s="2311"/>
      <c r="K137" s="533"/>
      <c r="L137" s="533"/>
      <c r="M137" s="533"/>
      <c r="N137" s="525"/>
      <c r="O137" s="525"/>
      <c r="P137" s="534"/>
      <c r="Q137" s="534"/>
      <c r="R137" s="525"/>
      <c r="S137" s="525"/>
      <c r="T137" s="525"/>
      <c r="U137" s="525"/>
      <c r="V137" s="525"/>
      <c r="W137" s="525"/>
      <c r="X137" s="525"/>
      <c r="Y137" s="525"/>
      <c r="Z137" s="525"/>
    </row>
    <row r="138" spans="1:26" x14ac:dyDescent="0.3">
      <c r="A138" s="320"/>
      <c r="B138" s="49"/>
      <c r="C138" s="49"/>
      <c r="D138" s="336"/>
      <c r="E138" s="337"/>
      <c r="F138" s="337"/>
      <c r="G138" s="337"/>
      <c r="H138" s="337"/>
      <c r="I138" s="337"/>
      <c r="J138" s="386"/>
      <c r="K138" s="426"/>
      <c r="L138" s="337"/>
      <c r="M138" s="337"/>
      <c r="N138" s="49"/>
      <c r="O138" s="49"/>
      <c r="P138" s="49"/>
      <c r="Q138" s="49"/>
      <c r="R138" s="49"/>
      <c r="S138" s="49"/>
      <c r="T138" s="49"/>
      <c r="U138" s="49"/>
      <c r="V138" s="49"/>
      <c r="W138" s="49"/>
      <c r="X138" s="49"/>
      <c r="Y138" s="49"/>
      <c r="Z138" s="49"/>
    </row>
    <row r="139" spans="1:26" x14ac:dyDescent="0.3">
      <c r="A139" s="320"/>
      <c r="B139" s="49"/>
      <c r="C139" s="49"/>
      <c r="D139" s="336"/>
      <c r="E139" s="415"/>
      <c r="F139" s="415"/>
      <c r="G139" s="415"/>
      <c r="H139" s="415"/>
      <c r="I139" s="415"/>
      <c r="J139" s="415"/>
      <c r="K139" s="415"/>
      <c r="L139" s="337"/>
      <c r="M139" s="337"/>
      <c r="N139" s="49"/>
      <c r="O139" s="49"/>
      <c r="P139" s="49"/>
      <c r="Q139" s="49"/>
      <c r="R139" s="49"/>
      <c r="S139" s="49"/>
      <c r="T139" s="49"/>
      <c r="U139" s="49"/>
      <c r="V139" s="49"/>
      <c r="W139" s="49"/>
      <c r="X139" s="49"/>
      <c r="Y139" s="49"/>
      <c r="Z139" s="49"/>
    </row>
    <row r="140" spans="1:26" ht="18.75" customHeight="1" x14ac:dyDescent="0.3">
      <c r="A140" s="320"/>
      <c r="B140" s="43"/>
      <c r="C140" s="30"/>
      <c r="D140" s="43"/>
      <c r="E140" s="415"/>
      <c r="F140" s="427"/>
      <c r="G140" s="415"/>
      <c r="H140" s="415"/>
      <c r="I140" s="415"/>
      <c r="J140" s="415"/>
      <c r="K140" s="415"/>
      <c r="L140" s="415"/>
      <c r="M140" s="415"/>
      <c r="N140" s="415"/>
      <c r="O140" s="415"/>
      <c r="P140" s="415"/>
      <c r="Q140" s="415"/>
      <c r="R140" s="415"/>
      <c r="S140" s="415"/>
      <c r="T140" s="415"/>
      <c r="U140" s="415"/>
      <c r="V140" s="415"/>
      <c r="W140" s="415"/>
      <c r="X140" s="415"/>
      <c r="Y140" s="415"/>
      <c r="Z140" s="415"/>
    </row>
    <row r="141" spans="1:26" ht="15.75" customHeight="1" thickBot="1" x14ac:dyDescent="0.35">
      <c r="A141" s="320"/>
      <c r="B141" s="49"/>
      <c r="C141" s="49"/>
      <c r="D141" s="43"/>
      <c r="E141" s="49"/>
      <c r="F141" s="336"/>
      <c r="G141" s="336"/>
      <c r="H141" s="336"/>
      <c r="I141" s="415"/>
      <c r="J141" s="415"/>
      <c r="K141" s="415"/>
      <c r="L141" s="415"/>
      <c r="M141" s="415"/>
      <c r="N141" s="415"/>
      <c r="O141" s="415"/>
      <c r="P141" s="415"/>
      <c r="Q141" s="415"/>
      <c r="R141" s="415"/>
      <c r="S141" s="415"/>
      <c r="T141" s="415"/>
      <c r="U141" s="415"/>
      <c r="V141" s="415"/>
      <c r="W141" s="415"/>
      <c r="X141" s="415"/>
      <c r="Y141" s="415"/>
      <c r="Z141" s="415"/>
    </row>
    <row r="142" spans="1:26" ht="15.75" customHeight="1" thickBot="1" x14ac:dyDescent="0.35">
      <c r="A142" s="320"/>
      <c r="B142" s="49"/>
      <c r="C142" s="43"/>
      <c r="D142" s="428" t="s">
        <v>23</v>
      </c>
      <c r="E142" s="2046" t="s">
        <v>144</v>
      </c>
      <c r="F142" s="2047" t="s">
        <v>144</v>
      </c>
      <c r="G142" s="429" t="s">
        <v>377</v>
      </c>
      <c r="H142" s="430"/>
      <c r="I142" s="1849" t="s">
        <v>24</v>
      </c>
      <c r="J142" s="1850"/>
      <c r="K142" s="1851"/>
      <c r="L142" s="415"/>
      <c r="M142" s="427"/>
      <c r="N142" s="415"/>
      <c r="O142" s="415"/>
      <c r="P142" s="415"/>
      <c r="Q142" s="415"/>
      <c r="R142" s="415"/>
      <c r="S142" s="415"/>
      <c r="T142" s="415"/>
      <c r="U142" s="415"/>
      <c r="V142" s="415"/>
      <c r="W142" s="415"/>
      <c r="X142" s="415"/>
      <c r="Y142" s="415"/>
      <c r="Z142" s="415"/>
    </row>
    <row r="143" spans="1:26" ht="39.75" customHeight="1" thickBot="1" x14ac:dyDescent="0.35">
      <c r="A143" s="320"/>
      <c r="B143" s="359"/>
      <c r="C143" s="49"/>
      <c r="D143" s="431" t="s">
        <v>145</v>
      </c>
      <c r="E143" s="432" t="s">
        <v>173</v>
      </c>
      <c r="F143" s="432" t="s">
        <v>376</v>
      </c>
      <c r="G143" s="433" t="s">
        <v>145</v>
      </c>
      <c r="H143" s="434"/>
      <c r="I143" s="1852"/>
      <c r="J143" s="1853"/>
      <c r="K143" s="1854"/>
      <c r="L143" s="415"/>
      <c r="M143" s="415"/>
      <c r="N143" s="415"/>
      <c r="O143" s="415"/>
      <c r="P143" s="415"/>
      <c r="Q143" s="415"/>
      <c r="R143" s="415"/>
      <c r="S143" s="415"/>
      <c r="T143" s="415"/>
      <c r="U143" s="415"/>
      <c r="V143" s="415"/>
      <c r="W143" s="415"/>
      <c r="X143" s="415"/>
      <c r="Y143" s="415"/>
      <c r="Z143" s="415"/>
    </row>
    <row r="144" spans="1:26" ht="15.75" customHeight="1" thickBot="1" x14ac:dyDescent="0.35">
      <c r="A144" s="320"/>
      <c r="B144" s="1855" t="s">
        <v>146</v>
      </c>
      <c r="C144" s="1856"/>
      <c r="D144" s="542">
        <v>9277165</v>
      </c>
      <c r="E144" s="542">
        <v>6619</v>
      </c>
      <c r="F144" s="542">
        <v>34087</v>
      </c>
      <c r="G144" s="435">
        <f>IF(Performance!L2="y",D144,F144)</f>
        <v>34087</v>
      </c>
      <c r="H144" s="436"/>
      <c r="I144" s="2299"/>
      <c r="J144" s="2300"/>
      <c r="K144" s="2301"/>
      <c r="L144" s="415">
        <f>+G144/E144</f>
        <v>5.1498715818099408</v>
      </c>
      <c r="M144" s="415"/>
      <c r="N144" s="415"/>
      <c r="O144" s="415"/>
      <c r="P144" s="415"/>
      <c r="Q144" s="415"/>
      <c r="R144" s="415"/>
      <c r="S144" s="415"/>
      <c r="T144" s="415"/>
      <c r="U144" s="415"/>
      <c r="V144" s="415"/>
      <c r="W144" s="415"/>
      <c r="X144" s="415"/>
      <c r="Y144" s="415"/>
      <c r="Z144" s="415"/>
    </row>
    <row r="145" spans="1:26" ht="13.5" customHeight="1" x14ac:dyDescent="0.3">
      <c r="A145" s="320"/>
      <c r="B145" s="49" t="s">
        <v>175</v>
      </c>
      <c r="C145" s="49"/>
      <c r="D145" s="49"/>
      <c r="E145" s="49"/>
      <c r="F145" s="49"/>
      <c r="G145" s="49"/>
      <c r="H145" s="49"/>
      <c r="I145" s="415"/>
      <c r="J145" s="415"/>
      <c r="K145" s="415"/>
      <c r="L145" s="415"/>
      <c r="M145" s="415"/>
      <c r="N145" s="415"/>
      <c r="O145" s="415"/>
      <c r="P145" s="415"/>
      <c r="Q145" s="415"/>
      <c r="R145" s="415"/>
      <c r="S145" s="415"/>
      <c r="T145" s="415"/>
      <c r="U145" s="415"/>
      <c r="V145" s="415"/>
      <c r="W145" s="415"/>
      <c r="X145" s="415"/>
      <c r="Y145" s="415"/>
      <c r="Z145" s="415"/>
    </row>
    <row r="146" spans="1:26" x14ac:dyDescent="0.3">
      <c r="A146" s="320"/>
      <c r="B146" s="49"/>
      <c r="C146" s="49"/>
      <c r="D146" s="360"/>
      <c r="E146" s="337"/>
      <c r="F146" s="337"/>
      <c r="G146" s="337"/>
      <c r="H146" s="337"/>
      <c r="I146" s="337"/>
      <c r="J146" s="415"/>
      <c r="K146" s="415"/>
      <c r="L146" s="337"/>
      <c r="M146" s="337"/>
      <c r="N146" s="437"/>
      <c r="O146" s="337"/>
      <c r="P146" s="49"/>
      <c r="Q146" s="49"/>
      <c r="R146" s="320"/>
      <c r="S146" s="49"/>
      <c r="T146" s="49"/>
      <c r="U146" s="49"/>
      <c r="V146" s="49"/>
      <c r="W146" s="49"/>
      <c r="X146" s="49"/>
      <c r="Y146" s="49"/>
      <c r="Z146" s="49"/>
    </row>
    <row r="147" spans="1:26" ht="27.75" customHeight="1" x14ac:dyDescent="0.3">
      <c r="A147" s="530">
        <v>3</v>
      </c>
      <c r="B147" s="531" t="s">
        <v>147</v>
      </c>
      <c r="C147" s="532"/>
      <c r="D147" s="2311" t="str">
        <f>+$A$1</f>
        <v>Baseline</v>
      </c>
      <c r="E147" s="2311"/>
      <c r="F147" s="2311"/>
      <c r="G147" s="2311"/>
      <c r="H147" s="2311"/>
      <c r="I147" s="2311"/>
      <c r="J147" s="2311"/>
      <c r="K147" s="533"/>
      <c r="L147" s="533"/>
      <c r="M147" s="525"/>
      <c r="N147" s="525"/>
      <c r="O147" s="525"/>
      <c r="P147" s="534"/>
      <c r="Q147" s="525"/>
      <c r="R147" s="525"/>
      <c r="S147" s="525"/>
      <c r="T147" s="525"/>
      <c r="U147" s="525"/>
      <c r="V147" s="525"/>
      <c r="W147" s="525"/>
      <c r="X147" s="525"/>
      <c r="Y147" s="525"/>
      <c r="Z147" s="525"/>
    </row>
    <row r="148" spans="1:26" ht="15.75" customHeight="1" thickBot="1" x14ac:dyDescent="0.35">
      <c r="A148" s="320"/>
      <c r="B148" s="49"/>
      <c r="C148" s="49"/>
      <c r="D148" s="336"/>
      <c r="E148" s="336"/>
      <c r="F148" s="336"/>
      <c r="G148" s="336"/>
      <c r="H148" s="336"/>
      <c r="I148" s="336"/>
      <c r="J148" s="336"/>
      <c r="K148" s="336"/>
      <c r="L148" s="49"/>
      <c r="M148" s="49"/>
      <c r="N148" s="49"/>
      <c r="O148" s="49"/>
      <c r="P148" s="49"/>
      <c r="Q148" s="49"/>
      <c r="R148" s="49"/>
      <c r="S148" s="49"/>
      <c r="T148" s="49"/>
      <c r="U148" s="49"/>
      <c r="V148" s="49"/>
      <c r="W148" s="49"/>
      <c r="X148" s="49"/>
      <c r="Y148" s="49"/>
      <c r="Z148" s="49"/>
    </row>
    <row r="149" spans="1:26" ht="13.5" customHeight="1" thickBot="1" x14ac:dyDescent="0.35">
      <c r="A149" s="320"/>
      <c r="B149" s="49"/>
      <c r="C149" s="43"/>
      <c r="D149" s="337"/>
      <c r="E149" s="2060" t="s">
        <v>23</v>
      </c>
      <c r="F149" s="2061"/>
      <c r="G149" s="2062" t="s">
        <v>144</v>
      </c>
      <c r="H149" s="2137"/>
      <c r="I149" s="1849" t="s">
        <v>24</v>
      </c>
      <c r="J149" s="1850"/>
      <c r="K149" s="1851"/>
      <c r="L149" s="49"/>
      <c r="M149" s="49"/>
      <c r="N149" s="49"/>
      <c r="O149" s="49"/>
      <c r="P149" s="49"/>
      <c r="Q149" s="49"/>
      <c r="R149" s="49"/>
      <c r="S149" s="49"/>
      <c r="T149" s="49"/>
      <c r="U149" s="49"/>
      <c r="V149" s="49"/>
      <c r="W149" s="49"/>
      <c r="X149" s="49"/>
      <c r="Y149" s="49"/>
      <c r="Z149" s="49"/>
    </row>
    <row r="150" spans="1:26" ht="16.5" customHeight="1" thickBot="1" x14ac:dyDescent="0.35">
      <c r="A150" s="320"/>
      <c r="B150" s="49"/>
      <c r="C150" s="359"/>
      <c r="D150" s="49"/>
      <c r="E150" s="438" t="s">
        <v>148</v>
      </c>
      <c r="F150" s="439" t="s">
        <v>149</v>
      </c>
      <c r="G150" s="560" t="s">
        <v>148</v>
      </c>
      <c r="H150" s="1213" t="s">
        <v>149</v>
      </c>
      <c r="I150" s="1852"/>
      <c r="J150" s="1853"/>
      <c r="K150" s="1854"/>
      <c r="L150" s="49"/>
      <c r="M150" s="49"/>
      <c r="N150" s="49"/>
      <c r="O150" s="49"/>
      <c r="P150" s="49"/>
      <c r="Q150" s="49"/>
      <c r="R150" s="49"/>
      <c r="S150" s="49"/>
      <c r="T150" s="49"/>
      <c r="U150" s="49"/>
      <c r="V150" s="49"/>
      <c r="W150" s="49"/>
      <c r="X150" s="49"/>
      <c r="Y150" s="49"/>
      <c r="Z150" s="49"/>
    </row>
    <row r="151" spans="1:26" ht="15.75" customHeight="1" x14ac:dyDescent="0.3">
      <c r="A151" s="320"/>
      <c r="B151" s="2332" t="s">
        <v>150</v>
      </c>
      <c r="C151" s="2333"/>
      <c r="D151" s="2334"/>
      <c r="E151" s="543">
        <v>29070</v>
      </c>
      <c r="F151" s="440">
        <f>IF($E$164&gt;0,E151/$E$164,"")</f>
        <v>0.41015294316835038</v>
      </c>
      <c r="G151" s="441"/>
      <c r="H151" s="442" t="str">
        <f>IF($G$164&gt;0,G151/$G$164,"")</f>
        <v/>
      </c>
      <c r="I151" s="2302"/>
      <c r="J151" s="2303"/>
      <c r="K151" s="2304"/>
      <c r="L151" s="49"/>
      <c r="M151" s="486"/>
      <c r="N151" s="486"/>
      <c r="O151" s="49"/>
      <c r="P151" s="49"/>
      <c r="Q151" s="49"/>
      <c r="R151" s="49"/>
      <c r="S151" s="49"/>
      <c r="T151" s="49"/>
      <c r="U151" s="49"/>
      <c r="V151" s="49"/>
      <c r="W151" s="49"/>
      <c r="X151" s="49"/>
      <c r="Y151" s="49"/>
      <c r="Z151" s="49"/>
    </row>
    <row r="152" spans="1:26" ht="15.75" customHeight="1" x14ac:dyDescent="0.3">
      <c r="A152" s="320"/>
      <c r="B152" s="2326" t="s">
        <v>365</v>
      </c>
      <c r="C152" s="2327"/>
      <c r="D152" s="2328"/>
      <c r="E152" s="545">
        <v>0</v>
      </c>
      <c r="F152" s="443"/>
      <c r="G152" s="435"/>
      <c r="H152" s="444"/>
      <c r="I152" s="2335"/>
      <c r="J152" s="2336"/>
      <c r="K152" s="2337"/>
      <c r="L152" s="49"/>
      <c r="M152" s="486"/>
      <c r="N152" s="486"/>
      <c r="O152" s="49"/>
      <c r="P152" s="49"/>
      <c r="Q152" s="49"/>
      <c r="R152" s="49"/>
      <c r="S152" s="49"/>
      <c r="T152" s="49"/>
      <c r="U152" s="49"/>
      <c r="V152" s="49"/>
      <c r="W152" s="49"/>
      <c r="X152" s="49"/>
      <c r="Y152" s="49"/>
      <c r="Z152" s="49"/>
    </row>
    <row r="153" spans="1:26" ht="15.75" customHeight="1" x14ac:dyDescent="0.3">
      <c r="A153" s="320"/>
      <c r="B153" s="2329" t="s">
        <v>151</v>
      </c>
      <c r="C153" s="2330"/>
      <c r="D153" s="2331"/>
      <c r="E153" s="545">
        <v>0</v>
      </c>
      <c r="F153" s="445">
        <f>IF($E$164&gt;0,E153/$E$164,"")</f>
        <v>0</v>
      </c>
      <c r="G153" s="435"/>
      <c r="H153" s="446" t="str">
        <f>IF($G$164&gt;0,G153/$G$164,"")</f>
        <v/>
      </c>
      <c r="I153" s="2335"/>
      <c r="J153" s="2336"/>
      <c r="K153" s="2337"/>
      <c r="L153" s="49"/>
      <c r="M153" s="486"/>
      <c r="N153" s="486"/>
      <c r="O153" s="49"/>
      <c r="P153" s="49"/>
      <c r="Q153" s="49"/>
      <c r="R153" s="49"/>
      <c r="S153" s="49"/>
      <c r="T153" s="49"/>
      <c r="U153" s="49"/>
      <c r="V153" s="49"/>
      <c r="W153" s="49"/>
      <c r="X153" s="49"/>
      <c r="Y153" s="49"/>
      <c r="Z153" s="49"/>
    </row>
    <row r="154" spans="1:26" ht="15.75" customHeight="1" x14ac:dyDescent="0.3">
      <c r="A154" s="320"/>
      <c r="B154" s="2329" t="s">
        <v>185</v>
      </c>
      <c r="C154" s="2330"/>
      <c r="D154" s="2331"/>
      <c r="E154" s="545">
        <v>0</v>
      </c>
      <c r="F154" s="443"/>
      <c r="G154" s="435"/>
      <c r="H154" s="444"/>
      <c r="I154" s="2335"/>
      <c r="J154" s="2336"/>
      <c r="K154" s="2337"/>
      <c r="L154" s="49"/>
      <c r="M154" s="486"/>
      <c r="N154" s="486"/>
      <c r="O154" s="49"/>
      <c r="P154" s="49"/>
      <c r="Q154" s="49"/>
      <c r="R154" s="49"/>
      <c r="S154" s="49"/>
      <c r="T154" s="49"/>
      <c r="U154" s="49"/>
      <c r="V154" s="49"/>
      <c r="W154" s="49"/>
      <c r="X154" s="49"/>
      <c r="Y154" s="49"/>
      <c r="Z154" s="49"/>
    </row>
    <row r="155" spans="1:26" ht="15.75" customHeight="1" x14ac:dyDescent="0.3">
      <c r="A155" s="320"/>
      <c r="B155" s="2329" t="s">
        <v>152</v>
      </c>
      <c r="C155" s="2330"/>
      <c r="D155" s="2331"/>
      <c r="E155" s="545">
        <v>0</v>
      </c>
      <c r="F155" s="445">
        <f>IF($E$164&gt;0,E155/$E$164,"")</f>
        <v>0</v>
      </c>
      <c r="G155" s="435"/>
      <c r="H155" s="446" t="str">
        <f>IF($G$164&gt;0,G155/$G$164,"")</f>
        <v/>
      </c>
      <c r="I155" s="2335"/>
      <c r="J155" s="2336"/>
      <c r="K155" s="2337"/>
      <c r="L155" s="49"/>
      <c r="M155" s="486"/>
      <c r="N155" s="486"/>
      <c r="O155" s="49"/>
      <c r="P155" s="49"/>
      <c r="Q155" s="49"/>
      <c r="R155" s="49"/>
      <c r="S155" s="49"/>
      <c r="T155" s="49"/>
      <c r="U155" s="49"/>
      <c r="V155" s="49"/>
      <c r="W155" s="49"/>
      <c r="X155" s="49"/>
      <c r="Y155" s="49"/>
      <c r="Z155" s="49"/>
    </row>
    <row r="156" spans="1:26" ht="15.75" customHeight="1" x14ac:dyDescent="0.3">
      <c r="A156" s="320"/>
      <c r="B156" s="2326" t="s">
        <v>153</v>
      </c>
      <c r="C156" s="2327"/>
      <c r="D156" s="2328"/>
      <c r="E156" s="545">
        <v>1806</v>
      </c>
      <c r="F156" s="445">
        <f>IF($E$164&gt;0,E156/$E$164,"")</f>
        <v>2.5481121959478527E-2</v>
      </c>
      <c r="G156" s="435"/>
      <c r="H156" s="446" t="str">
        <f>IF($G$164&gt;0,G156/$G$164,"")</f>
        <v/>
      </c>
      <c r="I156" s="2335"/>
      <c r="J156" s="2336"/>
      <c r="K156" s="2337"/>
      <c r="L156" s="49"/>
      <c r="M156" s="486"/>
      <c r="N156" s="486"/>
      <c r="O156" s="49"/>
      <c r="P156" s="49"/>
      <c r="Q156" s="49"/>
      <c r="R156" s="49"/>
      <c r="S156" s="49"/>
      <c r="T156" s="49"/>
      <c r="U156" s="49"/>
      <c r="V156" s="49"/>
      <c r="W156" s="49"/>
      <c r="X156" s="49"/>
      <c r="Y156" s="49"/>
      <c r="Z156" s="49"/>
    </row>
    <row r="157" spans="1:26" ht="15.75" customHeight="1" x14ac:dyDescent="0.3">
      <c r="A157" s="320"/>
      <c r="B157" s="2326" t="s">
        <v>154</v>
      </c>
      <c r="C157" s="2327"/>
      <c r="D157" s="2328"/>
      <c r="E157" s="545">
        <v>455</v>
      </c>
      <c r="F157" s="445">
        <f>IF($E$164&gt;0,E157/$E$164,"")</f>
        <v>6.4196625091709463E-3</v>
      </c>
      <c r="G157" s="435"/>
      <c r="H157" s="446" t="str">
        <f>IF($G$164&gt;0,G157/$G$164,"")</f>
        <v/>
      </c>
      <c r="I157" s="2335"/>
      <c r="J157" s="2336"/>
      <c r="K157" s="2337"/>
      <c r="L157" s="49"/>
      <c r="M157" s="486"/>
      <c r="N157" s="486"/>
      <c r="O157" s="49"/>
      <c r="P157" s="49"/>
      <c r="Q157" s="49"/>
      <c r="R157" s="49"/>
      <c r="S157" s="49"/>
      <c r="T157" s="49"/>
      <c r="U157" s="49"/>
      <c r="V157" s="49"/>
      <c r="W157" s="49"/>
      <c r="X157" s="49"/>
      <c r="Y157" s="49"/>
      <c r="Z157" s="49"/>
    </row>
    <row r="158" spans="1:26" ht="15.75" customHeight="1" thickBot="1" x14ac:dyDescent="0.35">
      <c r="A158" s="320"/>
      <c r="B158" s="2338" t="s">
        <v>155</v>
      </c>
      <c r="C158" s="2339"/>
      <c r="D158" s="2340"/>
      <c r="E158" s="549">
        <v>0</v>
      </c>
      <c r="F158" s="447">
        <f>IF($E$164&gt;0,E158/$E$164,"")</f>
        <v>0</v>
      </c>
      <c r="G158" s="448"/>
      <c r="H158" s="449" t="str">
        <f>IF($G$164&gt;0,G158/$G$164,"")</f>
        <v/>
      </c>
      <c r="I158" s="2347"/>
      <c r="J158" s="2348"/>
      <c r="K158" s="2349"/>
      <c r="L158" s="49"/>
      <c r="M158" s="486"/>
      <c r="N158" s="486"/>
      <c r="O158" s="49"/>
      <c r="P158" s="49"/>
      <c r="Q158" s="49"/>
      <c r="R158" s="49"/>
      <c r="S158" s="49"/>
      <c r="T158" s="49"/>
      <c r="U158" s="49"/>
      <c r="V158" s="49"/>
      <c r="W158" s="49"/>
      <c r="X158" s="49"/>
      <c r="Y158" s="49"/>
      <c r="Z158" s="49"/>
    </row>
    <row r="159" spans="1:26" ht="15.75" customHeight="1" thickBot="1" x14ac:dyDescent="0.35">
      <c r="A159" s="320"/>
      <c r="B159" s="2341" t="s">
        <v>156</v>
      </c>
      <c r="C159" s="2342"/>
      <c r="D159" s="2343"/>
      <c r="E159" s="450"/>
      <c r="F159" s="451"/>
      <c r="G159" s="452"/>
      <c r="H159" s="453"/>
      <c r="I159" s="2350"/>
      <c r="J159" s="2351"/>
      <c r="K159" s="2352"/>
      <c r="L159" s="49"/>
      <c r="M159" s="486"/>
      <c r="N159" s="486"/>
      <c r="O159" s="49"/>
      <c r="P159" s="49"/>
      <c r="Q159" s="49"/>
      <c r="R159" s="49"/>
      <c r="S159" s="49"/>
      <c r="T159" s="49"/>
      <c r="U159" s="49"/>
      <c r="V159" s="49"/>
      <c r="W159" s="49"/>
      <c r="X159" s="49"/>
      <c r="Y159" s="49"/>
      <c r="Z159" s="49"/>
    </row>
    <row r="160" spans="1:26" ht="15.75" customHeight="1" thickBot="1" x14ac:dyDescent="0.35">
      <c r="A160" s="320"/>
      <c r="B160" s="2344" t="s">
        <v>157</v>
      </c>
      <c r="C160" s="2345"/>
      <c r="D160" s="2346"/>
      <c r="E160" s="454">
        <f>+E151+E153+E156</f>
        <v>30876</v>
      </c>
      <c r="F160" s="60">
        <f>IF(E164=0,"",+E160/E164)</f>
        <v>0.43563406512782887</v>
      </c>
      <c r="G160" s="455">
        <f>IF(Performance!$L$2="y",E160,G151+G153+G156)</f>
        <v>0</v>
      </c>
      <c r="H160" s="456" t="str">
        <f>IF(G164=0,"",+G160/G164)</f>
        <v/>
      </c>
      <c r="I160" s="2299"/>
      <c r="J160" s="2300"/>
      <c r="K160" s="2301"/>
      <c r="L160" s="49"/>
      <c r="M160" s="486"/>
      <c r="N160" s="486"/>
      <c r="O160" s="49"/>
      <c r="P160" s="49"/>
      <c r="Q160" s="49"/>
      <c r="R160" s="49"/>
      <c r="S160" s="49"/>
      <c r="T160" s="49"/>
      <c r="U160" s="49"/>
      <c r="V160" s="49"/>
      <c r="W160" s="49"/>
      <c r="X160" s="49"/>
      <c r="Y160" s="49"/>
      <c r="Z160" s="49"/>
    </row>
    <row r="161" spans="1:26" ht="15.75" customHeight="1" thickBot="1" x14ac:dyDescent="0.35">
      <c r="A161" s="320"/>
      <c r="B161" s="2359" t="s">
        <v>158</v>
      </c>
      <c r="C161" s="2360"/>
      <c r="D161" s="2361"/>
      <c r="E161" s="174">
        <f>E153+E155</f>
        <v>0</v>
      </c>
      <c r="F161" s="451">
        <f>IF($E$164&gt;0,E161/$E$164,"")</f>
        <v>0</v>
      </c>
      <c r="G161" s="182">
        <f>IF(Performance!$L$2="y",E161,G153+G155)</f>
        <v>0</v>
      </c>
      <c r="H161" s="453" t="str">
        <f>IF($G$164&gt;0,G161/$G$164,"")</f>
        <v/>
      </c>
      <c r="I161" s="2350"/>
      <c r="J161" s="2351"/>
      <c r="K161" s="2352"/>
      <c r="L161" s="49"/>
      <c r="M161" s="486"/>
      <c r="N161" s="486"/>
      <c r="O161" s="49"/>
      <c r="P161" s="49"/>
      <c r="Q161" s="49"/>
      <c r="R161" s="49"/>
      <c r="S161" s="49"/>
      <c r="T161" s="49"/>
      <c r="U161" s="49"/>
      <c r="V161" s="49"/>
      <c r="W161" s="49"/>
      <c r="X161" s="49"/>
      <c r="Y161" s="49"/>
      <c r="Z161" s="49"/>
    </row>
    <row r="162" spans="1:26" ht="15.75" customHeight="1" thickBot="1" x14ac:dyDescent="0.35">
      <c r="A162" s="320"/>
      <c r="B162" s="2344" t="s">
        <v>159</v>
      </c>
      <c r="C162" s="2345"/>
      <c r="D162" s="2346"/>
      <c r="E162" s="164">
        <f>SUM(E151:E158)-E152-E154</f>
        <v>31331</v>
      </c>
      <c r="F162" s="60">
        <f>IF($E$164&gt;0,E162/$E$164,"")</f>
        <v>0.44205372763699985</v>
      </c>
      <c r="G162" s="183">
        <f>IF(Performance!$L$2="y",E162,SUM(G151:G158)-G152-G154)</f>
        <v>0</v>
      </c>
      <c r="H162" s="150" t="str">
        <f>IF($G$164&gt;0,G162/$G$164,"")</f>
        <v/>
      </c>
      <c r="I162" s="2299"/>
      <c r="J162" s="2300"/>
      <c r="K162" s="2301"/>
      <c r="L162" s="49"/>
      <c r="M162" s="486"/>
      <c r="N162" s="486"/>
      <c r="O162" s="49"/>
      <c r="P162" s="49"/>
      <c r="Q162" s="49"/>
      <c r="R162" s="49"/>
      <c r="S162" s="49"/>
      <c r="T162" s="49"/>
      <c r="U162" s="49"/>
      <c r="V162" s="49"/>
      <c r="W162" s="49"/>
      <c r="X162" s="49"/>
      <c r="Y162" s="49"/>
      <c r="Z162" s="49"/>
    </row>
    <row r="163" spans="1:26" ht="15.75" customHeight="1" thickBot="1" x14ac:dyDescent="0.35">
      <c r="A163" s="320"/>
      <c r="B163" s="2359" t="s">
        <v>160</v>
      </c>
      <c r="C163" s="2360"/>
      <c r="D163" s="2361"/>
      <c r="E163" s="557">
        <v>39545</v>
      </c>
      <c r="F163" s="451">
        <f>IF($E$164&gt;0,E163/$E$164,"")</f>
        <v>0.55794627236300021</v>
      </c>
      <c r="G163" s="452"/>
      <c r="H163" s="453" t="str">
        <f>IF($G$164&gt;0,G163/$G$164,"")</f>
        <v/>
      </c>
      <c r="I163" s="2350"/>
      <c r="J163" s="2351"/>
      <c r="K163" s="2352"/>
      <c r="L163" s="49"/>
      <c r="M163" s="486"/>
      <c r="N163" s="486"/>
      <c r="O163" s="49"/>
      <c r="P163" s="49"/>
      <c r="Q163" s="49"/>
      <c r="R163" s="49"/>
      <c r="S163" s="49"/>
      <c r="T163" s="49"/>
      <c r="U163" s="49"/>
      <c r="V163" s="49"/>
      <c r="W163" s="49"/>
      <c r="X163" s="49"/>
      <c r="Y163" s="49"/>
      <c r="Z163" s="49"/>
    </row>
    <row r="164" spans="1:26" ht="15.75" customHeight="1" thickBot="1" x14ac:dyDescent="0.35">
      <c r="A164" s="320"/>
      <c r="B164" s="2353" t="s">
        <v>161</v>
      </c>
      <c r="C164" s="2354"/>
      <c r="D164" s="2355"/>
      <c r="E164" s="164">
        <f>E163+E162</f>
        <v>70876</v>
      </c>
      <c r="F164" s="59"/>
      <c r="G164" s="183">
        <f>IF(Performance!L10="y",E164,G163+G162)</f>
        <v>0</v>
      </c>
      <c r="H164" s="149"/>
      <c r="I164" s="2299"/>
      <c r="J164" s="2300"/>
      <c r="K164" s="2301"/>
      <c r="L164" s="49"/>
      <c r="M164" s="486"/>
      <c r="N164" s="486"/>
      <c r="O164" s="49"/>
      <c r="P164" s="49"/>
      <c r="Q164" s="49"/>
      <c r="R164" s="49"/>
      <c r="S164" s="49"/>
      <c r="T164" s="49"/>
      <c r="U164" s="49"/>
      <c r="V164" s="49"/>
      <c r="W164" s="49"/>
      <c r="X164" s="49"/>
      <c r="Y164" s="49"/>
      <c r="Z164" s="49"/>
    </row>
    <row r="165" spans="1:26" ht="17.25" customHeight="1" thickBot="1" x14ac:dyDescent="0.35">
      <c r="A165" s="320"/>
      <c r="B165" s="2356" t="s">
        <v>162</v>
      </c>
      <c r="C165" s="2357"/>
      <c r="D165" s="2358"/>
      <c r="E165" s="556">
        <v>0</v>
      </c>
      <c r="F165" s="175">
        <f>IF($E$164&gt;0,E165/$E$164,"")</f>
        <v>0</v>
      </c>
      <c r="G165" s="457"/>
      <c r="H165" s="176">
        <f>IF($E$164&gt;0,G165/$E$164,"")</f>
        <v>0</v>
      </c>
      <c r="I165" s="2362"/>
      <c r="J165" s="2363"/>
      <c r="K165" s="2364"/>
      <c r="L165" s="49"/>
      <c r="M165" s="486"/>
      <c r="N165" s="486"/>
      <c r="O165" s="49"/>
      <c r="P165" s="49"/>
      <c r="Q165" s="49"/>
      <c r="R165" s="49"/>
      <c r="S165" s="49"/>
      <c r="T165" s="49"/>
      <c r="U165" s="49"/>
      <c r="V165" s="49"/>
      <c r="W165" s="49"/>
      <c r="X165" s="49"/>
      <c r="Y165" s="49"/>
      <c r="Z165" s="49"/>
    </row>
    <row r="166" spans="1:26" ht="31.5" customHeight="1" x14ac:dyDescent="0.3">
      <c r="A166" s="320"/>
      <c r="B166" s="49"/>
      <c r="C166" s="2076" t="s">
        <v>163</v>
      </c>
      <c r="D166" s="2128"/>
      <c r="E166" s="2128"/>
      <c r="F166" s="2128"/>
      <c r="G166" s="2128"/>
      <c r="H166" s="2128"/>
      <c r="I166" s="2128"/>
      <c r="J166" s="2128"/>
      <c r="K166" s="386"/>
      <c r="L166" s="426"/>
      <c r="M166" s="337"/>
      <c r="N166" s="337"/>
      <c r="O166" s="49"/>
      <c r="P166" s="49"/>
      <c r="Q166" s="49"/>
      <c r="R166" s="49"/>
      <c r="S166" s="49"/>
      <c r="T166" s="49"/>
      <c r="U166" s="49"/>
      <c r="V166" s="49"/>
      <c r="W166" s="49"/>
      <c r="X166" s="49"/>
      <c r="Y166" s="49"/>
      <c r="Z166" s="49"/>
    </row>
    <row r="167" spans="1:26" ht="27.75" customHeight="1" x14ac:dyDescent="0.3">
      <c r="A167" s="530">
        <v>4</v>
      </c>
      <c r="B167" s="531" t="s">
        <v>164</v>
      </c>
      <c r="C167" s="532"/>
      <c r="D167" s="2311" t="str">
        <f>+$A$1</f>
        <v>Baseline</v>
      </c>
      <c r="E167" s="2311"/>
      <c r="F167" s="2311"/>
      <c r="G167" s="2311"/>
      <c r="H167" s="2311"/>
      <c r="I167" s="2311"/>
      <c r="J167" s="2311"/>
      <c r="K167" s="533"/>
      <c r="L167" s="533"/>
      <c r="M167" s="533"/>
      <c r="N167" s="525"/>
      <c r="O167" s="525"/>
      <c r="P167" s="534"/>
      <c r="Q167" s="534"/>
      <c r="R167" s="525"/>
      <c r="S167" s="525"/>
      <c r="T167" s="525"/>
      <c r="U167" s="525"/>
      <c r="V167" s="525"/>
      <c r="W167" s="525"/>
      <c r="X167" s="525"/>
      <c r="Y167" s="525"/>
      <c r="Z167" s="525"/>
    </row>
    <row r="168" spans="1:26" ht="15.75" customHeight="1" thickBot="1" x14ac:dyDescent="0.35">
      <c r="A168" s="320"/>
      <c r="B168" s="43"/>
      <c r="C168" s="49"/>
      <c r="D168" s="336"/>
      <c r="E168" s="336"/>
      <c r="F168" s="336"/>
      <c r="G168" s="336"/>
      <c r="H168" s="336"/>
      <c r="I168" s="336"/>
      <c r="J168" s="336"/>
      <c r="K168" s="336"/>
      <c r="L168" s="49"/>
      <c r="M168" s="49"/>
      <c r="N168" s="49"/>
      <c r="O168" s="49"/>
      <c r="P168" s="49"/>
      <c r="Q168" s="49"/>
      <c r="R168" s="49"/>
      <c r="S168" s="49"/>
      <c r="T168" s="49"/>
      <c r="U168" s="49"/>
      <c r="V168" s="49"/>
      <c r="W168" s="49"/>
      <c r="X168" s="49"/>
      <c r="Y168" s="49"/>
      <c r="Z168" s="49"/>
    </row>
    <row r="169" spans="1:26" ht="14.4" thickBot="1" x14ac:dyDescent="0.35">
      <c r="A169" s="320"/>
      <c r="B169" s="1860" t="s">
        <v>23</v>
      </c>
      <c r="C169" s="1861"/>
      <c r="D169" s="1861"/>
      <c r="E169" s="1862"/>
      <c r="F169" s="1849" t="s">
        <v>24</v>
      </c>
      <c r="G169" s="1850"/>
      <c r="H169" s="1851"/>
      <c r="I169" s="49"/>
      <c r="J169" s="49"/>
      <c r="K169" s="49"/>
      <c r="L169" s="49"/>
      <c r="M169" s="49"/>
      <c r="N169" s="49"/>
      <c r="O169" s="49"/>
      <c r="P169" s="49"/>
      <c r="Q169" s="49"/>
      <c r="R169" s="49"/>
      <c r="S169" s="49"/>
      <c r="T169" s="49"/>
      <c r="U169" s="49"/>
      <c r="V169" s="49"/>
      <c r="W169" s="49"/>
      <c r="X169" s="49"/>
      <c r="Y169" s="49"/>
      <c r="Z169" s="49"/>
    </row>
    <row r="170" spans="1:26" ht="24.6" thickBot="1" x14ac:dyDescent="0.35">
      <c r="A170" s="320"/>
      <c r="B170" s="458" t="s">
        <v>165</v>
      </c>
      <c r="C170" s="346" t="s">
        <v>166</v>
      </c>
      <c r="D170" s="459" t="s">
        <v>167</v>
      </c>
      <c r="E170" s="460" t="s">
        <v>168</v>
      </c>
      <c r="F170" s="1852"/>
      <c r="G170" s="1853"/>
      <c r="H170" s="1854"/>
      <c r="I170" s="49"/>
      <c r="J170" s="49"/>
      <c r="K170" s="49"/>
      <c r="L170" s="49"/>
      <c r="M170" s="49"/>
      <c r="N170" s="49"/>
      <c r="O170" s="49"/>
      <c r="P170" s="49"/>
      <c r="Q170" s="49"/>
      <c r="R170" s="49"/>
      <c r="S170" s="49"/>
      <c r="T170" s="49"/>
      <c r="U170" s="49"/>
      <c r="V170" s="49"/>
      <c r="W170" s="49"/>
      <c r="X170" s="49"/>
      <c r="Y170" s="49"/>
      <c r="Z170" s="49"/>
    </row>
    <row r="171" spans="1:26" ht="14.4" thickBot="1" x14ac:dyDescent="0.35">
      <c r="A171" s="320"/>
      <c r="B171" s="542">
        <v>1526079</v>
      </c>
      <c r="C171" s="542">
        <v>11627</v>
      </c>
      <c r="D171" s="542">
        <v>5860</v>
      </c>
      <c r="E171" s="463">
        <f>B171+(C171*2)+(D171/2)</f>
        <v>1552263</v>
      </c>
      <c r="F171" s="2302"/>
      <c r="G171" s="2303"/>
      <c r="H171" s="2304"/>
      <c r="I171" s="49"/>
      <c r="J171" s="49"/>
      <c r="K171" s="49"/>
      <c r="L171" s="49"/>
      <c r="M171" s="49"/>
      <c r="N171" s="49"/>
      <c r="O171" s="49"/>
      <c r="P171" s="49"/>
      <c r="Q171" s="49"/>
      <c r="R171" s="49"/>
      <c r="S171" s="49"/>
      <c r="T171" s="49"/>
      <c r="U171" s="49"/>
      <c r="V171" s="49"/>
      <c r="W171" s="49"/>
      <c r="X171" s="49"/>
      <c r="Y171" s="49"/>
      <c r="Z171" s="49"/>
    </row>
    <row r="172" spans="1:26" x14ac:dyDescent="0.3">
      <c r="A172" s="320"/>
      <c r="B172" s="337"/>
      <c r="C172" s="337"/>
      <c r="D172" s="337"/>
      <c r="E172" s="337"/>
      <c r="F172" s="337"/>
      <c r="G172" s="337"/>
      <c r="H172" s="337"/>
      <c r="I172" s="337"/>
      <c r="J172" s="337"/>
      <c r="K172" s="337"/>
      <c r="L172" s="337"/>
      <c r="M172" s="337"/>
      <c r="N172" s="49"/>
      <c r="O172" s="49"/>
      <c r="P172" s="49"/>
      <c r="Q172" s="49"/>
      <c r="R172" s="49"/>
      <c r="S172" s="49"/>
      <c r="T172" s="49"/>
      <c r="U172" s="49"/>
      <c r="V172" s="49"/>
      <c r="W172" s="49"/>
      <c r="X172" s="49"/>
      <c r="Y172" s="49"/>
      <c r="Z172" s="49"/>
    </row>
    <row r="173" spans="1:26" ht="27.75" customHeight="1" x14ac:dyDescent="0.3">
      <c r="A173" s="530">
        <v>5</v>
      </c>
      <c r="B173" s="531" t="s">
        <v>169</v>
      </c>
      <c r="C173" s="532"/>
      <c r="D173" s="2311" t="str">
        <f>+$A$1</f>
        <v>Baseline</v>
      </c>
      <c r="E173" s="2311"/>
      <c r="F173" s="2311"/>
      <c r="G173" s="2311"/>
      <c r="H173" s="2311"/>
      <c r="I173" s="2311"/>
      <c r="J173" s="2311"/>
      <c r="K173" s="533"/>
      <c r="L173" s="533"/>
      <c r="M173" s="533"/>
      <c r="N173" s="525"/>
      <c r="O173" s="525"/>
      <c r="P173" s="534"/>
      <c r="Q173" s="534"/>
      <c r="R173" s="525"/>
      <c r="S173" s="525"/>
      <c r="T173" s="525"/>
      <c r="U173" s="525"/>
      <c r="V173" s="525"/>
      <c r="W173" s="525"/>
      <c r="X173" s="525"/>
      <c r="Y173" s="525"/>
      <c r="Z173" s="525"/>
    </row>
    <row r="174" spans="1:26" ht="27.75" customHeight="1" x14ac:dyDescent="0.3">
      <c r="A174" s="320"/>
      <c r="B174" s="49"/>
      <c r="C174" s="49"/>
      <c r="D174" s="49"/>
      <c r="E174" s="49"/>
      <c r="F174" s="49"/>
      <c r="G174" s="49"/>
      <c r="H174" s="49"/>
      <c r="I174" s="49"/>
      <c r="J174" s="49"/>
      <c r="K174" s="49"/>
      <c r="L174" s="49"/>
      <c r="M174" s="49"/>
      <c r="N174" s="49"/>
      <c r="O174" s="49"/>
      <c r="P174" s="464"/>
      <c r="Q174" s="464"/>
      <c r="R174" s="49"/>
      <c r="S174" s="49"/>
      <c r="T174" s="49"/>
      <c r="U174" s="49"/>
      <c r="V174" s="49"/>
      <c r="W174" s="49"/>
      <c r="X174" s="49"/>
      <c r="Y174" s="49"/>
      <c r="Z174" s="49"/>
    </row>
    <row r="175" spans="1:26" ht="14.4" thickBot="1" x14ac:dyDescent="0.35">
      <c r="A175" s="320"/>
      <c r="B175" s="43"/>
      <c r="C175" s="337"/>
      <c r="D175" s="337"/>
      <c r="E175" s="337"/>
      <c r="F175" s="337"/>
      <c r="G175" s="337"/>
      <c r="H175" s="337"/>
      <c r="I175" s="337"/>
      <c r="J175" s="337"/>
      <c r="K175" s="337"/>
      <c r="L175" s="337"/>
      <c r="M175" s="337"/>
      <c r="N175" s="337"/>
      <c r="O175" s="337"/>
      <c r="P175" s="337"/>
      <c r="Q175" s="337"/>
      <c r="R175" s="337"/>
      <c r="S175" s="337"/>
      <c r="T175" s="337"/>
      <c r="U175" s="337"/>
      <c r="V175" s="337"/>
      <c r="W175" s="337"/>
      <c r="X175" s="337"/>
      <c r="Y175" s="49"/>
      <c r="Z175" s="49"/>
    </row>
    <row r="176" spans="1:26" ht="15.75" customHeight="1" thickBot="1" x14ac:dyDescent="0.35">
      <c r="A176" s="320"/>
      <c r="B176" s="1860" t="s">
        <v>23</v>
      </c>
      <c r="C176" s="1861"/>
      <c r="D176" s="1862"/>
      <c r="E176" s="1860" t="s">
        <v>24</v>
      </c>
      <c r="F176" s="1861"/>
      <c r="G176" s="1862"/>
      <c r="H176" s="337"/>
      <c r="I176" s="337"/>
      <c r="J176" s="337"/>
      <c r="K176" s="337"/>
      <c r="L176" s="337"/>
      <c r="M176" s="337"/>
      <c r="N176" s="337"/>
      <c r="O176" s="337"/>
      <c r="P176" s="337"/>
      <c r="Q176" s="337"/>
      <c r="R176" s="337"/>
      <c r="S176" s="337"/>
      <c r="T176" s="337"/>
      <c r="U176" s="337"/>
      <c r="V176" s="337"/>
      <c r="W176" s="337"/>
      <c r="X176" s="337"/>
      <c r="Y176" s="49"/>
      <c r="Z176" s="49"/>
    </row>
    <row r="177" spans="1:26" ht="13.5" customHeight="1" thickBot="1" x14ac:dyDescent="0.35">
      <c r="A177" s="320"/>
      <c r="B177" s="2020" t="s">
        <v>170</v>
      </c>
      <c r="C177" s="2021"/>
      <c r="D177" s="558">
        <v>4602</v>
      </c>
      <c r="E177" s="2302"/>
      <c r="F177" s="2303"/>
      <c r="G177" s="2304"/>
      <c r="H177" s="337"/>
      <c r="I177" s="337"/>
      <c r="J177" s="337"/>
      <c r="K177" s="337"/>
      <c r="L177" s="337"/>
      <c r="M177" s="337"/>
      <c r="N177" s="337"/>
      <c r="O177" s="337"/>
      <c r="P177" s="337"/>
      <c r="Q177" s="337"/>
      <c r="R177" s="337"/>
      <c r="S177" s="337"/>
      <c r="T177" s="337"/>
      <c r="U177" s="337"/>
      <c r="V177" s="337"/>
      <c r="W177" s="337"/>
      <c r="X177" s="337"/>
      <c r="Y177" s="49"/>
      <c r="Z177" s="49"/>
    </row>
    <row r="178" spans="1:26" ht="14.4" thickBot="1" x14ac:dyDescent="0.35">
      <c r="A178" s="320"/>
      <c r="B178" s="2020" t="s">
        <v>468</v>
      </c>
      <c r="C178" s="2021"/>
      <c r="D178" s="58">
        <f>IF(D177=0,0,+D97/D177)</f>
        <v>410.26857887874837</v>
      </c>
      <c r="E178" s="2299"/>
      <c r="F178" s="2300"/>
      <c r="G178" s="2301"/>
      <c r="H178" s="337"/>
      <c r="I178" s="337"/>
      <c r="J178" s="337"/>
      <c r="K178" s="337"/>
      <c r="L178" s="337"/>
      <c r="M178" s="337"/>
      <c r="N178" s="337"/>
      <c r="O178" s="337"/>
      <c r="P178" s="337"/>
      <c r="Q178" s="337"/>
      <c r="R178" s="337"/>
      <c r="S178" s="337"/>
      <c r="T178" s="337"/>
      <c r="U178" s="337"/>
      <c r="V178" s="337"/>
      <c r="W178" s="337"/>
      <c r="X178" s="337"/>
      <c r="Y178" s="49"/>
      <c r="Z178" s="49"/>
    </row>
    <row r="179" spans="1:26" x14ac:dyDescent="0.3">
      <c r="A179" s="320"/>
      <c r="B179" s="337"/>
      <c r="C179" s="337"/>
      <c r="D179" s="337"/>
      <c r="E179" s="337"/>
      <c r="F179" s="337"/>
      <c r="G179" s="337"/>
      <c r="H179" s="337"/>
      <c r="I179" s="337"/>
      <c r="J179" s="386"/>
      <c r="K179" s="425"/>
      <c r="L179" s="337"/>
      <c r="M179" s="337"/>
      <c r="N179" s="49"/>
      <c r="O179" s="49"/>
      <c r="P179" s="49"/>
      <c r="Q179" s="49"/>
      <c r="R179" s="49"/>
      <c r="S179" s="49"/>
      <c r="T179" s="49"/>
      <c r="U179" s="49"/>
      <c r="V179" s="49"/>
      <c r="W179" s="49"/>
      <c r="X179" s="49"/>
      <c r="Y179" s="49"/>
      <c r="Z179" s="49"/>
    </row>
    <row r="180" spans="1:26" x14ac:dyDescent="0.3">
      <c r="A180" s="320"/>
      <c r="B180" s="337"/>
      <c r="C180" s="337"/>
      <c r="D180" s="337"/>
      <c r="E180" s="337"/>
      <c r="F180" s="337"/>
      <c r="G180" s="337"/>
      <c r="H180" s="337"/>
      <c r="I180" s="337"/>
      <c r="J180" s="386"/>
      <c r="K180" s="425"/>
      <c r="L180" s="337"/>
      <c r="M180" s="337"/>
      <c r="N180" s="49"/>
      <c r="O180" s="49"/>
      <c r="P180" s="49"/>
      <c r="Q180" s="49"/>
      <c r="R180" s="49"/>
      <c r="S180" s="49"/>
      <c r="T180" s="49"/>
      <c r="U180" s="49"/>
      <c r="V180" s="49"/>
      <c r="W180" s="49"/>
      <c r="X180" s="49"/>
      <c r="Y180" s="49"/>
      <c r="Z180" s="49"/>
    </row>
    <row r="181" spans="1:26" x14ac:dyDescent="0.3">
      <c r="A181" s="320"/>
      <c r="B181" s="337"/>
      <c r="C181" s="337"/>
      <c r="D181" s="337"/>
      <c r="E181" s="337"/>
      <c r="F181" s="337"/>
      <c r="G181" s="337"/>
      <c r="H181" s="337"/>
      <c r="I181" s="337"/>
      <c r="J181" s="386"/>
      <c r="K181" s="425"/>
      <c r="L181" s="337"/>
      <c r="M181" s="337"/>
      <c r="N181" s="49"/>
      <c r="O181" s="49"/>
      <c r="P181" s="49"/>
      <c r="Q181" s="49"/>
      <c r="R181" s="49"/>
      <c r="S181" s="49"/>
      <c r="T181" s="49"/>
      <c r="U181" s="49"/>
      <c r="V181" s="49"/>
      <c r="W181" s="49"/>
      <c r="X181" s="49"/>
      <c r="Y181" s="49"/>
      <c r="Z181" s="49"/>
    </row>
    <row r="182" spans="1:26" x14ac:dyDescent="0.3">
      <c r="A182" s="320"/>
      <c r="B182" s="337"/>
      <c r="C182" s="337"/>
      <c r="D182" s="337"/>
      <c r="E182" s="337"/>
      <c r="F182" s="337"/>
      <c r="G182" s="337"/>
      <c r="H182" s="337"/>
      <c r="I182" s="337"/>
      <c r="J182" s="386"/>
      <c r="K182" s="425"/>
      <c r="L182" s="337"/>
      <c r="M182" s="337"/>
      <c r="N182" s="49"/>
      <c r="O182" s="49"/>
      <c r="P182" s="49"/>
      <c r="Q182" s="49"/>
      <c r="R182" s="49"/>
      <c r="S182" s="49"/>
      <c r="T182" s="49"/>
      <c r="U182" s="49"/>
      <c r="V182" s="49"/>
      <c r="W182" s="49"/>
      <c r="X182" s="49"/>
      <c r="Y182" s="49"/>
      <c r="Z182" s="49"/>
    </row>
    <row r="183" spans="1:26" x14ac:dyDescent="0.3">
      <c r="A183" s="320"/>
      <c r="B183" s="337"/>
      <c r="C183" s="337"/>
      <c r="D183" s="337"/>
      <c r="E183" s="337"/>
      <c r="F183" s="337"/>
      <c r="G183" s="337"/>
      <c r="H183" s="337"/>
      <c r="I183" s="337"/>
      <c r="J183" s="386"/>
      <c r="K183" s="425"/>
      <c r="L183" s="337"/>
      <c r="M183" s="337"/>
      <c r="N183" s="49"/>
      <c r="O183" s="49"/>
      <c r="P183" s="49"/>
      <c r="Q183" s="49"/>
      <c r="R183" s="49"/>
      <c r="S183" s="49"/>
      <c r="T183" s="49"/>
      <c r="U183" s="49"/>
      <c r="V183" s="49"/>
      <c r="W183" s="49"/>
      <c r="X183" s="49"/>
      <c r="Y183" s="49"/>
      <c r="Z183" s="49"/>
    </row>
    <row r="184" spans="1:26" x14ac:dyDescent="0.3">
      <c r="A184" s="320"/>
      <c r="B184" s="337"/>
      <c r="C184" s="337"/>
      <c r="D184" s="337"/>
      <c r="E184" s="337"/>
      <c r="F184" s="337"/>
      <c r="G184" s="337"/>
      <c r="H184" s="337"/>
      <c r="I184" s="337"/>
      <c r="J184" s="386"/>
      <c r="K184" s="425"/>
      <c r="L184" s="337"/>
      <c r="M184" s="337"/>
      <c r="N184" s="49"/>
      <c r="O184" s="49"/>
      <c r="P184" s="49"/>
      <c r="Q184" s="49"/>
      <c r="R184" s="49"/>
      <c r="S184" s="49"/>
      <c r="T184" s="49"/>
      <c r="U184" s="49"/>
      <c r="V184" s="49"/>
      <c r="W184" s="49"/>
      <c r="X184" s="49"/>
      <c r="Y184" s="49"/>
      <c r="Z184" s="49"/>
    </row>
    <row r="185" spans="1:26" x14ac:dyDescent="0.3">
      <c r="A185" s="320"/>
      <c r="B185" s="337"/>
      <c r="C185" s="337"/>
      <c r="D185" s="337"/>
      <c r="E185" s="337"/>
      <c r="F185" s="337"/>
      <c r="G185" s="337"/>
      <c r="H185" s="337"/>
      <c r="I185" s="337"/>
      <c r="J185" s="386"/>
      <c r="K185" s="425"/>
      <c r="L185" s="337"/>
      <c r="M185" s="337"/>
      <c r="N185" s="49"/>
      <c r="O185" s="49"/>
      <c r="P185" s="49"/>
      <c r="Q185" s="49"/>
      <c r="R185" s="49"/>
      <c r="S185" s="49"/>
      <c r="T185" s="49"/>
      <c r="U185" s="49"/>
      <c r="V185" s="49"/>
      <c r="W185" s="49"/>
      <c r="X185" s="49"/>
      <c r="Y185" s="49"/>
      <c r="Z185" s="49"/>
    </row>
    <row r="186" spans="1:26" x14ac:dyDescent="0.3">
      <c r="A186" s="320"/>
      <c r="B186" s="337"/>
      <c r="C186" s="337"/>
      <c r="D186" s="337"/>
      <c r="E186" s="337"/>
      <c r="F186" s="337"/>
      <c r="G186" s="337"/>
      <c r="H186" s="337"/>
      <c r="I186" s="337"/>
      <c r="J186" s="386"/>
      <c r="K186" s="425"/>
      <c r="L186" s="337"/>
      <c r="M186" s="337"/>
      <c r="N186" s="49"/>
      <c r="O186" s="49"/>
      <c r="P186" s="49"/>
      <c r="Q186" s="49"/>
      <c r="R186" s="49"/>
      <c r="S186" s="49"/>
      <c r="T186" s="49"/>
      <c r="U186" s="49"/>
      <c r="V186" s="49"/>
      <c r="W186" s="49"/>
      <c r="X186" s="49"/>
      <c r="Y186" s="49"/>
      <c r="Z186" s="49"/>
    </row>
    <row r="187" spans="1:26" x14ac:dyDescent="0.3">
      <c r="A187" s="320"/>
      <c r="B187" s="49"/>
      <c r="C187" s="49"/>
      <c r="D187" s="49"/>
      <c r="E187" s="49"/>
      <c r="F187" s="49"/>
      <c r="G187" s="49"/>
      <c r="H187" s="49"/>
      <c r="I187" s="49"/>
      <c r="J187" s="314"/>
      <c r="K187" s="315"/>
      <c r="L187" s="49"/>
      <c r="M187" s="49"/>
      <c r="N187" s="49"/>
      <c r="O187" s="49"/>
      <c r="P187" s="49"/>
      <c r="Q187" s="49"/>
      <c r="R187" s="49"/>
      <c r="S187" s="49"/>
      <c r="T187" s="49"/>
      <c r="U187" s="49"/>
      <c r="V187" s="49"/>
      <c r="W187" s="49"/>
      <c r="X187" s="49"/>
      <c r="Y187" s="49"/>
      <c r="Z187" s="49"/>
    </row>
    <row r="188" spans="1:26" x14ac:dyDescent="0.3">
      <c r="A188" s="320"/>
      <c r="B188" s="49"/>
      <c r="C188" s="49"/>
      <c r="D188" s="49"/>
      <c r="E188" s="49"/>
      <c r="F188" s="49"/>
      <c r="G188" s="49"/>
      <c r="H188" s="49"/>
      <c r="I188" s="49"/>
      <c r="J188" s="314"/>
      <c r="K188" s="315"/>
      <c r="L188" s="49"/>
      <c r="M188" s="49"/>
      <c r="N188" s="49"/>
      <c r="O188" s="49"/>
      <c r="P188" s="49"/>
      <c r="Q188" s="49"/>
      <c r="R188" s="49"/>
      <c r="S188" s="49"/>
      <c r="T188" s="49"/>
      <c r="U188" s="49"/>
      <c r="V188" s="49"/>
      <c r="W188" s="49"/>
      <c r="X188" s="49"/>
      <c r="Y188" s="49"/>
      <c r="Z188" s="49"/>
    </row>
    <row r="189" spans="1:26" x14ac:dyDescent="0.3">
      <c r="A189" s="320"/>
      <c r="B189" s="49"/>
      <c r="C189" s="49"/>
      <c r="D189" s="49"/>
      <c r="E189" s="49"/>
      <c r="F189" s="49"/>
      <c r="G189" s="49"/>
      <c r="H189" s="49"/>
      <c r="I189" s="49"/>
      <c r="J189" s="314"/>
      <c r="K189" s="315"/>
      <c r="L189" s="49"/>
      <c r="M189" s="49"/>
      <c r="N189" s="49"/>
      <c r="O189" s="49"/>
      <c r="P189" s="49"/>
      <c r="Q189" s="49"/>
      <c r="R189" s="49"/>
      <c r="S189" s="49"/>
      <c r="T189" s="49"/>
      <c r="U189" s="49"/>
      <c r="V189" s="49"/>
      <c r="W189" s="49"/>
      <c r="X189" s="49"/>
      <c r="Y189" s="49"/>
      <c r="Z189" s="49"/>
    </row>
  </sheetData>
  <sheetProtection algorithmName="SHA-512" hashValue="MiLMrLW6DNP4zjePO6b+9jN/mEEigZhDENP0agbshuaGwLnBee3T5dMSsKbIl8YSEtMLEzj66P4+wNdKQikiZQ==" saltValue="nFNi13WiqKclcOZ/HkjLVw==" spinCount="100000" sheet="1" objects="1" scenarios="1"/>
  <mergeCells count="208">
    <mergeCell ref="I113:K115"/>
    <mergeCell ref="D126:J126"/>
    <mergeCell ref="I130:K130"/>
    <mergeCell ref="D137:J137"/>
    <mergeCell ref="E142:F142"/>
    <mergeCell ref="I142:K143"/>
    <mergeCell ref="I144:K144"/>
    <mergeCell ref="D147:J147"/>
    <mergeCell ref="I149:K150"/>
    <mergeCell ref="I122:K122"/>
    <mergeCell ref="I123:K123"/>
    <mergeCell ref="I124:K124"/>
    <mergeCell ref="I128:K129"/>
    <mergeCell ref="I131:K131"/>
    <mergeCell ref="I132:K132"/>
    <mergeCell ref="I133:K133"/>
    <mergeCell ref="D134:E134"/>
    <mergeCell ref="I116:K116"/>
    <mergeCell ref="I117:K117"/>
    <mergeCell ref="I118:K118"/>
    <mergeCell ref="I119:K119"/>
    <mergeCell ref="I120:K120"/>
    <mergeCell ref="I121:K121"/>
    <mergeCell ref="I95:K95"/>
    <mergeCell ref="I96:K96"/>
    <mergeCell ref="B97:B109"/>
    <mergeCell ref="I97:K97"/>
    <mergeCell ref="I98:K98"/>
    <mergeCell ref="I99:K99"/>
    <mergeCell ref="I100:K100"/>
    <mergeCell ref="I101:K101"/>
    <mergeCell ref="I102:K102"/>
    <mergeCell ref="I103:K103"/>
    <mergeCell ref="I104:K104"/>
    <mergeCell ref="I105:K105"/>
    <mergeCell ref="I106:K106"/>
    <mergeCell ref="I107:K107"/>
    <mergeCell ref="I108:K108"/>
    <mergeCell ref="I109:K109"/>
    <mergeCell ref="I86:K86"/>
    <mergeCell ref="I87:K87"/>
    <mergeCell ref="I88:K88"/>
    <mergeCell ref="I89:K89"/>
    <mergeCell ref="I90:K90"/>
    <mergeCell ref="I91:K91"/>
    <mergeCell ref="I92:K92"/>
    <mergeCell ref="I93:K93"/>
    <mergeCell ref="I94:K94"/>
    <mergeCell ref="D6:J6"/>
    <mergeCell ref="B15:C15"/>
    <mergeCell ref="B16:B29"/>
    <mergeCell ref="O27:P27"/>
    <mergeCell ref="Q27:R27"/>
    <mergeCell ref="U27:V27"/>
    <mergeCell ref="W27:X27"/>
    <mergeCell ref="D41:J41"/>
    <mergeCell ref="D47:J47"/>
    <mergeCell ref="D43:F43"/>
    <mergeCell ref="G43:H43"/>
    <mergeCell ref="I43:K44"/>
    <mergeCell ref="I27:K27"/>
    <mergeCell ref="I28:K28"/>
    <mergeCell ref="I29:K29"/>
    <mergeCell ref="I25:K25"/>
    <mergeCell ref="I26:K26"/>
    <mergeCell ref="I23:K23"/>
    <mergeCell ref="O23:O24"/>
    <mergeCell ref="P23:P24"/>
    <mergeCell ref="Q23:Q24"/>
    <mergeCell ref="R23:R24"/>
    <mergeCell ref="U23:U24"/>
    <mergeCell ref="B30:B39"/>
    <mergeCell ref="B176:D176"/>
    <mergeCell ref="B177:C177"/>
    <mergeCell ref="B164:D164"/>
    <mergeCell ref="B165:D165"/>
    <mergeCell ref="C166:J166"/>
    <mergeCell ref="B169:E169"/>
    <mergeCell ref="B161:D161"/>
    <mergeCell ref="B162:D162"/>
    <mergeCell ref="B163:D163"/>
    <mergeCell ref="I161:K161"/>
    <mergeCell ref="I162:K162"/>
    <mergeCell ref="I163:K163"/>
    <mergeCell ref="I164:K164"/>
    <mergeCell ref="I165:K165"/>
    <mergeCell ref="D167:J167"/>
    <mergeCell ref="D173:J173"/>
    <mergeCell ref="F169:H170"/>
    <mergeCell ref="F171:H171"/>
    <mergeCell ref="E176:G176"/>
    <mergeCell ref="E177:G177"/>
    <mergeCell ref="B158:D158"/>
    <mergeCell ref="B159:D159"/>
    <mergeCell ref="B160:D160"/>
    <mergeCell ref="B155:D155"/>
    <mergeCell ref="B156:D156"/>
    <mergeCell ref="B157:D157"/>
    <mergeCell ref="I155:K155"/>
    <mergeCell ref="I156:K156"/>
    <mergeCell ref="I157:K157"/>
    <mergeCell ref="I158:K158"/>
    <mergeCell ref="I159:K159"/>
    <mergeCell ref="I160:K160"/>
    <mergeCell ref="B152:D152"/>
    <mergeCell ref="B153:D153"/>
    <mergeCell ref="B154:D154"/>
    <mergeCell ref="B135:L135"/>
    <mergeCell ref="B144:C144"/>
    <mergeCell ref="E149:F149"/>
    <mergeCell ref="G149:H149"/>
    <mergeCell ref="B151:D151"/>
    <mergeCell ref="I151:K151"/>
    <mergeCell ref="I152:K152"/>
    <mergeCell ref="I153:K153"/>
    <mergeCell ref="I154:K154"/>
    <mergeCell ref="I74:K74"/>
    <mergeCell ref="I75:K75"/>
    <mergeCell ref="B76:C76"/>
    <mergeCell ref="D113:F113"/>
    <mergeCell ref="B57:B75"/>
    <mergeCell ref="I76:K76"/>
    <mergeCell ref="B77:B95"/>
    <mergeCell ref="I77:K77"/>
    <mergeCell ref="I78:K78"/>
    <mergeCell ref="I79:K79"/>
    <mergeCell ref="I80:K80"/>
    <mergeCell ref="I81:K81"/>
    <mergeCell ref="I82:K82"/>
    <mergeCell ref="I83:K83"/>
    <mergeCell ref="I84:K84"/>
    <mergeCell ref="I85:K85"/>
    <mergeCell ref="I68:K68"/>
    <mergeCell ref="I69:K69"/>
    <mergeCell ref="I70:K70"/>
    <mergeCell ref="I71:K71"/>
    <mergeCell ref="I72:K72"/>
    <mergeCell ref="I73:K73"/>
    <mergeCell ref="I61:K61"/>
    <mergeCell ref="I62:K62"/>
    <mergeCell ref="I30:K30"/>
    <mergeCell ref="I31:K31"/>
    <mergeCell ref="I32:K32"/>
    <mergeCell ref="I33:K33"/>
    <mergeCell ref="I34:K34"/>
    <mergeCell ref="U21:X21"/>
    <mergeCell ref="B56:C56"/>
    <mergeCell ref="I56:K56"/>
    <mergeCell ref="B45:C45"/>
    <mergeCell ref="I45:K45"/>
    <mergeCell ref="Q53:Q55"/>
    <mergeCell ref="B54:C55"/>
    <mergeCell ref="D54:F54"/>
    <mergeCell ref="O52:W52"/>
    <mergeCell ref="R53:R55"/>
    <mergeCell ref="S53:S55"/>
    <mergeCell ref="T53:T54"/>
    <mergeCell ref="U53:W55"/>
    <mergeCell ref="I54:K55"/>
    <mergeCell ref="U56:W56"/>
    <mergeCell ref="D7:J7"/>
    <mergeCell ref="O12:R12"/>
    <mergeCell ref="I35:K35"/>
    <mergeCell ref="I36:K36"/>
    <mergeCell ref="I37:K37"/>
    <mergeCell ref="I38:K38"/>
    <mergeCell ref="O21:R21"/>
    <mergeCell ref="I63:K63"/>
    <mergeCell ref="I64:K64"/>
    <mergeCell ref="O63:W66"/>
    <mergeCell ref="I59:K59"/>
    <mergeCell ref="I60:K60"/>
    <mergeCell ref="I57:K57"/>
    <mergeCell ref="I58:K58"/>
    <mergeCell ref="U12:X12"/>
    <mergeCell ref="D13:F13"/>
    <mergeCell ref="G13:H13"/>
    <mergeCell ref="I13:K15"/>
    <mergeCell ref="O13:R13"/>
    <mergeCell ref="U13:X13"/>
    <mergeCell ref="U14:V14"/>
    <mergeCell ref="W14:X14"/>
    <mergeCell ref="I39:K39"/>
    <mergeCell ref="I21:K21"/>
    <mergeCell ref="U57:W57"/>
    <mergeCell ref="U58:W58"/>
    <mergeCell ref="U59:W59"/>
    <mergeCell ref="U60:W60"/>
    <mergeCell ref="U61:W61"/>
    <mergeCell ref="E178:G178"/>
    <mergeCell ref="B178:C178"/>
    <mergeCell ref="I16:K16"/>
    <mergeCell ref="I17:K17"/>
    <mergeCell ref="I18:K18"/>
    <mergeCell ref="I19:K19"/>
    <mergeCell ref="I20:K20"/>
    <mergeCell ref="I65:K65"/>
    <mergeCell ref="I66:K66"/>
    <mergeCell ref="I67:K67"/>
    <mergeCell ref="I22:K22"/>
    <mergeCell ref="O22:P22"/>
    <mergeCell ref="Q22:R22"/>
    <mergeCell ref="U22:V22"/>
    <mergeCell ref="W22:X22"/>
    <mergeCell ref="X23:X24"/>
    <mergeCell ref="I24:K24"/>
    <mergeCell ref="V23:V24"/>
    <mergeCell ref="W23:W24"/>
  </mergeCells>
  <dataValidations count="1">
    <dataValidation allowBlank="1" sqref="G42:G44 O14:R15 H42 D96 G13:G15 N169:V169 J169:J171 K170:V174 J42 E164 D1:D15 I42:I43 E42:F42 I13 E14:E15 E1:K12 C1:C14 O11:O13 O56:Q61 I171 L112:XFD145 H143:H144 E128:E133 I127:I128 F171:F172 C143:D143 D167:J167 B149:E150 B166:E166 G168:J168 F130:I134 J127 A143:A145 H150:H165 B143:B144 W14 U1:U14 V1:X11 G161:G162 O1:R10 P11:R11 P16:R19 E126:J126 B76:B77 H14:H40 E41:J41 D76 D110:D115 E127:H127 G164 G149:G150 F14:F40 B167:B170 C170:D170 D179:G1048576 E176:E178 F128:H129 I56:I113 K40:K42 J40 A146:XFD148 G40 D46:D56 I16:I40 J46 H44:H46 E40 D125:D134 K166:V168 G166:J166 C167:C168 D168:E168 C172:D175 E170:E172 G172:J172 G174:J174 E173:J173 B151:B165 B172:B1048576 A149:A1048576 E110:E112 E161:E162 L1:N111 I116:I124 J112:K112 G125:J125 I54 O67:W111 I110:K111 E47:J52 C56:C134 K46:K52 E53:K53 P62:W62 I144 O62:O63 X52:Z111 K125:K127 I149 I151:I165 W149:XFD1048576 B145:K145 I142 G110:H112 I45:I46 F55:F112 U15:X51 A1:A134 B96:B97 B56:B57 C16:C53 P21:R51 B1:B16 O16:O52 S1:T51 Y1:Z51 E46:G46 E44:F45 B30:B54 S56:S61 E114:F125 O53:U53 T55:T61 E143:F144 AA1:XFD111 B110:B134 G143 D40:D44 L149:V165 E55:E72 E76:E92 E96:E106 A135:K136 F168:F169 E174:F175 H175:V1048576 G175 C177:C1048576 F150:F166 A137:H142 I137:K141 U56:U61"/>
  </dataValidations>
  <hyperlinks>
    <hyperlink ref="C34:C39" location="CHP!A1" display="CHP1 Electricity"/>
    <hyperlink ref="B52" location="'conversion factors'!A1" display="If you need to convert from miles to km, go to the Conversions tab or click here"/>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1120B3"/>
  </sheetPr>
  <dimension ref="A1:AD206"/>
  <sheetViews>
    <sheetView topLeftCell="B157" zoomScale="80" zoomScaleNormal="80" workbookViewId="0"/>
  </sheetViews>
  <sheetFormatPr defaultColWidth="9.109375" defaultRowHeight="13.8" x14ac:dyDescent="0.3"/>
  <cols>
    <col min="1" max="1" width="10.33203125" style="592" customWidth="1"/>
    <col min="2" max="2" width="12.6640625" style="362" customWidth="1"/>
    <col min="3" max="3" width="40.6640625" style="362" customWidth="1"/>
    <col min="4" max="4" width="16.33203125" style="362" customWidth="1"/>
    <col min="5" max="8" width="14" style="362" customWidth="1"/>
    <col min="9" max="9" width="13.109375" style="362" customWidth="1"/>
    <col min="10" max="10" width="12.33203125" style="590" customWidth="1"/>
    <col min="11" max="11" width="14.33203125" style="591" customWidth="1"/>
    <col min="12" max="14" width="11.77734375" style="362" customWidth="1"/>
    <col min="15" max="15" width="11" style="362" customWidth="1"/>
    <col min="16" max="16" width="19.109375" style="362" customWidth="1"/>
    <col min="17" max="17" width="11" style="362" customWidth="1"/>
    <col min="18" max="18" width="14" style="362" customWidth="1"/>
    <col min="19" max="20" width="9.109375" style="362"/>
    <col min="21" max="21" width="9.109375" style="362" customWidth="1"/>
    <col min="22" max="22" width="15.77734375" style="362" customWidth="1"/>
    <col min="23" max="23" width="9.109375" style="362" customWidth="1"/>
    <col min="24" max="24" width="13.77734375" style="362" customWidth="1"/>
    <col min="25" max="25" width="9.109375" style="362"/>
    <col min="26" max="26" width="14.77734375" style="362" customWidth="1"/>
    <col min="27" max="16384" width="9.109375" style="362"/>
  </cols>
  <sheetData>
    <row r="1" spans="1:26" ht="23.4" x14ac:dyDescent="0.45">
      <c r="A1" s="312" t="s">
        <v>555</v>
      </c>
      <c r="B1" s="313"/>
      <c r="C1" s="49"/>
      <c r="D1" s="49"/>
      <c r="E1" s="49"/>
      <c r="F1" s="49"/>
      <c r="G1" s="49"/>
      <c r="H1" s="49"/>
      <c r="I1" s="49"/>
      <c r="J1" s="314"/>
      <c r="K1" s="315"/>
      <c r="L1" s="49"/>
      <c r="M1" s="49"/>
      <c r="N1" s="49"/>
      <c r="O1" s="49"/>
      <c r="P1" s="49"/>
      <c r="Q1" s="49"/>
      <c r="R1" s="49"/>
      <c r="S1" s="49"/>
      <c r="T1" s="49"/>
      <c r="U1" s="49"/>
      <c r="V1" s="49"/>
      <c r="W1" s="49"/>
      <c r="X1" s="49"/>
      <c r="Y1" s="49"/>
      <c r="Z1" s="49"/>
    </row>
    <row r="2" spans="1:26" x14ac:dyDescent="0.3">
      <c r="A2" s="316"/>
      <c r="B2" s="317"/>
      <c r="C2" s="317"/>
      <c r="D2" s="317"/>
      <c r="E2" s="317"/>
      <c r="F2" s="317"/>
      <c r="G2" s="317"/>
      <c r="H2" s="317"/>
      <c r="I2" s="317"/>
      <c r="J2" s="318"/>
      <c r="K2" s="319"/>
      <c r="L2" s="319"/>
      <c r="M2" s="319"/>
      <c r="N2" s="319"/>
      <c r="O2" s="317"/>
      <c r="P2" s="317"/>
      <c r="Q2" s="317"/>
      <c r="R2" s="317"/>
      <c r="S2" s="317"/>
      <c r="T2" s="317"/>
      <c r="U2" s="317"/>
      <c r="V2" s="317"/>
      <c r="W2" s="317"/>
      <c r="X2" s="317"/>
      <c r="Y2" s="317"/>
      <c r="Z2" s="317"/>
    </row>
    <row r="3" spans="1:26" x14ac:dyDescent="0.3">
      <c r="A3" s="320"/>
      <c r="B3" s="49"/>
      <c r="C3" s="49"/>
      <c r="D3" s="49"/>
      <c r="E3" s="49"/>
      <c r="F3" s="49"/>
      <c r="G3" s="49"/>
      <c r="H3" s="49"/>
      <c r="I3" s="49"/>
      <c r="J3" s="314"/>
      <c r="K3" s="321"/>
      <c r="L3" s="49"/>
      <c r="M3" s="49"/>
      <c r="N3" s="49"/>
      <c r="O3" s="49"/>
      <c r="P3" s="49"/>
      <c r="Q3" s="49"/>
      <c r="R3" s="49"/>
      <c r="S3" s="49"/>
      <c r="T3" s="49"/>
      <c r="U3" s="49"/>
      <c r="V3" s="49"/>
      <c r="W3" s="49"/>
      <c r="X3" s="49"/>
      <c r="Y3" s="49"/>
      <c r="Z3" s="49"/>
    </row>
    <row r="4" spans="1:26" s="593" customFormat="1" ht="21" x14ac:dyDescent="0.3">
      <c r="A4" s="322" t="s">
        <v>20</v>
      </c>
      <c r="B4" s="323" t="str">
        <f>+Performance!C2</f>
        <v>MINISTRY OF JUSTICE (MoJ)</v>
      </c>
      <c r="C4" s="323"/>
      <c r="D4" s="323"/>
      <c r="E4" s="323"/>
      <c r="F4" s="323"/>
      <c r="G4" s="323"/>
      <c r="H4" s="323"/>
      <c r="I4" s="323"/>
      <c r="J4" s="323"/>
      <c r="K4" s="323"/>
      <c r="L4" s="323"/>
      <c r="M4" s="323"/>
      <c r="N4" s="323"/>
      <c r="O4" s="323"/>
      <c r="P4" s="323"/>
      <c r="Q4" s="323"/>
      <c r="R4" s="323"/>
      <c r="S4" s="323"/>
      <c r="T4" s="323"/>
      <c r="U4" s="323"/>
      <c r="V4" s="323"/>
      <c r="W4" s="323"/>
      <c r="X4" s="323"/>
      <c r="Y4" s="323"/>
      <c r="Z4" s="323"/>
    </row>
    <row r="5" spans="1:26" ht="21" x14ac:dyDescent="0.3">
      <c r="A5" s="320"/>
      <c r="B5" s="324"/>
      <c r="C5" s="324"/>
      <c r="D5" s="324"/>
      <c r="E5" s="324"/>
      <c r="F5" s="324"/>
      <c r="G5" s="324"/>
      <c r="H5" s="324"/>
      <c r="I5" s="324"/>
      <c r="J5" s="324"/>
      <c r="K5" s="325"/>
      <c r="L5" s="325"/>
      <c r="M5" s="325"/>
      <c r="N5" s="325"/>
      <c r="O5" s="49"/>
      <c r="P5" s="49"/>
      <c r="Q5" s="49"/>
      <c r="R5" s="49"/>
      <c r="S5" s="49"/>
      <c r="T5" s="49"/>
      <c r="U5" s="49"/>
      <c r="V5" s="49"/>
      <c r="W5" s="49"/>
      <c r="X5" s="49"/>
      <c r="Y5" s="49"/>
      <c r="Z5" s="49"/>
    </row>
    <row r="6" spans="1:26" ht="23.4" x14ac:dyDescent="0.3">
      <c r="A6" s="326">
        <v>1</v>
      </c>
      <c r="B6" s="327" t="s">
        <v>476</v>
      </c>
      <c r="C6" s="328"/>
      <c r="D6" s="1848" t="str">
        <f>+$A$1</f>
        <v>Annual - 2018-2019</v>
      </c>
      <c r="E6" s="1848"/>
      <c r="F6" s="1848"/>
      <c r="G6" s="1848"/>
      <c r="H6" s="1848"/>
      <c r="I6" s="1848"/>
      <c r="J6" s="1848"/>
      <c r="K6" s="329"/>
      <c r="L6" s="329"/>
      <c r="M6" s="329"/>
      <c r="N6" s="317"/>
      <c r="O6" s="317"/>
      <c r="P6" s="330"/>
      <c r="Q6" s="330"/>
      <c r="R6" s="317"/>
      <c r="S6" s="317"/>
      <c r="T6" s="317"/>
      <c r="U6" s="317"/>
      <c r="V6" s="317"/>
      <c r="W6" s="317"/>
      <c r="X6" s="317"/>
      <c r="Y6" s="317"/>
      <c r="Z6" s="317"/>
    </row>
    <row r="7" spans="1:26" ht="14.4" thickBot="1" x14ac:dyDescent="0.35">
      <c r="A7" s="320"/>
      <c r="B7" s="43"/>
      <c r="C7" s="337"/>
      <c r="D7" s="337"/>
      <c r="E7" s="337"/>
      <c r="F7" s="337"/>
      <c r="G7" s="337"/>
      <c r="H7" s="337"/>
      <c r="I7" s="337"/>
      <c r="J7" s="337"/>
      <c r="K7" s="337"/>
      <c r="L7" s="337"/>
      <c r="M7" s="337"/>
      <c r="N7" s="337"/>
      <c r="O7" s="337"/>
      <c r="P7" s="337"/>
      <c r="Q7" s="337"/>
      <c r="R7" s="337"/>
      <c r="S7" s="337"/>
      <c r="T7" s="337"/>
      <c r="U7" s="337"/>
      <c r="V7" s="337"/>
      <c r="W7" s="337"/>
      <c r="X7" s="337"/>
      <c r="Y7" s="49"/>
      <c r="Z7" s="49"/>
    </row>
    <row r="8" spans="1:26" ht="14.4" thickBot="1" x14ac:dyDescent="0.35">
      <c r="A8" s="320"/>
      <c r="B8" s="49"/>
      <c r="C8" s="43"/>
      <c r="D8" s="428" t="s">
        <v>23</v>
      </c>
      <c r="E8" s="1083" t="s">
        <v>144</v>
      </c>
      <c r="F8" s="1849" t="s">
        <v>24</v>
      </c>
      <c r="G8" s="1850"/>
      <c r="H8" s="1851"/>
      <c r="I8" s="337"/>
      <c r="J8" s="337"/>
      <c r="K8" s="337"/>
      <c r="L8" s="337"/>
      <c r="M8" s="337"/>
      <c r="N8" s="337"/>
      <c r="O8" s="337"/>
      <c r="P8" s="337"/>
      <c r="Q8" s="337"/>
      <c r="R8" s="337"/>
      <c r="S8" s="337"/>
      <c r="T8" s="337"/>
      <c r="U8" s="337"/>
      <c r="V8" s="337"/>
      <c r="W8" s="337"/>
      <c r="X8" s="337"/>
      <c r="Y8" s="49"/>
      <c r="Z8" s="49"/>
    </row>
    <row r="9" spans="1:26" ht="14.4" thickBot="1" x14ac:dyDescent="0.35">
      <c r="A9" s="320"/>
      <c r="B9" s="359"/>
      <c r="C9" s="49"/>
      <c r="D9" s="490" t="s">
        <v>477</v>
      </c>
      <c r="E9" s="432" t="s">
        <v>477</v>
      </c>
      <c r="F9" s="1852"/>
      <c r="G9" s="1853"/>
      <c r="H9" s="1854"/>
      <c r="I9" s="337"/>
      <c r="J9" s="337"/>
      <c r="K9" s="337"/>
      <c r="L9" s="337"/>
      <c r="M9" s="337"/>
      <c r="N9" s="337"/>
      <c r="O9" s="337"/>
      <c r="P9" s="337"/>
      <c r="Q9" s="337"/>
      <c r="R9" s="337"/>
      <c r="S9" s="337"/>
      <c r="T9" s="337"/>
      <c r="U9" s="337"/>
      <c r="V9" s="337"/>
      <c r="W9" s="337"/>
      <c r="X9" s="337"/>
      <c r="Y9" s="49"/>
      <c r="Z9" s="49"/>
    </row>
    <row r="10" spans="1:26" ht="14.4" thickBot="1" x14ac:dyDescent="0.35">
      <c r="A10" s="320"/>
      <c r="B10" s="1855" t="s">
        <v>479</v>
      </c>
      <c r="C10" s="1856"/>
      <c r="D10" s="363" t="str">
        <f>IFERROR((+'Q1-19'!D10+'Q2-19'!D10+'Q3-19'!D10+'Q4-19'!D10)/(IF('Q1-19'!D10&gt;0,1,0)+IF('Q2-19'!D10&gt;0,1,0)+IF('Q3-19'!D10&gt;0,1,0)+IF('Q4-19'!D10&gt;0,1,0)),"")</f>
        <v/>
      </c>
      <c r="E10" s="461" t="str">
        <f>IFERROR((+'Q1-19'!E10+'Q2-19'!E10+'Q3-19'!E10+'Q4-19'!E10)/(IF('Q1-19'!E10&gt;0,1,0)+IF('Q2-19'!E10&gt;0,1,0)+IF('Q3-19'!E10&gt;0,1,0)+IF('Q4-19'!E10&gt;0,1,0)),"")</f>
        <v/>
      </c>
      <c r="F10" s="1857"/>
      <c r="G10" s="1858"/>
      <c r="H10" s="1859"/>
      <c r="I10" s="337"/>
      <c r="J10" s="337"/>
      <c r="K10" s="337"/>
      <c r="L10" s="337"/>
      <c r="M10" s="337"/>
      <c r="N10" s="337"/>
      <c r="O10" s="337"/>
      <c r="P10" s="337"/>
      <c r="Q10" s="337"/>
      <c r="R10" s="337"/>
      <c r="S10" s="337"/>
      <c r="T10" s="337"/>
      <c r="U10" s="337"/>
      <c r="V10" s="337"/>
      <c r="W10" s="337"/>
      <c r="X10" s="337"/>
      <c r="Y10" s="49"/>
      <c r="Z10" s="49"/>
    </row>
    <row r="11" spans="1:26" x14ac:dyDescent="0.3">
      <c r="A11" s="320"/>
      <c r="B11" s="337"/>
      <c r="C11" s="337"/>
      <c r="D11" s="337"/>
      <c r="E11" s="337"/>
      <c r="F11" s="337"/>
      <c r="G11" s="337"/>
      <c r="H11" s="337"/>
      <c r="I11" s="337"/>
      <c r="J11" s="386"/>
      <c r="K11" s="425"/>
      <c r="L11" s="337"/>
      <c r="M11" s="337"/>
      <c r="N11" s="49"/>
      <c r="O11" s="49"/>
      <c r="P11" s="49"/>
      <c r="Q11" s="49"/>
      <c r="R11" s="49"/>
      <c r="S11" s="49"/>
      <c r="T11" s="49"/>
      <c r="U11" s="49"/>
      <c r="V11" s="49"/>
      <c r="W11" s="49"/>
      <c r="X11" s="49"/>
      <c r="Y11" s="49"/>
      <c r="Z11" s="49"/>
    </row>
    <row r="12" spans="1:26" x14ac:dyDescent="0.3">
      <c r="A12" s="320"/>
      <c r="B12" s="337"/>
      <c r="C12" s="337"/>
      <c r="D12" s="337"/>
      <c r="E12" s="337"/>
      <c r="F12" s="337"/>
      <c r="G12" s="337"/>
      <c r="H12" s="337"/>
      <c r="I12" s="337"/>
      <c r="J12" s="386"/>
      <c r="K12" s="425"/>
      <c r="L12" s="337"/>
      <c r="M12" s="337"/>
      <c r="N12" s="49"/>
      <c r="O12" s="49"/>
      <c r="P12" s="49"/>
      <c r="Q12" s="49"/>
      <c r="R12" s="49"/>
      <c r="S12" s="49"/>
      <c r="T12" s="49"/>
      <c r="U12" s="49"/>
      <c r="V12" s="49"/>
      <c r="W12" s="49"/>
      <c r="X12" s="49"/>
      <c r="Y12" s="49"/>
      <c r="Z12" s="49"/>
    </row>
    <row r="13" spans="1:26" ht="27.75" customHeight="1" x14ac:dyDescent="0.3">
      <c r="A13" s="326">
        <v>2</v>
      </c>
      <c r="B13" s="327" t="s">
        <v>21</v>
      </c>
      <c r="C13" s="328"/>
      <c r="D13" s="1848" t="str">
        <f>+$A$1</f>
        <v>Annual - 2018-2019</v>
      </c>
      <c r="E13" s="1848"/>
      <c r="F13" s="1848"/>
      <c r="G13" s="1848"/>
      <c r="H13" s="1848"/>
      <c r="I13" s="1848"/>
      <c r="J13" s="1848"/>
      <c r="K13" s="329"/>
      <c r="L13" s="329"/>
      <c r="M13" s="329"/>
      <c r="N13" s="329"/>
      <c r="O13" s="317"/>
      <c r="P13" s="330"/>
      <c r="Q13" s="330"/>
      <c r="R13" s="317"/>
      <c r="S13" s="317"/>
      <c r="T13" s="317"/>
      <c r="U13" s="317"/>
      <c r="V13" s="317"/>
      <c r="W13" s="317"/>
      <c r="X13" s="317"/>
      <c r="Y13" s="317"/>
      <c r="Z13" s="317"/>
    </row>
    <row r="14" spans="1:26" s="594" customFormat="1" ht="23.4" x14ac:dyDescent="0.3">
      <c r="A14" s="331" t="s">
        <v>505</v>
      </c>
      <c r="B14" s="332" t="s">
        <v>22</v>
      </c>
      <c r="C14" s="333"/>
      <c r="D14" s="1848"/>
      <c r="E14" s="1848"/>
      <c r="F14" s="1848"/>
      <c r="G14" s="1848"/>
      <c r="H14" s="1848"/>
      <c r="I14" s="1848"/>
      <c r="J14" s="1848"/>
      <c r="K14" s="334"/>
      <c r="L14" s="334"/>
      <c r="M14" s="334"/>
      <c r="N14" s="334"/>
      <c r="O14" s="334"/>
      <c r="P14" s="334"/>
      <c r="Q14" s="334"/>
      <c r="R14" s="334"/>
      <c r="S14" s="334"/>
      <c r="T14" s="334"/>
      <c r="U14" s="334"/>
      <c r="V14" s="334"/>
      <c r="W14" s="334"/>
      <c r="X14" s="334"/>
      <c r="Y14" s="335"/>
      <c r="Z14" s="335"/>
    </row>
    <row r="15" spans="1:26" ht="15.75" customHeight="1" thickBot="1" x14ac:dyDescent="0.35">
      <c r="A15" s="320"/>
      <c r="B15" s="43"/>
      <c r="C15" s="30"/>
      <c r="D15" s="43"/>
      <c r="E15" s="336"/>
      <c r="F15" s="336"/>
      <c r="G15" s="336"/>
      <c r="H15" s="336"/>
      <c r="I15" s="336"/>
      <c r="J15" s="336"/>
      <c r="K15" s="336"/>
      <c r="L15" s="49"/>
      <c r="M15" s="49"/>
      <c r="N15" s="49"/>
      <c r="O15" s="49"/>
      <c r="P15" s="49"/>
      <c r="Q15" s="49"/>
      <c r="R15" s="49"/>
      <c r="S15" s="49"/>
      <c r="T15" s="49"/>
      <c r="U15" s="49"/>
      <c r="V15" s="49"/>
      <c r="W15" s="49"/>
      <c r="X15" s="49"/>
      <c r="Y15" s="49"/>
      <c r="Z15" s="49"/>
    </row>
    <row r="16" spans="1:26" ht="15.75" customHeight="1" thickBot="1" x14ac:dyDescent="0.35">
      <c r="A16" s="320"/>
      <c r="B16" s="337"/>
      <c r="C16" s="337"/>
      <c r="D16" s="337"/>
      <c r="E16" s="337"/>
      <c r="F16" s="337"/>
      <c r="G16" s="337"/>
      <c r="H16" s="337"/>
      <c r="I16" s="337"/>
      <c r="J16" s="337"/>
      <c r="K16" s="337"/>
      <c r="L16" s="49"/>
      <c r="M16" s="49"/>
      <c r="N16" s="49"/>
      <c r="O16" s="1860" t="s">
        <v>23</v>
      </c>
      <c r="P16" s="1861"/>
      <c r="Q16" s="1861"/>
      <c r="R16" s="1862"/>
      <c r="S16" s="49"/>
      <c r="T16" s="49"/>
      <c r="U16" s="1863" t="s">
        <v>144</v>
      </c>
      <c r="V16" s="1864"/>
      <c r="W16" s="1864"/>
      <c r="X16" s="1865"/>
      <c r="Y16" s="49"/>
      <c r="Z16" s="49"/>
    </row>
    <row r="17" spans="1:26" ht="28.2" customHeight="1" thickBot="1" x14ac:dyDescent="0.35">
      <c r="A17" s="320"/>
      <c r="B17" s="337"/>
      <c r="C17" s="337"/>
      <c r="D17" s="1866" t="s">
        <v>23</v>
      </c>
      <c r="E17" s="1867"/>
      <c r="F17" s="1868"/>
      <c r="G17" s="1869" t="s">
        <v>144</v>
      </c>
      <c r="H17" s="1870"/>
      <c r="I17" s="1849" t="s">
        <v>24</v>
      </c>
      <c r="J17" s="1850"/>
      <c r="K17" s="1851"/>
      <c r="L17" s="49"/>
      <c r="M17" s="49"/>
      <c r="N17" s="49"/>
      <c r="O17" s="1860" t="s">
        <v>25</v>
      </c>
      <c r="P17" s="1861"/>
      <c r="Q17" s="1861"/>
      <c r="R17" s="1862"/>
      <c r="S17" s="49"/>
      <c r="T17" s="49"/>
      <c r="U17" s="1863" t="s">
        <v>25</v>
      </c>
      <c r="V17" s="1864"/>
      <c r="W17" s="1864"/>
      <c r="X17" s="1865"/>
      <c r="Y17" s="49"/>
      <c r="Z17" s="49"/>
    </row>
    <row r="18" spans="1:26" ht="15.75" customHeight="1" thickBot="1" x14ac:dyDescent="0.35">
      <c r="A18" s="320"/>
      <c r="B18" s="337"/>
      <c r="C18" s="337"/>
      <c r="D18" s="338" t="s">
        <v>26</v>
      </c>
      <c r="E18" s="1087" t="s">
        <v>27</v>
      </c>
      <c r="F18" s="339" t="s">
        <v>28</v>
      </c>
      <c r="G18" s="433" t="s">
        <v>29</v>
      </c>
      <c r="H18" s="433" t="s">
        <v>28</v>
      </c>
      <c r="I18" s="1852"/>
      <c r="J18" s="1853"/>
      <c r="K18" s="1854"/>
      <c r="L18" s="49"/>
      <c r="M18" s="49"/>
      <c r="N18" s="49"/>
      <c r="O18" s="1874" t="s">
        <v>30</v>
      </c>
      <c r="P18" s="1875"/>
      <c r="Q18" s="1874" t="s">
        <v>31</v>
      </c>
      <c r="R18" s="1875"/>
      <c r="S18" s="49"/>
      <c r="T18" s="49"/>
      <c r="U18" s="1876" t="s">
        <v>30</v>
      </c>
      <c r="V18" s="1877"/>
      <c r="W18" s="1876" t="s">
        <v>31</v>
      </c>
      <c r="X18" s="1877"/>
      <c r="Y18" s="49"/>
      <c r="Z18" s="49"/>
    </row>
    <row r="19" spans="1:26" ht="28.95" customHeight="1" thickBot="1" x14ac:dyDescent="0.35">
      <c r="A19" s="320"/>
      <c r="B19" s="1881" t="s">
        <v>32</v>
      </c>
      <c r="C19" s="1882"/>
      <c r="D19" s="340">
        <f>SUM(D20:D47)</f>
        <v>1373672655.4588969</v>
      </c>
      <c r="E19" s="341"/>
      <c r="F19" s="342">
        <f>SUM(F20:F47)</f>
        <v>312154.24505314388</v>
      </c>
      <c r="G19" s="343">
        <f>SUM(G20:G47)</f>
        <v>24322654.292481523</v>
      </c>
      <c r="H19" s="343">
        <f>SUM(H20:H47)</f>
        <v>6878.0643148449008</v>
      </c>
      <c r="I19" s="1871"/>
      <c r="J19" s="1872"/>
      <c r="K19" s="1873"/>
      <c r="L19" s="345"/>
      <c r="M19" s="49"/>
      <c r="N19" s="49"/>
      <c r="O19" s="346" t="s">
        <v>454</v>
      </c>
      <c r="P19" s="347" t="s">
        <v>455</v>
      </c>
      <c r="Q19" s="346" t="s">
        <v>456</v>
      </c>
      <c r="R19" s="347" t="s">
        <v>455</v>
      </c>
      <c r="S19" s="31"/>
      <c r="T19" s="49"/>
      <c r="U19" s="343" t="s">
        <v>454</v>
      </c>
      <c r="V19" s="343" t="s">
        <v>455</v>
      </c>
      <c r="W19" s="343" t="s">
        <v>456</v>
      </c>
      <c r="X19" s="560" t="s">
        <v>455</v>
      </c>
      <c r="Y19" s="49"/>
      <c r="Z19" s="49"/>
    </row>
    <row r="20" spans="1:26" ht="15" customHeight="1" x14ac:dyDescent="0.3">
      <c r="A20" s="320" t="s">
        <v>372</v>
      </c>
      <c r="B20" s="1883" t="s">
        <v>36</v>
      </c>
      <c r="C20" s="649" t="s">
        <v>37</v>
      </c>
      <c r="D20" s="1420">
        <f>+'Q1-19'!D20+'Q2-19'!D20+'Q3-19'!D20+'Q4-19'!D20</f>
        <v>362017255.85655791</v>
      </c>
      <c r="E20" s="1421">
        <f>+O20+Q20</f>
        <v>0.30719999999999997</v>
      </c>
      <c r="F20" s="349">
        <f>P20+R20</f>
        <v>111211.70099913457</v>
      </c>
      <c r="G20" s="1048">
        <f>+'Q1-19'!G20+'Q2-19'!G20+'Q3-19'!G20+'Q4-19'!G20</f>
        <v>5409992</v>
      </c>
      <c r="H20" s="561">
        <f>IF(Performance!$L$2="y",F20,E20*G20/1000)</f>
        <v>1661.9495423999999</v>
      </c>
      <c r="I20" s="1886"/>
      <c r="J20" s="1887"/>
      <c r="K20" s="1888"/>
      <c r="L20" s="49"/>
      <c r="M20" s="49"/>
      <c r="N20" s="49"/>
      <c r="O20" s="62">
        <f>+'Emission Factors'!J7</f>
        <v>0.28306999999999999</v>
      </c>
      <c r="P20" s="32">
        <f>(D20*O20)/1000</f>
        <v>102476.22461531583</v>
      </c>
      <c r="Q20" s="63">
        <f>+'Emission Factors'!J8</f>
        <v>2.4129999999999999E-2</v>
      </c>
      <c r="R20" s="32">
        <f>(D20*Q20)/1000</f>
        <v>8735.4763838187428</v>
      </c>
      <c r="S20" s="31"/>
      <c r="T20" s="49"/>
      <c r="U20" s="64">
        <f>+O20</f>
        <v>0.28306999999999999</v>
      </c>
      <c r="V20" s="82">
        <f>IF(Performance!$L$2="y",P20,$G20*U20/1000)</f>
        <v>1531.40643544</v>
      </c>
      <c r="W20" s="64">
        <f>+Q20</f>
        <v>2.4129999999999999E-2</v>
      </c>
      <c r="X20" s="33">
        <f>IF(Performance!$L$2="y",R20,$G20*W20/1000)</f>
        <v>130.54310695999999</v>
      </c>
      <c r="Y20" s="49"/>
      <c r="Z20" s="49"/>
    </row>
    <row r="21" spans="1:26" ht="15" customHeight="1" x14ac:dyDescent="0.3">
      <c r="A21" s="320" t="s">
        <v>372</v>
      </c>
      <c r="B21" s="1884"/>
      <c r="C21" s="649" t="s">
        <v>38</v>
      </c>
      <c r="D21" s="1420">
        <f>+'Q1-19'!D21+'Q2-19'!D21+'Q3-19'!D21+'Q4-19'!D21</f>
        <v>90146951</v>
      </c>
      <c r="E21" s="1422">
        <f>+O21+Q21</f>
        <v>0.30719999999999997</v>
      </c>
      <c r="F21" s="349">
        <f>P21+R21</f>
        <v>27693.143347199999</v>
      </c>
      <c r="G21" s="1048">
        <f>+'Q1-19'!G21+'Q2-19'!G21+'Q3-19'!G21+'Q4-19'!G21</f>
        <v>14076710</v>
      </c>
      <c r="H21" s="1171">
        <f>IF(Performance!$L$2="y",F21,E21*G21/1000)</f>
        <v>4324.3653119999999</v>
      </c>
      <c r="I21" s="1878"/>
      <c r="J21" s="1879"/>
      <c r="K21" s="1880"/>
      <c r="L21" s="49"/>
      <c r="M21" s="49"/>
      <c r="N21" s="49"/>
      <c r="O21" s="62">
        <f>+O20</f>
        <v>0.28306999999999999</v>
      </c>
      <c r="P21" s="32">
        <f>(D21*O21)/1000</f>
        <v>25517.897419569999</v>
      </c>
      <c r="Q21" s="63">
        <f>+Q20</f>
        <v>2.4129999999999999E-2</v>
      </c>
      <c r="R21" s="32">
        <f>(D21*Q21)/1000</f>
        <v>2175.2459276299996</v>
      </c>
      <c r="S21" s="31"/>
      <c r="T21" s="49"/>
      <c r="U21" s="65">
        <f>+O21</f>
        <v>0.28306999999999999</v>
      </c>
      <c r="V21" s="83">
        <f>IF(Performance!$L$2="y",P21,$G21*U21/1000)</f>
        <v>3984.6942996999996</v>
      </c>
      <c r="W21" s="65">
        <f>+Q21</f>
        <v>2.4129999999999999E-2</v>
      </c>
      <c r="X21" s="34">
        <f>IF(Performance!$L$2="y",R21,$G21*W21/1000)</f>
        <v>339.67101230000003</v>
      </c>
      <c r="Y21" s="49"/>
      <c r="Z21" s="49"/>
    </row>
    <row r="22" spans="1:26" ht="17.25" customHeight="1" x14ac:dyDescent="0.3">
      <c r="A22" s="320" t="s">
        <v>372</v>
      </c>
      <c r="B22" s="1884"/>
      <c r="C22" s="649" t="s">
        <v>39</v>
      </c>
      <c r="D22" s="1420">
        <f>+'Q1-19'!D22+'Q2-19'!D22+'Q3-19'!D22+'Q4-19'!D22</f>
        <v>0</v>
      </c>
      <c r="E22" s="1422">
        <f>+O22+Q22</f>
        <v>0.30719999999999997</v>
      </c>
      <c r="F22" s="349">
        <f>P22+R22</f>
        <v>0</v>
      </c>
      <c r="G22" s="1048">
        <f>+'Q1-19'!G22+'Q2-19'!G22+'Q3-19'!G22+'Q4-19'!G22</f>
        <v>0</v>
      </c>
      <c r="H22" s="1171">
        <f>IF(Performance!$L$2="y",F22,E22*G22/1000)</f>
        <v>0</v>
      </c>
      <c r="I22" s="1878"/>
      <c r="J22" s="1879"/>
      <c r="K22" s="1880"/>
      <c r="L22" s="49"/>
      <c r="M22" s="49"/>
      <c r="N22" s="49"/>
      <c r="O22" s="62">
        <f>+O21</f>
        <v>0.28306999999999999</v>
      </c>
      <c r="P22" s="32">
        <f>(D22*O22)/1000</f>
        <v>0</v>
      </c>
      <c r="Q22" s="63">
        <f>+Q21</f>
        <v>2.4129999999999999E-2</v>
      </c>
      <c r="R22" s="32">
        <f>(D22*Q22)/1000</f>
        <v>0</v>
      </c>
      <c r="S22" s="31"/>
      <c r="T22" s="49"/>
      <c r="U22" s="65">
        <f>+O22</f>
        <v>0.28306999999999999</v>
      </c>
      <c r="V22" s="83">
        <f>IF(Performance!$L$2="y",P22,$G22*U22/1000)</f>
        <v>0</v>
      </c>
      <c r="W22" s="65">
        <f>+Q22</f>
        <v>2.4129999999999999E-2</v>
      </c>
      <c r="X22" s="34">
        <f>IF(Performance!$L$2="y",R22,$G22*W22/1000)</f>
        <v>0</v>
      </c>
      <c r="Y22" s="49"/>
      <c r="Z22" s="49"/>
    </row>
    <row r="23" spans="1:26" ht="17.25" customHeight="1" thickBot="1" x14ac:dyDescent="0.35">
      <c r="A23" s="320" t="s">
        <v>372</v>
      </c>
      <c r="B23" s="1884"/>
      <c r="C23" s="649" t="s">
        <v>40</v>
      </c>
      <c r="D23" s="1420">
        <f>+'Q1-19'!D23+'Q2-19'!D23+'Q3-19'!D23+'Q4-19'!D23</f>
        <v>0</v>
      </c>
      <c r="E23" s="1422">
        <f>+O23+Q23</f>
        <v>0.30719999999999997</v>
      </c>
      <c r="F23" s="349">
        <f>P23+R23</f>
        <v>0</v>
      </c>
      <c r="G23" s="1048">
        <f>+'Q1-19'!G23+'Q2-19'!G23+'Q3-19'!G23+'Q4-19'!G23</f>
        <v>0</v>
      </c>
      <c r="H23" s="1171">
        <f>IF(Performance!$L$2="y",F23,E23*G23/1000)</f>
        <v>0</v>
      </c>
      <c r="I23" s="1878"/>
      <c r="J23" s="1879"/>
      <c r="K23" s="1880"/>
      <c r="L23" s="49"/>
      <c r="M23" s="49"/>
      <c r="N23" s="49"/>
      <c r="O23" s="66">
        <f>+O22</f>
        <v>0.28306999999999999</v>
      </c>
      <c r="P23" s="35">
        <f>(D23*O23)/1000</f>
        <v>0</v>
      </c>
      <c r="Q23" s="67">
        <f>+Q22</f>
        <v>2.4129999999999999E-2</v>
      </c>
      <c r="R23" s="35">
        <f>(D23*Q23)/1000</f>
        <v>0</v>
      </c>
      <c r="S23" s="31"/>
      <c r="T23" s="49"/>
      <c r="U23" s="68">
        <f>+O23</f>
        <v>0.28306999999999999</v>
      </c>
      <c r="V23" s="84">
        <f>IF(Performance!$L$2="y",P23,$G23*U23/1000)</f>
        <v>0</v>
      </c>
      <c r="W23" s="68">
        <f>+Q23</f>
        <v>2.4129999999999999E-2</v>
      </c>
      <c r="X23" s="36">
        <f>IF(Performance!$L$2="y",R23,$G23*W23/1000)</f>
        <v>0</v>
      </c>
      <c r="Y23" s="49"/>
      <c r="Z23" s="49"/>
    </row>
    <row r="24" spans="1:26" ht="15.75" customHeight="1" thickBot="1" x14ac:dyDescent="0.35">
      <c r="A24" s="320" t="s">
        <v>370</v>
      </c>
      <c r="B24" s="1884"/>
      <c r="C24" s="37" t="s">
        <v>41</v>
      </c>
      <c r="D24" s="1420">
        <f>+'Q1-19'!D24+'Q2-19'!D24+'Q3-19'!D24+'Q4-19'!D24</f>
        <v>877312308.58363605</v>
      </c>
      <c r="E24" s="1423">
        <f>+'Emission Factors'!J11</f>
        <v>0.18396000000000001</v>
      </c>
      <c r="F24" s="349">
        <f>(D24*E24)/1000</f>
        <v>161390.3722870457</v>
      </c>
      <c r="G24" s="1048">
        <f>+'Q1-19'!G24+'Q2-19'!G24+'Q3-19'!G24+'Q4-19'!G24</f>
        <v>4812965.292481523</v>
      </c>
      <c r="H24" s="1171">
        <f>IF(Performance!$L$2="y",F24,E24*G24/1000)</f>
        <v>885.3930952049011</v>
      </c>
      <c r="I24" s="1878"/>
      <c r="J24" s="1879"/>
      <c r="K24" s="1880"/>
      <c r="L24" s="49"/>
      <c r="M24" s="49"/>
      <c r="N24" s="49"/>
      <c r="O24" s="49"/>
      <c r="P24" s="49"/>
      <c r="Q24" s="49"/>
      <c r="R24" s="49"/>
      <c r="S24" s="49"/>
      <c r="T24" s="49"/>
      <c r="U24" s="49"/>
      <c r="V24" s="49"/>
      <c r="W24" s="49"/>
      <c r="X24" s="49"/>
      <c r="Y24" s="49"/>
      <c r="Z24" s="49"/>
    </row>
    <row r="25" spans="1:26" ht="15.75" customHeight="1" thickBot="1" x14ac:dyDescent="0.35">
      <c r="A25" s="320" t="s">
        <v>370</v>
      </c>
      <c r="B25" s="1884"/>
      <c r="C25" s="37" t="s">
        <v>42</v>
      </c>
      <c r="D25" s="1420">
        <f>+'Q1-19'!D25+'Q2-19'!D25+'Q3-19'!D25+'Q4-19'!D25</f>
        <v>41638438.00199572</v>
      </c>
      <c r="E25" s="1423">
        <f>+'Emission Factors'!J12</f>
        <v>0.27651999999999999</v>
      </c>
      <c r="F25" s="349">
        <f t="shared" ref="F25:F38" si="0">(D25*E25)/1000</f>
        <v>11513.860876311855</v>
      </c>
      <c r="G25" s="1048">
        <f>+'Q1-19'!G25+'Q2-19'!G25+'Q3-19'!G25+'Q4-19'!G25</f>
        <v>22987</v>
      </c>
      <c r="H25" s="1171">
        <f>IF(Performance!$L$2="y",F25,E25*G25/1000)</f>
        <v>6.3563652399999997</v>
      </c>
      <c r="I25" s="1878"/>
      <c r="J25" s="1879"/>
      <c r="K25" s="1880"/>
      <c r="L25" s="49"/>
      <c r="M25" s="49"/>
      <c r="N25" s="49"/>
      <c r="O25" s="1860" t="s">
        <v>23</v>
      </c>
      <c r="P25" s="1861"/>
      <c r="Q25" s="1861"/>
      <c r="R25" s="1862"/>
      <c r="S25" s="49"/>
      <c r="T25" s="49"/>
      <c r="U25" s="1863" t="s">
        <v>144</v>
      </c>
      <c r="V25" s="1864"/>
      <c r="W25" s="1864"/>
      <c r="X25" s="1865"/>
      <c r="Y25" s="49"/>
      <c r="Z25" s="49"/>
    </row>
    <row r="26" spans="1:26" ht="13.5" customHeight="1" thickBot="1" x14ac:dyDescent="0.35">
      <c r="A26" s="320" t="s">
        <v>370</v>
      </c>
      <c r="B26" s="1884"/>
      <c r="C26" s="37" t="s">
        <v>43</v>
      </c>
      <c r="D26" s="1420">
        <f>+'Q1-19'!D26+'Q2-19'!D26+'Q3-19'!D26+'Q4-19'!D26</f>
        <v>1476390.881731621</v>
      </c>
      <c r="E26" s="1423">
        <f>+'Emission Factors'!J13</f>
        <v>0.21448</v>
      </c>
      <c r="F26" s="349">
        <f t="shared" si="0"/>
        <v>316.65631631379807</v>
      </c>
      <c r="G26" s="1048">
        <f>+'Q1-19'!G26+'Q2-19'!G26+'Q3-19'!G26+'Q4-19'!G26</f>
        <v>0</v>
      </c>
      <c r="H26" s="1171">
        <f>IF(Performance!$L$2="y",F26,E26*G26/1000)</f>
        <v>0</v>
      </c>
      <c r="I26" s="1878"/>
      <c r="J26" s="1879"/>
      <c r="K26" s="1880"/>
      <c r="L26" s="49"/>
      <c r="M26" s="49"/>
      <c r="N26" s="49"/>
      <c r="O26" s="1874" t="s">
        <v>44</v>
      </c>
      <c r="P26" s="1875"/>
      <c r="Q26" s="1874" t="s">
        <v>45</v>
      </c>
      <c r="R26" s="1875"/>
      <c r="S26" s="49"/>
      <c r="T26" s="49"/>
      <c r="U26" s="1876" t="s">
        <v>44</v>
      </c>
      <c r="V26" s="1877"/>
      <c r="W26" s="1876" t="s">
        <v>45</v>
      </c>
      <c r="X26" s="1877"/>
      <c r="Y26" s="49"/>
      <c r="Z26" s="49"/>
    </row>
    <row r="27" spans="1:26" ht="15.75" customHeight="1" x14ac:dyDescent="0.3">
      <c r="A27" s="320" t="s">
        <v>370</v>
      </c>
      <c r="B27" s="1884"/>
      <c r="C27" s="37" t="s">
        <v>46</v>
      </c>
      <c r="D27" s="1420">
        <f>+'Q1-19'!D27+'Q2-19'!D27+'Q3-19'!D27+'Q4-19'!D27</f>
        <v>0</v>
      </c>
      <c r="E27" s="1423">
        <f>+'Emission Factors'!J14</f>
        <v>0.34472999999999998</v>
      </c>
      <c r="F27" s="349">
        <f t="shared" si="0"/>
        <v>0</v>
      </c>
      <c r="G27" s="1048">
        <f>+'Q1-19'!G27+'Q2-19'!G27+'Q3-19'!G27+'Q4-19'!G27</f>
        <v>0</v>
      </c>
      <c r="H27" s="1171">
        <f>IF(Performance!$L$2="y",F27,E27*G27/1000)</f>
        <v>0</v>
      </c>
      <c r="I27" s="1878"/>
      <c r="J27" s="1879"/>
      <c r="K27" s="1880"/>
      <c r="L27" s="49"/>
      <c r="M27" s="49"/>
      <c r="N27" s="49"/>
      <c r="O27" s="1891" t="s">
        <v>454</v>
      </c>
      <c r="P27" s="1893" t="s">
        <v>455</v>
      </c>
      <c r="Q27" s="1891" t="s">
        <v>456</v>
      </c>
      <c r="R27" s="1893" t="s">
        <v>455</v>
      </c>
      <c r="S27" s="49"/>
      <c r="T27" s="49"/>
      <c r="U27" s="1889" t="s">
        <v>454</v>
      </c>
      <c r="V27" s="1889" t="s">
        <v>455</v>
      </c>
      <c r="W27" s="1889" t="s">
        <v>456</v>
      </c>
      <c r="X27" s="1889" t="s">
        <v>455</v>
      </c>
      <c r="Y27" s="49"/>
      <c r="Z27" s="49"/>
    </row>
    <row r="28" spans="1:26" ht="15.75" customHeight="1" thickBot="1" x14ac:dyDescent="0.35">
      <c r="A28" s="320" t="s">
        <v>370</v>
      </c>
      <c r="B28" s="1884"/>
      <c r="C28" s="37" t="s">
        <v>47</v>
      </c>
      <c r="D28" s="1420">
        <f>+'Q1-19'!D28+'Q2-19'!D28+'Q3-19'!D28+'Q4-19'!D28</f>
        <v>996410.26557183999</v>
      </c>
      <c r="E28" s="1423">
        <f>+'Emission Factors'!J15</f>
        <v>1.506E-2</v>
      </c>
      <c r="F28" s="349">
        <f t="shared" si="0"/>
        <v>15.005938599511911</v>
      </c>
      <c r="G28" s="1048">
        <f>+'Q1-19'!G28+'Q2-19'!G28+'Q3-19'!G28+'Q4-19'!G28</f>
        <v>0</v>
      </c>
      <c r="H28" s="1171">
        <f>IF(Performance!$L$2="y",F28,E28*G28/1000)</f>
        <v>0</v>
      </c>
      <c r="I28" s="1878"/>
      <c r="J28" s="1879"/>
      <c r="K28" s="1880"/>
      <c r="L28" s="49"/>
      <c r="M28" s="49"/>
      <c r="N28" s="49"/>
      <c r="O28" s="1892"/>
      <c r="P28" s="1894"/>
      <c r="Q28" s="1892"/>
      <c r="R28" s="1894"/>
      <c r="S28" s="49"/>
      <c r="T28" s="49"/>
      <c r="U28" s="1890"/>
      <c r="V28" s="1890"/>
      <c r="W28" s="1890"/>
      <c r="X28" s="1890"/>
      <c r="Y28" s="49"/>
      <c r="Z28" s="49"/>
    </row>
    <row r="29" spans="1:26" ht="15.75" customHeight="1" thickBot="1" x14ac:dyDescent="0.35">
      <c r="A29" s="320" t="s">
        <v>372</v>
      </c>
      <c r="B29" s="1884"/>
      <c r="C29" s="649" t="s">
        <v>48</v>
      </c>
      <c r="D29" s="1420">
        <f>+'Q1-19'!D29+'Q2-19'!D29+'Q3-19'!D29+'Q4-19'!D29</f>
        <v>0</v>
      </c>
      <c r="E29" s="1423">
        <f>+O29+Q29</f>
        <v>0.19732631578947368</v>
      </c>
      <c r="F29" s="349">
        <f>P29+R29</f>
        <v>0</v>
      </c>
      <c r="G29" s="1048">
        <f>+'Q1-19'!G29+'Q2-19'!G29+'Q3-19'!G29+'Q4-19'!G29</f>
        <v>0</v>
      </c>
      <c r="H29" s="1171">
        <f>IF(Performance!$L$2="y",F29,E29*G29/1000)</f>
        <v>0</v>
      </c>
      <c r="I29" s="1878"/>
      <c r="J29" s="1879"/>
      <c r="K29" s="1880"/>
      <c r="L29" s="49"/>
      <c r="M29" s="49"/>
      <c r="N29" s="49"/>
      <c r="O29" s="70">
        <f>+'Emission Factors'!J33</f>
        <v>0.18745999999999999</v>
      </c>
      <c r="P29" s="38">
        <f>(D29*O29)/1000</f>
        <v>0</v>
      </c>
      <c r="Q29" s="71">
        <f>+'Emission Factors'!J34</f>
        <v>9.8663157894736953E-3</v>
      </c>
      <c r="R29" s="38">
        <f>(D29*Q29)/1000</f>
        <v>0</v>
      </c>
      <c r="S29" s="49"/>
      <c r="T29" s="49"/>
      <c r="U29" s="72">
        <f>+O29</f>
        <v>0.18745999999999999</v>
      </c>
      <c r="V29" s="39">
        <f>IF(Performance!$L$2="y",P29,$G29*U29/1000)</f>
        <v>0</v>
      </c>
      <c r="W29" s="73">
        <f>+Q29</f>
        <v>9.8663157894736953E-3</v>
      </c>
      <c r="X29" s="39">
        <f>IF(Performance!$L$2="y",R29,$G29*W29/1000)</f>
        <v>0</v>
      </c>
      <c r="Y29" s="49"/>
      <c r="Z29" s="49"/>
    </row>
    <row r="30" spans="1:26" ht="15.75" customHeight="1" thickBot="1" x14ac:dyDescent="0.35">
      <c r="A30" s="320" t="s">
        <v>372</v>
      </c>
      <c r="B30" s="1884"/>
      <c r="C30" s="37" t="s">
        <v>49</v>
      </c>
      <c r="D30" s="1420">
        <f>+'Q1-19'!D30+'Q2-19'!D30+'Q3-19'!D30+'Q4-19'!D30</f>
        <v>0</v>
      </c>
      <c r="E30" s="1423">
        <f>+'Emission Factors'!J17</f>
        <v>0</v>
      </c>
      <c r="F30" s="349">
        <f>(D30*E30)/1000</f>
        <v>0</v>
      </c>
      <c r="G30" s="1048">
        <f>+'Q1-19'!G30+'Q2-19'!G30+'Q3-19'!G30+'Q4-19'!G30</f>
        <v>0</v>
      </c>
      <c r="H30" s="1171">
        <f>IF(Performance!$L$2="y",F30,E30*G30/1000)</f>
        <v>0</v>
      </c>
      <c r="I30" s="1878"/>
      <c r="J30" s="1879"/>
      <c r="K30" s="1880"/>
      <c r="L30" s="49"/>
      <c r="M30" s="49"/>
      <c r="N30" s="49"/>
      <c r="O30" s="49"/>
      <c r="P30" s="49"/>
      <c r="Q30" s="49"/>
      <c r="R30" s="49"/>
      <c r="S30" s="49"/>
      <c r="T30" s="49"/>
      <c r="U30" s="49"/>
      <c r="V30" s="49"/>
      <c r="W30" s="49"/>
      <c r="X30" s="49"/>
      <c r="Y30" s="49"/>
      <c r="Z30" s="49"/>
    </row>
    <row r="31" spans="1:26" ht="23.25" customHeight="1" thickBot="1" x14ac:dyDescent="0.35">
      <c r="A31" s="320" t="s">
        <v>372</v>
      </c>
      <c r="B31" s="1884"/>
      <c r="C31" s="37" t="s">
        <v>50</v>
      </c>
      <c r="D31" s="1420">
        <f>+'Q1-19'!D31+'Q2-19'!D31+'Q3-19'!D31+'Q4-19'!D31</f>
        <v>0</v>
      </c>
      <c r="E31" s="1424">
        <f>IF(D31=0,0,1000*F31/D31)</f>
        <v>0</v>
      </c>
      <c r="F31" s="1420">
        <f>+'Q1-19'!F31+'Q2-19'!F31+'Q3-19'!F31+'Q4-19'!F31</f>
        <v>0</v>
      </c>
      <c r="G31" s="1048">
        <f>+'Q1-19'!G31+'Q2-19'!G31+'Q3-19'!G31+'Q4-19'!G31</f>
        <v>0</v>
      </c>
      <c r="H31" s="1171">
        <f>IF(Performance!$L$2="y",F31,E31*G31/1000)</f>
        <v>0</v>
      </c>
      <c r="I31" s="1878"/>
      <c r="J31" s="1879"/>
      <c r="K31" s="1880"/>
      <c r="L31" s="49"/>
      <c r="M31" s="49"/>
      <c r="N31" s="49"/>
      <c r="O31" s="1874" t="s">
        <v>511</v>
      </c>
      <c r="P31" s="1875"/>
      <c r="Q31" s="1874" t="s">
        <v>512</v>
      </c>
      <c r="R31" s="1875"/>
      <c r="S31" s="49"/>
      <c r="T31" s="49"/>
      <c r="U31" s="1876" t="s">
        <v>511</v>
      </c>
      <c r="V31" s="1877"/>
      <c r="W31" s="1876" t="s">
        <v>512</v>
      </c>
      <c r="X31" s="1877"/>
      <c r="Y31" s="49"/>
      <c r="Z31" s="49"/>
    </row>
    <row r="32" spans="1:26" ht="15" customHeight="1" thickBot="1" x14ac:dyDescent="0.35">
      <c r="A32" s="320" t="s">
        <v>372</v>
      </c>
      <c r="B32" s="1884"/>
      <c r="C32" s="37" t="s">
        <v>369</v>
      </c>
      <c r="D32" s="1420">
        <f>+'Q1-19'!D32+'Q2-19'!D32+'Q3-19'!D32+'Q4-19'!D32</f>
        <v>0</v>
      </c>
      <c r="E32" s="1423">
        <f>+O32+Q32</f>
        <v>0.26563604119443424</v>
      </c>
      <c r="F32" s="349">
        <f>P32+R32</f>
        <v>0</v>
      </c>
      <c r="G32" s="1048">
        <f>+'Q1-19'!G32+'Q2-19'!G32+'Q3-19'!G32+'Q4-19'!G32</f>
        <v>0</v>
      </c>
      <c r="H32" s="1171">
        <f>IF(Performance!$L$2="y",F32,E32*G32/1000)</f>
        <v>0</v>
      </c>
      <c r="I32" s="1878"/>
      <c r="J32" s="1879"/>
      <c r="K32" s="1880"/>
      <c r="L32" s="49"/>
      <c r="M32" s="49"/>
      <c r="N32" s="49"/>
      <c r="O32" s="70">
        <f>+'Emission Factors'!J31</f>
        <v>0.26563604119443424</v>
      </c>
      <c r="P32" s="38">
        <f>(D32*O32)/1000</f>
        <v>0</v>
      </c>
      <c r="Q32" s="71">
        <f>+'Emission Factors'!J32</f>
        <v>0</v>
      </c>
      <c r="R32" s="38">
        <f>(D32*Q32)/1000</f>
        <v>0</v>
      </c>
      <c r="S32" s="49"/>
      <c r="T32" s="49"/>
      <c r="U32" s="72">
        <f>+O32</f>
        <v>0.26563604119443424</v>
      </c>
      <c r="V32" s="39">
        <f>IF(Performance!$L$2="y",P32,$G32*U32/1000)</f>
        <v>0</v>
      </c>
      <c r="W32" s="73">
        <f>+Q32</f>
        <v>0</v>
      </c>
      <c r="X32" s="39">
        <f>IF(Performance!$L$2="y",R32,$G32*W32/1000)</f>
        <v>0</v>
      </c>
      <c r="Y32" s="49"/>
      <c r="Z32" s="49"/>
    </row>
    <row r="33" spans="1:26" ht="15.75" customHeight="1" x14ac:dyDescent="0.3">
      <c r="A33" s="320" t="s">
        <v>370</v>
      </c>
      <c r="B33" s="1884"/>
      <c r="C33" s="37" t="s">
        <v>514</v>
      </c>
      <c r="D33" s="1420">
        <f>+'Q1-19'!D33+'Q2-19'!D33+'Q3-19'!D33+'Q4-19'!D33</f>
        <v>0</v>
      </c>
      <c r="E33" s="1420">
        <f>IF(D33=0,0,1000*F33/D33)</f>
        <v>0</v>
      </c>
      <c r="F33" s="349">
        <f>+'Q1-19'!F33+'Q2-19'!F33+'Q3-19'!F33+'Q4-19'!F33</f>
        <v>0</v>
      </c>
      <c r="G33" s="1048">
        <f>+'Q1-19'!G33+'Q2-19'!G33+'Q3-19'!G33+'Q4-19'!G33</f>
        <v>0</v>
      </c>
      <c r="H33" s="1171">
        <f>IF(Performance!$L$2="y",F33,E33*G33/1000)</f>
        <v>0</v>
      </c>
      <c r="I33" s="1878"/>
      <c r="J33" s="1879"/>
      <c r="K33" s="1880"/>
      <c r="L33" s="49"/>
      <c r="M33" s="49"/>
      <c r="N33" s="49"/>
      <c r="O33" s="49"/>
      <c r="P33" s="49"/>
      <c r="Q33" s="49"/>
      <c r="R33" s="49"/>
      <c r="S33" s="49"/>
      <c r="T33" s="49"/>
      <c r="U33" s="49"/>
      <c r="V33" s="49"/>
      <c r="W33" s="49"/>
      <c r="X33" s="49"/>
      <c r="Y33" s="49"/>
      <c r="Z33" s="49"/>
    </row>
    <row r="34" spans="1:26" ht="15.75" customHeight="1" x14ac:dyDescent="0.3">
      <c r="A34" s="320"/>
      <c r="B34" s="1884"/>
      <c r="C34" s="37" t="s">
        <v>515</v>
      </c>
      <c r="D34" s="1420">
        <f>+'Q1-19'!D34+'Q2-19'!D34+'Q3-19'!D34+'Q4-19'!D34</f>
        <v>0</v>
      </c>
      <c r="E34" s="1420">
        <f t="shared" ref="E34:E35" si="1">IF(D34=0,0,1000*F34/D34)</f>
        <v>0</v>
      </c>
      <c r="F34" s="349">
        <f>+'Q1-19'!F34+'Q2-19'!F34+'Q3-19'!F34+'Q4-19'!F34</f>
        <v>0</v>
      </c>
      <c r="G34" s="1048">
        <f>+'Q1-19'!G34+'Q2-19'!G34+'Q3-19'!G34+'Q4-19'!G34</f>
        <v>0</v>
      </c>
      <c r="H34" s="1171">
        <f>IF(Performance!$L$2="y",F34,E34*G34/1000)</f>
        <v>0</v>
      </c>
      <c r="I34" s="1878"/>
      <c r="J34" s="1879"/>
      <c r="K34" s="1880"/>
      <c r="L34" s="49"/>
      <c r="M34" s="49"/>
      <c r="N34" s="49"/>
      <c r="O34" s="49"/>
      <c r="P34" s="49"/>
      <c r="Q34" s="49"/>
      <c r="R34" s="49"/>
      <c r="S34" s="49"/>
      <c r="T34" s="49"/>
      <c r="U34" s="49"/>
      <c r="V34" s="49"/>
      <c r="W34" s="49"/>
      <c r="X34" s="49"/>
      <c r="Y34" s="49"/>
      <c r="Z34" s="49"/>
    </row>
    <row r="35" spans="1:26" ht="15.75" customHeight="1" thickBot="1" x14ac:dyDescent="0.35">
      <c r="A35" s="320"/>
      <c r="B35" s="1885"/>
      <c r="C35" s="649" t="s">
        <v>516</v>
      </c>
      <c r="D35" s="1420">
        <f>+'Q1-19'!D35+'Q2-19'!D35+'Q3-19'!D35+'Q4-19'!D35</f>
        <v>54754.869403927871</v>
      </c>
      <c r="E35" s="1420">
        <f t="shared" si="1"/>
        <v>0.24664999999999998</v>
      </c>
      <c r="F35" s="349">
        <f>+'Q1-19'!F35+'Q2-19'!F35+'Q3-19'!F35+'Q4-19'!F35</f>
        <v>13.505288538478808</v>
      </c>
      <c r="G35" s="1048">
        <f>+'Q1-19'!G35+'Q2-19'!G35+'Q3-19'!G35+'Q4-19'!G35</f>
        <v>0</v>
      </c>
      <c r="H35" s="1171">
        <f>IF(Performance!$L$2="y",F35,E35*G35/1000)</f>
        <v>0</v>
      </c>
      <c r="I35" s="1878"/>
      <c r="J35" s="1879"/>
      <c r="K35" s="1880"/>
      <c r="L35" s="49"/>
      <c r="M35" s="49"/>
      <c r="N35" s="49"/>
      <c r="O35" s="49"/>
      <c r="P35" s="49"/>
      <c r="Q35" s="49"/>
      <c r="R35" s="49"/>
      <c r="S35" s="49"/>
      <c r="T35" s="49"/>
      <c r="U35" s="49"/>
      <c r="V35" s="49"/>
      <c r="W35" s="49"/>
      <c r="X35" s="49"/>
      <c r="Y35" s="49"/>
      <c r="Z35" s="49"/>
    </row>
    <row r="36" spans="1:26" ht="15" customHeight="1" x14ac:dyDescent="0.3">
      <c r="A36" s="320" t="s">
        <v>370</v>
      </c>
      <c r="B36" s="1883" t="s">
        <v>53</v>
      </c>
      <c r="C36" s="184" t="s">
        <v>54</v>
      </c>
      <c r="D36" s="350">
        <f>+'Q1-19'!D36+'Q2-19'!D36+'Q3-19'!D36+'Q4-19'!D36</f>
        <v>30146</v>
      </c>
      <c r="E36" s="151">
        <f>+'Emission Factors'!J21</f>
        <v>0</v>
      </c>
      <c r="F36" s="356">
        <f t="shared" si="0"/>
        <v>0</v>
      </c>
      <c r="G36" s="350">
        <f>+'Q1-19'!G36+'Q2-19'!G36+'Q3-19'!G36+'Q4-19'!G36</f>
        <v>0</v>
      </c>
      <c r="H36" s="561">
        <f>IF(Performance!$L$2="y",F36,E36*G36/1000)</f>
        <v>0</v>
      </c>
      <c r="I36" s="1886"/>
      <c r="J36" s="1887"/>
      <c r="K36" s="1888"/>
      <c r="L36" s="49"/>
      <c r="M36" s="49"/>
      <c r="N36" s="49"/>
      <c r="O36" s="49"/>
      <c r="P36" s="49"/>
      <c r="Q36" s="49"/>
      <c r="R36" s="49"/>
      <c r="S36" s="49"/>
      <c r="T36" s="49"/>
      <c r="U36" s="49"/>
      <c r="V36" s="49"/>
      <c r="W36" s="49"/>
      <c r="X36" s="49"/>
      <c r="Y36" s="49"/>
      <c r="Z36" s="49"/>
    </row>
    <row r="37" spans="1:26" ht="15" customHeight="1" x14ac:dyDescent="0.3">
      <c r="A37" s="320" t="s">
        <v>370</v>
      </c>
      <c r="B37" s="1884"/>
      <c r="C37" s="37" t="s">
        <v>55</v>
      </c>
      <c r="D37" s="348">
        <f>+'Q1-19'!D37+'Q2-19'!D37+'Q3-19'!D37+'Q4-19'!D37</f>
        <v>0</v>
      </c>
      <c r="E37" s="69">
        <f>+'Emission Factors'!J22</f>
        <v>0</v>
      </c>
      <c r="F37" s="85">
        <f t="shared" si="0"/>
        <v>0</v>
      </c>
      <c r="G37" s="348">
        <f>+'Q1-19'!G37+'Q2-19'!G37+'Q3-19'!G37+'Q4-19'!G37</f>
        <v>0</v>
      </c>
      <c r="H37" s="1171">
        <f>IF(Performance!$L$2="y",F37,E37*G37/1000)</f>
        <v>0</v>
      </c>
      <c r="I37" s="1878"/>
      <c r="J37" s="1879"/>
      <c r="K37" s="1880"/>
      <c r="L37" s="49"/>
      <c r="M37" s="49"/>
      <c r="N37" s="49"/>
      <c r="O37" s="49"/>
      <c r="P37" s="49"/>
      <c r="Q37" s="49"/>
      <c r="R37" s="49"/>
      <c r="S37" s="49"/>
      <c r="T37" s="49"/>
      <c r="U37" s="49"/>
      <c r="V37" s="49"/>
      <c r="W37" s="49"/>
      <c r="X37" s="49"/>
      <c r="Y37" s="49"/>
      <c r="Z37" s="49"/>
    </row>
    <row r="38" spans="1:26" ht="15" customHeight="1" x14ac:dyDescent="0.3">
      <c r="A38" s="320" t="s">
        <v>370</v>
      </c>
      <c r="B38" s="1884"/>
      <c r="C38" s="37" t="s">
        <v>56</v>
      </c>
      <c r="D38" s="348">
        <f>+'Q1-19'!D38+'Q2-19'!D38+'Q3-19'!D38+'Q4-19'!D38</f>
        <v>0</v>
      </c>
      <c r="E38" s="69">
        <f>+'Emission Factors'!J23</f>
        <v>0</v>
      </c>
      <c r="F38" s="85">
        <f t="shared" si="0"/>
        <v>0</v>
      </c>
      <c r="G38" s="348">
        <f>+'Q1-19'!G38+'Q2-19'!G38+'Q3-19'!G38+'Q4-19'!G38</f>
        <v>0</v>
      </c>
      <c r="H38" s="1171">
        <f>IF(Performance!$L$2="y",F38,E38*G38/1000)</f>
        <v>0</v>
      </c>
      <c r="I38" s="1878"/>
      <c r="J38" s="1879"/>
      <c r="K38" s="1880"/>
      <c r="L38" s="49"/>
      <c r="M38" s="49"/>
      <c r="N38" s="49"/>
      <c r="O38" s="49"/>
      <c r="P38" s="49"/>
      <c r="Q38" s="49"/>
      <c r="R38" s="49"/>
      <c r="S38" s="49"/>
      <c r="T38" s="49"/>
      <c r="U38" s="49"/>
      <c r="V38" s="49"/>
      <c r="W38" s="49"/>
      <c r="X38" s="49"/>
      <c r="Y38" s="49"/>
      <c r="Z38" s="49"/>
    </row>
    <row r="39" spans="1:26" ht="15" customHeight="1" x14ac:dyDescent="0.3">
      <c r="A39" s="320" t="s">
        <v>370</v>
      </c>
      <c r="B39" s="1884"/>
      <c r="C39" s="37" t="s">
        <v>410</v>
      </c>
      <c r="D39" s="348">
        <f>+'Q1-19'!D39+'Q2-19'!D39+'Q3-19'!D39+'Q4-19'!D39</f>
        <v>0</v>
      </c>
      <c r="E39" s="351">
        <f>IF(D39=0,0,1000*F39/D39)</f>
        <v>0</v>
      </c>
      <c r="F39" s="85">
        <f>+'Q1-19'!F39+'Q2-19'!F39+'Q3-19'!F39+'Q4-19'!F39</f>
        <v>0</v>
      </c>
      <c r="G39" s="348">
        <f>+'Q1-19'!G39+'Q2-19'!G39+'Q3-19'!G39+'Q4-19'!G39</f>
        <v>0</v>
      </c>
      <c r="H39" s="1171">
        <f>IF(Performance!$L$2="y",F39,E39*G39/1000)</f>
        <v>0</v>
      </c>
      <c r="I39" s="1878"/>
      <c r="J39" s="1879"/>
      <c r="K39" s="1880"/>
      <c r="L39" s="49"/>
      <c r="M39" s="49"/>
      <c r="N39" s="49"/>
      <c r="O39" s="49"/>
      <c r="P39" s="49"/>
      <c r="Q39" s="49"/>
      <c r="R39" s="49"/>
      <c r="S39" s="49"/>
      <c r="T39" s="49"/>
      <c r="U39" s="49"/>
      <c r="V39" s="49"/>
      <c r="W39" s="49"/>
      <c r="X39" s="49"/>
      <c r="Y39" s="49"/>
      <c r="Z39" s="49"/>
    </row>
    <row r="40" spans="1:26" ht="15" customHeight="1" x14ac:dyDescent="0.3">
      <c r="A40" s="320"/>
      <c r="B40" s="1884"/>
      <c r="C40" s="37" t="s">
        <v>411</v>
      </c>
      <c r="D40" s="348">
        <f>+'Q1-19'!D40+'Q2-19'!D40+'Q3-19'!D40+'Q4-19'!D40</f>
        <v>0</v>
      </c>
      <c r="E40" s="351">
        <f t="shared" ref="E40:E41" si="2">IF(D40=0,0,1000*F40/D40)</f>
        <v>0</v>
      </c>
      <c r="F40" s="85">
        <f>+'Q1-19'!F40+'Q2-19'!F40+'Q3-19'!F40+'Q4-19'!F40</f>
        <v>0</v>
      </c>
      <c r="G40" s="348">
        <f>+'Q1-19'!G40+'Q2-19'!G40+'Q3-19'!G40+'Q4-19'!G40</f>
        <v>0</v>
      </c>
      <c r="H40" s="1171">
        <f>IF(Performance!$L$2="y",F40,E40*G40/1000)</f>
        <v>0</v>
      </c>
      <c r="I40" s="1322"/>
      <c r="J40" s="1323"/>
      <c r="K40" s="1324"/>
      <c r="L40" s="49"/>
      <c r="M40" s="49"/>
      <c r="N40" s="49"/>
      <c r="O40" s="49"/>
      <c r="P40" s="49"/>
      <c r="Q40" s="49"/>
      <c r="R40" s="49"/>
      <c r="S40" s="49"/>
      <c r="T40" s="49"/>
      <c r="U40" s="49"/>
      <c r="V40" s="49"/>
      <c r="W40" s="49"/>
      <c r="X40" s="49"/>
      <c r="Y40" s="49"/>
      <c r="Z40" s="49"/>
    </row>
    <row r="41" spans="1:26" ht="15" customHeight="1" x14ac:dyDescent="0.3">
      <c r="A41" s="320"/>
      <c r="B41" s="1884"/>
      <c r="C41" s="37" t="s">
        <v>412</v>
      </c>
      <c r="D41" s="348">
        <f>+'Q1-19'!D41+'Q2-19'!D41+'Q3-19'!D41+'Q4-19'!D41</f>
        <v>0</v>
      </c>
      <c r="E41" s="351">
        <f t="shared" si="2"/>
        <v>0</v>
      </c>
      <c r="F41" s="85">
        <f>+'Q1-19'!F41+'Q2-19'!F41+'Q3-19'!F41+'Q4-19'!F41</f>
        <v>0</v>
      </c>
      <c r="G41" s="348">
        <f>+'Q1-19'!G41+'Q2-19'!G41+'Q3-19'!G41+'Q4-19'!G41</f>
        <v>0</v>
      </c>
      <c r="H41" s="1171">
        <f>IF(Performance!$L$2="y",F41,E41*G41/1000)</f>
        <v>0</v>
      </c>
      <c r="I41" s="1322"/>
      <c r="J41" s="1323"/>
      <c r="K41" s="1324"/>
      <c r="L41" s="49"/>
      <c r="M41" s="49"/>
      <c r="N41" s="49"/>
      <c r="O41" s="49"/>
      <c r="P41" s="49"/>
      <c r="Q41" s="49"/>
      <c r="R41" s="49"/>
      <c r="S41" s="49"/>
      <c r="T41" s="49"/>
      <c r="U41" s="49"/>
      <c r="V41" s="49"/>
      <c r="W41" s="49"/>
      <c r="X41" s="49"/>
      <c r="Y41" s="49"/>
      <c r="Z41" s="49"/>
    </row>
    <row r="42" spans="1:26" ht="15" customHeight="1" x14ac:dyDescent="0.3">
      <c r="A42" s="320" t="s">
        <v>370</v>
      </c>
      <c r="B42" s="1884"/>
      <c r="C42" s="357" t="s">
        <v>57</v>
      </c>
      <c r="D42" s="348">
        <f>+'Q1-19'!D42+'Q2-19'!D42+'Q3-19'!D42+'Q4-19'!D42</f>
        <v>0</v>
      </c>
      <c r="E42" s="69" t="str">
        <f t="shared" ref="E42:E47" si="3">IF(D42&gt;0,F42/D42*1000,"")</f>
        <v/>
      </c>
      <c r="F42" s="348">
        <f>+'Q1-19'!F42+'Q2-19'!F42+'Q3-19'!F42+'Q4-19'!F42</f>
        <v>0</v>
      </c>
      <c r="G42" s="348">
        <f>+'Q1-19'!G42+'Q2-19'!G42+'Q3-19'!G42+'Q4-19'!G42</f>
        <v>0</v>
      </c>
      <c r="H42" s="40">
        <f>+'Q1-19'!H42+'Q2-19'!H42+'Q3-19'!H42+'Q4-19'!H42</f>
        <v>0</v>
      </c>
      <c r="I42" s="1878"/>
      <c r="J42" s="1879"/>
      <c r="K42" s="1880"/>
      <c r="L42" s="49"/>
      <c r="M42" s="49"/>
      <c r="N42" s="49"/>
      <c r="O42" s="49"/>
      <c r="P42" s="49"/>
      <c r="Q42" s="49"/>
      <c r="R42" s="49"/>
      <c r="S42" s="49"/>
      <c r="T42" s="49"/>
      <c r="U42" s="49"/>
      <c r="V42" s="49"/>
      <c r="W42" s="49"/>
      <c r="X42" s="49"/>
      <c r="Y42" s="49"/>
      <c r="Z42" s="49"/>
    </row>
    <row r="43" spans="1:26" ht="15" customHeight="1" x14ac:dyDescent="0.3">
      <c r="A43" s="320" t="s">
        <v>370</v>
      </c>
      <c r="B43" s="1884"/>
      <c r="C43" s="357" t="s">
        <v>58</v>
      </c>
      <c r="D43" s="348">
        <f>+'Q1-19'!D43+'Q2-19'!D43+'Q3-19'!D43+'Q4-19'!D43</f>
        <v>0</v>
      </c>
      <c r="E43" s="69" t="str">
        <f t="shared" si="3"/>
        <v/>
      </c>
      <c r="F43" s="348">
        <f>+'Q1-19'!F43+'Q2-19'!F43+'Q3-19'!F43+'Q4-19'!F43</f>
        <v>0</v>
      </c>
      <c r="G43" s="348">
        <f>+'Q1-19'!G43+'Q2-19'!G43+'Q3-19'!G43+'Q4-19'!G43</f>
        <v>0</v>
      </c>
      <c r="H43" s="40">
        <f>+'Q1-19'!H43+'Q2-19'!H43+'Q3-19'!H43+'Q4-19'!H43</f>
        <v>0</v>
      </c>
      <c r="I43" s="1878"/>
      <c r="J43" s="1879"/>
      <c r="K43" s="1880"/>
      <c r="L43" s="49"/>
      <c r="M43" s="49"/>
      <c r="N43" s="49"/>
      <c r="O43" s="49"/>
      <c r="P43" s="49"/>
      <c r="Q43" s="49"/>
      <c r="R43" s="49"/>
      <c r="S43" s="49"/>
      <c r="T43" s="49"/>
      <c r="U43" s="49"/>
      <c r="V43" s="49"/>
      <c r="W43" s="49"/>
      <c r="X43" s="49"/>
      <c r="Y43" s="49"/>
      <c r="Z43" s="49"/>
    </row>
    <row r="44" spans="1:26" ht="15" customHeight="1" x14ac:dyDescent="0.3">
      <c r="A44" s="320" t="s">
        <v>370</v>
      </c>
      <c r="B44" s="1884"/>
      <c r="C44" s="357" t="s">
        <v>59</v>
      </c>
      <c r="D44" s="348">
        <f>+'Q1-19'!D44+'Q2-19'!D44+'Q3-19'!D44+'Q4-19'!D44</f>
        <v>0</v>
      </c>
      <c r="E44" s="69" t="str">
        <f t="shared" si="3"/>
        <v/>
      </c>
      <c r="F44" s="348">
        <f>+'Q1-19'!F44+'Q2-19'!F44+'Q3-19'!F44+'Q4-19'!F44</f>
        <v>0</v>
      </c>
      <c r="G44" s="348">
        <f>+'Q1-19'!G44+'Q2-19'!G44+'Q3-19'!G44+'Q4-19'!G44</f>
        <v>0</v>
      </c>
      <c r="H44" s="40">
        <f>+'Q1-19'!H44+'Q2-19'!H44+'Q3-19'!H44+'Q4-19'!H44</f>
        <v>0</v>
      </c>
      <c r="I44" s="1878"/>
      <c r="J44" s="1879"/>
      <c r="K44" s="1880"/>
      <c r="L44" s="49"/>
      <c r="M44" s="49"/>
      <c r="N44" s="49"/>
      <c r="O44" s="49"/>
      <c r="P44" s="49"/>
      <c r="Q44" s="49"/>
      <c r="R44" s="49"/>
      <c r="S44" s="49"/>
      <c r="T44" s="49"/>
      <c r="U44" s="49"/>
      <c r="V44" s="49"/>
      <c r="W44" s="49"/>
      <c r="X44" s="49"/>
      <c r="Y44" s="49"/>
      <c r="Z44" s="49"/>
    </row>
    <row r="45" spans="1:26" ht="15" customHeight="1" x14ac:dyDescent="0.3">
      <c r="A45" s="320" t="s">
        <v>370</v>
      </c>
      <c r="B45" s="1884"/>
      <c r="C45" s="357" t="s">
        <v>60</v>
      </c>
      <c r="D45" s="348">
        <f>+'Q1-19'!D45+'Q2-19'!D45+'Q3-19'!D45+'Q4-19'!D45</f>
        <v>0</v>
      </c>
      <c r="E45" s="69" t="str">
        <f t="shared" si="3"/>
        <v/>
      </c>
      <c r="F45" s="348">
        <f>+'Q1-19'!F45+'Q2-19'!F45+'Q3-19'!F45+'Q4-19'!F45</f>
        <v>0</v>
      </c>
      <c r="G45" s="348">
        <f>+'Q1-19'!G45+'Q2-19'!G45+'Q3-19'!G45+'Q4-19'!G45</f>
        <v>0</v>
      </c>
      <c r="H45" s="40">
        <f>+'Q1-19'!H45+'Q2-19'!H45+'Q3-19'!H45+'Q4-19'!H45</f>
        <v>0</v>
      </c>
      <c r="I45" s="1878"/>
      <c r="J45" s="1879"/>
      <c r="K45" s="1880"/>
      <c r="L45" s="49"/>
      <c r="M45" s="49"/>
      <c r="N45" s="49"/>
      <c r="O45" s="49"/>
      <c r="P45" s="49"/>
      <c r="Q45" s="49"/>
      <c r="R45" s="49"/>
      <c r="S45" s="49"/>
      <c r="T45" s="49"/>
      <c r="U45" s="49"/>
      <c r="V45" s="49"/>
      <c r="W45" s="49"/>
      <c r="X45" s="49"/>
      <c r="Y45" s="49"/>
      <c r="Z45" s="49"/>
    </row>
    <row r="46" spans="1:26" ht="15" customHeight="1" x14ac:dyDescent="0.3">
      <c r="A46" s="320" t="s">
        <v>370</v>
      </c>
      <c r="B46" s="1884"/>
      <c r="C46" s="357" t="s">
        <v>61</v>
      </c>
      <c r="D46" s="348">
        <f>+'Q1-19'!D46+'Q2-19'!D46+'Q3-19'!D46+'Q4-19'!D46</f>
        <v>0</v>
      </c>
      <c r="E46" s="69" t="str">
        <f t="shared" si="3"/>
        <v/>
      </c>
      <c r="F46" s="348">
        <f>+'Q1-19'!F46+'Q2-19'!F46+'Q3-19'!F46+'Q4-19'!F46</f>
        <v>0</v>
      </c>
      <c r="G46" s="348">
        <f>+'Q1-19'!G46+'Q2-19'!G46+'Q3-19'!G46+'Q4-19'!G46</f>
        <v>0</v>
      </c>
      <c r="H46" s="40">
        <f>+'Q1-19'!H46+'Q2-19'!H46+'Q3-19'!H46+'Q4-19'!H46</f>
        <v>0</v>
      </c>
      <c r="I46" s="1878"/>
      <c r="J46" s="1879"/>
      <c r="K46" s="1880"/>
      <c r="L46" s="49"/>
      <c r="M46" s="49"/>
      <c r="N46" s="49"/>
      <c r="O46" s="49"/>
      <c r="P46" s="49"/>
      <c r="Q46" s="49"/>
      <c r="R46" s="49"/>
      <c r="S46" s="49"/>
      <c r="T46" s="49"/>
      <c r="U46" s="49"/>
      <c r="V46" s="49"/>
      <c r="W46" s="49"/>
      <c r="X46" s="49"/>
      <c r="Y46" s="49"/>
      <c r="Z46" s="49"/>
    </row>
    <row r="47" spans="1:26" ht="15.75" customHeight="1" thickBot="1" x14ac:dyDescent="0.35">
      <c r="A47" s="320" t="s">
        <v>370</v>
      </c>
      <c r="B47" s="1885"/>
      <c r="C47" s="358" t="s">
        <v>62</v>
      </c>
      <c r="D47" s="354">
        <f>+'Q1-19'!D47+'Q2-19'!D47+'Q3-19'!D47+'Q4-19'!D47</f>
        <v>0</v>
      </c>
      <c r="E47" s="172" t="str">
        <f t="shared" si="3"/>
        <v/>
      </c>
      <c r="F47" s="354">
        <f>+'Q1-19'!F47+'Q2-19'!F47+'Q3-19'!F47+'Q4-19'!F47</f>
        <v>0</v>
      </c>
      <c r="G47" s="354">
        <f>+'Q1-19'!G47+'Q2-19'!G47+'Q3-19'!G47+'Q4-19'!G47</f>
        <v>0</v>
      </c>
      <c r="H47" s="190">
        <f>+'Q1-19'!H47+'Q2-19'!H47+'Q3-19'!H47+'Q4-19'!H47</f>
        <v>0</v>
      </c>
      <c r="I47" s="1895"/>
      <c r="J47" s="1896"/>
      <c r="K47" s="1897"/>
      <c r="L47" s="49"/>
      <c r="M47" s="49"/>
      <c r="N47" s="49"/>
      <c r="O47" s="49"/>
      <c r="P47" s="49"/>
      <c r="Q47" s="49"/>
      <c r="R47" s="49"/>
      <c r="S47" s="49"/>
      <c r="T47" s="49"/>
      <c r="U47" s="49"/>
      <c r="V47" s="49"/>
      <c r="W47" s="49"/>
      <c r="X47" s="49"/>
      <c r="Y47" s="49"/>
      <c r="Z47" s="49"/>
    </row>
    <row r="48" spans="1:26" x14ac:dyDescent="0.3">
      <c r="A48" s="320"/>
      <c r="B48" s="49" t="s">
        <v>63</v>
      </c>
      <c r="C48" s="337"/>
      <c r="D48" s="337"/>
      <c r="E48" s="337"/>
      <c r="F48" s="337"/>
      <c r="G48" s="337"/>
      <c r="H48" s="337"/>
      <c r="I48" s="337"/>
      <c r="J48" s="337"/>
      <c r="K48" s="337"/>
      <c r="L48" s="49"/>
      <c r="M48" s="49"/>
      <c r="N48" s="49"/>
      <c r="O48" s="49"/>
      <c r="P48" s="49"/>
      <c r="Q48" s="49"/>
      <c r="R48" s="49"/>
      <c r="S48" s="49"/>
      <c r="T48" s="49"/>
      <c r="U48" s="49"/>
      <c r="V48" s="49"/>
      <c r="W48" s="49"/>
      <c r="X48" s="49"/>
      <c r="Y48" s="49"/>
      <c r="Z48" s="49"/>
    </row>
    <row r="49" spans="1:26" s="594" customFormat="1" ht="23.4" x14ac:dyDescent="0.3">
      <c r="A49" s="331" t="s">
        <v>506</v>
      </c>
      <c r="B49" s="332" t="s">
        <v>65</v>
      </c>
      <c r="C49" s="333"/>
      <c r="D49" s="1848" t="str">
        <f>+$A$1</f>
        <v>Annual - 2018-2019</v>
      </c>
      <c r="E49" s="1848"/>
      <c r="F49" s="1848"/>
      <c r="G49" s="1848"/>
      <c r="H49" s="1848"/>
      <c r="I49" s="1848"/>
      <c r="J49" s="1848"/>
      <c r="K49" s="334"/>
      <c r="L49" s="334"/>
      <c r="M49" s="334"/>
      <c r="N49" s="334"/>
      <c r="O49" s="334"/>
      <c r="P49" s="334"/>
      <c r="Q49" s="334"/>
      <c r="R49" s="334"/>
      <c r="S49" s="334"/>
      <c r="T49" s="334"/>
      <c r="U49" s="334"/>
      <c r="V49" s="334"/>
      <c r="W49" s="334"/>
      <c r="X49" s="334"/>
      <c r="Y49" s="335"/>
      <c r="Z49" s="335"/>
    </row>
    <row r="50" spans="1:26" ht="14.4" thickBot="1" x14ac:dyDescent="0.35">
      <c r="A50" s="320"/>
      <c r="B50" s="43" t="s">
        <v>66</v>
      </c>
      <c r="C50" s="359"/>
      <c r="D50" s="337"/>
      <c r="E50" s="337"/>
      <c r="F50" s="337"/>
      <c r="G50" s="337"/>
      <c r="H50" s="337"/>
      <c r="I50" s="337"/>
      <c r="J50" s="337"/>
      <c r="K50" s="337"/>
      <c r="L50" s="49"/>
      <c r="M50" s="49"/>
      <c r="N50" s="49"/>
      <c r="O50" s="49"/>
      <c r="P50" s="49"/>
      <c r="Q50" s="49"/>
      <c r="R50" s="49"/>
      <c r="S50" s="49"/>
      <c r="T50" s="49"/>
      <c r="U50" s="49"/>
      <c r="V50" s="49"/>
      <c r="W50" s="49"/>
      <c r="X50" s="49"/>
      <c r="Y50" s="49"/>
      <c r="Z50" s="49"/>
    </row>
    <row r="51" spans="1:26" ht="30" customHeight="1" thickBot="1" x14ac:dyDescent="0.35">
      <c r="A51" s="320"/>
      <c r="B51" s="49"/>
      <c r="C51" s="49"/>
      <c r="D51" s="1898" t="s">
        <v>23</v>
      </c>
      <c r="E51" s="1899"/>
      <c r="F51" s="1900"/>
      <c r="G51" s="1901" t="s">
        <v>144</v>
      </c>
      <c r="H51" s="1902"/>
      <c r="I51" s="1903" t="s">
        <v>24</v>
      </c>
      <c r="J51" s="1904"/>
      <c r="K51" s="1905"/>
      <c r="L51" s="49"/>
      <c r="M51" s="49"/>
      <c r="N51" s="49"/>
      <c r="O51" s="49"/>
      <c r="P51" s="49"/>
      <c r="Q51" s="49"/>
      <c r="R51" s="49"/>
      <c r="S51" s="49"/>
      <c r="T51" s="49"/>
      <c r="U51" s="49"/>
      <c r="V51" s="49"/>
      <c r="W51" s="49"/>
      <c r="X51" s="49"/>
      <c r="Y51" s="49"/>
      <c r="Z51" s="49"/>
    </row>
    <row r="52" spans="1:26" ht="39" customHeight="1" thickBot="1" x14ac:dyDescent="0.35">
      <c r="A52" s="320"/>
      <c r="B52" s="360"/>
      <c r="C52" s="359"/>
      <c r="D52" s="51" t="s">
        <v>67</v>
      </c>
      <c r="E52" s="41" t="s">
        <v>68</v>
      </c>
      <c r="F52" s="361" t="s">
        <v>28</v>
      </c>
      <c r="G52" s="433" t="s">
        <v>67</v>
      </c>
      <c r="H52" s="433" t="s">
        <v>28</v>
      </c>
      <c r="I52" s="1906"/>
      <c r="J52" s="1907"/>
      <c r="K52" s="1908"/>
      <c r="L52" s="49"/>
      <c r="M52" s="49"/>
      <c r="N52" s="49"/>
      <c r="O52" s="49"/>
      <c r="P52" s="49"/>
      <c r="Q52" s="49"/>
      <c r="R52" s="49"/>
      <c r="S52" s="49"/>
      <c r="T52" s="49"/>
      <c r="U52" s="49"/>
      <c r="V52" s="49"/>
      <c r="W52" s="49"/>
      <c r="X52" s="49"/>
      <c r="Y52" s="49"/>
      <c r="Z52" s="49"/>
    </row>
    <row r="53" spans="1:26" ht="13.5" customHeight="1" thickBot="1" x14ac:dyDescent="0.35">
      <c r="A53" s="320" t="s">
        <v>370</v>
      </c>
      <c r="B53" s="1924" t="s">
        <v>69</v>
      </c>
      <c r="C53" s="1925"/>
      <c r="D53" s="363">
        <f>+'Q1-19'!D53+'Q2-19'!D53+'Q3-19'!D53+'Q4-19'!D53</f>
        <v>0</v>
      </c>
      <c r="E53" s="1173"/>
      <c r="F53" s="42">
        <f>D53/1000</f>
        <v>0</v>
      </c>
      <c r="G53" s="461">
        <f>+'Q1-19'!G53+'Q2-19'!G53+'Q3-19'!G53+'Q4-19'!G53</f>
        <v>728049.589172362</v>
      </c>
      <c r="H53" s="651">
        <f>IF(Performance!L2="y",F53,G53/1000)</f>
        <v>728.04958917236195</v>
      </c>
      <c r="I53" s="1926"/>
      <c r="J53" s="1927"/>
      <c r="K53" s="1928"/>
      <c r="L53" s="49"/>
      <c r="M53" s="49"/>
      <c r="N53" s="49"/>
      <c r="O53" s="49"/>
      <c r="P53" s="49"/>
      <c r="Q53" s="49"/>
      <c r="R53" s="49"/>
      <c r="S53" s="49"/>
      <c r="T53" s="49"/>
      <c r="U53" s="49"/>
      <c r="V53" s="49"/>
      <c r="W53" s="49"/>
      <c r="X53" s="49"/>
      <c r="Y53" s="49"/>
      <c r="Z53" s="49"/>
    </row>
    <row r="54" spans="1:26" x14ac:dyDescent="0.3">
      <c r="A54" s="365"/>
      <c r="B54" s="337"/>
      <c r="C54" s="337"/>
      <c r="D54" s="337"/>
      <c r="E54" s="337"/>
      <c r="F54" s="366"/>
      <c r="G54" s="337"/>
      <c r="H54" s="337"/>
      <c r="I54" s="337"/>
      <c r="J54" s="337"/>
      <c r="K54" s="337"/>
      <c r="L54" s="49"/>
      <c r="M54" s="49"/>
      <c r="N54" s="49"/>
      <c r="O54" s="49"/>
      <c r="P54" s="49"/>
      <c r="Q54" s="49"/>
      <c r="R54" s="49"/>
      <c r="S54" s="49"/>
      <c r="T54" s="49"/>
      <c r="U54" s="49"/>
      <c r="V54" s="49"/>
      <c r="W54" s="49"/>
      <c r="X54" s="49"/>
      <c r="Y54" s="49"/>
      <c r="Z54" s="49"/>
    </row>
    <row r="55" spans="1:26" s="594" customFormat="1" ht="23.4" x14ac:dyDescent="0.3">
      <c r="A55" s="331" t="s">
        <v>507</v>
      </c>
      <c r="B55" s="332" t="s">
        <v>71</v>
      </c>
      <c r="C55" s="333"/>
      <c r="D55" s="1848" t="str">
        <f>+$A$1</f>
        <v>Annual - 2018-2019</v>
      </c>
      <c r="E55" s="1848"/>
      <c r="F55" s="1848"/>
      <c r="G55" s="1848"/>
      <c r="H55" s="1848"/>
      <c r="I55" s="1848"/>
      <c r="J55" s="1848"/>
      <c r="K55" s="334"/>
      <c r="L55" s="334"/>
      <c r="M55" s="334"/>
      <c r="N55" s="334"/>
      <c r="O55" s="334"/>
      <c r="P55" s="334"/>
      <c r="Q55" s="334"/>
      <c r="R55" s="334"/>
      <c r="S55" s="334"/>
      <c r="T55" s="334"/>
      <c r="U55" s="334"/>
      <c r="V55" s="334"/>
      <c r="W55" s="334"/>
      <c r="X55" s="334"/>
      <c r="Y55" s="335"/>
      <c r="Z55" s="335"/>
    </row>
    <row r="56" spans="1:26" x14ac:dyDescent="0.3">
      <c r="A56" s="320"/>
      <c r="B56" s="43" t="s">
        <v>72</v>
      </c>
      <c r="C56" s="359"/>
      <c r="D56" s="337"/>
      <c r="E56" s="337"/>
      <c r="F56" s="337"/>
      <c r="G56" s="337"/>
      <c r="H56" s="337"/>
      <c r="I56" s="337"/>
      <c r="J56" s="337"/>
      <c r="K56" s="337"/>
      <c r="L56" s="49"/>
      <c r="M56" s="49"/>
      <c r="N56" s="49"/>
      <c r="O56" s="49"/>
      <c r="P56" s="49"/>
      <c r="Q56" s="49"/>
      <c r="R56" s="49"/>
      <c r="S56" s="49"/>
      <c r="T56" s="49"/>
      <c r="U56" s="49"/>
      <c r="V56" s="49"/>
      <c r="W56" s="49"/>
      <c r="X56" s="49"/>
      <c r="Y56" s="49"/>
      <c r="Z56" s="49"/>
    </row>
    <row r="57" spans="1:26" x14ac:dyDescent="0.3">
      <c r="A57" s="320"/>
      <c r="B57" s="43" t="s">
        <v>73</v>
      </c>
      <c r="C57" s="359"/>
      <c r="D57" s="337"/>
      <c r="E57" s="337"/>
      <c r="F57" s="337"/>
      <c r="G57" s="337"/>
      <c r="H57" s="337"/>
      <c r="I57" s="337"/>
      <c r="J57" s="337"/>
      <c r="K57" s="337"/>
      <c r="L57" s="49"/>
      <c r="M57" s="49"/>
      <c r="N57" s="49"/>
      <c r="O57" s="49"/>
      <c r="P57" s="49"/>
      <c r="Q57" s="49"/>
      <c r="R57" s="49"/>
      <c r="S57" s="49"/>
      <c r="T57" s="49"/>
      <c r="U57" s="49"/>
      <c r="V57" s="49"/>
      <c r="W57" s="49"/>
      <c r="X57" s="49"/>
      <c r="Y57" s="49"/>
      <c r="Z57" s="49"/>
    </row>
    <row r="58" spans="1:26" x14ac:dyDescent="0.3">
      <c r="A58" s="320"/>
      <c r="B58" s="43" t="s">
        <v>528</v>
      </c>
      <c r="C58" s="359"/>
      <c r="D58" s="337"/>
      <c r="E58" s="337"/>
      <c r="F58" s="337"/>
      <c r="G58" s="337"/>
      <c r="H58" s="337"/>
      <c r="I58" s="337"/>
      <c r="J58" s="337"/>
      <c r="K58" s="337"/>
      <c r="L58" s="49"/>
      <c r="M58" s="49"/>
      <c r="N58" s="49"/>
      <c r="O58" s="49"/>
      <c r="P58" s="49"/>
      <c r="Q58" s="49"/>
      <c r="R58" s="49"/>
      <c r="S58" s="49"/>
      <c r="T58" s="49"/>
      <c r="U58" s="49"/>
      <c r="V58" s="49"/>
      <c r="W58" s="49"/>
      <c r="X58" s="49"/>
      <c r="Y58" s="49"/>
      <c r="Z58" s="49"/>
    </row>
    <row r="59" spans="1:26" x14ac:dyDescent="0.3">
      <c r="A59" s="320"/>
      <c r="B59" s="43" t="s">
        <v>76</v>
      </c>
      <c r="C59" s="359"/>
      <c r="D59" s="337"/>
      <c r="E59" s="337"/>
      <c r="F59" s="337"/>
      <c r="G59" s="337"/>
      <c r="H59" s="337"/>
      <c r="I59" s="337"/>
      <c r="J59" s="337"/>
      <c r="K59" s="337"/>
      <c r="L59" s="49"/>
      <c r="M59" s="49"/>
      <c r="N59" s="49"/>
      <c r="O59" s="49"/>
      <c r="P59" s="49"/>
      <c r="Q59" s="49"/>
      <c r="R59" s="49"/>
      <c r="S59" s="49"/>
      <c r="T59" s="49"/>
      <c r="U59" s="49"/>
      <c r="V59" s="49"/>
      <c r="W59" s="49"/>
      <c r="X59" s="49"/>
      <c r="Y59" s="49"/>
      <c r="Z59" s="49"/>
    </row>
    <row r="60" spans="1:26" ht="13.5" customHeight="1" x14ac:dyDescent="0.3">
      <c r="A60" s="320"/>
      <c r="B60" s="143" t="s">
        <v>363</v>
      </c>
      <c r="C60" s="359"/>
      <c r="D60" s="337"/>
      <c r="E60" s="337"/>
      <c r="F60" s="337"/>
      <c r="G60" s="337"/>
      <c r="H60" s="337"/>
      <c r="I60" s="337"/>
      <c r="J60" s="337"/>
      <c r="K60" s="337"/>
      <c r="L60" s="49"/>
      <c r="M60" s="49"/>
      <c r="N60" s="49"/>
      <c r="O60" s="49"/>
      <c r="P60" s="49"/>
      <c r="Q60" s="49"/>
      <c r="R60" s="49"/>
      <c r="S60" s="49"/>
      <c r="T60" s="49"/>
      <c r="U60" s="49"/>
      <c r="V60" s="49"/>
      <c r="W60" s="49"/>
      <c r="X60" s="49"/>
      <c r="Y60" s="49"/>
      <c r="Z60" s="49"/>
    </row>
    <row r="61" spans="1:26" ht="15.75" customHeight="1" thickBot="1" x14ac:dyDescent="0.35">
      <c r="A61" s="320" t="s">
        <v>370</v>
      </c>
      <c r="B61" s="43"/>
      <c r="C61" s="359"/>
      <c r="D61" s="337"/>
      <c r="E61" s="337"/>
      <c r="F61" s="367"/>
      <c r="G61" s="337"/>
      <c r="H61" s="337"/>
      <c r="I61" s="337"/>
      <c r="J61" s="337"/>
      <c r="K61" s="49"/>
      <c r="L61" s="49"/>
      <c r="M61" s="49"/>
      <c r="N61" s="49"/>
      <c r="O61" s="49"/>
      <c r="P61" s="49"/>
      <c r="Q61" s="49"/>
      <c r="R61" s="49"/>
      <c r="S61" s="49"/>
      <c r="T61" s="49"/>
      <c r="U61" s="49"/>
      <c r="V61" s="49"/>
      <c r="W61" s="49"/>
      <c r="X61" s="49"/>
      <c r="Y61" s="49"/>
      <c r="Z61" s="49"/>
    </row>
    <row r="62" spans="1:26" ht="26.25" customHeight="1" thickBot="1" x14ac:dyDescent="0.35">
      <c r="A62" s="320"/>
      <c r="B62" s="1929" t="s">
        <v>79</v>
      </c>
      <c r="C62" s="1930"/>
      <c r="D62" s="1933" t="s">
        <v>23</v>
      </c>
      <c r="E62" s="1934"/>
      <c r="F62" s="1935"/>
      <c r="G62" s="148"/>
      <c r="H62" s="148"/>
      <c r="I62" s="1849" t="s">
        <v>24</v>
      </c>
      <c r="J62" s="1850"/>
      <c r="K62" s="1851"/>
      <c r="L62" s="49"/>
      <c r="M62" s="49"/>
      <c r="N62" s="49"/>
      <c r="O62" s="49"/>
      <c r="P62" s="49"/>
      <c r="Q62" s="49"/>
      <c r="R62" s="49"/>
      <c r="S62" s="49"/>
      <c r="T62" s="49"/>
      <c r="U62" s="49"/>
      <c r="V62" s="49"/>
      <c r="W62" s="49"/>
      <c r="X62" s="49"/>
      <c r="Y62" s="49"/>
      <c r="Z62" s="49"/>
    </row>
    <row r="63" spans="1:26" ht="15.75" customHeight="1" thickBot="1" x14ac:dyDescent="0.35">
      <c r="A63" s="320"/>
      <c r="B63" s="1931"/>
      <c r="C63" s="1932"/>
      <c r="D63" s="368" t="s">
        <v>81</v>
      </c>
      <c r="E63" s="369" t="s">
        <v>27</v>
      </c>
      <c r="F63" s="370" t="s">
        <v>28</v>
      </c>
      <c r="G63" s="148"/>
      <c r="H63" s="148"/>
      <c r="I63" s="1852"/>
      <c r="J63" s="1853"/>
      <c r="K63" s="1854"/>
      <c r="L63" s="49"/>
      <c r="M63" s="49"/>
      <c r="N63" s="49"/>
      <c r="O63" s="49"/>
      <c r="P63" s="49"/>
      <c r="Q63" s="49"/>
      <c r="R63" s="49"/>
      <c r="S63" s="49"/>
      <c r="T63" s="49"/>
      <c r="U63" s="49"/>
      <c r="V63" s="49"/>
      <c r="W63" s="49"/>
      <c r="X63" s="49"/>
      <c r="Y63" s="49"/>
      <c r="Z63" s="49"/>
    </row>
    <row r="64" spans="1:26" ht="31.5" customHeight="1" thickBot="1" x14ac:dyDescent="0.35">
      <c r="A64" s="320"/>
      <c r="B64" s="1955" t="s">
        <v>75</v>
      </c>
      <c r="C64" s="1956"/>
      <c r="D64" s="44">
        <f>SUM(D65:D83)</f>
        <v>18302892.45567476</v>
      </c>
      <c r="E64" s="1107"/>
      <c r="F64" s="171">
        <f>SUM(F65:F83)</f>
        <v>10284.821425109141</v>
      </c>
      <c r="G64" s="148"/>
      <c r="H64" s="148"/>
      <c r="I64" s="1957"/>
      <c r="J64" s="1958"/>
      <c r="K64" s="1959"/>
      <c r="L64" s="49"/>
      <c r="M64" s="49"/>
      <c r="N64" s="49"/>
      <c r="O64" s="1960" t="s">
        <v>75</v>
      </c>
      <c r="P64" s="1961"/>
      <c r="Q64" s="1961"/>
      <c r="R64" s="1961"/>
      <c r="S64" s="1961"/>
      <c r="T64" s="1961"/>
      <c r="U64" s="1961"/>
      <c r="V64" s="1961"/>
      <c r="W64" s="1962"/>
      <c r="X64" s="1963" t="s">
        <v>381</v>
      </c>
      <c r="Y64" s="1964"/>
      <c r="Z64" s="1909" t="s">
        <v>461</v>
      </c>
    </row>
    <row r="65" spans="1:26" ht="15" customHeight="1" x14ac:dyDescent="0.3">
      <c r="A65" s="320" t="s">
        <v>370</v>
      </c>
      <c r="B65" s="1912" t="s">
        <v>84</v>
      </c>
      <c r="C65" s="46" t="s">
        <v>85</v>
      </c>
      <c r="D65" s="1420">
        <f>+'Q1-19'!D65+'Q2-19'!D65+'Q3-19'!D65+'Q4-19'!D65</f>
        <v>44753</v>
      </c>
      <c r="E65" s="382">
        <f>+'Emission Factors'!J48</f>
        <v>0.15565000000000001</v>
      </c>
      <c r="F65" s="356">
        <f>(D65*E65)/1000</f>
        <v>6.9658044500000003</v>
      </c>
      <c r="G65" s="148"/>
      <c r="H65" s="148"/>
      <c r="I65" s="1915"/>
      <c r="J65" s="1916"/>
      <c r="K65" s="1917"/>
      <c r="L65" s="49"/>
      <c r="M65" s="49"/>
      <c r="N65" s="49"/>
      <c r="O65" s="479"/>
      <c r="P65" s="480"/>
      <c r="Q65" s="1918" t="s">
        <v>78</v>
      </c>
      <c r="R65" s="1918" t="s">
        <v>80</v>
      </c>
      <c r="S65" s="1921" t="s">
        <v>27</v>
      </c>
      <c r="T65" s="1936" t="s">
        <v>374</v>
      </c>
      <c r="U65" s="1938" t="s">
        <v>24</v>
      </c>
      <c r="V65" s="1939"/>
      <c r="W65" s="1940"/>
      <c r="X65" s="1947" t="s">
        <v>27</v>
      </c>
      <c r="Y65" s="1950" t="s">
        <v>374</v>
      </c>
      <c r="Z65" s="1910"/>
    </row>
    <row r="66" spans="1:26" ht="15" customHeight="1" thickBot="1" x14ac:dyDescent="0.35">
      <c r="A66" s="320" t="s">
        <v>370</v>
      </c>
      <c r="B66" s="1913"/>
      <c r="C66" s="648" t="s">
        <v>87</v>
      </c>
      <c r="D66" s="1420">
        <f>+'Q1-19'!D66+'Q2-19'!D66+'Q3-19'!D66+'Q4-19'!D66</f>
        <v>0</v>
      </c>
      <c r="E66" s="382">
        <f>+'Emission Factors'!J49</f>
        <v>0.19386</v>
      </c>
      <c r="F66" s="85">
        <f t="shared" ref="F66:F80" si="4">(D66*E66)/1000</f>
        <v>0</v>
      </c>
      <c r="G66" s="148"/>
      <c r="H66" s="148"/>
      <c r="I66" s="1952"/>
      <c r="J66" s="1953"/>
      <c r="K66" s="1954"/>
      <c r="L66" s="49"/>
      <c r="M66" s="49"/>
      <c r="N66" s="49"/>
      <c r="O66" s="1101"/>
      <c r="P66" s="1102"/>
      <c r="Q66" s="1919"/>
      <c r="R66" s="1919"/>
      <c r="S66" s="1922"/>
      <c r="T66" s="1937"/>
      <c r="U66" s="1941"/>
      <c r="V66" s="1942"/>
      <c r="W66" s="1943"/>
      <c r="X66" s="1948"/>
      <c r="Y66" s="1951"/>
      <c r="Z66" s="1910"/>
    </row>
    <row r="67" spans="1:26" ht="15" customHeight="1" thickBot="1" x14ac:dyDescent="0.35">
      <c r="A67" s="320" t="s">
        <v>370</v>
      </c>
      <c r="B67" s="1913"/>
      <c r="C67" s="648" t="s">
        <v>89</v>
      </c>
      <c r="D67" s="1420">
        <f>+'Q1-19'!D67+'Q2-19'!D67+'Q3-19'!D67+'Q4-19'!D67</f>
        <v>0</v>
      </c>
      <c r="E67" s="382">
        <f>+'Emission Factors'!J50</f>
        <v>0.28410999999999997</v>
      </c>
      <c r="F67" s="85">
        <f t="shared" si="4"/>
        <v>0</v>
      </c>
      <c r="G67" s="148"/>
      <c r="H67" s="148"/>
      <c r="I67" s="1952"/>
      <c r="J67" s="1953"/>
      <c r="K67" s="1954"/>
      <c r="L67" s="49"/>
      <c r="M67" s="49"/>
      <c r="N67" s="49"/>
      <c r="O67" s="1103"/>
      <c r="P67" s="1104"/>
      <c r="Q67" s="1920"/>
      <c r="R67" s="1920"/>
      <c r="S67" s="1923"/>
      <c r="T67" s="171">
        <f>SUM(T68:T73)</f>
        <v>1935.5622892399999</v>
      </c>
      <c r="U67" s="1944"/>
      <c r="V67" s="1945"/>
      <c r="W67" s="1946"/>
      <c r="X67" s="1949"/>
      <c r="Y67" s="171">
        <f>SUM(Y68:Y73)</f>
        <v>42622.779200000004</v>
      </c>
      <c r="Z67" s="1911"/>
    </row>
    <row r="68" spans="1:26" ht="15" customHeight="1" x14ac:dyDescent="0.3">
      <c r="A68" s="320" t="s">
        <v>370</v>
      </c>
      <c r="B68" s="1913"/>
      <c r="C68" s="648" t="s">
        <v>91</v>
      </c>
      <c r="D68" s="1420">
        <f>+'Q1-19'!D68+'Q2-19'!D68+'Q3-19'!D68+'Q4-19'!D68</f>
        <v>0</v>
      </c>
      <c r="E68" s="382">
        <f>+'Emission Factors'!J51</f>
        <v>0.18368000000000001</v>
      </c>
      <c r="F68" s="85">
        <f t="shared" si="4"/>
        <v>0</v>
      </c>
      <c r="G68" s="148"/>
      <c r="H68" s="148"/>
      <c r="I68" s="1952"/>
      <c r="J68" s="1953"/>
      <c r="K68" s="1954"/>
      <c r="L68" s="49"/>
      <c r="M68" s="49"/>
      <c r="N68" s="49"/>
      <c r="O68" s="1289" t="s">
        <v>82</v>
      </c>
      <c r="P68" s="1290"/>
      <c r="Q68" s="1231" t="s">
        <v>83</v>
      </c>
      <c r="R68" s="1425">
        <f>+'Q1-19'!R68+'Q2-19'!R68+'Q3-19'!R68+'Q4-19'!R68</f>
        <v>23820</v>
      </c>
      <c r="S68" s="166">
        <f>+'Emission Factors'!J36</f>
        <v>2.2030699999999999</v>
      </c>
      <c r="T68" s="145">
        <f t="shared" ref="T68:T73" si="5">(R68*S68)/1000</f>
        <v>52.477127400000001</v>
      </c>
      <c r="U68" s="1219"/>
      <c r="V68" s="1220"/>
      <c r="W68" s="1230"/>
      <c r="X68" s="185">
        <f>+'Emission Factors'!J42</f>
        <v>6.8000000000000005E-2</v>
      </c>
      <c r="Y68" s="76">
        <f t="shared" ref="Y68:Y73" si="6">+X68*R68</f>
        <v>1619.7600000000002</v>
      </c>
      <c r="Z68" s="1121"/>
    </row>
    <row r="69" spans="1:26" ht="15" customHeight="1" x14ac:dyDescent="0.3">
      <c r="A69" s="320" t="s">
        <v>370</v>
      </c>
      <c r="B69" s="1913"/>
      <c r="C69" s="648" t="s">
        <v>94</v>
      </c>
      <c r="D69" s="1420">
        <f>+'Q1-19'!D69+'Q2-19'!D69+'Q3-19'!D69+'Q4-19'!D69</f>
        <v>4785429</v>
      </c>
      <c r="E69" s="382">
        <f>+'Emission Factors'!J52</f>
        <v>0.14532999999999999</v>
      </c>
      <c r="F69" s="85">
        <f t="shared" si="4"/>
        <v>695.46639657000003</v>
      </c>
      <c r="G69" s="148"/>
      <c r="H69" s="148"/>
      <c r="I69" s="1952"/>
      <c r="J69" s="1953"/>
      <c r="K69" s="1954"/>
      <c r="L69" s="49"/>
      <c r="M69" s="49"/>
      <c r="N69" s="49"/>
      <c r="O69" s="1287" t="s">
        <v>86</v>
      </c>
      <c r="P69" s="1288"/>
      <c r="Q69" s="1232" t="s">
        <v>83</v>
      </c>
      <c r="R69" s="1426">
        <f>+'Q1-19'!R69+'Q2-19'!R69+'Q3-19'!R69+'Q4-19'!R69</f>
        <v>0</v>
      </c>
      <c r="S69" s="167">
        <f>+'Emission Factors'!J37</f>
        <v>2.30531</v>
      </c>
      <c r="T69" s="146">
        <f t="shared" si="5"/>
        <v>0</v>
      </c>
      <c r="U69" s="1221"/>
      <c r="V69" s="1222"/>
      <c r="W69" s="1229"/>
      <c r="X69" s="167">
        <f>+'Emission Factors'!J43</f>
        <v>0</v>
      </c>
      <c r="Y69" s="77">
        <f t="shared" si="6"/>
        <v>0</v>
      </c>
      <c r="Z69" s="1056"/>
    </row>
    <row r="70" spans="1:26" ht="15" customHeight="1" x14ac:dyDescent="0.3">
      <c r="A70" s="320" t="s">
        <v>370</v>
      </c>
      <c r="B70" s="1913"/>
      <c r="C70" s="648" t="s">
        <v>96</v>
      </c>
      <c r="D70" s="1420">
        <f>+'Q1-19'!D70+'Q2-19'!D70+'Q3-19'!D70+'Q4-19'!D70</f>
        <v>1234277</v>
      </c>
      <c r="E70" s="382">
        <f>+'Emission Factors'!J53</f>
        <v>0.17352999999999999</v>
      </c>
      <c r="F70" s="85">
        <f t="shared" si="4"/>
        <v>214.18408780999999</v>
      </c>
      <c r="G70" s="148"/>
      <c r="H70" s="148"/>
      <c r="I70" s="1952"/>
      <c r="J70" s="1953"/>
      <c r="K70" s="1954"/>
      <c r="L70" s="49"/>
      <c r="M70" s="49"/>
      <c r="N70" s="49"/>
      <c r="O70" s="1287" t="s">
        <v>88</v>
      </c>
      <c r="P70" s="1288"/>
      <c r="Q70" s="1232" t="s">
        <v>83</v>
      </c>
      <c r="R70" s="1426">
        <f>+'Q1-19'!R70+'Q2-19'!R70+'Q3-19'!R70+'Q4-19'!R70</f>
        <v>716836</v>
      </c>
      <c r="S70" s="167">
        <f>+'Emission Factors'!J38</f>
        <v>2.6269399999999998</v>
      </c>
      <c r="T70" s="146">
        <f t="shared" si="5"/>
        <v>1883.08516184</v>
      </c>
      <c r="U70" s="1221"/>
      <c r="V70" s="1222"/>
      <c r="W70" s="1229"/>
      <c r="X70" s="167">
        <f>+'Emission Factors'!J44</f>
        <v>5.7200000000000001E-2</v>
      </c>
      <c r="Y70" s="77">
        <f t="shared" si="6"/>
        <v>41003.019200000002</v>
      </c>
      <c r="Z70" s="1056"/>
    </row>
    <row r="71" spans="1:26" ht="15" customHeight="1" x14ac:dyDescent="0.3">
      <c r="A71" s="320" t="s">
        <v>370</v>
      </c>
      <c r="B71" s="1913"/>
      <c r="C71" s="648" t="s">
        <v>97</v>
      </c>
      <c r="D71" s="1420">
        <f>+'Q1-19'!D71+'Q2-19'!D71+'Q3-19'!D71+'Q4-19'!D71</f>
        <v>40471</v>
      </c>
      <c r="E71" s="382">
        <f>+'Emission Factors'!J54</f>
        <v>0.2152</v>
      </c>
      <c r="F71" s="85">
        <f t="shared" si="4"/>
        <v>8.7093592000000015</v>
      </c>
      <c r="G71" s="148"/>
      <c r="H71" s="148"/>
      <c r="I71" s="1952"/>
      <c r="J71" s="1953"/>
      <c r="K71" s="1954"/>
      <c r="L71" s="49"/>
      <c r="M71" s="49"/>
      <c r="N71" s="49"/>
      <c r="O71" s="1287" t="s">
        <v>90</v>
      </c>
      <c r="P71" s="1288"/>
      <c r="Q71" s="1232" t="s">
        <v>83</v>
      </c>
      <c r="R71" s="1426">
        <f>+'Q1-19'!R71+'Q2-19'!R71+'Q3-19'!R71+'Q4-19'!R71</f>
        <v>0</v>
      </c>
      <c r="S71" s="167">
        <f>+'Emission Factors'!J39</f>
        <v>2.6877900000000001</v>
      </c>
      <c r="T71" s="146">
        <f t="shared" si="5"/>
        <v>0</v>
      </c>
      <c r="U71" s="1221"/>
      <c r="V71" s="1222"/>
      <c r="W71" s="1229"/>
      <c r="X71" s="167">
        <f>+'Emission Factors'!J45</f>
        <v>0</v>
      </c>
      <c r="Y71" s="77">
        <f t="shared" si="6"/>
        <v>0</v>
      </c>
      <c r="Z71" s="1056"/>
    </row>
    <row r="72" spans="1:26" ht="15" customHeight="1" x14ac:dyDescent="0.3">
      <c r="A72" s="320" t="s">
        <v>370</v>
      </c>
      <c r="B72" s="1913"/>
      <c r="C72" s="648" t="s">
        <v>98</v>
      </c>
      <c r="D72" s="1420">
        <f>+'Q1-19'!D72+'Q2-19'!D72+'Q3-19'!D72+'Q4-19'!D72</f>
        <v>0</v>
      </c>
      <c r="E72" s="382">
        <f>+'Emission Factors'!J55</f>
        <v>0.17752999999999999</v>
      </c>
      <c r="F72" s="85">
        <f t="shared" si="4"/>
        <v>0</v>
      </c>
      <c r="G72" s="148"/>
      <c r="H72" s="148"/>
      <c r="I72" s="1952"/>
      <c r="J72" s="1953"/>
      <c r="K72" s="1954"/>
      <c r="L72" s="49"/>
      <c r="M72" s="49"/>
      <c r="N72" s="49"/>
      <c r="O72" s="1287" t="s">
        <v>92</v>
      </c>
      <c r="P72" s="1288"/>
      <c r="Q72" s="1232" t="s">
        <v>93</v>
      </c>
      <c r="R72" s="1426">
        <f>+'Q1-19'!R72+'Q2-19'!R72+'Q3-19'!R72+'Q4-19'!R72</f>
        <v>0</v>
      </c>
      <c r="S72" s="167">
        <f>+'Emission Factors'!J40</f>
        <v>2.7466300000000001</v>
      </c>
      <c r="T72" s="146">
        <f t="shared" si="5"/>
        <v>0</v>
      </c>
      <c r="U72" s="1221"/>
      <c r="V72" s="1222"/>
      <c r="W72" s="1229"/>
      <c r="X72" s="167">
        <f>+'Emission Factors'!J46</f>
        <v>0</v>
      </c>
      <c r="Y72" s="77">
        <f t="shared" si="6"/>
        <v>0</v>
      </c>
      <c r="Z72" s="1056"/>
    </row>
    <row r="73" spans="1:26" ht="15" customHeight="1" x14ac:dyDescent="0.3">
      <c r="A73" s="320" t="s">
        <v>370</v>
      </c>
      <c r="B73" s="1913"/>
      <c r="C73" s="648" t="s">
        <v>99</v>
      </c>
      <c r="D73" s="1420">
        <f>+'Q1-19'!D73+'Q2-19'!D73+'Q3-19'!D73+'Q4-19'!D73</f>
        <v>468413</v>
      </c>
      <c r="E73" s="382">
        <f>+'Emission Factors'!J56</f>
        <v>0.11538000000000001</v>
      </c>
      <c r="F73" s="85">
        <f t="shared" si="4"/>
        <v>54.045491940000005</v>
      </c>
      <c r="G73" s="148"/>
      <c r="H73" s="148"/>
      <c r="I73" s="1952"/>
      <c r="J73" s="1953"/>
      <c r="K73" s="1954"/>
      <c r="L73" s="49"/>
      <c r="M73" s="49"/>
      <c r="N73" s="49"/>
      <c r="O73" s="1287" t="s">
        <v>95</v>
      </c>
      <c r="P73" s="1288"/>
      <c r="Q73" s="1232" t="s">
        <v>83</v>
      </c>
      <c r="R73" s="1426">
        <f>+'Q1-19'!R73+'Q2-19'!R73+'Q3-19'!R73+'Q4-19'!R73</f>
        <v>0</v>
      </c>
      <c r="S73" s="167">
        <f>+'Emission Factors'!J41</f>
        <v>1.5190600000000001</v>
      </c>
      <c r="T73" s="146">
        <f t="shared" si="5"/>
        <v>0</v>
      </c>
      <c r="U73" s="1221"/>
      <c r="V73" s="1222"/>
      <c r="W73" s="1229"/>
      <c r="X73" s="167">
        <f>+'Emission Factors'!J47</f>
        <v>0</v>
      </c>
      <c r="Y73" s="77">
        <f t="shared" si="6"/>
        <v>0</v>
      </c>
      <c r="Z73" s="1056"/>
    </row>
    <row r="74" spans="1:26" ht="15" customHeight="1" thickBot="1" x14ac:dyDescent="0.35">
      <c r="A74" s="320" t="s">
        <v>370</v>
      </c>
      <c r="B74" s="1913"/>
      <c r="C74" s="648" t="s">
        <v>100</v>
      </c>
      <c r="D74" s="1420">
        <f>+'Q1-19'!D74+'Q2-19'!D74+'Q3-19'!D74+'Q4-19'!D74</f>
        <v>0</v>
      </c>
      <c r="E74" s="382">
        <f>+'Emission Factors'!J57</f>
        <v>0.16133999999999998</v>
      </c>
      <c r="F74" s="85">
        <f t="shared" si="4"/>
        <v>0</v>
      </c>
      <c r="G74" s="148"/>
      <c r="H74" s="148"/>
      <c r="I74" s="1952"/>
      <c r="J74" s="1953"/>
      <c r="K74" s="1954"/>
      <c r="L74" s="49"/>
      <c r="M74" s="49"/>
      <c r="N74" s="49"/>
      <c r="O74" s="1284" t="s">
        <v>409</v>
      </c>
      <c r="P74" s="1285"/>
      <c r="Q74" s="1286"/>
      <c r="R74" s="1427">
        <f>+'Q1-19'!R74+'Q2-19'!R74+'Q3-19'!R74+'Q4-19'!R74</f>
        <v>0</v>
      </c>
      <c r="S74" s="1428">
        <f>IF(R74=0,0,1000*T74/R74)</f>
        <v>0</v>
      </c>
      <c r="T74" s="147">
        <f>+'Q1-19'!T74+'Q2-19'!T74+'Q3-19'!T74+'Q4-19'!T74</f>
        <v>0</v>
      </c>
      <c r="U74" s="1223"/>
      <c r="V74" s="1224"/>
      <c r="W74" s="1228"/>
      <c r="X74" s="1428">
        <f>IF(R74=0,0,1000*Y74/W74)</f>
        <v>0</v>
      </c>
      <c r="Y74" s="80">
        <f>+'Q1-19'!Y74+'Q2-19'!Y74+'Q3-19'!Y74+'Q4-19'!Y74</f>
        <v>0</v>
      </c>
      <c r="Z74" s="1122"/>
    </row>
    <row r="75" spans="1:26" ht="15" customHeight="1" x14ac:dyDescent="0.3">
      <c r="A75" s="320" t="s">
        <v>370</v>
      </c>
      <c r="B75" s="1913"/>
      <c r="C75" s="648" t="s">
        <v>529</v>
      </c>
      <c r="D75" s="1420">
        <f>+'Q1-19'!D75+'Q2-19'!D75+'Q3-19'!D75+'Q4-19'!D75</f>
        <v>0</v>
      </c>
      <c r="E75" s="382">
        <f>+'Emission Factors'!J58</f>
        <v>0.20021999999999998</v>
      </c>
      <c r="F75" s="85">
        <f t="shared" si="4"/>
        <v>0</v>
      </c>
      <c r="G75" s="148"/>
      <c r="H75" s="148"/>
      <c r="I75" s="1952"/>
      <c r="J75" s="1953"/>
      <c r="K75" s="1954"/>
      <c r="L75" s="49"/>
      <c r="M75" s="49"/>
      <c r="N75" s="49"/>
      <c r="O75" s="1965" t="s">
        <v>457</v>
      </c>
      <c r="P75" s="1965"/>
      <c r="Q75" s="1965"/>
      <c r="R75" s="1965"/>
      <c r="S75" s="1965"/>
      <c r="T75" s="1965"/>
      <c r="U75" s="1965"/>
      <c r="V75" s="1965"/>
      <c r="W75" s="1965"/>
      <c r="X75" s="49"/>
      <c r="Y75" s="49"/>
      <c r="Z75" s="49"/>
    </row>
    <row r="76" spans="1:26" ht="15" customHeight="1" x14ac:dyDescent="0.3">
      <c r="A76" s="320" t="s">
        <v>370</v>
      </c>
      <c r="B76" s="1913"/>
      <c r="C76" s="648" t="s">
        <v>102</v>
      </c>
      <c r="D76" s="1420">
        <f>+'Q1-19'!D76+'Q2-19'!D76+'Q3-19'!D76+'Q4-19'!D76</f>
        <v>264337</v>
      </c>
      <c r="E76" s="382">
        <f>+'Emission Factors'!J59</f>
        <v>0.18064</v>
      </c>
      <c r="F76" s="85">
        <f t="shared" si="4"/>
        <v>47.749835679999997</v>
      </c>
      <c r="G76" s="148"/>
      <c r="H76" s="148"/>
      <c r="I76" s="1952"/>
      <c r="J76" s="1953"/>
      <c r="K76" s="1954"/>
      <c r="L76" s="49"/>
      <c r="M76" s="49"/>
      <c r="N76" s="49"/>
      <c r="O76" s="1966"/>
      <c r="P76" s="1966"/>
      <c r="Q76" s="1966"/>
      <c r="R76" s="1966"/>
      <c r="S76" s="1966"/>
      <c r="T76" s="1966"/>
      <c r="U76" s="1966"/>
      <c r="V76" s="1966"/>
      <c r="W76" s="1966"/>
      <c r="X76" s="49"/>
      <c r="Y76" s="49"/>
      <c r="Z76" s="49"/>
    </row>
    <row r="77" spans="1:26" ht="15" customHeight="1" x14ac:dyDescent="0.3">
      <c r="A77" s="320" t="s">
        <v>370</v>
      </c>
      <c r="B77" s="1913"/>
      <c r="C77" s="648" t="s">
        <v>103</v>
      </c>
      <c r="D77" s="1420">
        <f>+'Q1-19'!D77+'Q2-19'!D77+'Q3-19'!D77+'Q4-19'!D77</f>
        <v>0</v>
      </c>
      <c r="E77" s="382">
        <f>+'Emission Factors'!J60</f>
        <v>8.4629999999999997E-2</v>
      </c>
      <c r="F77" s="85">
        <f t="shared" si="4"/>
        <v>0</v>
      </c>
      <c r="G77" s="148"/>
      <c r="H77" s="148"/>
      <c r="I77" s="1952"/>
      <c r="J77" s="1953"/>
      <c r="K77" s="1954"/>
      <c r="L77" s="49"/>
      <c r="M77" s="49"/>
      <c r="N77" s="49"/>
      <c r="O77" s="1966"/>
      <c r="P77" s="1966"/>
      <c r="Q77" s="1966"/>
      <c r="R77" s="1966"/>
      <c r="S77" s="1966"/>
      <c r="T77" s="1966"/>
      <c r="U77" s="1966"/>
      <c r="V77" s="1966"/>
      <c r="W77" s="1966"/>
      <c r="X77" s="49"/>
      <c r="Y77" s="49"/>
      <c r="Z77" s="49"/>
    </row>
    <row r="78" spans="1:26" ht="15" customHeight="1" x14ac:dyDescent="0.3">
      <c r="A78" s="320" t="s">
        <v>370</v>
      </c>
      <c r="B78" s="1913"/>
      <c r="C78" s="648" t="s">
        <v>104</v>
      </c>
      <c r="D78" s="1420">
        <f>+'Q1-19'!D78+'Q2-19'!D78+'Q3-19'!D78+'Q4-19'!D78</f>
        <v>0</v>
      </c>
      <c r="E78" s="382">
        <f>+'Emission Factors'!J61</f>
        <v>0.10310000000000001</v>
      </c>
      <c r="F78" s="85">
        <f t="shared" si="4"/>
        <v>0</v>
      </c>
      <c r="G78" s="148"/>
      <c r="H78" s="148"/>
      <c r="I78" s="1952"/>
      <c r="J78" s="1953"/>
      <c r="K78" s="1954"/>
      <c r="L78" s="49"/>
      <c r="M78" s="49"/>
      <c r="N78" s="49"/>
      <c r="O78" s="1966"/>
      <c r="P78" s="1966"/>
      <c r="Q78" s="1966"/>
      <c r="R78" s="1966"/>
      <c r="S78" s="1966"/>
      <c r="T78" s="1966"/>
      <c r="U78" s="1966"/>
      <c r="V78" s="1966"/>
      <c r="W78" s="1966"/>
      <c r="X78" s="49"/>
      <c r="Y78" s="49"/>
      <c r="Z78" s="49"/>
    </row>
    <row r="79" spans="1:26" ht="15" customHeight="1" x14ac:dyDescent="0.3">
      <c r="A79" s="320" t="s">
        <v>370</v>
      </c>
      <c r="B79" s="1913"/>
      <c r="C79" s="648" t="s">
        <v>105</v>
      </c>
      <c r="D79" s="1420">
        <f>+'Q1-19'!D79+'Q2-19'!D79+'Q3-19'!D79+'Q4-19'!D79</f>
        <v>0</v>
      </c>
      <c r="E79" s="382">
        <f>+'Emission Factors'!J62</f>
        <v>0.13528000000000001</v>
      </c>
      <c r="F79" s="85">
        <f t="shared" si="4"/>
        <v>0</v>
      </c>
      <c r="G79" s="148"/>
      <c r="H79" s="148"/>
      <c r="I79" s="1952"/>
      <c r="J79" s="1953"/>
      <c r="K79" s="1954"/>
      <c r="L79" s="49"/>
      <c r="M79" s="49"/>
      <c r="N79" s="49"/>
      <c r="O79" s="49"/>
      <c r="P79" s="49"/>
      <c r="Q79" s="49"/>
      <c r="R79" s="49"/>
      <c r="S79" s="49"/>
      <c r="T79" s="49"/>
      <c r="U79" s="49"/>
      <c r="V79" s="49"/>
      <c r="W79" s="49"/>
      <c r="X79" s="49"/>
      <c r="Y79" s="49"/>
      <c r="Z79" s="49"/>
    </row>
    <row r="80" spans="1:26" ht="15" customHeight="1" x14ac:dyDescent="0.3">
      <c r="A80" s="320" t="s">
        <v>370</v>
      </c>
      <c r="B80" s="1913"/>
      <c r="C80" s="648" t="s">
        <v>106</v>
      </c>
      <c r="D80" s="1420">
        <f>+'Q1-19'!D80+'Q2-19'!D80+'Q3-19'!D80+'Q4-19'!D80</f>
        <v>0</v>
      </c>
      <c r="E80" s="382">
        <f>+'Emission Factors'!J63</f>
        <v>0.11528999999999999</v>
      </c>
      <c r="F80" s="85">
        <f t="shared" si="4"/>
        <v>0</v>
      </c>
      <c r="G80" s="148"/>
      <c r="H80" s="148"/>
      <c r="I80" s="1952"/>
      <c r="J80" s="1953"/>
      <c r="K80" s="1954"/>
      <c r="L80" s="49"/>
      <c r="M80" s="49"/>
      <c r="N80" s="49"/>
      <c r="O80" s="49"/>
      <c r="P80" s="49"/>
      <c r="Q80" s="49"/>
      <c r="R80" s="49"/>
      <c r="S80" s="49"/>
      <c r="T80" s="49"/>
      <c r="U80" s="49"/>
      <c r="V80" s="49"/>
      <c r="W80" s="49"/>
      <c r="X80" s="49"/>
      <c r="Y80" s="49"/>
      <c r="Z80" s="49"/>
    </row>
    <row r="81" spans="1:26" ht="15" customHeight="1" x14ac:dyDescent="0.3">
      <c r="A81" s="320" t="s">
        <v>370</v>
      </c>
      <c r="B81" s="1913"/>
      <c r="C81" s="649" t="s">
        <v>410</v>
      </c>
      <c r="D81" s="1420">
        <f>+'Q1-19'!D81+'Q2-19'!D81+'Q3-19'!D81+'Q4-19'!D81</f>
        <v>9902330.45567476</v>
      </c>
      <c r="E81" s="1433">
        <f>IF(D81=0,0,1000*F81/D81)</f>
        <v>0.80746000000000007</v>
      </c>
      <c r="F81" s="85">
        <f>+'Q1-19'!F81+'Q2-19'!F81+'Q3-19'!F81+'Q4-19'!F81</f>
        <v>7995.7357497391422</v>
      </c>
      <c r="G81" s="148"/>
      <c r="H81" s="148"/>
      <c r="I81" s="1952"/>
      <c r="J81" s="1953"/>
      <c r="K81" s="1954"/>
      <c r="L81" s="49"/>
      <c r="M81" s="49"/>
      <c r="N81" s="49"/>
      <c r="O81" s="49"/>
      <c r="P81" s="49"/>
      <c r="Q81" s="49"/>
      <c r="R81" s="49"/>
      <c r="S81" s="49"/>
      <c r="T81" s="49"/>
      <c r="U81" s="49"/>
      <c r="V81" s="49"/>
      <c r="W81" s="49"/>
      <c r="X81" s="49"/>
      <c r="Y81" s="49"/>
      <c r="Z81" s="49"/>
    </row>
    <row r="82" spans="1:26" ht="15" customHeight="1" x14ac:dyDescent="0.3">
      <c r="A82" s="320" t="s">
        <v>370</v>
      </c>
      <c r="B82" s="1913"/>
      <c r="C82" s="649" t="s">
        <v>411</v>
      </c>
      <c r="D82" s="1420">
        <f>+'Q1-19'!D82+'Q2-19'!D82+'Q3-19'!D82+'Q4-19'!D82</f>
        <v>1562882</v>
      </c>
      <c r="E82" s="1433">
        <f>IF(D82=0,0,1000*F82/D82)</f>
        <v>0.80745999999999984</v>
      </c>
      <c r="F82" s="85">
        <f>+'Q1-19'!F82+'Q2-19'!F82+'Q3-19'!F82+'Q4-19'!F82</f>
        <v>1261.9646997199998</v>
      </c>
      <c r="G82" s="148"/>
      <c r="H82" s="148"/>
      <c r="I82" s="1952"/>
      <c r="J82" s="1953"/>
      <c r="K82" s="1954"/>
      <c r="L82" s="49"/>
      <c r="M82" s="49"/>
      <c r="N82" s="49"/>
      <c r="O82" s="49"/>
      <c r="P82" s="49"/>
      <c r="Q82" s="49"/>
      <c r="R82" s="49"/>
      <c r="S82" s="49"/>
      <c r="T82" s="49"/>
      <c r="U82" s="49"/>
      <c r="V82" s="49"/>
      <c r="W82" s="49"/>
      <c r="X82" s="49"/>
      <c r="Y82" s="49"/>
      <c r="Z82" s="49"/>
    </row>
    <row r="83" spans="1:26" ht="15" customHeight="1" x14ac:dyDescent="0.3">
      <c r="A83" s="320" t="s">
        <v>370</v>
      </c>
      <c r="B83" s="1913"/>
      <c r="C83" s="649" t="s">
        <v>412</v>
      </c>
      <c r="D83" s="1420">
        <f>+'Q1-19'!D83+'Q2-19'!D83+'Q3-19'!D83+'Q4-19'!D83</f>
        <v>0</v>
      </c>
      <c r="E83" s="1433">
        <f>IF(D83=0,0,1000*F83/D83)</f>
        <v>0</v>
      </c>
      <c r="F83" s="85">
        <f>+'Q1-19'!F83+'Q2-19'!F83+'Q3-19'!F83+'Q4-19'!F83</f>
        <v>0</v>
      </c>
      <c r="G83" s="148"/>
      <c r="H83" s="148"/>
      <c r="I83" s="1952"/>
      <c r="J83" s="1953"/>
      <c r="K83" s="1954"/>
      <c r="L83" s="49"/>
      <c r="M83" s="49"/>
      <c r="N83" s="49"/>
      <c r="O83" s="49"/>
      <c r="P83" s="49"/>
      <c r="Q83" s="49"/>
      <c r="R83" s="49"/>
      <c r="S83" s="49"/>
      <c r="T83" s="49"/>
      <c r="U83" s="49"/>
      <c r="V83" s="49"/>
      <c r="W83" s="49"/>
      <c r="X83" s="49"/>
      <c r="Y83" s="49"/>
      <c r="Z83" s="49"/>
    </row>
    <row r="84" spans="1:26" ht="15" customHeight="1" x14ac:dyDescent="0.3">
      <c r="A84" s="320"/>
      <c r="B84" s="1913"/>
      <c r="C84" s="649" t="s">
        <v>509</v>
      </c>
      <c r="D84" s="1420">
        <f>+'Q1-19'!D84+'Q2-19'!D84+'Q3-19'!D84+'Q4-19'!D84</f>
        <v>0</v>
      </c>
      <c r="E84" s="1433">
        <f t="shared" ref="E84:E85" si="7">IF(D84=0,0,1000*F84/D84)</f>
        <v>0</v>
      </c>
      <c r="F84" s="85">
        <f>+'Q1-19'!F84+'Q2-19'!F84+'Q3-19'!F84+'Q4-19'!F84</f>
        <v>0</v>
      </c>
      <c r="G84" s="148"/>
      <c r="H84" s="148"/>
      <c r="I84" s="1952"/>
      <c r="J84" s="1953"/>
      <c r="K84" s="1954"/>
      <c r="L84" s="49"/>
      <c r="M84" s="49"/>
      <c r="N84" s="49"/>
      <c r="O84" s="49"/>
      <c r="P84" s="49"/>
      <c r="Q84" s="49"/>
      <c r="R84" s="49"/>
      <c r="S84" s="49"/>
      <c r="T84" s="49"/>
      <c r="U84" s="49"/>
      <c r="V84" s="49"/>
      <c r="W84" s="49"/>
      <c r="X84" s="49"/>
      <c r="Y84" s="49"/>
      <c r="Z84" s="49"/>
    </row>
    <row r="85" spans="1:26" ht="15" customHeight="1" thickBot="1" x14ac:dyDescent="0.35">
      <c r="A85" s="320"/>
      <c r="B85" s="1914"/>
      <c r="C85" s="649" t="s">
        <v>510</v>
      </c>
      <c r="D85" s="1420">
        <f>+'Q1-19'!D85+'Q2-19'!D85+'Q3-19'!D85+'Q4-19'!D85</f>
        <v>0</v>
      </c>
      <c r="E85" s="1434">
        <f t="shared" si="7"/>
        <v>0</v>
      </c>
      <c r="F85" s="85">
        <f>+'Q1-19'!F85+'Q2-19'!F85+'Q3-19'!F85+'Q4-19'!F85</f>
        <v>0</v>
      </c>
      <c r="G85" s="148"/>
      <c r="H85" s="148"/>
      <c r="I85" s="1952"/>
      <c r="J85" s="1953"/>
      <c r="K85" s="1954"/>
      <c r="L85" s="49"/>
      <c r="M85" s="49"/>
      <c r="N85" s="49"/>
      <c r="O85" s="49"/>
      <c r="P85" s="49"/>
      <c r="Q85" s="49"/>
      <c r="R85" s="49"/>
      <c r="S85" s="49"/>
      <c r="T85" s="49"/>
      <c r="U85" s="49"/>
      <c r="V85" s="49"/>
      <c r="W85" s="49"/>
      <c r="X85" s="49"/>
      <c r="Y85" s="49"/>
      <c r="Z85" s="49"/>
    </row>
    <row r="86" spans="1:26" ht="29.25" customHeight="1" thickBot="1" x14ac:dyDescent="0.35">
      <c r="A86" s="320"/>
      <c r="B86" s="1955" t="s">
        <v>458</v>
      </c>
      <c r="C86" s="1956"/>
      <c r="D86" s="44">
        <f>SUM(D87:D105)</f>
        <v>50490770.850000001</v>
      </c>
      <c r="E86" s="481"/>
      <c r="F86" s="171">
        <f>SUM(F87:F105)</f>
        <v>9120.652846343999</v>
      </c>
      <c r="G86" s="148"/>
      <c r="H86" s="148"/>
      <c r="I86" s="1957"/>
      <c r="J86" s="1958"/>
      <c r="K86" s="1959"/>
      <c r="L86" s="49"/>
      <c r="M86" s="49"/>
      <c r="N86" s="49"/>
      <c r="O86" s="1960" t="str">
        <f>B86</f>
        <v>TOTAL DOMESTIC FROM GREY FLEET/HIRE (i.e. employee owned or hire vehicles) (Scope 3)</v>
      </c>
      <c r="P86" s="1961"/>
      <c r="Q86" s="1961"/>
      <c r="R86" s="1961"/>
      <c r="S86" s="1961"/>
      <c r="T86" s="1961"/>
      <c r="U86" s="1961"/>
      <c r="V86" s="1961"/>
      <c r="W86" s="1962"/>
      <c r="X86" s="1963" t="s">
        <v>381</v>
      </c>
      <c r="Y86" s="1964"/>
      <c r="Z86" s="1909" t="s">
        <v>461</v>
      </c>
    </row>
    <row r="87" spans="1:26" ht="15" customHeight="1" x14ac:dyDescent="0.3">
      <c r="A87" s="320" t="s">
        <v>371</v>
      </c>
      <c r="B87" s="1912" t="s">
        <v>111</v>
      </c>
      <c r="C87" s="46" t="s">
        <v>85</v>
      </c>
      <c r="D87" s="1420">
        <f>+'Q1-19'!D87+'Q2-19'!D87+'Q3-19'!D87+'Q4-19'!D87</f>
        <v>0</v>
      </c>
      <c r="E87" s="382">
        <f t="shared" ref="E87:E102" si="8">+E65</f>
        <v>0.15565000000000001</v>
      </c>
      <c r="F87" s="356">
        <f>(D87*E87)/1000</f>
        <v>0</v>
      </c>
      <c r="G87" s="148"/>
      <c r="H87" s="148"/>
      <c r="I87" s="1915"/>
      <c r="J87" s="1916"/>
      <c r="K87" s="1917"/>
      <c r="L87" s="49"/>
      <c r="M87" s="49"/>
      <c r="N87" s="49"/>
      <c r="O87" s="479"/>
      <c r="P87" s="480"/>
      <c r="Q87" s="1918" t="s">
        <v>78</v>
      </c>
      <c r="R87" s="1918" t="s">
        <v>80</v>
      </c>
      <c r="S87" s="1921" t="s">
        <v>27</v>
      </c>
      <c r="T87" s="1936" t="s">
        <v>374</v>
      </c>
      <c r="U87" s="1938" t="s">
        <v>24</v>
      </c>
      <c r="V87" s="1939"/>
      <c r="W87" s="1940"/>
      <c r="X87" s="1947" t="s">
        <v>27</v>
      </c>
      <c r="Y87" s="1967" t="s">
        <v>374</v>
      </c>
      <c r="Z87" s="1910"/>
    </row>
    <row r="88" spans="1:26" ht="15" customHeight="1" thickBot="1" x14ac:dyDescent="0.35">
      <c r="A88" s="320" t="s">
        <v>371</v>
      </c>
      <c r="B88" s="1913"/>
      <c r="C88" s="648" t="s">
        <v>87</v>
      </c>
      <c r="D88" s="1420">
        <f>+'Q1-19'!D88+'Q2-19'!D88+'Q3-19'!D88+'Q4-19'!D88</f>
        <v>0</v>
      </c>
      <c r="E88" s="382">
        <f t="shared" si="8"/>
        <v>0.19386</v>
      </c>
      <c r="F88" s="85">
        <f t="shared" ref="F88:F102" si="9">(D88*E88)/1000</f>
        <v>0</v>
      </c>
      <c r="G88" s="148"/>
      <c r="H88" s="148"/>
      <c r="I88" s="1952"/>
      <c r="J88" s="1953"/>
      <c r="K88" s="1954"/>
      <c r="L88" s="49"/>
      <c r="M88" s="49"/>
      <c r="N88" s="49"/>
      <c r="O88" s="1101"/>
      <c r="P88" s="1102"/>
      <c r="Q88" s="1919"/>
      <c r="R88" s="1919"/>
      <c r="S88" s="1922"/>
      <c r="T88" s="1937"/>
      <c r="U88" s="1941"/>
      <c r="V88" s="1942"/>
      <c r="W88" s="1943"/>
      <c r="X88" s="1948"/>
      <c r="Y88" s="1968"/>
      <c r="Z88" s="1910"/>
    </row>
    <row r="89" spans="1:26" ht="15" customHeight="1" thickBot="1" x14ac:dyDescent="0.35">
      <c r="A89" s="320" t="s">
        <v>371</v>
      </c>
      <c r="B89" s="1913"/>
      <c r="C89" s="648" t="s">
        <v>89</v>
      </c>
      <c r="D89" s="1420">
        <f>+'Q1-19'!D89+'Q2-19'!D89+'Q3-19'!D89+'Q4-19'!D89</f>
        <v>0</v>
      </c>
      <c r="E89" s="382">
        <f t="shared" si="8"/>
        <v>0.28410999999999997</v>
      </c>
      <c r="F89" s="85">
        <f t="shared" si="9"/>
        <v>0</v>
      </c>
      <c r="G89" s="148"/>
      <c r="H89" s="148"/>
      <c r="I89" s="1952"/>
      <c r="J89" s="1953"/>
      <c r="K89" s="1954"/>
      <c r="L89" s="49"/>
      <c r="M89" s="49"/>
      <c r="N89" s="49"/>
      <c r="O89" s="1103"/>
      <c r="P89" s="1104"/>
      <c r="Q89" s="1920"/>
      <c r="R89" s="1920"/>
      <c r="S89" s="1923"/>
      <c r="T89" s="171">
        <f>SUM(T90:T96)</f>
        <v>0</v>
      </c>
      <c r="U89" s="1944"/>
      <c r="V89" s="1945"/>
      <c r="W89" s="1946"/>
      <c r="X89" s="1949"/>
      <c r="Y89" s="171">
        <f>SUM(Y90:Y96)</f>
        <v>0</v>
      </c>
      <c r="Z89" s="1911"/>
    </row>
    <row r="90" spans="1:26" ht="15" customHeight="1" x14ac:dyDescent="0.3">
      <c r="A90" s="320" t="s">
        <v>371</v>
      </c>
      <c r="B90" s="1913"/>
      <c r="C90" s="648" t="s">
        <v>91</v>
      </c>
      <c r="D90" s="1420">
        <f>+'Q1-19'!D90+'Q2-19'!D90+'Q3-19'!D90+'Q4-19'!D90</f>
        <v>0</v>
      </c>
      <c r="E90" s="382">
        <f t="shared" si="8"/>
        <v>0.18368000000000001</v>
      </c>
      <c r="F90" s="85">
        <f t="shared" si="9"/>
        <v>0</v>
      </c>
      <c r="G90" s="148"/>
      <c r="H90" s="148"/>
      <c r="I90" s="1952"/>
      <c r="J90" s="1953"/>
      <c r="K90" s="1954"/>
      <c r="L90" s="49"/>
      <c r="M90" s="49"/>
      <c r="N90" s="49"/>
      <c r="O90" s="1289" t="s">
        <v>82</v>
      </c>
      <c r="P90" s="1290"/>
      <c r="Q90" s="1231" t="s">
        <v>83</v>
      </c>
      <c r="R90" s="1425">
        <f>+'Q1-19'!R90+'Q2-19'!R90+'Q3-19'!R90+'Q4-19'!R90</f>
        <v>0</v>
      </c>
      <c r="S90" s="166">
        <f>+'Emission Factors'!J36</f>
        <v>2.2030699999999999</v>
      </c>
      <c r="T90" s="145">
        <f t="shared" ref="T90:T95" si="10">(R90*S90)/1000</f>
        <v>0</v>
      </c>
      <c r="U90" s="1972"/>
      <c r="V90" s="1973"/>
      <c r="W90" s="1974"/>
      <c r="X90" s="185">
        <f>+'Q1-19'!X90+'Q2-19'!X90+'Q3-19'!X90+'Q4-19'!X90</f>
        <v>0.27200000000000002</v>
      </c>
      <c r="Y90" s="76">
        <f t="shared" ref="Y90:Y95" si="11">+X90*R90</f>
        <v>0</v>
      </c>
      <c r="Z90" s="1121" t="str">
        <f t="shared" ref="Z90:Z96" si="12">IF(R90&lt;0,"Error - negative number","")</f>
        <v/>
      </c>
    </row>
    <row r="91" spans="1:26" ht="15" customHeight="1" x14ac:dyDescent="0.3">
      <c r="A91" s="320" t="s">
        <v>371</v>
      </c>
      <c r="B91" s="1913"/>
      <c r="C91" s="648" t="s">
        <v>94</v>
      </c>
      <c r="D91" s="1420">
        <f>+'Q1-19'!D91+'Q2-19'!D91+'Q3-19'!D91+'Q4-19'!D91</f>
        <v>0</v>
      </c>
      <c r="E91" s="382">
        <f t="shared" si="8"/>
        <v>0.14532999999999999</v>
      </c>
      <c r="F91" s="85">
        <f t="shared" si="9"/>
        <v>0</v>
      </c>
      <c r="G91" s="148"/>
      <c r="H91" s="148"/>
      <c r="I91" s="1952"/>
      <c r="J91" s="1953"/>
      <c r="K91" s="1954"/>
      <c r="L91" s="49"/>
      <c r="M91" s="49"/>
      <c r="N91" s="49"/>
      <c r="O91" s="1287" t="s">
        <v>86</v>
      </c>
      <c r="P91" s="1288"/>
      <c r="Q91" s="1232" t="s">
        <v>83</v>
      </c>
      <c r="R91" s="1426">
        <f>+'Q1-19'!R91+'Q2-19'!R91+'Q3-19'!R91+'Q4-19'!R91</f>
        <v>0</v>
      </c>
      <c r="S91" s="167">
        <f>+'Emission Factors'!J37</f>
        <v>2.30531</v>
      </c>
      <c r="T91" s="146">
        <f t="shared" si="10"/>
        <v>0</v>
      </c>
      <c r="U91" s="1969"/>
      <c r="V91" s="1970"/>
      <c r="W91" s="1971"/>
      <c r="X91" s="185">
        <f>+'Q1-19'!X91+'Q2-19'!X91+'Q3-19'!X91+'Q4-19'!X91</f>
        <v>0</v>
      </c>
      <c r="Y91" s="77">
        <f t="shared" si="11"/>
        <v>0</v>
      </c>
      <c r="Z91" s="1056" t="str">
        <f t="shared" si="12"/>
        <v/>
      </c>
    </row>
    <row r="92" spans="1:26" ht="15" customHeight="1" x14ac:dyDescent="0.3">
      <c r="A92" s="320" t="s">
        <v>371</v>
      </c>
      <c r="B92" s="1913"/>
      <c r="C92" s="648" t="s">
        <v>96</v>
      </c>
      <c r="D92" s="1420">
        <f>+'Q1-19'!D92+'Q2-19'!D92+'Q3-19'!D92+'Q4-19'!D92</f>
        <v>0</v>
      </c>
      <c r="E92" s="382">
        <f t="shared" si="8"/>
        <v>0.17352999999999999</v>
      </c>
      <c r="F92" s="85">
        <f t="shared" si="9"/>
        <v>0</v>
      </c>
      <c r="G92" s="148"/>
      <c r="H92" s="148"/>
      <c r="I92" s="1952"/>
      <c r="J92" s="1953"/>
      <c r="K92" s="1954"/>
      <c r="L92" s="49"/>
      <c r="M92" s="49"/>
      <c r="N92" s="49"/>
      <c r="O92" s="1287" t="s">
        <v>88</v>
      </c>
      <c r="P92" s="1288"/>
      <c r="Q92" s="1232" t="s">
        <v>83</v>
      </c>
      <c r="R92" s="1426">
        <f>+'Q1-19'!R92+'Q2-19'!R92+'Q3-19'!R92+'Q4-19'!R92</f>
        <v>0</v>
      </c>
      <c r="S92" s="167">
        <f>+'Emission Factors'!J38</f>
        <v>2.6269399999999998</v>
      </c>
      <c r="T92" s="146">
        <f t="shared" si="10"/>
        <v>0</v>
      </c>
      <c r="U92" s="1969"/>
      <c r="V92" s="1970"/>
      <c r="W92" s="1971"/>
      <c r="X92" s="185">
        <f>+'Q1-19'!X92+'Q2-19'!X92+'Q3-19'!X92+'Q4-19'!X92</f>
        <v>0.2288</v>
      </c>
      <c r="Y92" s="77">
        <f t="shared" si="11"/>
        <v>0</v>
      </c>
      <c r="Z92" s="1056" t="str">
        <f t="shared" si="12"/>
        <v/>
      </c>
    </row>
    <row r="93" spans="1:26" ht="15" customHeight="1" x14ac:dyDescent="0.3">
      <c r="A93" s="320" t="s">
        <v>371</v>
      </c>
      <c r="B93" s="1913"/>
      <c r="C93" s="648" t="s">
        <v>97</v>
      </c>
      <c r="D93" s="1420">
        <f>+'Q1-19'!D93+'Q2-19'!D93+'Q3-19'!D93+'Q4-19'!D93</f>
        <v>0</v>
      </c>
      <c r="E93" s="382">
        <f t="shared" si="8"/>
        <v>0.2152</v>
      </c>
      <c r="F93" s="85">
        <f t="shared" si="9"/>
        <v>0</v>
      </c>
      <c r="G93" s="148"/>
      <c r="H93" s="148"/>
      <c r="I93" s="1952"/>
      <c r="J93" s="1953"/>
      <c r="K93" s="1954"/>
      <c r="L93" s="49"/>
      <c r="M93" s="49"/>
      <c r="N93" s="49"/>
      <c r="O93" s="1287" t="s">
        <v>90</v>
      </c>
      <c r="P93" s="1288"/>
      <c r="Q93" s="1232" t="s">
        <v>83</v>
      </c>
      <c r="R93" s="1426">
        <f>+'Q1-19'!R93+'Q2-19'!R93+'Q3-19'!R93+'Q4-19'!R93</f>
        <v>0</v>
      </c>
      <c r="S93" s="167">
        <f>+'Emission Factors'!J39</f>
        <v>2.6877900000000001</v>
      </c>
      <c r="T93" s="146">
        <f t="shared" si="10"/>
        <v>0</v>
      </c>
      <c r="U93" s="1969"/>
      <c r="V93" s="1970"/>
      <c r="W93" s="1971"/>
      <c r="X93" s="185">
        <f>+'Q1-19'!X93+'Q2-19'!X93+'Q3-19'!X93+'Q4-19'!X93</f>
        <v>0</v>
      </c>
      <c r="Y93" s="77">
        <f t="shared" si="11"/>
        <v>0</v>
      </c>
      <c r="Z93" s="1056" t="str">
        <f t="shared" si="12"/>
        <v/>
      </c>
    </row>
    <row r="94" spans="1:26" ht="15" customHeight="1" x14ac:dyDescent="0.3">
      <c r="A94" s="320" t="s">
        <v>371</v>
      </c>
      <c r="B94" s="1913"/>
      <c r="C94" s="648" t="s">
        <v>98</v>
      </c>
      <c r="D94" s="1420">
        <f>+'Q1-19'!D94+'Q2-19'!D94+'Q3-19'!D94+'Q4-19'!D94</f>
        <v>0</v>
      </c>
      <c r="E94" s="382">
        <f t="shared" si="8"/>
        <v>0.17752999999999999</v>
      </c>
      <c r="F94" s="85">
        <f t="shared" si="9"/>
        <v>0</v>
      </c>
      <c r="G94" s="148"/>
      <c r="H94" s="148"/>
      <c r="I94" s="1952"/>
      <c r="J94" s="1953"/>
      <c r="K94" s="1954"/>
      <c r="L94" s="49"/>
      <c r="M94" s="49"/>
      <c r="N94" s="49"/>
      <c r="O94" s="1287" t="s">
        <v>92</v>
      </c>
      <c r="P94" s="1288"/>
      <c r="Q94" s="1232" t="s">
        <v>93</v>
      </c>
      <c r="R94" s="1426">
        <f>+'Q1-19'!R94+'Q2-19'!R94+'Q3-19'!R94+'Q4-19'!R94</f>
        <v>0</v>
      </c>
      <c r="S94" s="167">
        <f>+'Emission Factors'!J40</f>
        <v>2.7466300000000001</v>
      </c>
      <c r="T94" s="146">
        <f t="shared" si="10"/>
        <v>0</v>
      </c>
      <c r="U94" s="1969"/>
      <c r="V94" s="1970"/>
      <c r="W94" s="1971"/>
      <c r="X94" s="185">
        <f>+'Q1-19'!X94+'Q2-19'!X94+'Q3-19'!X94+'Q4-19'!X94</f>
        <v>0</v>
      </c>
      <c r="Y94" s="77">
        <f t="shared" si="11"/>
        <v>0</v>
      </c>
      <c r="Z94" s="1056" t="str">
        <f t="shared" si="12"/>
        <v/>
      </c>
    </row>
    <row r="95" spans="1:26" ht="15" customHeight="1" x14ac:dyDescent="0.3">
      <c r="A95" s="320" t="s">
        <v>371</v>
      </c>
      <c r="B95" s="1913"/>
      <c r="C95" s="648" t="s">
        <v>99</v>
      </c>
      <c r="D95" s="1420">
        <f>+'Q1-19'!D95+'Q2-19'!D95+'Q3-19'!D95+'Q4-19'!D95</f>
        <v>0</v>
      </c>
      <c r="E95" s="382">
        <f t="shared" si="8"/>
        <v>0.11538000000000001</v>
      </c>
      <c r="F95" s="85">
        <f t="shared" si="9"/>
        <v>0</v>
      </c>
      <c r="G95" s="148"/>
      <c r="H95" s="148"/>
      <c r="I95" s="1952"/>
      <c r="J95" s="1953"/>
      <c r="K95" s="1954"/>
      <c r="L95" s="49"/>
      <c r="M95" s="49"/>
      <c r="N95" s="49"/>
      <c r="O95" s="1287" t="s">
        <v>95</v>
      </c>
      <c r="P95" s="1288"/>
      <c r="Q95" s="1232" t="s">
        <v>83</v>
      </c>
      <c r="R95" s="1426">
        <f>+'Q1-19'!R95+'Q2-19'!R95+'Q3-19'!R95+'Q4-19'!R95</f>
        <v>0</v>
      </c>
      <c r="S95" s="167">
        <f>+'Emission Factors'!J41</f>
        <v>1.5190600000000001</v>
      </c>
      <c r="T95" s="146">
        <f t="shared" si="10"/>
        <v>0</v>
      </c>
      <c r="U95" s="1969"/>
      <c r="V95" s="1970"/>
      <c r="W95" s="1971"/>
      <c r="X95" s="185">
        <f>+'Q1-19'!X95+'Q2-19'!X95+'Q3-19'!X95+'Q4-19'!X95</f>
        <v>0</v>
      </c>
      <c r="Y95" s="77">
        <f t="shared" si="11"/>
        <v>0</v>
      </c>
      <c r="Z95" s="1056" t="str">
        <f t="shared" si="12"/>
        <v/>
      </c>
    </row>
    <row r="96" spans="1:26" ht="15" customHeight="1" thickBot="1" x14ac:dyDescent="0.35">
      <c r="A96" s="320" t="s">
        <v>371</v>
      </c>
      <c r="B96" s="1913"/>
      <c r="C96" s="648" t="s">
        <v>100</v>
      </c>
      <c r="D96" s="1420">
        <f>+'Q1-19'!D96+'Q2-19'!D96+'Q3-19'!D96+'Q4-19'!D96</f>
        <v>0</v>
      </c>
      <c r="E96" s="382">
        <f t="shared" si="8"/>
        <v>0.16133999999999998</v>
      </c>
      <c r="F96" s="85">
        <f t="shared" si="9"/>
        <v>0</v>
      </c>
      <c r="G96" s="148"/>
      <c r="H96" s="148"/>
      <c r="I96" s="1952"/>
      <c r="J96" s="1953"/>
      <c r="K96" s="1954"/>
      <c r="L96" s="49"/>
      <c r="M96" s="49"/>
      <c r="N96" s="49"/>
      <c r="O96" s="1284" t="s">
        <v>409</v>
      </c>
      <c r="P96" s="1285"/>
      <c r="Q96" s="1286"/>
      <c r="R96" s="1427">
        <f>+'Q1-19'!R96+'Q2-19'!R96+'Q3-19'!R96+'Q4-19'!R96</f>
        <v>0</v>
      </c>
      <c r="S96" s="1428">
        <f>IF(R96=0,0,1000*T96/R96)</f>
        <v>0</v>
      </c>
      <c r="T96" s="147">
        <f>+'Q1-19'!T96+'Q2-19'!T96+'Q3-19'!T96+'Q4-19'!T96</f>
        <v>0</v>
      </c>
      <c r="U96" s="1975"/>
      <c r="V96" s="1976"/>
      <c r="W96" s="1977"/>
      <c r="X96" s="1428">
        <f>IF(R96=0,0,1000*Y96/W96)</f>
        <v>0</v>
      </c>
      <c r="Y96" s="80">
        <f>+'Q1-19'!Y96+'Q2-19'!Y96+'Q3-19'!Y96+'Q4-19'!Y96</f>
        <v>0</v>
      </c>
      <c r="Z96" s="1122" t="str">
        <f t="shared" si="12"/>
        <v/>
      </c>
    </row>
    <row r="97" spans="1:26" ht="15" customHeight="1" x14ac:dyDescent="0.3">
      <c r="A97" s="320" t="s">
        <v>371</v>
      </c>
      <c r="B97" s="1913"/>
      <c r="C97" s="648" t="s">
        <v>529</v>
      </c>
      <c r="D97" s="1420">
        <f>+'Q1-19'!D97+'Q2-19'!D97+'Q3-19'!D97+'Q4-19'!D97</f>
        <v>0</v>
      </c>
      <c r="E97" s="382">
        <f t="shared" si="8"/>
        <v>0.20021999999999998</v>
      </c>
      <c r="F97" s="85">
        <f t="shared" si="9"/>
        <v>0</v>
      </c>
      <c r="G97" s="148"/>
      <c r="H97" s="148"/>
      <c r="I97" s="1952"/>
      <c r="J97" s="1953"/>
      <c r="K97" s="1954"/>
      <c r="L97" s="49"/>
      <c r="M97" s="49"/>
      <c r="N97" s="49"/>
      <c r="O97" s="1965" t="s">
        <v>367</v>
      </c>
      <c r="P97" s="1965"/>
      <c r="Q97" s="1965"/>
      <c r="R97" s="1965"/>
      <c r="S97" s="1965"/>
      <c r="T97" s="1965"/>
      <c r="U97" s="1965"/>
      <c r="V97" s="1965"/>
      <c r="W97" s="1965"/>
      <c r="X97" s="49"/>
      <c r="Y97" s="49"/>
      <c r="Z97" s="49"/>
    </row>
    <row r="98" spans="1:26" ht="15" customHeight="1" x14ac:dyDescent="0.3">
      <c r="A98" s="320" t="s">
        <v>371</v>
      </c>
      <c r="B98" s="1913"/>
      <c r="C98" s="648" t="s">
        <v>102</v>
      </c>
      <c r="D98" s="1420">
        <f>+'Q1-19'!D98+'Q2-19'!D98+'Q3-19'!D98+'Q4-19'!D98</f>
        <v>50490770.850000001</v>
      </c>
      <c r="E98" s="382">
        <f t="shared" si="8"/>
        <v>0.18064</v>
      </c>
      <c r="F98" s="85">
        <f t="shared" si="9"/>
        <v>9120.652846343999</v>
      </c>
      <c r="G98" s="148"/>
      <c r="H98" s="148"/>
      <c r="I98" s="1952"/>
      <c r="J98" s="1953"/>
      <c r="K98" s="1954"/>
      <c r="L98" s="49"/>
      <c r="M98" s="49"/>
      <c r="N98" s="49"/>
      <c r="O98" s="1966"/>
      <c r="P98" s="1966"/>
      <c r="Q98" s="1966"/>
      <c r="R98" s="1966"/>
      <c r="S98" s="1966"/>
      <c r="T98" s="1966"/>
      <c r="U98" s="1966"/>
      <c r="V98" s="1966"/>
      <c r="W98" s="1966"/>
      <c r="X98" s="49"/>
      <c r="Y98" s="49"/>
      <c r="Z98" s="49"/>
    </row>
    <row r="99" spans="1:26" ht="15" customHeight="1" x14ac:dyDescent="0.3">
      <c r="A99" s="320" t="s">
        <v>371</v>
      </c>
      <c r="B99" s="1913"/>
      <c r="C99" s="648" t="s">
        <v>103</v>
      </c>
      <c r="D99" s="1420">
        <f>+'Q1-19'!D99+'Q2-19'!D99+'Q3-19'!D99+'Q4-19'!D99</f>
        <v>0</v>
      </c>
      <c r="E99" s="382">
        <f t="shared" si="8"/>
        <v>8.4629999999999997E-2</v>
      </c>
      <c r="F99" s="85">
        <f t="shared" si="9"/>
        <v>0</v>
      </c>
      <c r="G99" s="148"/>
      <c r="H99" s="148"/>
      <c r="I99" s="1952"/>
      <c r="J99" s="1953"/>
      <c r="K99" s="1954"/>
      <c r="L99" s="49"/>
      <c r="M99" s="49"/>
      <c r="N99" s="49"/>
      <c r="O99" s="1966"/>
      <c r="P99" s="1966"/>
      <c r="Q99" s="1966"/>
      <c r="R99" s="1966"/>
      <c r="S99" s="1966"/>
      <c r="T99" s="1966"/>
      <c r="U99" s="1966"/>
      <c r="V99" s="1966"/>
      <c r="W99" s="1966"/>
      <c r="X99" s="49"/>
      <c r="Y99" s="49"/>
      <c r="Z99" s="49"/>
    </row>
    <row r="100" spans="1:26" ht="15" customHeight="1" x14ac:dyDescent="0.3">
      <c r="A100" s="320" t="s">
        <v>371</v>
      </c>
      <c r="B100" s="1913"/>
      <c r="C100" s="648" t="s">
        <v>104</v>
      </c>
      <c r="D100" s="1420">
        <f>+'Q1-19'!D100+'Q2-19'!D100+'Q3-19'!D100+'Q4-19'!D100</f>
        <v>0</v>
      </c>
      <c r="E100" s="382">
        <f t="shared" si="8"/>
        <v>0.10310000000000001</v>
      </c>
      <c r="F100" s="85">
        <f t="shared" si="9"/>
        <v>0</v>
      </c>
      <c r="G100" s="148"/>
      <c r="H100" s="148"/>
      <c r="I100" s="1952"/>
      <c r="J100" s="1953"/>
      <c r="K100" s="1954"/>
      <c r="L100" s="49"/>
      <c r="M100" s="49"/>
      <c r="N100" s="49"/>
      <c r="O100" s="1966"/>
      <c r="P100" s="1966"/>
      <c r="Q100" s="1966"/>
      <c r="R100" s="1966"/>
      <c r="S100" s="1966"/>
      <c r="T100" s="1966"/>
      <c r="U100" s="1966"/>
      <c r="V100" s="1966"/>
      <c r="W100" s="1966"/>
      <c r="X100" s="49"/>
      <c r="Y100" s="49"/>
      <c r="Z100" s="49"/>
    </row>
    <row r="101" spans="1:26" ht="15" customHeight="1" x14ac:dyDescent="0.3">
      <c r="A101" s="320" t="s">
        <v>371</v>
      </c>
      <c r="B101" s="1913"/>
      <c r="C101" s="648" t="s">
        <v>105</v>
      </c>
      <c r="D101" s="1420">
        <f>+'Q1-19'!D101+'Q2-19'!D101+'Q3-19'!D101+'Q4-19'!D101</f>
        <v>0</v>
      </c>
      <c r="E101" s="382">
        <f t="shared" si="8"/>
        <v>0.13528000000000001</v>
      </c>
      <c r="F101" s="85">
        <f t="shared" si="9"/>
        <v>0</v>
      </c>
      <c r="G101" s="148"/>
      <c r="H101" s="148"/>
      <c r="I101" s="1952"/>
      <c r="J101" s="1953"/>
      <c r="K101" s="1954"/>
      <c r="L101" s="49"/>
      <c r="M101" s="49"/>
      <c r="N101" s="49"/>
      <c r="O101" s="49"/>
      <c r="P101" s="49"/>
      <c r="Q101" s="49"/>
      <c r="R101" s="49"/>
      <c r="S101" s="49"/>
      <c r="T101" s="49"/>
      <c r="U101" s="49"/>
      <c r="V101" s="49"/>
      <c r="W101" s="49"/>
      <c r="X101" s="49"/>
      <c r="Y101" s="49"/>
      <c r="Z101" s="49"/>
    </row>
    <row r="102" spans="1:26" ht="15" customHeight="1" x14ac:dyDescent="0.3">
      <c r="A102" s="320" t="s">
        <v>371</v>
      </c>
      <c r="B102" s="1913"/>
      <c r="C102" s="648" t="s">
        <v>106</v>
      </c>
      <c r="D102" s="1420">
        <f>+'Q1-19'!D102+'Q2-19'!D102+'Q3-19'!D102+'Q4-19'!D102</f>
        <v>0</v>
      </c>
      <c r="E102" s="382">
        <f t="shared" si="8"/>
        <v>0.11528999999999999</v>
      </c>
      <c r="F102" s="85">
        <f t="shared" si="9"/>
        <v>0</v>
      </c>
      <c r="G102" s="148"/>
      <c r="H102" s="148"/>
      <c r="I102" s="1952"/>
      <c r="J102" s="1953"/>
      <c r="K102" s="1954"/>
      <c r="L102" s="49"/>
      <c r="M102" s="49"/>
      <c r="N102" s="49"/>
      <c r="O102" s="49"/>
      <c r="P102" s="49"/>
      <c r="Q102" s="49"/>
      <c r="R102" s="49"/>
      <c r="S102" s="49"/>
      <c r="T102" s="49"/>
      <c r="U102" s="49"/>
      <c r="V102" s="49"/>
      <c r="W102" s="49"/>
      <c r="X102" s="49"/>
      <c r="Y102" s="49"/>
      <c r="Z102" s="49"/>
    </row>
    <row r="103" spans="1:26" ht="15" customHeight="1" x14ac:dyDescent="0.3">
      <c r="A103" s="320" t="s">
        <v>371</v>
      </c>
      <c r="B103" s="1913"/>
      <c r="C103" s="649" t="s">
        <v>410</v>
      </c>
      <c r="D103" s="1420">
        <f>+'Q1-19'!D103+'Q2-19'!D103+'Q3-19'!D103+'Q4-19'!D103</f>
        <v>0</v>
      </c>
      <c r="E103" s="1433">
        <f>IF(D103=0,0,1000*F103/D103)</f>
        <v>0</v>
      </c>
      <c r="F103" s="85">
        <f>+'Q1-19'!F103+'Q2-19'!F103+'Q3-19'!F103+'Q4-19'!F103</f>
        <v>0</v>
      </c>
      <c r="G103" s="148"/>
      <c r="H103" s="148"/>
      <c r="I103" s="1952"/>
      <c r="J103" s="1953"/>
      <c r="K103" s="1954"/>
      <c r="L103" s="49"/>
      <c r="M103" s="49"/>
      <c r="N103" s="49"/>
      <c r="O103" s="49"/>
      <c r="P103" s="49"/>
      <c r="Q103" s="49"/>
      <c r="R103" s="49"/>
      <c r="S103" s="49"/>
      <c r="T103" s="49"/>
      <c r="U103" s="49"/>
      <c r="V103" s="49"/>
      <c r="W103" s="49"/>
      <c r="X103" s="49"/>
      <c r="Y103" s="49"/>
      <c r="Z103" s="49"/>
    </row>
    <row r="104" spans="1:26" ht="15" customHeight="1" x14ac:dyDescent="0.3">
      <c r="A104" s="320" t="s">
        <v>371</v>
      </c>
      <c r="B104" s="1913"/>
      <c r="C104" s="649" t="s">
        <v>411</v>
      </c>
      <c r="D104" s="1420">
        <f>+'Q1-19'!D104+'Q2-19'!D104+'Q3-19'!D104+'Q4-19'!D104</f>
        <v>0</v>
      </c>
      <c r="E104" s="1433">
        <f>IF(D104=0,0,1000*F104/D104)</f>
        <v>0</v>
      </c>
      <c r="F104" s="85">
        <f>+'Q1-19'!F104+'Q2-19'!F104+'Q3-19'!F104+'Q4-19'!F104</f>
        <v>0</v>
      </c>
      <c r="G104" s="148"/>
      <c r="H104" s="148"/>
      <c r="I104" s="1952"/>
      <c r="J104" s="1953"/>
      <c r="K104" s="1954"/>
      <c r="L104" s="49"/>
      <c r="M104" s="49"/>
      <c r="N104" s="49"/>
      <c r="O104" s="49"/>
      <c r="P104" s="49"/>
      <c r="Q104" s="49"/>
      <c r="R104" s="49"/>
      <c r="S104" s="49"/>
      <c r="T104" s="49"/>
      <c r="U104" s="49"/>
      <c r="V104" s="49"/>
      <c r="W104" s="49"/>
      <c r="X104" s="49"/>
      <c r="Y104" s="49"/>
      <c r="Z104" s="49"/>
    </row>
    <row r="105" spans="1:26" ht="15" customHeight="1" x14ac:dyDescent="0.3">
      <c r="A105" s="320" t="s">
        <v>371</v>
      </c>
      <c r="B105" s="1913"/>
      <c r="C105" s="649" t="s">
        <v>412</v>
      </c>
      <c r="D105" s="1420">
        <f>+'Q1-19'!D105+'Q2-19'!D105+'Q3-19'!D105+'Q4-19'!D105</f>
        <v>0</v>
      </c>
      <c r="E105" s="1433">
        <f>IF(D105=0,0,1000*F105/D105)</f>
        <v>0</v>
      </c>
      <c r="F105" s="85">
        <f>+'Q1-19'!F105+'Q2-19'!F105+'Q3-19'!F105+'Q4-19'!F105</f>
        <v>0</v>
      </c>
      <c r="G105" s="148"/>
      <c r="H105" s="148"/>
      <c r="I105" s="1952"/>
      <c r="J105" s="1953"/>
      <c r="K105" s="1954"/>
      <c r="L105" s="49"/>
      <c r="M105" s="49"/>
      <c r="N105" s="49"/>
      <c r="O105" s="49"/>
      <c r="P105" s="49"/>
      <c r="Q105" s="49"/>
      <c r="R105" s="49"/>
      <c r="S105" s="49"/>
      <c r="T105" s="49"/>
      <c r="U105" s="49"/>
      <c r="V105" s="49"/>
      <c r="W105" s="49"/>
      <c r="X105" s="49"/>
      <c r="Y105" s="49"/>
      <c r="Z105" s="49"/>
    </row>
    <row r="106" spans="1:26" ht="15" customHeight="1" x14ac:dyDescent="0.3">
      <c r="A106" s="320"/>
      <c r="B106" s="1913"/>
      <c r="C106" s="649" t="s">
        <v>509</v>
      </c>
      <c r="D106" s="1420">
        <f>+'Q1-19'!D106+'Q2-19'!D106+'Q3-19'!D106+'Q4-19'!D106</f>
        <v>0</v>
      </c>
      <c r="E106" s="1433">
        <f t="shared" ref="E106:E107" si="13">IF(D106=0,0,1000*F106/D106)</f>
        <v>0</v>
      </c>
      <c r="F106" s="85">
        <f>+'Q1-19'!F106+'Q2-19'!F106+'Q3-19'!F106+'Q4-19'!F106</f>
        <v>0</v>
      </c>
      <c r="G106" s="148"/>
      <c r="H106" s="148"/>
      <c r="I106" s="1952"/>
      <c r="J106" s="1953"/>
      <c r="K106" s="1954"/>
      <c r="L106" s="49"/>
      <c r="M106" s="49"/>
      <c r="N106" s="49"/>
      <c r="O106" s="49"/>
      <c r="P106" s="49"/>
      <c r="Q106" s="49"/>
      <c r="R106" s="49"/>
      <c r="S106" s="49"/>
      <c r="T106" s="49"/>
      <c r="U106" s="49"/>
      <c r="V106" s="49"/>
      <c r="W106" s="49"/>
      <c r="X106" s="49"/>
      <c r="Y106" s="49"/>
      <c r="Z106" s="49"/>
    </row>
    <row r="107" spans="1:26" ht="15" customHeight="1" thickBot="1" x14ac:dyDescent="0.35">
      <c r="A107" s="320"/>
      <c r="B107" s="1913"/>
      <c r="C107" s="649" t="s">
        <v>510</v>
      </c>
      <c r="D107" s="1435">
        <f>+'Q1-19'!D107+'Q2-19'!D107+'Q3-19'!D107+'Q4-19'!D107</f>
        <v>0</v>
      </c>
      <c r="E107" s="1436">
        <f t="shared" si="13"/>
        <v>0</v>
      </c>
      <c r="F107" s="1139">
        <f>+'Q1-19'!F107+'Q2-19'!F107+'Q3-19'!F107+'Q4-19'!F107</f>
        <v>0</v>
      </c>
      <c r="G107" s="148"/>
      <c r="H107" s="148"/>
      <c r="I107" s="1981"/>
      <c r="J107" s="1982"/>
      <c r="K107" s="1983"/>
      <c r="L107" s="49"/>
      <c r="M107" s="49"/>
      <c r="N107" s="49"/>
      <c r="O107" s="49"/>
      <c r="P107" s="49"/>
      <c r="Q107" s="49"/>
      <c r="R107" s="49"/>
      <c r="S107" s="49"/>
      <c r="T107" s="49"/>
      <c r="U107" s="49"/>
      <c r="V107" s="49"/>
      <c r="W107" s="49"/>
      <c r="X107" s="49"/>
      <c r="Y107" s="49"/>
      <c r="Z107" s="49"/>
    </row>
    <row r="108" spans="1:26" ht="15.75" customHeight="1" thickBot="1" x14ac:dyDescent="0.35">
      <c r="A108" s="320"/>
      <c r="B108" s="1955" t="s">
        <v>459</v>
      </c>
      <c r="C108" s="1956"/>
      <c r="D108" s="1431">
        <f>SUM(D109:D121)</f>
        <v>63452158.791455805</v>
      </c>
      <c r="E108" s="1432"/>
      <c r="F108" s="171">
        <f>SUM(F109:F121)</f>
        <v>3016.2109975479907</v>
      </c>
      <c r="G108" s="1112"/>
      <c r="H108" s="1112"/>
      <c r="I108" s="1984"/>
      <c r="J108" s="1985"/>
      <c r="K108" s="1986"/>
      <c r="L108" s="49"/>
      <c r="M108" s="49"/>
      <c r="N108" s="49"/>
      <c r="O108" s="49"/>
      <c r="P108" s="49"/>
      <c r="Q108" s="49"/>
      <c r="R108" s="49"/>
      <c r="S108" s="49"/>
      <c r="T108" s="49"/>
      <c r="U108" s="49"/>
      <c r="V108" s="49"/>
      <c r="W108" s="49"/>
      <c r="X108" s="49"/>
      <c r="Y108" s="49"/>
      <c r="Z108" s="49"/>
    </row>
    <row r="109" spans="1:26" ht="15" customHeight="1" x14ac:dyDescent="0.3">
      <c r="A109" s="320" t="s">
        <v>371</v>
      </c>
      <c r="B109" s="1884" t="s">
        <v>113</v>
      </c>
      <c r="C109" s="648" t="s">
        <v>114</v>
      </c>
      <c r="D109" s="1429">
        <f>+'Q1-19'!D109+'Q2-19'!D109+'Q3-19'!D109+'Q4-19'!D109</f>
        <v>1838086.5939750415</v>
      </c>
      <c r="E109" s="1430">
        <f>+'Emission Factors'!J88</f>
        <v>0.15777000000000002</v>
      </c>
      <c r="F109" s="85">
        <f t="shared" ref="F109:F118" si="14">(D109*E109)/1000</f>
        <v>289.99492193144232</v>
      </c>
      <c r="G109" s="148"/>
      <c r="H109" s="148"/>
      <c r="I109" s="1987"/>
      <c r="J109" s="1988"/>
      <c r="K109" s="1989"/>
      <c r="L109" s="49"/>
      <c r="M109" s="49"/>
      <c r="N109" s="49"/>
      <c r="O109" s="49"/>
      <c r="P109" s="49"/>
      <c r="Q109" s="49"/>
      <c r="R109" s="49"/>
      <c r="S109" s="49"/>
      <c r="T109" s="49"/>
      <c r="U109" s="49"/>
      <c r="V109" s="49"/>
      <c r="W109" s="49"/>
      <c r="X109" s="49"/>
      <c r="Y109" s="49"/>
      <c r="Z109" s="49"/>
    </row>
    <row r="110" spans="1:26" ht="15" customHeight="1" x14ac:dyDescent="0.3">
      <c r="A110" s="320" t="s">
        <v>371</v>
      </c>
      <c r="B110" s="1884"/>
      <c r="C110" s="648" t="s">
        <v>115</v>
      </c>
      <c r="D110" s="348">
        <f>+'Q1-19'!D110+'Q2-19'!D110+'Q3-19'!D110+'Q4-19'!D110</f>
        <v>61591100.197480761</v>
      </c>
      <c r="E110" s="382">
        <f>+'Emission Factors'!J89</f>
        <v>4.4239999999999995E-2</v>
      </c>
      <c r="F110" s="85">
        <f t="shared" si="14"/>
        <v>2724.7902727365486</v>
      </c>
      <c r="G110" s="148"/>
      <c r="H110" s="148"/>
      <c r="I110" s="1978"/>
      <c r="J110" s="1979"/>
      <c r="K110" s="1980"/>
      <c r="L110" s="49"/>
      <c r="M110" s="49"/>
      <c r="N110" s="49"/>
      <c r="O110" s="49"/>
      <c r="P110" s="49"/>
      <c r="Q110" s="49"/>
      <c r="R110" s="49"/>
      <c r="S110" s="49"/>
      <c r="T110" s="49"/>
      <c r="U110" s="49"/>
      <c r="V110" s="49"/>
      <c r="W110" s="49"/>
      <c r="X110" s="49"/>
      <c r="Y110" s="49"/>
      <c r="Z110" s="49"/>
    </row>
    <row r="111" spans="1:26" ht="15" customHeight="1" x14ac:dyDescent="0.3">
      <c r="A111" s="320" t="s">
        <v>371</v>
      </c>
      <c r="B111" s="1884"/>
      <c r="C111" s="648" t="s">
        <v>116</v>
      </c>
      <c r="D111" s="348">
        <f>+'Q1-19'!D111+'Q2-19'!D111+'Q3-19'!D111+'Q4-19'!D111</f>
        <v>0</v>
      </c>
      <c r="E111" s="382">
        <f>+'Emission Factors'!J90</f>
        <v>3.9670000000000004E-2</v>
      </c>
      <c r="F111" s="85">
        <f t="shared" si="14"/>
        <v>0</v>
      </c>
      <c r="G111" s="148"/>
      <c r="H111" s="148"/>
      <c r="I111" s="1978"/>
      <c r="J111" s="1979"/>
      <c r="K111" s="1980"/>
      <c r="L111" s="49"/>
      <c r="M111" s="49"/>
      <c r="N111" s="49"/>
      <c r="O111" s="49"/>
      <c r="P111" s="49"/>
      <c r="Q111" s="49"/>
      <c r="R111" s="49"/>
      <c r="S111" s="49"/>
      <c r="T111" s="49"/>
      <c r="U111" s="49"/>
      <c r="V111" s="49"/>
      <c r="W111" s="49"/>
      <c r="X111" s="49"/>
      <c r="Y111" s="49"/>
      <c r="Z111" s="49"/>
    </row>
    <row r="112" spans="1:26" ht="15" customHeight="1" x14ac:dyDescent="0.3">
      <c r="A112" s="320" t="s">
        <v>371</v>
      </c>
      <c r="B112" s="1884"/>
      <c r="C112" s="648" t="s">
        <v>117</v>
      </c>
      <c r="D112" s="348">
        <f>+'Q1-19'!D112+'Q2-19'!D112+'Q3-19'!D112+'Q4-19'!D112</f>
        <v>18120</v>
      </c>
      <c r="E112" s="382">
        <f>+'Emission Factors'!J91</f>
        <v>3.7600000000000001E-2</v>
      </c>
      <c r="F112" s="85">
        <f t="shared" si="14"/>
        <v>0.68131200000000003</v>
      </c>
      <c r="G112" s="148"/>
      <c r="H112" s="148"/>
      <c r="I112" s="1978"/>
      <c r="J112" s="1979"/>
      <c r="K112" s="1980"/>
      <c r="L112" s="49"/>
      <c r="M112" s="49"/>
      <c r="N112" s="49"/>
      <c r="O112" s="49"/>
      <c r="P112" s="49"/>
      <c r="Q112" s="49"/>
      <c r="R112" s="49"/>
      <c r="S112" s="49"/>
      <c r="T112" s="49"/>
      <c r="U112" s="49"/>
      <c r="V112" s="49"/>
      <c r="W112" s="49"/>
      <c r="X112" s="49"/>
      <c r="Y112" s="49"/>
      <c r="Z112" s="49"/>
    </row>
    <row r="113" spans="1:26" ht="15" customHeight="1" x14ac:dyDescent="0.3">
      <c r="A113" s="320" t="s">
        <v>371</v>
      </c>
      <c r="B113" s="1884"/>
      <c r="C113" s="648" t="s">
        <v>118</v>
      </c>
      <c r="D113" s="348">
        <f>+'Q1-19'!D113+'Q2-19'!D113+'Q3-19'!D113+'Q4-19'!D113</f>
        <v>4852</v>
      </c>
      <c r="E113" s="382">
        <f>+'Emission Factors'!J92</f>
        <v>0.15343999999999999</v>
      </c>
      <c r="F113" s="85">
        <f t="shared" si="14"/>
        <v>0.74449087999999997</v>
      </c>
      <c r="G113" s="148"/>
      <c r="H113" s="148"/>
      <c r="I113" s="1978"/>
      <c r="J113" s="1979"/>
      <c r="K113" s="1980"/>
      <c r="L113" s="49"/>
      <c r="M113" s="49"/>
      <c r="N113" s="49"/>
      <c r="O113" s="49"/>
      <c r="P113" s="49"/>
      <c r="Q113" s="49"/>
      <c r="R113" s="49"/>
      <c r="S113" s="49"/>
      <c r="T113" s="49"/>
      <c r="U113" s="49"/>
      <c r="V113" s="49"/>
      <c r="W113" s="49"/>
      <c r="X113" s="49"/>
      <c r="Y113" s="49"/>
      <c r="Z113" s="49"/>
    </row>
    <row r="114" spans="1:26" ht="15" customHeight="1" x14ac:dyDescent="0.3">
      <c r="A114" s="320" t="s">
        <v>371</v>
      </c>
      <c r="B114" s="1884"/>
      <c r="C114" s="648" t="s">
        <v>119</v>
      </c>
      <c r="D114" s="348">
        <f>+'Q1-19'!D114+'Q2-19'!D114+'Q3-19'!D114+'Q4-19'!D114</f>
        <v>0</v>
      </c>
      <c r="E114" s="382">
        <f>+'Emission Factors'!J93</f>
        <v>0.2142</v>
      </c>
      <c r="F114" s="85">
        <f t="shared" si="14"/>
        <v>0</v>
      </c>
      <c r="G114" s="148"/>
      <c r="H114" s="148"/>
      <c r="I114" s="1978"/>
      <c r="J114" s="1979"/>
      <c r="K114" s="1980"/>
      <c r="L114" s="49"/>
      <c r="M114" s="49"/>
      <c r="N114" s="49"/>
      <c r="O114" s="49"/>
      <c r="P114" s="49"/>
      <c r="Q114" s="49"/>
      <c r="R114" s="49"/>
      <c r="S114" s="49"/>
      <c r="T114" s="49"/>
      <c r="U114" s="49"/>
      <c r="V114" s="49"/>
      <c r="W114" s="49"/>
      <c r="X114" s="49"/>
      <c r="Y114" s="49"/>
      <c r="Z114" s="49"/>
    </row>
    <row r="115" spans="1:26" ht="15" customHeight="1" x14ac:dyDescent="0.3">
      <c r="A115" s="320" t="s">
        <v>371</v>
      </c>
      <c r="B115" s="1884"/>
      <c r="C115" s="648" t="s">
        <v>120</v>
      </c>
      <c r="D115" s="348">
        <f>+'Q1-19'!D115+'Q2-19'!D115+'Q3-19'!D115+'Q4-19'!D115</f>
        <v>0</v>
      </c>
      <c r="E115" s="382">
        <f>+'Emission Factors'!J94</f>
        <v>0.12007</v>
      </c>
      <c r="F115" s="85">
        <f t="shared" si="14"/>
        <v>0</v>
      </c>
      <c r="G115" s="148"/>
      <c r="H115" s="148"/>
      <c r="I115" s="1978"/>
      <c r="J115" s="1979"/>
      <c r="K115" s="1980"/>
      <c r="L115" s="49"/>
      <c r="M115" s="49"/>
      <c r="N115" s="49"/>
      <c r="O115" s="49"/>
      <c r="P115" s="49"/>
      <c r="Q115" s="49"/>
      <c r="R115" s="49"/>
      <c r="S115" s="49"/>
      <c r="T115" s="49"/>
      <c r="U115" s="49"/>
      <c r="V115" s="49"/>
      <c r="W115" s="49"/>
      <c r="X115" s="49"/>
      <c r="Y115" s="49"/>
      <c r="Z115" s="49"/>
    </row>
    <row r="116" spans="1:26" ht="15" customHeight="1" x14ac:dyDescent="0.3">
      <c r="A116" s="320" t="s">
        <v>371</v>
      </c>
      <c r="B116" s="1884"/>
      <c r="C116" s="648" t="s">
        <v>121</v>
      </c>
      <c r="D116" s="348">
        <f>+'Q1-19'!D116+'Q2-19'!D116+'Q3-19'!D116+'Q4-19'!D116</f>
        <v>0</v>
      </c>
      <c r="E116" s="382">
        <f>+'Emission Factors'!J95</f>
        <v>7.2110000000000007E-2</v>
      </c>
      <c r="F116" s="85">
        <f t="shared" si="14"/>
        <v>0</v>
      </c>
      <c r="G116" s="148"/>
      <c r="H116" s="148"/>
      <c r="I116" s="1978"/>
      <c r="J116" s="1979"/>
      <c r="K116" s="1980"/>
      <c r="L116" s="49"/>
      <c r="M116" s="49"/>
      <c r="N116" s="49"/>
      <c r="O116" s="49"/>
      <c r="P116" s="49"/>
      <c r="Q116" s="49"/>
      <c r="R116" s="49"/>
      <c r="S116" s="49"/>
      <c r="T116" s="49"/>
      <c r="U116" s="49"/>
      <c r="V116" s="49"/>
      <c r="W116" s="49"/>
      <c r="X116" s="49"/>
      <c r="Y116" s="49"/>
      <c r="Z116" s="49"/>
    </row>
    <row r="117" spans="1:26" ht="15" customHeight="1" x14ac:dyDescent="0.3">
      <c r="A117" s="320" t="s">
        <v>371</v>
      </c>
      <c r="B117" s="1884"/>
      <c r="C117" s="648" t="s">
        <v>122</v>
      </c>
      <c r="D117" s="348">
        <f>+'Q1-19'!D117+'Q2-19'!D117+'Q3-19'!D117+'Q4-19'!D117</f>
        <v>0</v>
      </c>
      <c r="E117" s="382">
        <f>+'Emission Factors'!J96</f>
        <v>0.10097</v>
      </c>
      <c r="F117" s="85">
        <f t="shared" si="14"/>
        <v>0</v>
      </c>
      <c r="G117" s="148"/>
      <c r="H117" s="148"/>
      <c r="I117" s="1978"/>
      <c r="J117" s="1979"/>
      <c r="K117" s="1980"/>
      <c r="L117" s="49"/>
      <c r="M117" s="49"/>
      <c r="N117" s="49"/>
      <c r="O117" s="49"/>
      <c r="P117" s="49"/>
      <c r="Q117" s="49"/>
      <c r="R117" s="49"/>
      <c r="S117" s="49"/>
      <c r="T117" s="49"/>
      <c r="U117" s="49"/>
      <c r="V117" s="49"/>
      <c r="W117" s="49"/>
      <c r="X117" s="49"/>
      <c r="Y117" s="49"/>
      <c r="Z117" s="49"/>
    </row>
    <row r="118" spans="1:26" ht="15" customHeight="1" x14ac:dyDescent="0.3">
      <c r="A118" s="320" t="s">
        <v>371</v>
      </c>
      <c r="B118" s="1884"/>
      <c r="C118" s="648" t="s">
        <v>123</v>
      </c>
      <c r="D118" s="348">
        <f>+'Q1-19'!D118+'Q2-19'!D118+'Q3-19'!D118+'Q4-19'!D118</f>
        <v>0</v>
      </c>
      <c r="E118" s="382">
        <f>+'Emission Factors'!J97</f>
        <v>2.801E-2</v>
      </c>
      <c r="F118" s="85">
        <f t="shared" si="14"/>
        <v>0</v>
      </c>
      <c r="G118" s="148"/>
      <c r="H118" s="148"/>
      <c r="I118" s="1978"/>
      <c r="J118" s="1979"/>
      <c r="K118" s="1980"/>
      <c r="L118" s="49"/>
      <c r="M118" s="49"/>
      <c r="N118" s="49"/>
      <c r="O118" s="49"/>
      <c r="P118" s="49"/>
      <c r="Q118" s="49"/>
      <c r="R118" s="49"/>
      <c r="S118" s="49"/>
      <c r="T118" s="49"/>
      <c r="U118" s="49"/>
      <c r="V118" s="49"/>
      <c r="W118" s="49"/>
      <c r="X118" s="49"/>
      <c r="Y118" s="49"/>
      <c r="Z118" s="49"/>
    </row>
    <row r="119" spans="1:26" ht="15" customHeight="1" x14ac:dyDescent="0.3">
      <c r="A119" s="320" t="s">
        <v>371</v>
      </c>
      <c r="B119" s="1884"/>
      <c r="C119" s="649" t="s">
        <v>410</v>
      </c>
      <c r="D119" s="348">
        <f>+'Q1-19'!D119+'Q2-19'!D119+'Q3-19'!D119+'Q4-19'!D119</f>
        <v>0</v>
      </c>
      <c r="E119" s="69">
        <f>IF(D119=0,0,1000*F119/D119)</f>
        <v>0</v>
      </c>
      <c r="F119" s="40">
        <f>+'Q1-19'!F119+'Q2-19'!F119+'Q3-19'!F119+'Q4-19'!F119</f>
        <v>0</v>
      </c>
      <c r="G119" s="148"/>
      <c r="H119" s="148"/>
      <c r="I119" s="1978"/>
      <c r="J119" s="1979"/>
      <c r="K119" s="1980"/>
      <c r="L119" s="49"/>
      <c r="M119" s="49"/>
      <c r="N119" s="49"/>
      <c r="O119" s="49"/>
      <c r="P119" s="49"/>
      <c r="Q119" s="49"/>
      <c r="R119" s="49"/>
      <c r="S119" s="49"/>
      <c r="T119" s="49"/>
      <c r="U119" s="49"/>
      <c r="V119" s="49"/>
      <c r="W119" s="49"/>
      <c r="X119" s="49"/>
      <c r="Y119" s="49"/>
      <c r="Z119" s="49"/>
    </row>
    <row r="120" spans="1:26" ht="15" customHeight="1" x14ac:dyDescent="0.3">
      <c r="A120" s="320" t="s">
        <v>371</v>
      </c>
      <c r="B120" s="1884"/>
      <c r="C120" s="649" t="s">
        <v>411</v>
      </c>
      <c r="D120" s="348">
        <f>+'Q1-19'!D120+'Q2-19'!D120+'Q3-19'!D120+'Q4-19'!D120</f>
        <v>0</v>
      </c>
      <c r="E120" s="69">
        <f>IF(D120=0,0,1000*F120/D120)</f>
        <v>0</v>
      </c>
      <c r="F120" s="40">
        <f>+'Q1-19'!F120+'Q2-19'!F120+'Q3-19'!F120+'Q4-19'!F120</f>
        <v>0</v>
      </c>
      <c r="G120" s="148"/>
      <c r="H120" s="148"/>
      <c r="I120" s="1978"/>
      <c r="J120" s="1979"/>
      <c r="K120" s="1980"/>
      <c r="L120" s="49"/>
      <c r="M120" s="49"/>
      <c r="N120" s="49"/>
      <c r="O120" s="49"/>
      <c r="P120" s="49"/>
      <c r="Q120" s="49"/>
      <c r="R120" s="49"/>
      <c r="S120" s="49"/>
      <c r="T120" s="49"/>
      <c r="U120" s="49"/>
      <c r="V120" s="49"/>
      <c r="W120" s="49"/>
      <c r="X120" s="49"/>
      <c r="Y120" s="49"/>
      <c r="Z120" s="49"/>
    </row>
    <row r="121" spans="1:26" ht="15" customHeight="1" thickBot="1" x14ac:dyDescent="0.35">
      <c r="A121" s="320" t="s">
        <v>371</v>
      </c>
      <c r="B121" s="1884"/>
      <c r="C121" s="649" t="s">
        <v>412</v>
      </c>
      <c r="D121" s="1053">
        <f>+'Q1-19'!D121+'Q2-19'!D121+'Q3-19'!D121+'Q4-19'!D121</f>
        <v>0</v>
      </c>
      <c r="E121" s="172">
        <f>IF(D121=0,0,1000*F121/D121)</f>
        <v>0</v>
      </c>
      <c r="F121" s="190">
        <f>+'Q1-19'!F121+'Q2-19'!F121+'Q3-19'!F121+'Q4-19'!F121</f>
        <v>0</v>
      </c>
      <c r="G121" s="173"/>
      <c r="H121" s="173"/>
      <c r="I121" s="1993"/>
      <c r="J121" s="1994"/>
      <c r="K121" s="1995"/>
      <c r="L121" s="49"/>
      <c r="M121" s="49"/>
      <c r="N121" s="49"/>
      <c r="O121" s="49"/>
      <c r="P121" s="49"/>
      <c r="Q121" s="49"/>
      <c r="R121" s="49"/>
      <c r="S121" s="49"/>
      <c r="T121" s="49"/>
      <c r="U121" s="49"/>
      <c r="V121" s="49"/>
      <c r="W121" s="49"/>
      <c r="X121" s="49"/>
      <c r="Y121" s="49"/>
      <c r="Z121" s="49"/>
    </row>
    <row r="122" spans="1:26" ht="14.4" thickBot="1" x14ac:dyDescent="0.35">
      <c r="A122" s="320"/>
      <c r="B122" s="656" t="s">
        <v>406</v>
      </c>
      <c r="C122" s="658" t="s">
        <v>405</v>
      </c>
      <c r="D122" s="1439">
        <f>+'Q1-19'!D122+'Q2-19'!D122+'Q3-19'!D122+'Q4-19'!D122</f>
        <v>0</v>
      </c>
      <c r="E122" s="389"/>
      <c r="F122" s="389"/>
      <c r="G122" s="1112"/>
      <c r="H122" s="1113"/>
      <c r="I122" s="1996"/>
      <c r="J122" s="1997"/>
      <c r="K122" s="1998"/>
      <c r="L122" s="49"/>
      <c r="M122" s="49"/>
      <c r="N122" s="49"/>
      <c r="O122" s="49"/>
      <c r="P122" s="49"/>
      <c r="Q122" s="49"/>
      <c r="R122" s="49"/>
      <c r="S122" s="49"/>
      <c r="T122" s="49"/>
      <c r="U122" s="49"/>
      <c r="V122" s="49"/>
      <c r="W122" s="49"/>
      <c r="X122" s="49"/>
      <c r="Y122" s="49"/>
      <c r="Z122" s="49"/>
    </row>
    <row r="123" spans="1:26" ht="13.5" customHeight="1" thickBot="1" x14ac:dyDescent="0.35">
      <c r="A123" s="320"/>
      <c r="B123" s="657" t="s">
        <v>460</v>
      </c>
      <c r="C123" s="655"/>
      <c r="D123" s="654"/>
      <c r="E123" s="389"/>
      <c r="F123" s="1111">
        <f>+F19+F53+F64+T67+F86+T89+F108</f>
        <v>336511.49261138501</v>
      </c>
      <c r="G123" s="49"/>
      <c r="H123" s="49"/>
      <c r="I123" s="49"/>
      <c r="J123" s="49"/>
      <c r="K123" s="49"/>
      <c r="L123" s="49"/>
      <c r="M123" s="49"/>
      <c r="N123" s="49"/>
      <c r="O123" s="49"/>
      <c r="P123" s="49"/>
      <c r="Q123" s="49"/>
      <c r="R123" s="49"/>
      <c r="S123" s="49"/>
      <c r="T123" s="49"/>
      <c r="U123" s="49"/>
      <c r="V123" s="49"/>
      <c r="W123" s="49"/>
      <c r="X123" s="49"/>
      <c r="Y123" s="49"/>
      <c r="Z123" s="49"/>
    </row>
    <row r="124" spans="1:26" s="589" customFormat="1" ht="15" thickBot="1" x14ac:dyDescent="0.35">
      <c r="A124" s="391"/>
      <c r="B124" s="392" t="s">
        <v>125</v>
      </c>
      <c r="C124" s="393"/>
      <c r="D124" s="393"/>
      <c r="E124" s="393"/>
      <c r="F124" s="393"/>
      <c r="G124" s="393"/>
      <c r="H124" s="394"/>
      <c r="I124" s="395"/>
      <c r="J124" s="396"/>
      <c r="K124" s="396"/>
      <c r="L124" s="396"/>
      <c r="M124" s="396"/>
      <c r="N124" s="396"/>
      <c r="O124" s="396"/>
      <c r="P124" s="396"/>
      <c r="Q124" s="396"/>
      <c r="R124" s="396"/>
      <c r="S124" s="396"/>
      <c r="T124" s="396"/>
      <c r="U124" s="396"/>
      <c r="V124" s="396"/>
      <c r="W124" s="396"/>
      <c r="X124" s="396"/>
      <c r="Y124" s="396"/>
      <c r="Z124" s="396"/>
    </row>
    <row r="125" spans="1:26" ht="15.75" customHeight="1" thickBot="1" x14ac:dyDescent="0.35">
      <c r="A125" s="320"/>
      <c r="B125" s="397"/>
      <c r="C125" s="398"/>
      <c r="D125" s="1999" t="s">
        <v>23</v>
      </c>
      <c r="E125" s="2000"/>
      <c r="F125" s="2001"/>
      <c r="G125" s="376"/>
      <c r="H125" s="376"/>
      <c r="I125" s="2002" t="s">
        <v>24</v>
      </c>
      <c r="J125" s="2003"/>
      <c r="K125" s="2004"/>
      <c r="L125" s="361" t="s">
        <v>408</v>
      </c>
      <c r="M125" s="49"/>
      <c r="N125" s="49"/>
      <c r="O125" s="49"/>
      <c r="P125" s="49"/>
      <c r="Q125" s="49"/>
      <c r="R125" s="49"/>
      <c r="S125" s="49"/>
      <c r="T125" s="49"/>
      <c r="U125" s="49"/>
      <c r="V125" s="49"/>
      <c r="W125" s="49"/>
      <c r="X125" s="49"/>
      <c r="Y125" s="49"/>
      <c r="Z125" s="49"/>
    </row>
    <row r="126" spans="1:26" ht="15.75" customHeight="1" thickBot="1" x14ac:dyDescent="0.35">
      <c r="A126" s="320"/>
      <c r="B126" s="397"/>
      <c r="C126" s="398"/>
      <c r="D126" s="399" t="s">
        <v>81</v>
      </c>
      <c r="E126" s="1438" t="s">
        <v>171</v>
      </c>
      <c r="F126" s="401" t="s">
        <v>174</v>
      </c>
      <c r="G126" s="148"/>
      <c r="H126" s="148"/>
      <c r="I126" s="2005"/>
      <c r="J126" s="2006"/>
      <c r="K126" s="2007"/>
      <c r="L126" s="663" t="s">
        <v>28</v>
      </c>
      <c r="M126" s="49"/>
      <c r="N126" s="49"/>
      <c r="O126" s="49"/>
      <c r="P126" s="49"/>
      <c r="Q126" s="49"/>
      <c r="R126" s="49"/>
      <c r="S126" s="49"/>
      <c r="T126" s="49"/>
      <c r="U126" s="49"/>
      <c r="V126" s="49"/>
      <c r="W126" s="49"/>
      <c r="X126" s="49"/>
      <c r="Y126" s="49"/>
      <c r="Z126" s="49"/>
    </row>
    <row r="127" spans="1:26" ht="13.5" customHeight="1" thickBot="1" x14ac:dyDescent="0.35">
      <c r="A127" s="320"/>
      <c r="B127" s="402" t="s">
        <v>126</v>
      </c>
      <c r="C127" s="403"/>
      <c r="D127" s="1437">
        <f>SUM(D128:D136)</f>
        <v>3678806.7011888586</v>
      </c>
      <c r="E127" s="405"/>
      <c r="F127" s="406">
        <f>SUM(F128:F136)</f>
        <v>375.75016289833422</v>
      </c>
      <c r="G127" s="148"/>
      <c r="H127" s="148"/>
      <c r="I127" s="2008"/>
      <c r="J127" s="2009"/>
      <c r="K127" s="2010"/>
      <c r="L127" s="660">
        <f>SUM(L128:L136)</f>
        <v>783.54514167151694</v>
      </c>
      <c r="M127" s="49"/>
      <c r="N127" s="49"/>
      <c r="O127" s="49"/>
      <c r="P127" s="49"/>
      <c r="Q127" s="49"/>
      <c r="R127" s="49"/>
      <c r="S127" s="49"/>
      <c r="T127" s="49"/>
      <c r="U127" s="49"/>
      <c r="V127" s="49"/>
      <c r="W127" s="49"/>
      <c r="X127" s="49"/>
      <c r="Y127" s="49"/>
      <c r="Z127" s="49"/>
    </row>
    <row r="128" spans="1:26" ht="15" customHeight="1" x14ac:dyDescent="0.3">
      <c r="A128" s="320" t="s">
        <v>373</v>
      </c>
      <c r="B128" s="407" t="s">
        <v>127</v>
      </c>
      <c r="C128" s="408"/>
      <c r="D128" s="1429">
        <f>+'Q1-19'!D128+'Q2-19'!D128+'Q3-19'!D128+'Q4-19'!D128</f>
        <v>0</v>
      </c>
      <c r="E128" s="381">
        <f>+'Emission Factors'!J107</f>
        <v>8.5839999999999986E-2</v>
      </c>
      <c r="F128" s="563">
        <f>(D128*E128)/1000</f>
        <v>0</v>
      </c>
      <c r="G128" s="376"/>
      <c r="H128" s="376"/>
      <c r="I128" s="2011"/>
      <c r="J128" s="2012"/>
      <c r="K128" s="2013"/>
      <c r="L128" s="559">
        <f>+F128*2.09</f>
        <v>0</v>
      </c>
      <c r="M128" s="49"/>
      <c r="N128" s="49"/>
      <c r="O128" s="49"/>
      <c r="P128" s="49"/>
      <c r="Q128" s="49"/>
      <c r="R128" s="49"/>
      <c r="S128" s="49"/>
      <c r="T128" s="49"/>
      <c r="U128" s="49"/>
      <c r="V128" s="49"/>
      <c r="W128" s="49"/>
      <c r="X128" s="49"/>
      <c r="Y128" s="49"/>
      <c r="Z128" s="49"/>
    </row>
    <row r="129" spans="1:30" ht="15.75" customHeight="1" x14ac:dyDescent="0.3">
      <c r="A129" s="320" t="s">
        <v>373</v>
      </c>
      <c r="B129" s="111" t="s">
        <v>128</v>
      </c>
      <c r="C129" s="112"/>
      <c r="D129" s="348">
        <f>+'Q1-19'!D129+'Q2-19'!D129+'Q3-19'!D129+'Q4-19'!D129</f>
        <v>1502012.1889648426</v>
      </c>
      <c r="E129" s="382">
        <f>+'Emission Factors'!J108</f>
        <v>8.4429999999999991E-2</v>
      </c>
      <c r="F129" s="564">
        <f t="shared" ref="F129:F136" si="15">(D129*E129)/1000</f>
        <v>126.81488911430165</v>
      </c>
      <c r="G129" s="148"/>
      <c r="H129" s="148"/>
      <c r="I129" s="1990"/>
      <c r="J129" s="1991"/>
      <c r="K129" s="1992"/>
      <c r="L129" s="661">
        <f t="shared" ref="L129:L135" si="16">+F129*2.09</f>
        <v>265.04311824889044</v>
      </c>
      <c r="M129" s="49"/>
      <c r="N129" s="49"/>
      <c r="O129" s="49"/>
      <c r="P129" s="49"/>
      <c r="Q129" s="49"/>
      <c r="R129" s="49"/>
      <c r="S129" s="49"/>
      <c r="T129" s="49"/>
      <c r="U129" s="49"/>
      <c r="V129" s="49"/>
      <c r="W129" s="49"/>
      <c r="X129" s="49"/>
      <c r="Y129" s="49"/>
      <c r="Z129" s="49"/>
    </row>
    <row r="130" spans="1:30" ht="15" customHeight="1" x14ac:dyDescent="0.3">
      <c r="A130" s="320" t="s">
        <v>373</v>
      </c>
      <c r="B130" s="111" t="s">
        <v>129</v>
      </c>
      <c r="C130" s="112"/>
      <c r="D130" s="348">
        <f>+'Q1-19'!D130+'Q2-19'!D130+'Q3-19'!D130+'Q4-19'!D130</f>
        <v>67751.395141601519</v>
      </c>
      <c r="E130" s="382">
        <f>+'Emission Factors'!J109</f>
        <v>0.12665000000000001</v>
      </c>
      <c r="F130" s="564">
        <f t="shared" si="15"/>
        <v>8.5807141946838321</v>
      </c>
      <c r="G130" s="148"/>
      <c r="H130" s="148"/>
      <c r="I130" s="1990"/>
      <c r="J130" s="1991"/>
      <c r="K130" s="1992"/>
      <c r="L130" s="661">
        <f t="shared" si="16"/>
        <v>17.933692666889208</v>
      </c>
      <c r="M130" s="49"/>
      <c r="N130" s="49"/>
      <c r="O130" s="49"/>
      <c r="P130" s="49"/>
      <c r="Q130" s="49"/>
      <c r="R130" s="49"/>
      <c r="S130" s="49"/>
      <c r="T130" s="49"/>
      <c r="U130" s="49"/>
      <c r="V130" s="49"/>
      <c r="W130" s="49"/>
      <c r="X130" s="49"/>
      <c r="Y130" s="49"/>
      <c r="Z130" s="49"/>
    </row>
    <row r="131" spans="1:30" ht="15.75" customHeight="1" x14ac:dyDescent="0.3">
      <c r="A131" s="320" t="s">
        <v>373</v>
      </c>
      <c r="B131" s="111" t="s">
        <v>130</v>
      </c>
      <c r="C131" s="112"/>
      <c r="D131" s="348">
        <f>+'Q1-19'!D131+'Q2-19'!D131+'Q3-19'!D131+'Q4-19'!D131</f>
        <v>0</v>
      </c>
      <c r="E131" s="382">
        <f>+'Emission Factors'!J110</f>
        <v>0.11237</v>
      </c>
      <c r="F131" s="564">
        <f t="shared" si="15"/>
        <v>0</v>
      </c>
      <c r="G131" s="148"/>
      <c r="H131" s="148"/>
      <c r="I131" s="1990"/>
      <c r="J131" s="1991"/>
      <c r="K131" s="1992"/>
      <c r="L131" s="661">
        <f t="shared" si="16"/>
        <v>0</v>
      </c>
      <c r="M131" s="49"/>
      <c r="N131" s="49"/>
      <c r="O131" s="49"/>
      <c r="P131" s="49"/>
      <c r="Q131" s="49"/>
      <c r="R131" s="49"/>
      <c r="S131" s="49"/>
      <c r="T131" s="49"/>
      <c r="U131" s="49"/>
      <c r="V131" s="49"/>
      <c r="W131" s="49"/>
      <c r="X131" s="49"/>
      <c r="Y131" s="49"/>
      <c r="Z131" s="49"/>
    </row>
    <row r="132" spans="1:30" ht="15" customHeight="1" x14ac:dyDescent="0.3">
      <c r="A132" s="320" t="s">
        <v>373</v>
      </c>
      <c r="B132" s="111" t="s">
        <v>131</v>
      </c>
      <c r="C132" s="112"/>
      <c r="D132" s="348">
        <f>+'Q1-19'!D132+'Q2-19'!D132+'Q3-19'!D132+'Q4-19'!D132</f>
        <v>1221769.3237905032</v>
      </c>
      <c r="E132" s="382">
        <f>+'Emission Factors'!J111</f>
        <v>8.6070000000000008E-2</v>
      </c>
      <c r="F132" s="564">
        <f t="shared" si="15"/>
        <v>105.15768569864862</v>
      </c>
      <c r="G132" s="148"/>
      <c r="H132" s="148"/>
      <c r="I132" s="1990"/>
      <c r="J132" s="1991"/>
      <c r="K132" s="1992"/>
      <c r="L132" s="661">
        <f t="shared" si="16"/>
        <v>219.77956311017562</v>
      </c>
      <c r="M132" s="49"/>
      <c r="N132" s="49"/>
      <c r="O132" s="49"/>
      <c r="P132" s="49"/>
      <c r="Q132" s="49"/>
      <c r="R132" s="49"/>
      <c r="S132" s="49"/>
      <c r="T132" s="49"/>
      <c r="U132" s="49"/>
      <c r="V132" s="49"/>
      <c r="W132" s="49"/>
      <c r="X132" s="49"/>
      <c r="Y132" s="49"/>
      <c r="Z132" s="49"/>
    </row>
    <row r="133" spans="1:30" ht="15.75" customHeight="1" x14ac:dyDescent="0.3">
      <c r="A133" s="320" t="s">
        <v>373</v>
      </c>
      <c r="B133" s="111" t="s">
        <v>132</v>
      </c>
      <c r="C133" s="112"/>
      <c r="D133" s="348">
        <f>+'Q1-19'!D133+'Q2-19'!D133+'Q3-19'!D133+'Q4-19'!D133</f>
        <v>624154.94482421805</v>
      </c>
      <c r="E133" s="382">
        <f>+'Emission Factors'!J112</f>
        <v>0.13770000000000002</v>
      </c>
      <c r="F133" s="564">
        <f t="shared" si="15"/>
        <v>85.946135902294827</v>
      </c>
      <c r="G133" s="148"/>
      <c r="H133" s="148"/>
      <c r="I133" s="1990"/>
      <c r="J133" s="1991"/>
      <c r="K133" s="1992"/>
      <c r="L133" s="661">
        <f t="shared" si="16"/>
        <v>179.62742403579617</v>
      </c>
      <c r="M133" s="49"/>
      <c r="N133" s="49"/>
      <c r="O133" s="49"/>
      <c r="P133" s="49"/>
      <c r="Q133" s="49"/>
      <c r="R133" s="49"/>
      <c r="S133" s="49"/>
      <c r="T133" s="49"/>
      <c r="U133" s="49"/>
      <c r="V133" s="49"/>
      <c r="W133" s="49"/>
      <c r="X133" s="49"/>
      <c r="Y133" s="49"/>
      <c r="Z133" s="49"/>
    </row>
    <row r="134" spans="1:30" ht="15" customHeight="1" x14ac:dyDescent="0.3">
      <c r="A134" s="320" t="s">
        <v>373</v>
      </c>
      <c r="B134" s="111" t="s">
        <v>133</v>
      </c>
      <c r="C134" s="112"/>
      <c r="D134" s="348">
        <f>+'Q1-19'!D134+'Q2-19'!D134+'Q3-19'!D134+'Q4-19'!D134</f>
        <v>193936.03955078119</v>
      </c>
      <c r="E134" s="382">
        <f>+'Emission Factors'!J113</f>
        <v>0.24958</v>
      </c>
      <c r="F134" s="564">
        <f t="shared" si="15"/>
        <v>48.402556751083971</v>
      </c>
      <c r="G134" s="148"/>
      <c r="H134" s="148"/>
      <c r="I134" s="1990"/>
      <c r="J134" s="1991"/>
      <c r="K134" s="1992"/>
      <c r="L134" s="661">
        <f t="shared" si="16"/>
        <v>101.1613436097655</v>
      </c>
      <c r="M134" s="49"/>
      <c r="N134" s="49"/>
      <c r="O134" s="49"/>
      <c r="P134" s="49"/>
      <c r="Q134" s="49"/>
      <c r="R134" s="49"/>
      <c r="S134" s="49"/>
      <c r="T134" s="49"/>
      <c r="U134" s="49"/>
      <c r="V134" s="49"/>
      <c r="W134" s="49"/>
      <c r="X134" s="49"/>
      <c r="Y134" s="49"/>
      <c r="Z134" s="49"/>
    </row>
    <row r="135" spans="1:30" ht="15.75" customHeight="1" thickBot="1" x14ac:dyDescent="0.35">
      <c r="A135" s="320" t="s">
        <v>373</v>
      </c>
      <c r="B135" s="111" t="s">
        <v>134</v>
      </c>
      <c r="C135" s="112"/>
      <c r="D135" s="348">
        <f>+'Q1-19'!D135+'Q2-19'!D135+'Q3-19'!D135+'Q4-19'!D135</f>
        <v>0</v>
      </c>
      <c r="E135" s="382">
        <f>+'Emission Factors'!J114</f>
        <v>0.34425000000000006</v>
      </c>
      <c r="F135" s="564">
        <f>(D135*E135)/1000</f>
        <v>0</v>
      </c>
      <c r="G135" s="148"/>
      <c r="H135" s="148"/>
      <c r="I135" s="1990"/>
      <c r="J135" s="1991"/>
      <c r="K135" s="1992"/>
      <c r="L135" s="662">
        <f t="shared" si="16"/>
        <v>0</v>
      </c>
      <c r="M135" s="49"/>
      <c r="N135" s="49"/>
      <c r="O135" s="49"/>
      <c r="P135" s="49"/>
      <c r="Q135" s="49"/>
      <c r="R135" s="49"/>
      <c r="S135" s="49"/>
      <c r="T135" s="49"/>
      <c r="U135" s="49"/>
      <c r="V135" s="49"/>
      <c r="W135" s="49"/>
      <c r="X135" s="49"/>
      <c r="Y135" s="49"/>
      <c r="Z135" s="49"/>
    </row>
    <row r="136" spans="1:30" ht="15" customHeight="1" thickBot="1" x14ac:dyDescent="0.35">
      <c r="A136" s="320" t="s">
        <v>373</v>
      </c>
      <c r="B136" s="409" t="s">
        <v>135</v>
      </c>
      <c r="C136" s="410"/>
      <c r="D136" s="354">
        <f>+'Q1-19'!D136+'Q2-19'!D136+'Q3-19'!D136+'Q4-19'!D136</f>
        <v>69182.808916912516</v>
      </c>
      <c r="E136" s="411">
        <f>+'Emission Factors'!J115</f>
        <v>1.2260000000000002E-2</v>
      </c>
      <c r="F136" s="565">
        <f t="shared" si="15"/>
        <v>0.84818123732134754</v>
      </c>
      <c r="G136" s="173"/>
      <c r="H136" s="173"/>
      <c r="I136" s="2028"/>
      <c r="J136" s="2029"/>
      <c r="K136" s="2030"/>
      <c r="L136" s="49"/>
      <c r="M136" s="49"/>
      <c r="N136" s="49"/>
      <c r="O136" s="49"/>
      <c r="P136" s="49"/>
      <c r="Q136" s="49"/>
      <c r="R136" s="49"/>
      <c r="S136" s="49"/>
      <c r="T136" s="49"/>
      <c r="U136" s="49"/>
      <c r="V136" s="49"/>
      <c r="W136" s="49"/>
      <c r="X136" s="49"/>
      <c r="Y136" s="49"/>
      <c r="Z136" s="49"/>
    </row>
    <row r="137" spans="1:30" ht="15" customHeight="1" x14ac:dyDescent="0.3">
      <c r="A137" s="49"/>
      <c r="B137" s="659" t="s">
        <v>407</v>
      </c>
      <c r="C137" s="650"/>
      <c r="D137" s="412"/>
      <c r="E137" s="413"/>
      <c r="F137" s="414"/>
      <c r="G137" s="414"/>
      <c r="H137" s="414"/>
      <c r="I137" s="415"/>
      <c r="J137" s="415"/>
      <c r="K137" s="415"/>
      <c r="L137" s="345"/>
      <c r="M137" s="420"/>
      <c r="N137" s="49"/>
      <c r="O137" s="49"/>
      <c r="P137" s="49"/>
      <c r="Q137" s="49"/>
      <c r="R137" s="49"/>
      <c r="S137" s="49"/>
      <c r="T137" s="49"/>
      <c r="U137" s="49"/>
      <c r="V137" s="49"/>
      <c r="W137" s="49"/>
      <c r="X137" s="49"/>
      <c r="Y137" s="49"/>
      <c r="Z137" s="49"/>
      <c r="AA137" s="49"/>
      <c r="AB137" s="49"/>
      <c r="AC137" s="49"/>
      <c r="AD137" s="49"/>
    </row>
    <row r="138" spans="1:30" s="594" customFormat="1" ht="23.4" x14ac:dyDescent="0.3">
      <c r="A138" s="331"/>
      <c r="B138" s="327" t="s">
        <v>136</v>
      </c>
      <c r="C138" s="333"/>
      <c r="D138" s="1848" t="str">
        <f>+$A$1</f>
        <v>Annual - 2018-2019</v>
      </c>
      <c r="E138" s="1848"/>
      <c r="F138" s="1848"/>
      <c r="G138" s="1848"/>
      <c r="H138" s="1848"/>
      <c r="I138" s="1848"/>
      <c r="J138" s="1848"/>
      <c r="K138" s="334"/>
      <c r="L138" s="334"/>
      <c r="M138" s="334"/>
      <c r="N138" s="334"/>
      <c r="O138" s="334"/>
      <c r="P138" s="334"/>
      <c r="Q138" s="334"/>
      <c r="R138" s="334"/>
      <c r="S138" s="334"/>
      <c r="T138" s="334"/>
      <c r="U138" s="334"/>
      <c r="V138" s="334"/>
      <c r="W138" s="334"/>
      <c r="X138" s="334"/>
      <c r="Y138" s="335"/>
      <c r="Z138" s="335"/>
    </row>
    <row r="139" spans="1:30" ht="15" customHeight="1" thickBot="1" x14ac:dyDescent="0.35">
      <c r="A139" s="320"/>
      <c r="B139" s="43" t="s">
        <v>137</v>
      </c>
      <c r="C139" s="650"/>
      <c r="D139" s="412"/>
      <c r="E139" s="413"/>
      <c r="F139" s="414"/>
      <c r="G139" s="414"/>
      <c r="H139" s="414"/>
      <c r="I139" s="415"/>
      <c r="J139" s="415"/>
      <c r="K139" s="415"/>
      <c r="L139" s="49"/>
      <c r="M139" s="49"/>
      <c r="N139" s="49"/>
      <c r="O139" s="49"/>
      <c r="P139" s="49"/>
      <c r="Q139" s="49"/>
      <c r="R139" s="49"/>
      <c r="S139" s="49"/>
      <c r="T139" s="49"/>
      <c r="U139" s="49"/>
      <c r="V139" s="49"/>
      <c r="W139" s="49"/>
      <c r="X139" s="49"/>
      <c r="Y139" s="49"/>
      <c r="Z139" s="49"/>
    </row>
    <row r="140" spans="1:30" ht="30.75" customHeight="1" thickBot="1" x14ac:dyDescent="0.35">
      <c r="A140" s="320"/>
      <c r="B140" s="49"/>
      <c r="C140" s="49"/>
      <c r="D140" s="416"/>
      <c r="E140" s="650"/>
      <c r="F140" s="417" t="s">
        <v>23</v>
      </c>
      <c r="G140" s="418"/>
      <c r="H140" s="419" t="s">
        <v>144</v>
      </c>
      <c r="I140" s="2031" t="s">
        <v>24</v>
      </c>
      <c r="J140" s="2032"/>
      <c r="K140" s="2033"/>
      <c r="L140" s="49"/>
      <c r="M140" s="49"/>
      <c r="N140" s="49"/>
      <c r="O140" s="415"/>
      <c r="P140" s="49"/>
      <c r="Q140" s="49"/>
      <c r="R140" s="49"/>
      <c r="S140" s="49"/>
      <c r="T140" s="49"/>
      <c r="U140" s="49"/>
      <c r="V140" s="49"/>
      <c r="W140" s="49"/>
      <c r="X140" s="49"/>
      <c r="Y140" s="49"/>
      <c r="Z140" s="49"/>
    </row>
    <row r="141" spans="1:30" ht="15" customHeight="1" thickBot="1" x14ac:dyDescent="0.35">
      <c r="A141" s="320"/>
      <c r="B141" s="49"/>
      <c r="C141" s="49"/>
      <c r="D141" s="43" t="str">
        <f>IF(D33&gt;0,"Please add F7 to relevant to total for relevant scope","")</f>
        <v/>
      </c>
      <c r="E141" s="650"/>
      <c r="F141" s="51" t="s">
        <v>28</v>
      </c>
      <c r="G141" s="418"/>
      <c r="H141" s="433" t="s">
        <v>28</v>
      </c>
      <c r="I141" s="2034"/>
      <c r="J141" s="2035"/>
      <c r="K141" s="2036"/>
      <c r="L141" s="49"/>
      <c r="M141" s="49"/>
      <c r="N141" s="49"/>
      <c r="O141" s="415"/>
      <c r="P141" s="49"/>
      <c r="Q141" s="49"/>
      <c r="R141" s="49"/>
      <c r="S141" s="49"/>
      <c r="T141" s="49"/>
      <c r="U141" s="49"/>
      <c r="V141" s="49"/>
      <c r="W141" s="49"/>
      <c r="X141" s="49"/>
      <c r="Y141" s="49"/>
      <c r="Z141" s="49"/>
    </row>
    <row r="142" spans="1:30" ht="15" customHeight="1" thickBot="1" x14ac:dyDescent="0.35">
      <c r="A142" s="420"/>
      <c r="B142" s="420"/>
      <c r="C142" s="420"/>
      <c r="D142" s="1089" t="s">
        <v>513</v>
      </c>
      <c r="E142" s="1094"/>
      <c r="F142" s="42">
        <f>F143+F144+F145</f>
        <v>336511.49261138501</v>
      </c>
      <c r="G142" s="418"/>
      <c r="H142" s="651">
        <f>H143+H144+H145</f>
        <v>7606.1139040172638</v>
      </c>
      <c r="I142" s="2037"/>
      <c r="J142" s="2038"/>
      <c r="K142" s="2039"/>
      <c r="L142" s="420"/>
      <c r="M142" s="420"/>
      <c r="N142" s="49"/>
      <c r="O142" s="415"/>
      <c r="P142" s="49"/>
      <c r="Q142" s="49"/>
      <c r="R142" s="49"/>
      <c r="S142" s="49"/>
      <c r="T142" s="49"/>
      <c r="U142" s="49"/>
      <c r="V142" s="49"/>
      <c r="W142" s="49"/>
      <c r="X142" s="49"/>
      <c r="Y142" s="49"/>
      <c r="Z142" s="49"/>
    </row>
    <row r="143" spans="1:30" ht="15" customHeight="1" x14ac:dyDescent="0.3">
      <c r="A143" s="420"/>
      <c r="B143" s="420"/>
      <c r="C143" s="420"/>
      <c r="D143" s="52" t="s">
        <v>139</v>
      </c>
      <c r="E143" s="53"/>
      <c r="F143" s="177">
        <f>+'Q1-19'!F143+'Q2-19'!F143+'Q3-19'!F143+'Q4-19'!F143</f>
        <v>185469.78442115849</v>
      </c>
      <c r="G143" s="421"/>
      <c r="H143" s="652">
        <f>+'Q1-19'!H143+'Q2-19'!H143+'Q3-19'!H143+'Q4-19'!H143</f>
        <v>1619.7990496172631</v>
      </c>
      <c r="I143" s="2040"/>
      <c r="J143" s="2041"/>
      <c r="K143" s="2042"/>
      <c r="L143" s="420"/>
      <c r="M143" s="420"/>
      <c r="N143" s="49"/>
      <c r="O143" s="415"/>
      <c r="P143" s="49"/>
      <c r="Q143" s="49"/>
      <c r="R143" s="49"/>
      <c r="S143" s="49"/>
      <c r="T143" s="49"/>
      <c r="U143" s="49"/>
      <c r="V143" s="49"/>
      <c r="W143" s="49"/>
      <c r="X143" s="49"/>
      <c r="Y143" s="49"/>
      <c r="Z143" s="49"/>
    </row>
    <row r="144" spans="1:30" ht="15" customHeight="1" x14ac:dyDescent="0.3">
      <c r="A144" s="420"/>
      <c r="B144" s="420"/>
      <c r="C144" s="420"/>
      <c r="D144" s="54" t="s">
        <v>140</v>
      </c>
      <c r="E144" s="55"/>
      <c r="F144" s="177">
        <f>+'Q1-19'!F144+'Q2-19'!F144+'Q3-19'!F144+'Q4-19'!F144</f>
        <v>127994.12203488583</v>
      </c>
      <c r="G144" s="422"/>
      <c r="H144" s="652">
        <f>+'Q1-19'!H144+'Q2-19'!H144+'Q3-19'!H144+'Q4-19'!H144</f>
        <v>5516.1007351400003</v>
      </c>
      <c r="I144" s="2043"/>
      <c r="J144" s="2044"/>
      <c r="K144" s="2045"/>
      <c r="L144" s="420"/>
      <c r="M144" s="420"/>
      <c r="N144" s="49"/>
      <c r="O144" s="415"/>
      <c r="P144" s="49"/>
      <c r="Q144" s="49"/>
      <c r="R144" s="49"/>
      <c r="S144" s="49"/>
      <c r="T144" s="49"/>
      <c r="U144" s="49"/>
      <c r="V144" s="49"/>
      <c r="W144" s="49"/>
      <c r="X144" s="49"/>
      <c r="Y144" s="49"/>
      <c r="Z144" s="49"/>
    </row>
    <row r="145" spans="1:26" ht="15" customHeight="1" thickBot="1" x14ac:dyDescent="0.35">
      <c r="A145" s="420"/>
      <c r="B145" s="420"/>
      <c r="C145" s="420"/>
      <c r="D145" s="56" t="s">
        <v>141</v>
      </c>
      <c r="E145" s="57"/>
      <c r="F145" s="178">
        <f>+'Q1-19'!F145+'Q2-19'!F145+'Q3-19'!F145+'Q4-19'!F145</f>
        <v>23047.586155340734</v>
      </c>
      <c r="G145" s="423"/>
      <c r="H145" s="180">
        <f>+'Q1-19'!H145+'Q2-19'!H145+'Q3-19'!H145+'Q4-19'!H145</f>
        <v>470.2141192599999</v>
      </c>
      <c r="I145" s="2014"/>
      <c r="J145" s="2015"/>
      <c r="K145" s="2016"/>
      <c r="L145" s="420"/>
      <c r="M145" s="420"/>
      <c r="N145" s="49"/>
      <c r="O145" s="415"/>
      <c r="P145" s="49"/>
      <c r="Q145" s="49"/>
      <c r="R145" s="49"/>
      <c r="S145" s="49"/>
      <c r="T145" s="49"/>
      <c r="U145" s="49"/>
      <c r="V145" s="49"/>
      <c r="W145" s="49"/>
      <c r="X145" s="49"/>
      <c r="Y145" s="49"/>
      <c r="Z145" s="49"/>
    </row>
    <row r="146" spans="1:26" ht="15" customHeight="1" thickBot="1" x14ac:dyDescent="0.35">
      <c r="A146" s="420"/>
      <c r="B146" s="420"/>
      <c r="C146" s="420"/>
      <c r="D146" s="2017" t="s">
        <v>172</v>
      </c>
      <c r="E146" s="2018"/>
      <c r="F146" s="42">
        <f>+'Q1-19'!F146+'Q2-19'!F146+'Q3-19'!F146+'Q4-19'!F146</f>
        <v>42998.529362898335</v>
      </c>
      <c r="G146" s="424"/>
      <c r="H146" s="651">
        <f>+'Q1-19'!H146+'Q2-19'!H146+'Q3-19'!H146+'Q4-19'!H146</f>
        <v>0</v>
      </c>
      <c r="I146" s="1095"/>
      <c r="J146" s="1096"/>
      <c r="K146" s="1097"/>
      <c r="L146" s="420"/>
      <c r="M146" s="420"/>
      <c r="N146" s="49"/>
      <c r="O146" s="415"/>
      <c r="P146" s="49"/>
      <c r="Q146" s="49"/>
      <c r="R146" s="49"/>
      <c r="S146" s="49"/>
      <c r="T146" s="49"/>
      <c r="U146" s="49"/>
      <c r="V146" s="49"/>
      <c r="W146" s="49"/>
      <c r="X146" s="49"/>
      <c r="Y146" s="49"/>
      <c r="Z146" s="49"/>
    </row>
    <row r="147" spans="1:26" ht="27.75" customHeight="1" x14ac:dyDescent="0.3">
      <c r="A147" s="320"/>
      <c r="B147" s="2019" t="s">
        <v>142</v>
      </c>
      <c r="C147" s="2019"/>
      <c r="D147" s="2019"/>
      <c r="E147" s="2019"/>
      <c r="F147" s="2019"/>
      <c r="G147" s="2019"/>
      <c r="H147" s="2019"/>
      <c r="I147" s="2019"/>
      <c r="J147" s="2019"/>
      <c r="K147" s="2019"/>
      <c r="L147" s="2019"/>
      <c r="M147" s="49"/>
      <c r="N147" s="49"/>
      <c r="O147" s="49"/>
      <c r="P147" s="49"/>
      <c r="Q147" s="49"/>
      <c r="R147" s="49"/>
      <c r="S147" s="49"/>
      <c r="T147" s="49"/>
      <c r="U147" s="49"/>
      <c r="V147" s="49"/>
      <c r="W147" s="49"/>
      <c r="X147" s="49"/>
      <c r="Y147" s="49"/>
      <c r="Z147" s="49"/>
    </row>
    <row r="148" spans="1:26" ht="27.75" customHeight="1" x14ac:dyDescent="0.3">
      <c r="A148" s="320"/>
      <c r="B148" s="1088"/>
      <c r="C148" s="1088"/>
      <c r="D148" s="1088"/>
      <c r="E148" s="1088"/>
      <c r="F148" s="1088"/>
      <c r="G148" s="1088"/>
      <c r="H148" s="1088"/>
      <c r="I148" s="1088"/>
      <c r="J148" s="1088"/>
      <c r="K148" s="1088"/>
      <c r="L148" s="1088"/>
      <c r="M148" s="49"/>
      <c r="N148" s="49"/>
      <c r="O148" s="49"/>
      <c r="P148" s="49"/>
      <c r="Q148" s="49"/>
      <c r="R148" s="49"/>
      <c r="S148" s="49"/>
      <c r="T148" s="49"/>
      <c r="U148" s="49"/>
      <c r="V148" s="49"/>
      <c r="W148" s="49"/>
      <c r="X148" s="49"/>
      <c r="Y148" s="49"/>
      <c r="Z148" s="49"/>
    </row>
    <row r="149" spans="1:26" s="594" customFormat="1" ht="23.25" customHeight="1" x14ac:dyDescent="0.3">
      <c r="A149" s="331"/>
      <c r="B149" s="327" t="s">
        <v>462</v>
      </c>
      <c r="C149" s="327"/>
      <c r="D149" s="327" t="str">
        <f>+$A$1</f>
        <v>Annual - 2018-2019</v>
      </c>
      <c r="E149" s="331"/>
      <c r="F149" s="331"/>
      <c r="G149" s="331"/>
      <c r="H149" s="331"/>
      <c r="I149" s="331"/>
      <c r="J149" s="331"/>
      <c r="K149" s="331"/>
      <c r="L149" s="331"/>
      <c r="M149" s="331"/>
      <c r="N149" s="331"/>
      <c r="O149" s="331"/>
      <c r="P149" s="331"/>
      <c r="Q149" s="331"/>
      <c r="R149" s="331"/>
      <c r="S149" s="331"/>
      <c r="T149" s="331"/>
      <c r="U149" s="331"/>
      <c r="V149" s="331"/>
      <c r="W149" s="331"/>
      <c r="X149" s="331"/>
      <c r="Y149" s="331"/>
      <c r="Z149" s="331"/>
    </row>
    <row r="150" spans="1:26" ht="15" customHeight="1" x14ac:dyDescent="0.3">
      <c r="A150" s="320"/>
      <c r="B150" s="43" t="s">
        <v>467</v>
      </c>
      <c r="C150" s="650"/>
      <c r="D150" s="412"/>
      <c r="E150" s="413"/>
      <c r="F150" s="414"/>
      <c r="G150" s="414"/>
      <c r="H150" s="414"/>
      <c r="I150" s="415"/>
      <c r="J150" s="415"/>
      <c r="K150" s="415"/>
      <c r="L150" s="49"/>
      <c r="M150" s="49"/>
      <c r="N150" s="49"/>
      <c r="O150" s="49"/>
      <c r="P150" s="49"/>
      <c r="Q150" s="49"/>
      <c r="R150" s="49"/>
      <c r="S150" s="49"/>
      <c r="T150" s="49"/>
      <c r="U150" s="49"/>
      <c r="V150" s="49"/>
      <c r="W150" s="49"/>
      <c r="X150" s="49"/>
      <c r="Y150" s="49"/>
      <c r="Z150" s="49"/>
    </row>
    <row r="151" spans="1:26" ht="15" customHeight="1" thickBot="1" x14ac:dyDescent="0.35">
      <c r="A151" s="320"/>
      <c r="B151" s="49"/>
      <c r="C151" s="49"/>
      <c r="D151" s="416"/>
      <c r="E151" s="650"/>
      <c r="F151" s="650"/>
      <c r="G151" s="650"/>
      <c r="H151" s="650"/>
      <c r="I151" s="650"/>
      <c r="J151" s="650"/>
      <c r="K151" s="650"/>
      <c r="L151" s="49"/>
      <c r="M151" s="49"/>
      <c r="N151" s="49"/>
      <c r="O151" s="415"/>
      <c r="P151" s="49"/>
      <c r="Q151" s="49"/>
      <c r="R151" s="49"/>
      <c r="S151" s="49"/>
      <c r="T151" s="49"/>
      <c r="U151" s="49"/>
      <c r="V151" s="49"/>
      <c r="W151" s="49"/>
      <c r="X151" s="49"/>
      <c r="Y151" s="49"/>
      <c r="Z151" s="49"/>
    </row>
    <row r="152" spans="1:26" ht="15" customHeight="1" thickBot="1" x14ac:dyDescent="0.35">
      <c r="A152" s="320"/>
      <c r="B152" s="49"/>
      <c r="C152" s="49"/>
      <c r="D152" s="1860" t="s">
        <v>23</v>
      </c>
      <c r="E152" s="1861"/>
      <c r="F152" s="1862"/>
      <c r="G152" s="1860" t="s">
        <v>24</v>
      </c>
      <c r="H152" s="1861"/>
      <c r="I152" s="1862"/>
      <c r="J152" s="650"/>
      <c r="K152" s="650"/>
      <c r="L152" s="49"/>
      <c r="M152" s="49"/>
      <c r="N152" s="49"/>
      <c r="O152" s="415"/>
      <c r="P152" s="49"/>
      <c r="Q152" s="49"/>
      <c r="R152" s="49"/>
      <c r="S152" s="49"/>
      <c r="T152" s="49"/>
      <c r="U152" s="49"/>
      <c r="V152" s="49"/>
      <c r="W152" s="49"/>
      <c r="X152" s="49"/>
      <c r="Y152" s="49"/>
      <c r="Z152" s="49"/>
    </row>
    <row r="153" spans="1:26" ht="15" customHeight="1" thickBot="1" x14ac:dyDescent="0.35">
      <c r="A153" s="320"/>
      <c r="B153" s="2020" t="s">
        <v>486</v>
      </c>
      <c r="C153" s="2021"/>
      <c r="D153" s="2022" t="str">
        <f>IF(OR('Q1-19'!D153:F153="yes",'Q2-19'!D153:F153="yes",'Q3-19'!D153:F153="yes",'Q4-19'!D153:F153="yes"),"yes","no")</f>
        <v>no</v>
      </c>
      <c r="E153" s="2023"/>
      <c r="F153" s="2024"/>
      <c r="G153" s="2025"/>
      <c r="H153" s="2026"/>
      <c r="I153" s="2027"/>
      <c r="J153" s="650"/>
      <c r="K153" s="650"/>
      <c r="L153" s="487"/>
      <c r="M153" s="420"/>
      <c r="N153" s="49"/>
      <c r="O153" s="415"/>
      <c r="P153" s="49"/>
      <c r="Q153" s="49"/>
      <c r="R153" s="49"/>
      <c r="S153" s="49"/>
      <c r="T153" s="49"/>
      <c r="U153" s="49"/>
      <c r="V153" s="49"/>
      <c r="W153" s="49"/>
      <c r="X153" s="49"/>
      <c r="Y153" s="49"/>
      <c r="Z153" s="49"/>
    </row>
    <row r="154" spans="1:26" ht="15" customHeight="1" thickBot="1" x14ac:dyDescent="0.35">
      <c r="A154" s="320"/>
      <c r="B154" s="2020" t="s">
        <v>464</v>
      </c>
      <c r="C154" s="2021"/>
      <c r="D154" s="1172" t="s">
        <v>466</v>
      </c>
      <c r="E154" s="2052">
        <f>'Q1-19'!E154:F154+'Q2-19'!E154:F154+'Q3-19'!E154:F154+'Q4-19'!E154:F154</f>
        <v>0</v>
      </c>
      <c r="F154" s="2053"/>
      <c r="G154" s="2025"/>
      <c r="H154" s="2026"/>
      <c r="I154" s="2027"/>
      <c r="J154" s="650"/>
      <c r="K154" s="650"/>
      <c r="L154" s="420"/>
      <c r="M154" s="420"/>
      <c r="N154" s="49"/>
      <c r="O154" s="415"/>
      <c r="P154" s="49"/>
      <c r="Q154" s="49"/>
      <c r="R154" s="49"/>
      <c r="S154" s="49"/>
      <c r="T154" s="49"/>
      <c r="U154" s="49"/>
      <c r="V154" s="49"/>
      <c r="W154" s="49"/>
      <c r="X154" s="49"/>
      <c r="Y154" s="49"/>
      <c r="Z154" s="49"/>
    </row>
    <row r="155" spans="1:26" ht="56.25" customHeight="1" thickBot="1" x14ac:dyDescent="0.35">
      <c r="A155" s="320"/>
      <c r="B155" s="2020" t="s">
        <v>465</v>
      </c>
      <c r="C155" s="2021"/>
      <c r="D155" s="2054" t="str">
        <f>CONCATENATE("Q1: ",'Q1-19'!D155:F155,CHAR(10),"Q2: ",'Q2-19'!D155:F155,CHAR(10),"Q3: ",'Q3-19'!D155:F155,CHAR(10),"Q4: ",'Q4-19'!D155:F155)</f>
        <v xml:space="preserve">Q1: 
Q2: 
Q3: 
Q4: </v>
      </c>
      <c r="E155" s="2055"/>
      <c r="F155" s="2056"/>
      <c r="G155" s="1857"/>
      <c r="H155" s="1858"/>
      <c r="I155" s="1859"/>
      <c r="J155" s="650"/>
      <c r="K155" s="650"/>
      <c r="L155" s="489"/>
      <c r="M155" s="420"/>
      <c r="N155" s="49"/>
      <c r="O155" s="415"/>
      <c r="P155" s="49"/>
      <c r="Q155" s="49"/>
      <c r="R155" s="49"/>
      <c r="S155" s="49"/>
      <c r="T155" s="49"/>
      <c r="U155" s="49"/>
      <c r="V155" s="49"/>
      <c r="W155" s="49"/>
      <c r="X155" s="49"/>
      <c r="Y155" s="49"/>
      <c r="Z155" s="49"/>
    </row>
    <row r="156" spans="1:26" ht="18" customHeight="1" x14ac:dyDescent="0.3">
      <c r="A156" s="320"/>
      <c r="B156" s="43"/>
      <c r="C156" s="337"/>
      <c r="D156" s="337"/>
      <c r="E156" s="337"/>
      <c r="F156" s="337"/>
      <c r="G156" s="337"/>
      <c r="H156" s="337"/>
      <c r="I156" s="337"/>
      <c r="J156" s="386"/>
      <c r="K156" s="425"/>
      <c r="L156" s="337"/>
      <c r="M156" s="337"/>
      <c r="N156" s="49"/>
      <c r="O156" s="49"/>
      <c r="P156" s="49"/>
      <c r="Q156" s="49"/>
      <c r="R156" s="49"/>
      <c r="S156" s="49"/>
      <c r="T156" s="49"/>
      <c r="U156" s="49"/>
      <c r="V156" s="49"/>
      <c r="W156" s="49"/>
      <c r="X156" s="49"/>
      <c r="Y156" s="49"/>
      <c r="Z156" s="49"/>
    </row>
    <row r="157" spans="1:26" ht="27.75" customHeight="1" x14ac:dyDescent="0.3">
      <c r="A157" s="326">
        <v>3</v>
      </c>
      <c r="B157" s="327" t="s">
        <v>143</v>
      </c>
      <c r="C157" s="328"/>
      <c r="D157" s="1848" t="str">
        <f>+$A$1</f>
        <v>Annual - 2018-2019</v>
      </c>
      <c r="E157" s="1848"/>
      <c r="F157" s="1848"/>
      <c r="G157" s="1848"/>
      <c r="H157" s="1848"/>
      <c r="I157" s="1848"/>
      <c r="J157" s="1848"/>
      <c r="K157" s="329"/>
      <c r="L157" s="329"/>
      <c r="M157" s="329"/>
      <c r="N157" s="317"/>
      <c r="O157" s="317"/>
      <c r="P157" s="330"/>
      <c r="Q157" s="330"/>
      <c r="R157" s="317"/>
      <c r="S157" s="317"/>
      <c r="T157" s="317"/>
      <c r="U157" s="317"/>
      <c r="V157" s="317"/>
      <c r="W157" s="317"/>
      <c r="X157" s="317"/>
      <c r="Y157" s="317"/>
      <c r="Z157" s="317"/>
    </row>
    <row r="158" spans="1:26" x14ac:dyDescent="0.3">
      <c r="A158" s="320"/>
      <c r="B158" s="49"/>
      <c r="C158" s="49"/>
      <c r="D158" s="336"/>
      <c r="E158" s="337"/>
      <c r="F158" s="337"/>
      <c r="G158" s="337"/>
      <c r="H158" s="337"/>
      <c r="I158" s="337"/>
      <c r="J158" s="386"/>
      <c r="K158" s="426"/>
      <c r="L158" s="337"/>
      <c r="M158" s="337"/>
      <c r="N158" s="49"/>
      <c r="O158" s="49"/>
      <c r="P158" s="49"/>
      <c r="Q158" s="49"/>
      <c r="R158" s="49"/>
      <c r="S158" s="49"/>
      <c r="T158" s="49"/>
      <c r="U158" s="49"/>
      <c r="V158" s="49"/>
      <c r="W158" s="49"/>
      <c r="X158" s="49"/>
      <c r="Y158" s="49"/>
      <c r="Z158" s="49"/>
    </row>
    <row r="159" spans="1:26" x14ac:dyDescent="0.3">
      <c r="A159" s="320"/>
      <c r="B159" s="49"/>
      <c r="C159" s="49"/>
      <c r="D159" s="336"/>
      <c r="E159" s="415"/>
      <c r="F159" s="415"/>
      <c r="G159" s="415"/>
      <c r="H159" s="415"/>
      <c r="I159" s="415"/>
      <c r="J159" s="415"/>
      <c r="K159" s="415"/>
      <c r="L159" s="337"/>
      <c r="M159" s="337"/>
      <c r="N159" s="49"/>
      <c r="O159" s="49"/>
      <c r="P159" s="49"/>
      <c r="Q159" s="49"/>
      <c r="R159" s="49"/>
      <c r="S159" s="49"/>
      <c r="T159" s="49"/>
      <c r="U159" s="49"/>
      <c r="V159" s="49"/>
      <c r="W159" s="49"/>
      <c r="X159" s="49"/>
      <c r="Y159" s="49"/>
      <c r="Z159" s="49"/>
    </row>
    <row r="160" spans="1:26" ht="18.75" customHeight="1" x14ac:dyDescent="0.3">
      <c r="A160" s="320"/>
      <c r="B160" s="43"/>
      <c r="C160" s="30"/>
      <c r="D160" s="43"/>
      <c r="E160" s="415"/>
      <c r="F160" s="427"/>
      <c r="G160" s="415"/>
      <c r="H160" s="415"/>
      <c r="I160" s="415"/>
      <c r="J160" s="415"/>
      <c r="K160" s="415"/>
      <c r="L160" s="415"/>
      <c r="M160" s="415"/>
      <c r="N160" s="415"/>
      <c r="O160" s="415"/>
      <c r="P160" s="415"/>
      <c r="Q160" s="415"/>
      <c r="R160" s="415"/>
      <c r="S160" s="415"/>
      <c r="T160" s="415"/>
      <c r="U160" s="415"/>
      <c r="V160" s="415"/>
      <c r="W160" s="415"/>
      <c r="X160" s="415"/>
      <c r="Y160" s="415"/>
      <c r="Z160" s="415"/>
    </row>
    <row r="161" spans="1:26" ht="15.75" customHeight="1" thickBot="1" x14ac:dyDescent="0.35">
      <c r="A161" s="320"/>
      <c r="B161" s="49"/>
      <c r="C161" s="49"/>
      <c r="D161" s="43"/>
      <c r="E161" s="49"/>
      <c r="F161" s="336"/>
      <c r="G161" s="336"/>
      <c r="H161" s="336"/>
      <c r="I161" s="415"/>
      <c r="J161" s="415"/>
      <c r="K161" s="415"/>
      <c r="L161" s="415"/>
      <c r="M161" s="415"/>
      <c r="N161" s="415"/>
      <c r="O161" s="415"/>
      <c r="P161" s="415"/>
      <c r="Q161" s="415"/>
      <c r="R161" s="415"/>
      <c r="S161" s="415"/>
      <c r="T161" s="415"/>
      <c r="U161" s="415"/>
      <c r="V161" s="415"/>
      <c r="W161" s="415"/>
      <c r="X161" s="415"/>
      <c r="Y161" s="415"/>
      <c r="Z161" s="415"/>
    </row>
    <row r="162" spans="1:26" ht="15.75" customHeight="1" thickBot="1" x14ac:dyDescent="0.35">
      <c r="A162" s="320"/>
      <c r="B162" s="49"/>
      <c r="C162" s="43"/>
      <c r="D162" s="428" t="s">
        <v>23</v>
      </c>
      <c r="E162" s="2046" t="s">
        <v>144</v>
      </c>
      <c r="F162" s="2047"/>
      <c r="G162" s="2047"/>
      <c r="H162" s="2048"/>
      <c r="I162" s="1849" t="s">
        <v>24</v>
      </c>
      <c r="J162" s="1850"/>
      <c r="K162" s="1851"/>
      <c r="L162" s="415"/>
      <c r="M162" s="427"/>
      <c r="N162" s="415"/>
      <c r="O162" s="415"/>
      <c r="P162" s="415"/>
      <c r="Q162" s="415"/>
      <c r="R162" s="415"/>
      <c r="S162" s="415"/>
      <c r="T162" s="415"/>
      <c r="U162" s="415"/>
      <c r="V162" s="415"/>
      <c r="W162" s="415"/>
      <c r="X162" s="415"/>
      <c r="Y162" s="415"/>
      <c r="Z162" s="415"/>
    </row>
    <row r="163" spans="1:26" ht="39.75" customHeight="1" thickBot="1" x14ac:dyDescent="0.35">
      <c r="A163" s="320"/>
      <c r="B163" s="359"/>
      <c r="C163" s="49"/>
      <c r="D163" s="490" t="s">
        <v>145</v>
      </c>
      <c r="E163" s="432" t="s">
        <v>173</v>
      </c>
      <c r="F163" s="432" t="s">
        <v>376</v>
      </c>
      <c r="G163" s="433" t="s">
        <v>145</v>
      </c>
      <c r="H163" s="432" t="s">
        <v>469</v>
      </c>
      <c r="I163" s="1871"/>
      <c r="J163" s="1872"/>
      <c r="K163" s="1873"/>
      <c r="L163" s="415"/>
      <c r="M163" s="415"/>
      <c r="N163" s="415"/>
      <c r="O163" s="415"/>
      <c r="P163" s="415"/>
      <c r="Q163" s="415"/>
      <c r="R163" s="415"/>
      <c r="S163" s="415"/>
      <c r="T163" s="415"/>
      <c r="U163" s="415"/>
      <c r="V163" s="415"/>
      <c r="W163" s="415"/>
      <c r="X163" s="415"/>
      <c r="Y163" s="415"/>
      <c r="Z163" s="415"/>
    </row>
    <row r="164" spans="1:26" ht="15.75" customHeight="1" thickBot="1" x14ac:dyDescent="0.35">
      <c r="A164" s="320"/>
      <c r="B164" s="1855" t="s">
        <v>146</v>
      </c>
      <c r="C164" s="1856"/>
      <c r="D164" s="363">
        <f>+'Q1-19'!D164+'Q2-19'!D164+'Q3-19'!D164+'Q4-19'!D164</f>
        <v>8974021.0786053389</v>
      </c>
      <c r="E164" s="363">
        <f>(+'Q1-19'!E164+'Q2-19'!E164+'Q3-19'!E164+'Q4-19'!E164)/4</f>
        <v>3304</v>
      </c>
      <c r="F164" s="363">
        <f>+'Q1-19'!F164+'Q2-19'!F164+'Q3-19'!F164+'Q4-19'!F164</f>
        <v>41629.236539650978</v>
      </c>
      <c r="G164" s="566">
        <f>IF(Performance!$L$2="Y",D164,F164)</f>
        <v>41629.236539650978</v>
      </c>
      <c r="H164" s="566">
        <f>IF(AND(E164&lt;&gt;0,E164&lt;&gt;""),G164/E164,"")</f>
        <v>12.599647863090489</v>
      </c>
      <c r="I164" s="2049"/>
      <c r="J164" s="2050"/>
      <c r="K164" s="2051"/>
      <c r="L164" s="415"/>
      <c r="M164" s="415"/>
      <c r="N164" s="415"/>
      <c r="O164" s="415"/>
      <c r="P164" s="415"/>
      <c r="Q164" s="415"/>
      <c r="R164" s="415"/>
      <c r="S164" s="415"/>
      <c r="T164" s="415"/>
      <c r="U164" s="415"/>
      <c r="V164" s="415"/>
      <c r="W164" s="415"/>
      <c r="X164" s="415"/>
      <c r="Y164" s="415"/>
      <c r="Z164" s="415"/>
    </row>
    <row r="165" spans="1:26" ht="13.5" customHeight="1" x14ac:dyDescent="0.3">
      <c r="A165" s="320"/>
      <c r="B165" s="49" t="s">
        <v>175</v>
      </c>
      <c r="C165" s="49"/>
      <c r="D165" s="49"/>
      <c r="E165" s="49"/>
      <c r="F165" s="49"/>
      <c r="G165" s="49"/>
      <c r="H165" s="49"/>
      <c r="I165" s="415"/>
      <c r="J165" s="415"/>
      <c r="K165" s="415"/>
      <c r="L165" s="415"/>
      <c r="M165" s="415"/>
      <c r="N165" s="415"/>
      <c r="O165" s="415"/>
      <c r="P165" s="415"/>
      <c r="Q165" s="415"/>
      <c r="R165" s="415"/>
      <c r="S165" s="415"/>
      <c r="T165" s="415"/>
      <c r="U165" s="415"/>
      <c r="V165" s="415"/>
      <c r="W165" s="415"/>
      <c r="X165" s="415"/>
      <c r="Y165" s="415"/>
      <c r="Z165" s="415"/>
    </row>
    <row r="166" spans="1:26" x14ac:dyDescent="0.3">
      <c r="A166" s="320"/>
      <c r="B166" s="49"/>
      <c r="C166" s="49"/>
      <c r="D166" s="360"/>
      <c r="E166" s="337"/>
      <c r="F166" s="337"/>
      <c r="G166" s="337"/>
      <c r="H166" s="337"/>
      <c r="I166" s="337"/>
      <c r="J166" s="415"/>
      <c r="K166" s="415"/>
      <c r="L166" s="337"/>
      <c r="M166" s="337"/>
      <c r="N166" s="437"/>
      <c r="O166" s="337"/>
      <c r="P166" s="49"/>
      <c r="Q166" s="49"/>
      <c r="R166" s="320"/>
      <c r="S166" s="49"/>
      <c r="T166" s="49"/>
      <c r="U166" s="49"/>
      <c r="V166" s="49"/>
      <c r="W166" s="49"/>
      <c r="X166" s="49"/>
      <c r="Y166" s="49"/>
      <c r="Z166" s="49"/>
    </row>
    <row r="167" spans="1:26" ht="27.75" customHeight="1" x14ac:dyDescent="0.3">
      <c r="A167" s="326">
        <v>4</v>
      </c>
      <c r="B167" s="327" t="s">
        <v>147</v>
      </c>
      <c r="C167" s="328"/>
      <c r="D167" s="1848" t="str">
        <f>+$A$1</f>
        <v>Annual - 2018-2019</v>
      </c>
      <c r="E167" s="1848"/>
      <c r="F167" s="1848"/>
      <c r="G167" s="1848"/>
      <c r="H167" s="1848"/>
      <c r="I167" s="1848"/>
      <c r="J167" s="1848"/>
      <c r="K167" s="329"/>
      <c r="L167" s="329"/>
      <c r="M167" s="317"/>
      <c r="N167" s="317"/>
      <c r="O167" s="317"/>
      <c r="P167" s="330"/>
      <c r="Q167" s="317"/>
      <c r="R167" s="317"/>
      <c r="S167" s="317"/>
      <c r="T167" s="317"/>
      <c r="U167" s="317"/>
      <c r="V167" s="317"/>
      <c r="W167" s="317"/>
      <c r="X167" s="317"/>
      <c r="Y167" s="317"/>
      <c r="Z167" s="317"/>
    </row>
    <row r="168" spans="1:26" ht="15.75" customHeight="1" thickBot="1" x14ac:dyDescent="0.35">
      <c r="A168" s="320"/>
      <c r="B168" s="49"/>
      <c r="C168" s="49"/>
      <c r="D168" s="336"/>
      <c r="E168" s="336"/>
      <c r="F168" s="336"/>
      <c r="G168" s="336"/>
      <c r="H168" s="336"/>
      <c r="I168" s="336"/>
      <c r="J168" s="336"/>
      <c r="K168" s="336"/>
      <c r="L168" s="49"/>
      <c r="M168" s="49"/>
      <c r="N168" s="49"/>
      <c r="O168" s="49"/>
      <c r="P168" s="49"/>
      <c r="Q168" s="49"/>
      <c r="R168" s="49"/>
      <c r="S168" s="49"/>
      <c r="T168" s="49"/>
      <c r="U168" s="49"/>
      <c r="V168" s="49"/>
      <c r="W168" s="49"/>
      <c r="X168" s="49"/>
      <c r="Y168" s="49"/>
      <c r="Z168" s="49"/>
    </row>
    <row r="169" spans="1:26" ht="13.5" customHeight="1" thickBot="1" x14ac:dyDescent="0.35">
      <c r="A169" s="320"/>
      <c r="B169" s="49"/>
      <c r="C169" s="43"/>
      <c r="D169" s="337"/>
      <c r="E169" s="2060" t="s">
        <v>23</v>
      </c>
      <c r="F169" s="2061"/>
      <c r="G169" s="2062" t="s">
        <v>144</v>
      </c>
      <c r="H169" s="2063"/>
      <c r="I169" s="1849" t="s">
        <v>24</v>
      </c>
      <c r="J169" s="1850"/>
      <c r="K169" s="1851"/>
      <c r="L169" s="49"/>
      <c r="M169" s="49"/>
      <c r="N169" s="49"/>
      <c r="O169" s="49"/>
      <c r="P169" s="49"/>
      <c r="Q169" s="49"/>
      <c r="R169" s="49"/>
      <c r="S169" s="49"/>
      <c r="T169" s="49"/>
      <c r="U169" s="49"/>
      <c r="V169" s="49"/>
      <c r="W169" s="49"/>
      <c r="X169" s="49"/>
      <c r="Y169" s="49"/>
      <c r="Z169" s="49"/>
    </row>
    <row r="170" spans="1:26" ht="16.5" customHeight="1" thickBot="1" x14ac:dyDescent="0.35">
      <c r="A170" s="320"/>
      <c r="B170" s="49"/>
      <c r="C170" s="359"/>
      <c r="D170" s="49"/>
      <c r="E170" s="438" t="s">
        <v>148</v>
      </c>
      <c r="F170" s="439" t="s">
        <v>149</v>
      </c>
      <c r="G170" s="343" t="s">
        <v>148</v>
      </c>
      <c r="H170" s="343" t="s">
        <v>149</v>
      </c>
      <c r="I170" s="1871"/>
      <c r="J170" s="1872"/>
      <c r="K170" s="1873"/>
      <c r="L170" s="49"/>
      <c r="M170" s="49"/>
      <c r="N170" s="49"/>
      <c r="O170" s="49"/>
      <c r="P170" s="49"/>
      <c r="Q170" s="49"/>
      <c r="R170" s="49"/>
      <c r="S170" s="49"/>
      <c r="T170" s="49"/>
      <c r="U170" s="49"/>
      <c r="V170" s="49"/>
      <c r="W170" s="49"/>
      <c r="X170" s="49"/>
      <c r="Y170" s="49"/>
      <c r="Z170" s="49"/>
    </row>
    <row r="171" spans="1:26" ht="15.75" customHeight="1" x14ac:dyDescent="0.3">
      <c r="A171" s="320"/>
      <c r="B171" s="2064" t="s">
        <v>150</v>
      </c>
      <c r="C171" s="2065"/>
      <c r="D171" s="2066"/>
      <c r="E171" s="350">
        <f>+'Q1-19'!E171+'Q2-19'!E171+'Q3-19'!E171+'Q4-19'!E171</f>
        <v>39436.597342014502</v>
      </c>
      <c r="F171" s="440">
        <f>IF($E$184&gt;0,E171/$E$184,"")</f>
        <v>0.78328974193790701</v>
      </c>
      <c r="G171" s="441">
        <f>+'Q1-19'!G171+'Q2-19'!G171+'Q3-19'!G171+'Q4-19'!G171</f>
        <v>1542.576482537015</v>
      </c>
      <c r="H171" s="442">
        <f>IF($G$184&gt;0,G171/$G$184,"")</f>
        <v>0.8516872605058502</v>
      </c>
      <c r="I171" s="1886"/>
      <c r="J171" s="1887"/>
      <c r="K171" s="1888"/>
      <c r="L171" s="49"/>
      <c r="M171" s="49"/>
      <c r="N171" s="49"/>
      <c r="O171" s="49"/>
      <c r="P171" s="49"/>
      <c r="Q171" s="49"/>
      <c r="R171" s="49"/>
      <c r="S171" s="49"/>
      <c r="T171" s="49"/>
      <c r="U171" s="49"/>
      <c r="V171" s="49"/>
      <c r="W171" s="49"/>
      <c r="X171" s="49"/>
      <c r="Y171" s="49"/>
      <c r="Z171" s="49"/>
    </row>
    <row r="172" spans="1:26" ht="15.75" customHeight="1" x14ac:dyDescent="0.3">
      <c r="A172" s="320"/>
      <c r="B172" s="2067" t="s">
        <v>365</v>
      </c>
      <c r="C172" s="2068"/>
      <c r="D172" s="2069"/>
      <c r="E172" s="348">
        <f>+'Q1-19'!E172+'Q2-19'!E172+'Q3-19'!E172+'Q4-19'!E172</f>
        <v>1075.929548987916</v>
      </c>
      <c r="F172" s="443"/>
      <c r="G172" s="435">
        <f>+'Q1-19'!G172+'Q2-19'!G172+'Q3-19'!G172+'Q4-19'!G172</f>
        <v>4</v>
      </c>
      <c r="H172" s="444"/>
      <c r="I172" s="1878"/>
      <c r="J172" s="1879"/>
      <c r="K172" s="1880"/>
      <c r="L172" s="49"/>
      <c r="M172" s="49"/>
      <c r="N172" s="49"/>
      <c r="O172" s="49"/>
      <c r="P172" s="49"/>
      <c r="Q172" s="49"/>
      <c r="R172" s="49"/>
      <c r="S172" s="49"/>
      <c r="T172" s="49"/>
      <c r="U172" s="49"/>
      <c r="V172" s="49"/>
      <c r="W172" s="49"/>
      <c r="X172" s="49"/>
      <c r="Y172" s="49"/>
      <c r="Z172" s="49"/>
    </row>
    <row r="173" spans="1:26" ht="15.75" customHeight="1" x14ac:dyDescent="0.3">
      <c r="A173" s="320"/>
      <c r="B173" s="2057" t="s">
        <v>151</v>
      </c>
      <c r="C173" s="2058"/>
      <c r="D173" s="2059"/>
      <c r="E173" s="348">
        <f>+'Q1-19'!E173+'Q2-19'!E173+'Q3-19'!E173+'Q4-19'!E173</f>
        <v>10.001200000762939</v>
      </c>
      <c r="F173" s="445">
        <f>IF($E$184&gt;0,E173/$E$184,"")</f>
        <v>1.9864384596185927E-4</v>
      </c>
      <c r="G173" s="435">
        <f>+'Q1-19'!G173+'Q2-19'!G173+'Q3-19'!G173+'Q4-19'!G173</f>
        <v>7.71870000076294</v>
      </c>
      <c r="H173" s="446">
        <f>IF($G$184&gt;0,G173/$G$184,"")</f>
        <v>4.2616483090059994E-3</v>
      </c>
      <c r="I173" s="1878"/>
      <c r="J173" s="1879"/>
      <c r="K173" s="1880"/>
      <c r="L173" s="49"/>
      <c r="M173" s="49"/>
      <c r="N173" s="49"/>
      <c r="O173" s="49"/>
      <c r="P173" s="49"/>
      <c r="Q173" s="49"/>
      <c r="R173" s="49"/>
      <c r="S173" s="49"/>
      <c r="T173" s="49"/>
      <c r="U173" s="49"/>
      <c r="V173" s="49"/>
      <c r="W173" s="49"/>
      <c r="X173" s="49"/>
      <c r="Y173" s="49"/>
      <c r="Z173" s="49"/>
    </row>
    <row r="174" spans="1:26" ht="15.75" customHeight="1" x14ac:dyDescent="0.3">
      <c r="A174" s="320"/>
      <c r="B174" s="2057" t="s">
        <v>185</v>
      </c>
      <c r="C174" s="2058"/>
      <c r="D174" s="2059"/>
      <c r="E174" s="348">
        <f>+'Q1-19'!E174+'Q2-19'!E174+'Q3-19'!E174+'Q4-19'!E174</f>
        <v>0</v>
      </c>
      <c r="F174" s="443"/>
      <c r="G174" s="435">
        <f>+'Q1-19'!G174+'Q2-19'!G174+'Q3-19'!G174+'Q4-19'!G174</f>
        <v>0</v>
      </c>
      <c r="H174" s="444"/>
      <c r="I174" s="1878"/>
      <c r="J174" s="1879"/>
      <c r="K174" s="1880"/>
      <c r="L174" s="49"/>
      <c r="M174" s="49"/>
      <c r="N174" s="49"/>
      <c r="O174" s="49"/>
      <c r="P174" s="49"/>
      <c r="Q174" s="49"/>
      <c r="R174" s="49"/>
      <c r="S174" s="49"/>
      <c r="T174" s="49"/>
      <c r="U174" s="49"/>
      <c r="V174" s="49"/>
      <c r="W174" s="49"/>
      <c r="X174" s="49"/>
      <c r="Y174" s="49"/>
      <c r="Z174" s="49"/>
    </row>
    <row r="175" spans="1:26" ht="15.75" customHeight="1" x14ac:dyDescent="0.3">
      <c r="A175" s="320"/>
      <c r="B175" s="2057" t="s">
        <v>152</v>
      </c>
      <c r="C175" s="2058"/>
      <c r="D175" s="2059"/>
      <c r="E175" s="348">
        <f>+'Q1-19'!E175+'Q2-19'!E175+'Q3-19'!E175+'Q4-19'!E175</f>
        <v>0</v>
      </c>
      <c r="F175" s="445">
        <f>IF($E$184&gt;0,E175/$E$184,"")</f>
        <v>0</v>
      </c>
      <c r="G175" s="435">
        <f>+'Q1-19'!G175+'Q2-19'!G175+'Q3-19'!G175+'Q4-19'!G175</f>
        <v>0</v>
      </c>
      <c r="H175" s="446">
        <f>IF($G$184&gt;0,G175/$G$184,"")</f>
        <v>0</v>
      </c>
      <c r="I175" s="1878"/>
      <c r="J175" s="1879"/>
      <c r="K175" s="1880"/>
      <c r="L175" s="49"/>
      <c r="M175" s="49"/>
      <c r="N175" s="49"/>
      <c r="O175" s="49"/>
      <c r="P175" s="49"/>
      <c r="Q175" s="49"/>
      <c r="R175" s="49"/>
      <c r="S175" s="49"/>
      <c r="T175" s="49"/>
      <c r="U175" s="49"/>
      <c r="V175" s="49"/>
      <c r="W175" s="49"/>
      <c r="X175" s="49"/>
      <c r="Y175" s="49"/>
      <c r="Z175" s="49"/>
    </row>
    <row r="176" spans="1:26" ht="15.75" customHeight="1" x14ac:dyDescent="0.3">
      <c r="A176" s="320"/>
      <c r="B176" s="2067" t="s">
        <v>153</v>
      </c>
      <c r="C176" s="2068"/>
      <c r="D176" s="2069"/>
      <c r="E176" s="348">
        <f>+'Q1-19'!E176+'Q2-19'!E176+'Q3-19'!E176+'Q4-19'!E176</f>
        <v>2544.680415403544</v>
      </c>
      <c r="F176" s="445">
        <f>IF($E$184&gt;0,E176/$E$184,"")</f>
        <v>5.0542445348660245E-2</v>
      </c>
      <c r="G176" s="435">
        <f>+'Q1-19'!G176+'Q2-19'!G176+'Q3-19'!G176+'Q4-19'!G176</f>
        <v>48.162722527175603</v>
      </c>
      <c r="H176" s="446">
        <f>IF($G$184&gt;0,G176/$G$184,"")</f>
        <v>2.6591600268798535E-2</v>
      </c>
      <c r="I176" s="1878"/>
      <c r="J176" s="1879"/>
      <c r="K176" s="1880"/>
      <c r="L176" s="49"/>
      <c r="M176" s="49"/>
      <c r="N176" s="49"/>
      <c r="O176" s="49"/>
      <c r="P176" s="49"/>
      <c r="Q176" s="49"/>
      <c r="R176" s="49"/>
      <c r="S176" s="49"/>
      <c r="T176" s="49"/>
      <c r="U176" s="49"/>
      <c r="V176" s="49"/>
      <c r="W176" s="49"/>
      <c r="X176" s="49"/>
      <c r="Y176" s="49"/>
      <c r="Z176" s="49"/>
    </row>
    <row r="177" spans="1:26" ht="15.75" customHeight="1" x14ac:dyDescent="0.3">
      <c r="A177" s="320"/>
      <c r="B177" s="2067" t="s">
        <v>154</v>
      </c>
      <c r="C177" s="2068"/>
      <c r="D177" s="2069"/>
      <c r="E177" s="348">
        <f>+'Q1-19'!E177+'Q2-19'!E177+'Q3-19'!E177+'Q4-19'!E177</f>
        <v>6871.1899212343542</v>
      </c>
      <c r="F177" s="445">
        <f>IF($E$184&gt;0,E177/$E$184,"")</f>
        <v>0.13647558214856562</v>
      </c>
      <c r="G177" s="435">
        <f>+'Q1-19'!G177+'Q2-19'!G177+'Q3-19'!G177+'Q4-19'!G177</f>
        <v>0</v>
      </c>
      <c r="H177" s="446">
        <f>IF($G$184&gt;0,G177/$G$184,"")</f>
        <v>0</v>
      </c>
      <c r="I177" s="1878"/>
      <c r="J177" s="1879"/>
      <c r="K177" s="1880"/>
      <c r="L177" s="49"/>
      <c r="M177" s="49"/>
      <c r="N177" s="49"/>
      <c r="O177" s="49"/>
      <c r="P177" s="49"/>
      <c r="Q177" s="49"/>
      <c r="R177" s="49"/>
      <c r="S177" s="49"/>
      <c r="T177" s="49"/>
      <c r="U177" s="49"/>
      <c r="V177" s="49"/>
      <c r="W177" s="49"/>
      <c r="X177" s="49"/>
      <c r="Y177" s="49"/>
      <c r="Z177" s="49"/>
    </row>
    <row r="178" spans="1:26" ht="15.75" customHeight="1" thickBot="1" x14ac:dyDescent="0.35">
      <c r="A178" s="320"/>
      <c r="B178" s="2073" t="s">
        <v>155</v>
      </c>
      <c r="C178" s="2074"/>
      <c r="D178" s="2075"/>
      <c r="E178" s="354">
        <f>+'Q1-19'!E178+'Q2-19'!E178+'Q3-19'!E178+'Q4-19'!E178</f>
        <v>4.0000000000000001E-3</v>
      </c>
      <c r="F178" s="447">
        <f>IF($E$184&gt;0,E178/$E$184,"")</f>
        <v>7.9448004618128142E-8</v>
      </c>
      <c r="G178" s="448">
        <f>+'Q1-19'!G178+'Q2-19'!G178+'Q3-19'!G178+'Q4-19'!G178</f>
        <v>0</v>
      </c>
      <c r="H178" s="449">
        <f>IF($G$184&gt;0,G178/$G$184,"")</f>
        <v>0</v>
      </c>
      <c r="I178" s="1895"/>
      <c r="J178" s="1896"/>
      <c r="K178" s="1897"/>
      <c r="L178" s="49"/>
      <c r="M178" s="49"/>
      <c r="N178" s="49"/>
      <c r="O178" s="49"/>
      <c r="P178" s="49"/>
      <c r="Q178" s="49"/>
      <c r="R178" s="49"/>
      <c r="S178" s="49"/>
      <c r="T178" s="49"/>
      <c r="U178" s="49"/>
      <c r="V178" s="49"/>
      <c r="W178" s="49"/>
      <c r="X178" s="49"/>
      <c r="Y178" s="49"/>
      <c r="Z178" s="49"/>
    </row>
    <row r="179" spans="1:26" ht="15.75" customHeight="1" thickBot="1" x14ac:dyDescent="0.35">
      <c r="A179" s="320"/>
      <c r="B179" s="2070" t="s">
        <v>156</v>
      </c>
      <c r="C179" s="2071"/>
      <c r="D179" s="2072"/>
      <c r="E179" s="450">
        <f>+'Q1-19'!E179+'Q2-19'!E179+'Q3-19'!E179+'Q4-19'!E179</f>
        <v>0</v>
      </c>
      <c r="F179" s="451"/>
      <c r="G179" s="452">
        <f>+'Q1-19'!G179+'Q2-19'!G179+'Q3-19'!G179+'Q4-19'!G179</f>
        <v>0</v>
      </c>
      <c r="H179" s="453"/>
      <c r="I179" s="2049"/>
      <c r="J179" s="2050"/>
      <c r="K179" s="2051"/>
      <c r="L179" s="49"/>
      <c r="M179" s="49"/>
      <c r="N179" s="49"/>
      <c r="O179" s="49"/>
      <c r="P179" s="49"/>
      <c r="Q179" s="49"/>
      <c r="R179" s="49"/>
      <c r="S179" s="49"/>
      <c r="T179" s="49"/>
      <c r="U179" s="49"/>
      <c r="V179" s="49"/>
      <c r="W179" s="49"/>
      <c r="X179" s="49"/>
      <c r="Y179" s="49"/>
      <c r="Z179" s="49"/>
    </row>
    <row r="180" spans="1:26" ht="15.75" customHeight="1" thickBot="1" x14ac:dyDescent="0.35">
      <c r="A180" s="320"/>
      <c r="B180" s="1296" t="s">
        <v>157</v>
      </c>
      <c r="C180" s="1352"/>
      <c r="D180" s="1353"/>
      <c r="E180" s="454">
        <f>+E171+E173+E176</f>
        <v>41991.278957418806</v>
      </c>
      <c r="F180" s="60">
        <f>IF(E184=0,"",+E180/E184)</f>
        <v>0.83403083113252907</v>
      </c>
      <c r="G180" s="455">
        <f>IF(Performance!$L$2="y",E180,G171+G173+G176)</f>
        <v>1598.4579050649536</v>
      </c>
      <c r="H180" s="456">
        <f>IF($G$184&gt;0,G180/$G$184,"")</f>
        <v>0.88254050908365478</v>
      </c>
      <c r="I180" s="2049"/>
      <c r="J180" s="2050"/>
      <c r="K180" s="2051"/>
      <c r="L180" s="49"/>
      <c r="M180" s="49"/>
      <c r="N180" s="49"/>
      <c r="O180" s="49"/>
      <c r="P180" s="49"/>
      <c r="Q180" s="49"/>
      <c r="R180" s="49"/>
      <c r="S180" s="49"/>
      <c r="T180" s="49"/>
      <c r="U180" s="49"/>
      <c r="V180" s="49"/>
      <c r="W180" s="49"/>
      <c r="X180" s="49"/>
      <c r="Y180" s="49"/>
      <c r="Z180" s="49"/>
    </row>
    <row r="181" spans="1:26" ht="15.75" customHeight="1" thickBot="1" x14ac:dyDescent="0.35">
      <c r="A181" s="320"/>
      <c r="B181" s="1297" t="s">
        <v>521</v>
      </c>
      <c r="C181" s="1352"/>
      <c r="D181" s="1353"/>
      <c r="E181" s="174">
        <f>E173+E175</f>
        <v>10.001200000762939</v>
      </c>
      <c r="F181" s="451">
        <f>IF($E$184&gt;0,E181/$E$184,"")</f>
        <v>1.9864384596185927E-4</v>
      </c>
      <c r="G181" s="182">
        <f>IF(Performance!$L$2="y",E181,G173+G175)</f>
        <v>7.71870000076294</v>
      </c>
      <c r="H181" s="456">
        <f>IF($G$184&gt;0,G181/$G$184,"")</f>
        <v>4.2616483090059994E-3</v>
      </c>
      <c r="I181" s="2049"/>
      <c r="J181" s="2050"/>
      <c r="K181" s="2051"/>
      <c r="L181" s="49"/>
      <c r="M181" s="49"/>
      <c r="N181" s="49"/>
      <c r="O181" s="49"/>
      <c r="P181" s="49"/>
      <c r="Q181" s="49"/>
      <c r="R181" s="49"/>
      <c r="S181" s="49"/>
      <c r="T181" s="49"/>
      <c r="U181" s="49"/>
      <c r="V181" s="49"/>
      <c r="W181" s="49"/>
      <c r="X181" s="49"/>
      <c r="Y181" s="49"/>
      <c r="Z181" s="49"/>
    </row>
    <row r="182" spans="1:26" ht="15.75" customHeight="1" thickBot="1" x14ac:dyDescent="0.35">
      <c r="A182" s="320"/>
      <c r="B182" s="1296" t="s">
        <v>522</v>
      </c>
      <c r="C182" s="1352"/>
      <c r="D182" s="1353"/>
      <c r="E182" s="164">
        <f>SUM(E171:E178)-E172-E174</f>
        <v>48862.472878653163</v>
      </c>
      <c r="F182" s="60">
        <f>IF($E$184&gt;0,E182/$E$184,"")</f>
        <v>0.97050649272909939</v>
      </c>
      <c r="G182" s="183">
        <f>IF(Performance!$L$2="y",E182,SUM(G171:G178)-G172-G174)</f>
        <v>1598.4579050649536</v>
      </c>
      <c r="H182" s="150">
        <f>IF($G$184&gt;0,G182/$G$184,"")</f>
        <v>0.88254050908365478</v>
      </c>
      <c r="I182" s="2049"/>
      <c r="J182" s="2050"/>
      <c r="K182" s="2051"/>
      <c r="L182" s="49"/>
      <c r="M182" s="49"/>
      <c r="N182" s="49"/>
      <c r="O182" s="49"/>
      <c r="P182" s="49"/>
      <c r="Q182" s="49"/>
      <c r="R182" s="49"/>
      <c r="S182" s="49"/>
      <c r="T182" s="49"/>
      <c r="U182" s="49"/>
      <c r="V182" s="49"/>
      <c r="W182" s="49"/>
      <c r="X182" s="49"/>
      <c r="Y182" s="49"/>
      <c r="Z182" s="49"/>
    </row>
    <row r="183" spans="1:26" ht="15.75" customHeight="1" thickBot="1" x14ac:dyDescent="0.35">
      <c r="A183" s="320"/>
      <c r="B183" s="1297" t="s">
        <v>160</v>
      </c>
      <c r="C183" s="1352"/>
      <c r="D183" s="1353"/>
      <c r="E183" s="450">
        <f>+'Q1-19'!E183+'Q2-19'!E183+'Q3-19'!E183+'Q4-19'!E183</f>
        <v>1484.921234342537</v>
      </c>
      <c r="F183" s="451">
        <f>IF($E$184&gt;0,E183/$E$184,"")</f>
        <v>2.9493507270900603E-2</v>
      </c>
      <c r="G183" s="452">
        <f>+'Q1-19'!G183+'Q2-19'!G183+'Q3-19'!G183+'Q4-19'!G183</f>
        <v>212.7427011538347</v>
      </c>
      <c r="H183" s="453">
        <f>IF($G$184&gt;0,G183/$G$184,"")</f>
        <v>0.11745949091634521</v>
      </c>
      <c r="I183" s="2049"/>
      <c r="J183" s="2050"/>
      <c r="K183" s="2051"/>
      <c r="L183" s="49"/>
      <c r="M183" s="49"/>
      <c r="N183" s="49"/>
      <c r="O183" s="49"/>
      <c r="P183" s="49"/>
      <c r="Q183" s="49"/>
      <c r="R183" s="49"/>
      <c r="S183" s="49"/>
      <c r="T183" s="49"/>
      <c r="U183" s="49"/>
      <c r="V183" s="49"/>
      <c r="W183" s="49"/>
      <c r="X183" s="49"/>
      <c r="Y183" s="49"/>
      <c r="Z183" s="49"/>
    </row>
    <row r="184" spans="1:26" ht="15.75" customHeight="1" thickBot="1" x14ac:dyDescent="0.35">
      <c r="A184" s="320"/>
      <c r="B184" s="1298" t="s">
        <v>523</v>
      </c>
      <c r="C184" s="1354"/>
      <c r="D184" s="1355"/>
      <c r="E184" s="164">
        <f>E183+E182</f>
        <v>50347.394112995702</v>
      </c>
      <c r="F184" s="59"/>
      <c r="G184" s="183">
        <f>IF(Performance!L2="y",E184,G183+G182)</f>
        <v>1811.2006062187884</v>
      </c>
      <c r="H184" s="149"/>
      <c r="I184" s="2049"/>
      <c r="J184" s="2050"/>
      <c r="K184" s="2051"/>
      <c r="L184" s="49"/>
      <c r="M184" s="49"/>
      <c r="N184" s="49"/>
      <c r="O184" s="49"/>
      <c r="P184" s="49"/>
      <c r="Q184" s="49"/>
      <c r="R184" s="49"/>
      <c r="S184" s="49"/>
      <c r="T184" s="49"/>
      <c r="U184" s="49"/>
      <c r="V184" s="49"/>
      <c r="W184" s="49"/>
      <c r="X184" s="49"/>
      <c r="Y184" s="49"/>
      <c r="Z184" s="49"/>
    </row>
    <row r="185" spans="1:26" ht="17.25" customHeight="1" thickBot="1" x14ac:dyDescent="0.35">
      <c r="A185" s="320"/>
      <c r="B185" s="1299" t="s">
        <v>162</v>
      </c>
      <c r="C185" s="1354"/>
      <c r="D185" s="1355"/>
      <c r="E185" s="363">
        <f>+'Q1-19'!E185+'Q2-19'!E185+'Q3-19'!E185+'Q4-19'!E185</f>
        <v>0</v>
      </c>
      <c r="F185" s="60">
        <f>IF($E$184&gt;0,E185/$E$184,"")</f>
        <v>0</v>
      </c>
      <c r="G185" s="566">
        <f>+'Q1-19'!G185+'Q2-19'!G185+'Q3-19'!G185+'Q4-19'!G185</f>
        <v>0</v>
      </c>
      <c r="H185" s="456">
        <f>IF($E$184&gt;0,G185/$E$184,"")</f>
        <v>0</v>
      </c>
      <c r="I185" s="2049"/>
      <c r="J185" s="2050"/>
      <c r="K185" s="2051"/>
      <c r="L185" s="49"/>
      <c r="M185" s="49"/>
      <c r="N185" s="49"/>
      <c r="O185" s="49"/>
      <c r="P185" s="49"/>
      <c r="Q185" s="49"/>
      <c r="R185" s="49"/>
      <c r="S185" s="49"/>
      <c r="T185" s="49"/>
      <c r="U185" s="49"/>
      <c r="V185" s="49"/>
      <c r="W185" s="49"/>
      <c r="X185" s="49"/>
      <c r="Y185" s="49"/>
      <c r="Z185" s="49"/>
    </row>
    <row r="186" spans="1:26" ht="31.5" customHeight="1" x14ac:dyDescent="0.3">
      <c r="A186" s="320"/>
      <c r="B186" s="49"/>
      <c r="C186" s="2076" t="s">
        <v>163</v>
      </c>
      <c r="D186" s="2076"/>
      <c r="E186" s="2076"/>
      <c r="F186" s="2076"/>
      <c r="G186" s="2076"/>
      <c r="H186" s="2076"/>
      <c r="I186" s="2076"/>
      <c r="J186" s="2076"/>
      <c r="K186" s="386"/>
      <c r="L186" s="426"/>
      <c r="M186" s="337"/>
      <c r="N186" s="337"/>
      <c r="O186" s="49"/>
      <c r="P186" s="49"/>
      <c r="Q186" s="49"/>
      <c r="R186" s="49"/>
      <c r="S186" s="49"/>
      <c r="T186" s="49"/>
      <c r="U186" s="49"/>
      <c r="V186" s="49"/>
      <c r="W186" s="49"/>
      <c r="X186" s="49"/>
      <c r="Y186" s="49"/>
      <c r="Z186" s="49"/>
    </row>
    <row r="187" spans="1:26" ht="27.75" customHeight="1" x14ac:dyDescent="0.3">
      <c r="A187" s="326">
        <v>5</v>
      </c>
      <c r="B187" s="327" t="s">
        <v>164</v>
      </c>
      <c r="C187" s="328"/>
      <c r="D187" s="1848" t="str">
        <f>+$A$1</f>
        <v>Annual - 2018-2019</v>
      </c>
      <c r="E187" s="1848"/>
      <c r="F187" s="1848"/>
      <c r="G187" s="1848"/>
      <c r="H187" s="1848"/>
      <c r="I187" s="1848"/>
      <c r="J187" s="1848"/>
      <c r="K187" s="329"/>
      <c r="L187" s="329"/>
      <c r="M187" s="329"/>
      <c r="N187" s="317"/>
      <c r="O187" s="317"/>
      <c r="P187" s="330"/>
      <c r="Q187" s="330"/>
      <c r="R187" s="317"/>
      <c r="S187" s="317"/>
      <c r="T187" s="317"/>
      <c r="U187" s="317"/>
      <c r="V187" s="317"/>
      <c r="W187" s="317"/>
      <c r="X187" s="317"/>
      <c r="Y187" s="317"/>
      <c r="Z187" s="317"/>
    </row>
    <row r="188" spans="1:26" ht="15.75" customHeight="1" thickBot="1" x14ac:dyDescent="0.35">
      <c r="A188" s="320"/>
      <c r="B188" s="43"/>
      <c r="C188" s="49"/>
      <c r="D188" s="336"/>
      <c r="E188" s="336"/>
      <c r="F188" s="336"/>
      <c r="G188" s="336"/>
      <c r="H188" s="336"/>
      <c r="I188" s="336"/>
      <c r="J188" s="336"/>
      <c r="K188" s="336"/>
      <c r="L188" s="49"/>
      <c r="M188" s="49"/>
      <c r="N188" s="49"/>
      <c r="O188" s="49"/>
      <c r="P188" s="49"/>
      <c r="Q188" s="49"/>
      <c r="R188" s="49"/>
      <c r="S188" s="49"/>
      <c r="T188" s="49"/>
      <c r="U188" s="49"/>
      <c r="V188" s="49"/>
      <c r="W188" s="49"/>
      <c r="X188" s="49"/>
      <c r="Y188" s="49"/>
      <c r="Z188" s="49"/>
    </row>
    <row r="189" spans="1:26" ht="14.4" thickBot="1" x14ac:dyDescent="0.35">
      <c r="A189" s="320"/>
      <c r="B189" s="1860" t="s">
        <v>23</v>
      </c>
      <c r="C189" s="1861"/>
      <c r="D189" s="1861"/>
      <c r="E189" s="1862"/>
      <c r="F189" s="1849" t="s">
        <v>24</v>
      </c>
      <c r="G189" s="1850"/>
      <c r="H189" s="1851"/>
      <c r="I189" s="49"/>
      <c r="J189" s="49"/>
      <c r="K189" s="49"/>
      <c r="L189" s="49"/>
      <c r="M189" s="49"/>
      <c r="N189" s="49"/>
      <c r="O189" s="49"/>
      <c r="P189" s="49"/>
      <c r="Q189" s="49"/>
      <c r="R189" s="49"/>
      <c r="S189" s="49"/>
      <c r="T189" s="49"/>
      <c r="U189" s="49"/>
      <c r="V189" s="49"/>
      <c r="W189" s="49"/>
      <c r="X189" s="49"/>
      <c r="Y189" s="49"/>
      <c r="Z189" s="49"/>
    </row>
    <row r="190" spans="1:26" ht="24.6" thickBot="1" x14ac:dyDescent="0.35">
      <c r="A190" s="320"/>
      <c r="B190" s="458" t="s">
        <v>165</v>
      </c>
      <c r="C190" s="346" t="s">
        <v>166</v>
      </c>
      <c r="D190" s="459" t="s">
        <v>167</v>
      </c>
      <c r="E190" s="460" t="s">
        <v>168</v>
      </c>
      <c r="F190" s="1852"/>
      <c r="G190" s="1853"/>
      <c r="H190" s="1854"/>
      <c r="I190" s="49"/>
      <c r="J190" s="49"/>
      <c r="K190" s="49"/>
      <c r="L190" s="49"/>
      <c r="M190" s="49"/>
      <c r="N190" s="49"/>
      <c r="O190" s="49"/>
      <c r="P190" s="49"/>
      <c r="Q190" s="49"/>
      <c r="R190" s="49"/>
      <c r="S190" s="49"/>
      <c r="T190" s="49"/>
      <c r="U190" s="49"/>
      <c r="V190" s="49"/>
      <c r="W190" s="49"/>
      <c r="X190" s="49"/>
      <c r="Y190" s="49"/>
      <c r="Z190" s="49"/>
    </row>
    <row r="191" spans="1:26" ht="14.4" thickBot="1" x14ac:dyDescent="0.35">
      <c r="A191" s="320"/>
      <c r="B191" s="363">
        <f>+'Q1-19'!B191+'Q2-19'!B191+'Q3-19'!B191+'Q4-19'!B191</f>
        <v>1059959</v>
      </c>
      <c r="C191" s="461">
        <f>+'Q1-19'!C191+'Q2-19'!C191+'Q3-19'!C191+'Q4-19'!C191</f>
        <v>7447</v>
      </c>
      <c r="D191" s="462">
        <f>+'Q1-19'!D191+'Q2-19'!D191+'Q3-19'!D191+'Q4-19'!D191</f>
        <v>1926</v>
      </c>
      <c r="E191" s="463">
        <f>B191+(C191*2)+(D191/2)</f>
        <v>1075816</v>
      </c>
      <c r="F191" s="1857"/>
      <c r="G191" s="1858"/>
      <c r="H191" s="1859"/>
      <c r="I191" s="49"/>
      <c r="J191" s="49"/>
      <c r="K191" s="49"/>
      <c r="L191" s="49"/>
      <c r="M191" s="49"/>
      <c r="N191" s="49"/>
      <c r="O191" s="49"/>
      <c r="P191" s="49"/>
      <c r="Q191" s="49"/>
      <c r="R191" s="49"/>
      <c r="S191" s="49"/>
      <c r="T191" s="49"/>
      <c r="U191" s="49"/>
      <c r="V191" s="49"/>
      <c r="W191" s="49"/>
      <c r="X191" s="49"/>
      <c r="Y191" s="49"/>
      <c r="Z191" s="49"/>
    </row>
    <row r="192" spans="1:26" x14ac:dyDescent="0.3">
      <c r="A192" s="320"/>
      <c r="B192" s="337"/>
      <c r="C192" s="337"/>
      <c r="D192" s="337"/>
      <c r="E192" s="337"/>
      <c r="F192" s="337"/>
      <c r="G192" s="337"/>
      <c r="H192" s="337"/>
      <c r="I192" s="337"/>
      <c r="J192" s="337"/>
      <c r="K192" s="337"/>
      <c r="L192" s="337"/>
      <c r="M192" s="337"/>
      <c r="N192" s="49"/>
      <c r="O192" s="49"/>
      <c r="P192" s="49"/>
      <c r="Q192" s="49"/>
      <c r="R192" s="49"/>
      <c r="S192" s="49"/>
      <c r="T192" s="49"/>
      <c r="U192" s="49"/>
      <c r="V192" s="49"/>
      <c r="W192" s="49"/>
      <c r="X192" s="49"/>
      <c r="Y192" s="49"/>
      <c r="Z192" s="49"/>
    </row>
    <row r="193" spans="1:26" ht="27.75" customHeight="1" x14ac:dyDescent="0.3">
      <c r="A193" s="326">
        <v>6</v>
      </c>
      <c r="B193" s="327" t="s">
        <v>169</v>
      </c>
      <c r="C193" s="328"/>
      <c r="D193" s="1848" t="str">
        <f>+$A$1</f>
        <v>Annual - 2018-2019</v>
      </c>
      <c r="E193" s="1848"/>
      <c r="F193" s="1848"/>
      <c r="G193" s="1848"/>
      <c r="H193" s="1848"/>
      <c r="I193" s="1848"/>
      <c r="J193" s="1848"/>
      <c r="K193" s="329"/>
      <c r="L193" s="329"/>
      <c r="M193" s="329"/>
      <c r="N193" s="317"/>
      <c r="O193" s="317"/>
      <c r="P193" s="330"/>
      <c r="Q193" s="330"/>
      <c r="R193" s="317"/>
      <c r="S193" s="317"/>
      <c r="T193" s="317"/>
      <c r="U193" s="317"/>
      <c r="V193" s="317"/>
      <c r="W193" s="317"/>
      <c r="X193" s="317"/>
      <c r="Y193" s="317"/>
      <c r="Z193" s="317"/>
    </row>
    <row r="194" spans="1:26" ht="27.75" customHeight="1" x14ac:dyDescent="0.3">
      <c r="A194" s="320"/>
      <c r="B194" s="49"/>
      <c r="C194" s="49"/>
      <c r="D194" s="49"/>
      <c r="E194" s="49"/>
      <c r="F194" s="49"/>
      <c r="G194" s="49"/>
      <c r="H194" s="49"/>
      <c r="I194" s="49"/>
      <c r="J194" s="49"/>
      <c r="K194" s="49"/>
      <c r="L194" s="49"/>
      <c r="M194" s="49"/>
      <c r="N194" s="49"/>
      <c r="O194" s="49"/>
      <c r="P194" s="464"/>
      <c r="Q194" s="464"/>
      <c r="R194" s="49"/>
      <c r="S194" s="49"/>
      <c r="T194" s="49"/>
      <c r="U194" s="49"/>
      <c r="V194" s="49"/>
      <c r="W194" s="49"/>
      <c r="X194" s="49"/>
      <c r="Y194" s="49"/>
      <c r="Z194" s="49"/>
    </row>
    <row r="195" spans="1:26" ht="14.4" thickBot="1" x14ac:dyDescent="0.35">
      <c r="A195" s="320"/>
      <c r="B195" s="43"/>
      <c r="C195" s="337"/>
      <c r="D195" s="337"/>
      <c r="E195" s="337"/>
      <c r="F195" s="337"/>
      <c r="G195" s="337"/>
      <c r="H195" s="337"/>
      <c r="I195" s="337"/>
      <c r="J195" s="337"/>
      <c r="K195" s="337"/>
      <c r="L195" s="337"/>
      <c r="M195" s="337"/>
      <c r="N195" s="337"/>
      <c r="O195" s="337"/>
      <c r="P195" s="337"/>
      <c r="Q195" s="337"/>
      <c r="R195" s="337"/>
      <c r="S195" s="337"/>
      <c r="T195" s="337"/>
      <c r="U195" s="337"/>
      <c r="V195" s="337"/>
      <c r="W195" s="337"/>
      <c r="X195" s="337"/>
      <c r="Y195" s="49"/>
      <c r="Z195" s="49"/>
    </row>
    <row r="196" spans="1:26" ht="15.75" customHeight="1" thickBot="1" x14ac:dyDescent="0.35">
      <c r="A196" s="320"/>
      <c r="B196" s="1860" t="s">
        <v>23</v>
      </c>
      <c r="C196" s="1861"/>
      <c r="D196" s="1862"/>
      <c r="E196" s="1860" t="s">
        <v>24</v>
      </c>
      <c r="F196" s="1861"/>
      <c r="G196" s="1862"/>
      <c r="H196" s="337"/>
      <c r="I196" s="337"/>
      <c r="J196" s="337"/>
      <c r="K196" s="337"/>
      <c r="L196" s="337"/>
      <c r="M196" s="337"/>
      <c r="N196" s="337"/>
      <c r="O196" s="337"/>
      <c r="P196" s="337"/>
      <c r="Q196" s="337"/>
      <c r="R196" s="337"/>
      <c r="S196" s="337"/>
      <c r="T196" s="337"/>
      <c r="U196" s="337"/>
      <c r="V196" s="337"/>
      <c r="W196" s="337"/>
      <c r="X196" s="337"/>
      <c r="Y196" s="49"/>
      <c r="Z196" s="49"/>
    </row>
    <row r="197" spans="1:26" ht="13.5" customHeight="1" thickBot="1" x14ac:dyDescent="0.35">
      <c r="A197" s="320"/>
      <c r="B197" s="2070" t="s">
        <v>170</v>
      </c>
      <c r="C197" s="2072"/>
      <c r="D197" s="461">
        <f>+'Q1-19'!D197+'Q2-19'!D197+'Q3-19'!D197+'Q4-19'!D197</f>
        <v>4200</v>
      </c>
      <c r="E197" s="2025"/>
      <c r="F197" s="2026"/>
      <c r="G197" s="2027"/>
      <c r="H197" s="337"/>
      <c r="I197" s="337"/>
      <c r="J197" s="337"/>
      <c r="K197" s="337"/>
      <c r="L197" s="337"/>
      <c r="M197" s="337"/>
      <c r="N197" s="337"/>
      <c r="O197" s="337"/>
      <c r="P197" s="337"/>
      <c r="Q197" s="337"/>
      <c r="R197" s="337"/>
      <c r="S197" s="337"/>
      <c r="T197" s="337"/>
      <c r="U197" s="337"/>
      <c r="V197" s="337"/>
      <c r="W197" s="337"/>
      <c r="X197" s="337"/>
      <c r="Y197" s="49"/>
      <c r="Z197" s="49"/>
    </row>
    <row r="198" spans="1:26" ht="14.4" thickBot="1" x14ac:dyDescent="0.35">
      <c r="A198" s="320"/>
      <c r="B198" s="2020" t="s">
        <v>468</v>
      </c>
      <c r="C198" s="2021"/>
      <c r="D198" s="58">
        <f>IF(D197=0,"",+D109/D197)</f>
        <v>437.63966523215277</v>
      </c>
      <c r="E198" s="1857"/>
      <c r="F198" s="1858"/>
      <c r="G198" s="1859"/>
      <c r="H198" s="337"/>
      <c r="I198" s="337"/>
      <c r="J198" s="337"/>
      <c r="K198" s="337"/>
      <c r="L198" s="337"/>
      <c r="M198" s="337"/>
      <c r="N198" s="337"/>
      <c r="O198" s="337"/>
      <c r="P198" s="337"/>
      <c r="Q198" s="337"/>
      <c r="R198" s="337"/>
      <c r="S198" s="337"/>
      <c r="T198" s="337"/>
      <c r="U198" s="337"/>
      <c r="V198" s="337"/>
      <c r="W198" s="337"/>
      <c r="X198" s="337"/>
      <c r="Y198" s="49"/>
      <c r="Z198" s="49"/>
    </row>
    <row r="199" spans="1:26" x14ac:dyDescent="0.3">
      <c r="A199" s="320"/>
      <c r="B199" s="337"/>
      <c r="C199" s="337"/>
      <c r="D199" s="337"/>
      <c r="E199" s="337"/>
      <c r="F199" s="337"/>
      <c r="G199" s="337"/>
      <c r="H199" s="337"/>
      <c r="I199" s="337"/>
      <c r="J199" s="386"/>
      <c r="K199" s="425"/>
      <c r="L199" s="337"/>
      <c r="M199" s="337"/>
      <c r="N199" s="49"/>
      <c r="O199" s="49"/>
      <c r="P199" s="49"/>
      <c r="Q199" s="49"/>
      <c r="R199" s="49"/>
      <c r="S199" s="49"/>
      <c r="T199" s="49"/>
      <c r="U199" s="49"/>
      <c r="V199" s="49"/>
      <c r="W199" s="49"/>
      <c r="X199" s="49"/>
      <c r="Y199" s="49"/>
      <c r="Z199" s="49"/>
    </row>
    <row r="200" spans="1:26" ht="27.75" customHeight="1" x14ac:dyDescent="0.3">
      <c r="A200" s="362"/>
      <c r="J200" s="362"/>
      <c r="K200" s="362"/>
    </row>
    <row r="201" spans="1:26" x14ac:dyDescent="0.3">
      <c r="A201" s="362"/>
      <c r="J201" s="362"/>
      <c r="K201" s="362"/>
    </row>
    <row r="202" spans="1:26" ht="15.75" customHeight="1" x14ac:dyDescent="0.3">
      <c r="A202" s="362"/>
      <c r="J202" s="362"/>
      <c r="K202" s="362"/>
    </row>
    <row r="203" spans="1:26" ht="13.5" customHeight="1" x14ac:dyDescent="0.3">
      <c r="A203" s="362"/>
      <c r="J203" s="362"/>
      <c r="K203" s="362"/>
    </row>
    <row r="204" spans="1:26" ht="13.5" customHeight="1" x14ac:dyDescent="0.3">
      <c r="A204" s="362"/>
      <c r="J204" s="362"/>
      <c r="K204" s="362"/>
    </row>
    <row r="205" spans="1:26" x14ac:dyDescent="0.3">
      <c r="A205" s="362"/>
      <c r="J205" s="362"/>
      <c r="K205" s="362"/>
    </row>
    <row r="206" spans="1:26" x14ac:dyDescent="0.3">
      <c r="A206" s="362"/>
      <c r="J206" s="362"/>
      <c r="K206" s="362"/>
    </row>
  </sheetData>
  <sheetProtection algorithmName="SHA-512" hashValue="PV8NDwLDi99i3rcMp8faUtzSfoBQMe9ztzNXb2sLkYF2F8JjUKzmie6eVtGUYGvnddmekYctQN4ICkF5AVmQAA==" saltValue="I3FF0X6i6WiOFlOY1ZwgmA==" spinCount="100000" sheet="1" objects="1" scenarios="1"/>
  <mergeCells count="243">
    <mergeCell ref="B108:C108"/>
    <mergeCell ref="U90:W90"/>
    <mergeCell ref="U91:W91"/>
    <mergeCell ref="U92:W92"/>
    <mergeCell ref="U93:W93"/>
    <mergeCell ref="U94:W94"/>
    <mergeCell ref="U95:W95"/>
    <mergeCell ref="U96:W96"/>
    <mergeCell ref="O97:W100"/>
    <mergeCell ref="I108:K108"/>
    <mergeCell ref="I96:K96"/>
    <mergeCell ref="I97:K97"/>
    <mergeCell ref="I98:K98"/>
    <mergeCell ref="I99:K99"/>
    <mergeCell ref="B87:B107"/>
    <mergeCell ref="I84:K84"/>
    <mergeCell ref="I85:K85"/>
    <mergeCell ref="I106:K106"/>
    <mergeCell ref="I107:K107"/>
    <mergeCell ref="B20:B35"/>
    <mergeCell ref="I34:K34"/>
    <mergeCell ref="I35:K35"/>
    <mergeCell ref="I79:K79"/>
    <mergeCell ref="I80:K80"/>
    <mergeCell ref="I78:K78"/>
    <mergeCell ref="I81:K81"/>
    <mergeCell ref="I82:K82"/>
    <mergeCell ref="I83:K83"/>
    <mergeCell ref="I87:K87"/>
    <mergeCell ref="I88:K88"/>
    <mergeCell ref="I89:K89"/>
    <mergeCell ref="I90:K90"/>
    <mergeCell ref="I91:K91"/>
    <mergeCell ref="I92:K92"/>
    <mergeCell ref="I93:K93"/>
    <mergeCell ref="I94:K94"/>
    <mergeCell ref="I95:K95"/>
    <mergeCell ref="Z64:Z67"/>
    <mergeCell ref="O75:W78"/>
    <mergeCell ref="O86:W86"/>
    <mergeCell ref="X86:Y86"/>
    <mergeCell ref="Z86:Z89"/>
    <mergeCell ref="Q87:Q89"/>
    <mergeCell ref="R87:R89"/>
    <mergeCell ref="S87:S89"/>
    <mergeCell ref="T87:T88"/>
    <mergeCell ref="U87:W89"/>
    <mergeCell ref="X87:X89"/>
    <mergeCell ref="Y87:Y88"/>
    <mergeCell ref="T65:T66"/>
    <mergeCell ref="S65:S67"/>
    <mergeCell ref="R65:R67"/>
    <mergeCell ref="Y65:Y66"/>
    <mergeCell ref="X65:X67"/>
    <mergeCell ref="X64:Y64"/>
    <mergeCell ref="U65:W67"/>
    <mergeCell ref="D6:J6"/>
    <mergeCell ref="B10:C10"/>
    <mergeCell ref="F8:H9"/>
    <mergeCell ref="F10:H10"/>
    <mergeCell ref="I74:K74"/>
    <mergeCell ref="I75:K75"/>
    <mergeCell ref="I76:K76"/>
    <mergeCell ref="I77:K77"/>
    <mergeCell ref="I31:K31"/>
    <mergeCell ref="I32:K32"/>
    <mergeCell ref="I33:K33"/>
    <mergeCell ref="D62:F62"/>
    <mergeCell ref="B19:C19"/>
    <mergeCell ref="I64:K64"/>
    <mergeCell ref="I72:K72"/>
    <mergeCell ref="I73:K73"/>
    <mergeCell ref="I69:K69"/>
    <mergeCell ref="I70:K70"/>
    <mergeCell ref="I71:K71"/>
    <mergeCell ref="D13:J13"/>
    <mergeCell ref="I62:K63"/>
    <mergeCell ref="I65:K65"/>
    <mergeCell ref="I68:K68"/>
    <mergeCell ref="D14:J14"/>
    <mergeCell ref="I179:K179"/>
    <mergeCell ref="I180:K180"/>
    <mergeCell ref="B178:D178"/>
    <mergeCell ref="B179:D179"/>
    <mergeCell ref="B174:D174"/>
    <mergeCell ref="B175:D175"/>
    <mergeCell ref="B176:D176"/>
    <mergeCell ref="B171:D171"/>
    <mergeCell ref="B172:D172"/>
    <mergeCell ref="B173:D173"/>
    <mergeCell ref="B177:D177"/>
    <mergeCell ref="I178:K178"/>
    <mergeCell ref="I171:K171"/>
    <mergeCell ref="I177:K177"/>
    <mergeCell ref="I172:K172"/>
    <mergeCell ref="I173:K173"/>
    <mergeCell ref="I174:K174"/>
    <mergeCell ref="I175:K175"/>
    <mergeCell ref="I176:K176"/>
    <mergeCell ref="I130:K130"/>
    <mergeCell ref="I131:K131"/>
    <mergeCell ref="I132:K132"/>
    <mergeCell ref="I133:K133"/>
    <mergeCell ref="I29:K29"/>
    <mergeCell ref="I30:K30"/>
    <mergeCell ref="I27:K27"/>
    <mergeCell ref="O25:R25"/>
    <mergeCell ref="O27:O28"/>
    <mergeCell ref="P27:P28"/>
    <mergeCell ref="Q27:Q28"/>
    <mergeCell ref="R27:R28"/>
    <mergeCell ref="I25:K25"/>
    <mergeCell ref="I26:K26"/>
    <mergeCell ref="O26:P26"/>
    <mergeCell ref="Q26:R26"/>
    <mergeCell ref="I115:K115"/>
    <mergeCell ref="I116:K116"/>
    <mergeCell ref="I100:K100"/>
    <mergeCell ref="I101:K101"/>
    <mergeCell ref="I102:K102"/>
    <mergeCell ref="I103:K103"/>
    <mergeCell ref="I104:K104"/>
    <mergeCell ref="I105:K105"/>
    <mergeCell ref="B164:C164"/>
    <mergeCell ref="D167:J167"/>
    <mergeCell ref="E169:F169"/>
    <mergeCell ref="G169:H169"/>
    <mergeCell ref="I164:K164"/>
    <mergeCell ref="I169:K170"/>
    <mergeCell ref="I136:K136"/>
    <mergeCell ref="D138:J138"/>
    <mergeCell ref="I140:K141"/>
    <mergeCell ref="I142:K142"/>
    <mergeCell ref="I143:K143"/>
    <mergeCell ref="I144:K144"/>
    <mergeCell ref="I145:K145"/>
    <mergeCell ref="D146:E146"/>
    <mergeCell ref="I162:K163"/>
    <mergeCell ref="G153:I153"/>
    <mergeCell ref="B154:C154"/>
    <mergeCell ref="E154:F154"/>
    <mergeCell ref="G154:I154"/>
    <mergeCell ref="B155:C155"/>
    <mergeCell ref="D155:F155"/>
    <mergeCell ref="G155:I155"/>
    <mergeCell ref="E162:H162"/>
    <mergeCell ref="B197:C197"/>
    <mergeCell ref="C186:J186"/>
    <mergeCell ref="D187:J187"/>
    <mergeCell ref="I184:K184"/>
    <mergeCell ref="I185:K185"/>
    <mergeCell ref="I181:K181"/>
    <mergeCell ref="I182:K182"/>
    <mergeCell ref="I183:K183"/>
    <mergeCell ref="B196:D196"/>
    <mergeCell ref="B189:E189"/>
    <mergeCell ref="D193:J193"/>
    <mergeCell ref="F189:H190"/>
    <mergeCell ref="F191:H191"/>
    <mergeCell ref="E196:G196"/>
    <mergeCell ref="E197:G197"/>
    <mergeCell ref="I135:K135"/>
    <mergeCell ref="I121:K121"/>
    <mergeCell ref="D125:F125"/>
    <mergeCell ref="I128:K128"/>
    <mergeCell ref="I129:K129"/>
    <mergeCell ref="B147:L147"/>
    <mergeCell ref="D157:J157"/>
    <mergeCell ref="I125:K127"/>
    <mergeCell ref="B109:B121"/>
    <mergeCell ref="I109:K109"/>
    <mergeCell ref="I110:K110"/>
    <mergeCell ref="I111:K111"/>
    <mergeCell ref="I112:K112"/>
    <mergeCell ref="I113:K113"/>
    <mergeCell ref="I114:K114"/>
    <mergeCell ref="I117:K117"/>
    <mergeCell ref="I118:K118"/>
    <mergeCell ref="I119:K119"/>
    <mergeCell ref="I120:K120"/>
    <mergeCell ref="D152:F152"/>
    <mergeCell ref="G152:I152"/>
    <mergeCell ref="B153:C153"/>
    <mergeCell ref="D153:F153"/>
    <mergeCell ref="I134:K134"/>
    <mergeCell ref="U27:U28"/>
    <mergeCell ref="W31:X31"/>
    <mergeCell ref="Q65:Q67"/>
    <mergeCell ref="O64:W64"/>
    <mergeCell ref="O31:P31"/>
    <mergeCell ref="B86:C86"/>
    <mergeCell ref="I38:K38"/>
    <mergeCell ref="I39:K39"/>
    <mergeCell ref="I42:K42"/>
    <mergeCell ref="I43:K43"/>
    <mergeCell ref="I44:K44"/>
    <mergeCell ref="I45:K45"/>
    <mergeCell ref="I46:K46"/>
    <mergeCell ref="I47:K47"/>
    <mergeCell ref="D51:F51"/>
    <mergeCell ref="G51:H51"/>
    <mergeCell ref="I51:K52"/>
    <mergeCell ref="D49:J49"/>
    <mergeCell ref="I86:K86"/>
    <mergeCell ref="B65:B85"/>
    <mergeCell ref="I37:K37"/>
    <mergeCell ref="Q31:R31"/>
    <mergeCell ref="U31:V31"/>
    <mergeCell ref="V27:V28"/>
    <mergeCell ref="O16:R16"/>
    <mergeCell ref="U16:X16"/>
    <mergeCell ref="D17:F17"/>
    <mergeCell ref="G17:H17"/>
    <mergeCell ref="I17:K19"/>
    <mergeCell ref="O17:R17"/>
    <mergeCell ref="U17:X17"/>
    <mergeCell ref="U18:V18"/>
    <mergeCell ref="O18:P18"/>
    <mergeCell ref="Q18:R18"/>
    <mergeCell ref="I122:K122"/>
    <mergeCell ref="E198:G198"/>
    <mergeCell ref="B198:C198"/>
    <mergeCell ref="W26:X26"/>
    <mergeCell ref="W18:X18"/>
    <mergeCell ref="I20:K20"/>
    <mergeCell ref="I21:K21"/>
    <mergeCell ref="I22:K22"/>
    <mergeCell ref="I23:K23"/>
    <mergeCell ref="I24:K24"/>
    <mergeCell ref="U25:X25"/>
    <mergeCell ref="U26:V26"/>
    <mergeCell ref="W27:W28"/>
    <mergeCell ref="X27:X28"/>
    <mergeCell ref="I28:K28"/>
    <mergeCell ref="I66:K66"/>
    <mergeCell ref="I67:K67"/>
    <mergeCell ref="B64:C64"/>
    <mergeCell ref="B53:C53"/>
    <mergeCell ref="I53:K53"/>
    <mergeCell ref="D55:J55"/>
    <mergeCell ref="B62:C63"/>
    <mergeCell ref="B36:B47"/>
    <mergeCell ref="I36:K36"/>
  </mergeCells>
  <conditionalFormatting sqref="Z68:Z72">
    <cfRule type="expression" dxfId="72" priority="7">
      <formula>Z68&lt;&gt;""</formula>
    </cfRule>
  </conditionalFormatting>
  <conditionalFormatting sqref="Z74">
    <cfRule type="expression" dxfId="71" priority="6">
      <formula>Z74&lt;&gt;""</formula>
    </cfRule>
  </conditionalFormatting>
  <conditionalFormatting sqref="Z73">
    <cfRule type="expression" dxfId="70" priority="5">
      <formula>Z73&lt;&gt;""</formula>
    </cfRule>
  </conditionalFormatting>
  <conditionalFormatting sqref="Z95">
    <cfRule type="expression" dxfId="69" priority="2">
      <formula>Z95&lt;&gt;""</formula>
    </cfRule>
  </conditionalFormatting>
  <conditionalFormatting sqref="Z90:Z94">
    <cfRule type="expression" dxfId="68" priority="4">
      <formula>Z90&lt;&gt;""</formula>
    </cfRule>
  </conditionalFormatting>
  <conditionalFormatting sqref="Z96">
    <cfRule type="expression" dxfId="67" priority="3">
      <formula>Z96&lt;&gt;""</formula>
    </cfRule>
  </conditionalFormatting>
  <dataValidations count="2">
    <dataValidation allowBlank="1" sqref="D108 H50 N189:V189 J189:J191 K190:V194 J50 E184 I50:I51 E50:F50 I17 F142:I146 I191 F10 E140:E145 I139:I140 F191:F192 D187:J187 B169:E170 B186:E186 G188:J188 Z68:Z86 J139 A163:A165 F170:F186 B163:B164 W18 O13:R14 A166:XFD168 P15:R15 E138:J138 F140:H141 E49:J49 E139:H139 F48:H48 G169:G170 B187:B190 C190:D190 E196:E198 I20:I48 K48:K50 J48 P24:X24 H52:H54 H170 I53:I54 J54 D48:D52 U19:X23 K186:V188 G186:J186 C187:C188 D188:E188 D154:D155 C192:D195 E190:E192 G192:J192 G194:J194 E193:J193 H171:I185 E52:F53 E181:E182 L169:V185 K137:K139 J124:K124 I62 Z90:Z123 I122:K123 E55:J60 K54:K60 E61:K61 H164:I164 B86:B87 C163:H163 I169 R19:R23 B165:K165 I162 F32:F41 I64:I125 P26:R59 L124:XFD148 B108:B109 E54:G54 G17:G19 B36:B62 E63:E124 T67:T74 F63:F80 D86 G184 E42:E48 G50:G52 F86:F102 G181:G182 C20:C61 A207:XFD1048576 L156:XFD165 I128:I137 U68:U73 O65:U65 A137:D146 B122:B136 F108:F118 E13:K16 R96:S96 G137:H137 J137 E126:F137 A147:K148 F156:K161 G152:G155 E149:J149 K149:XFD155 E150:I151 J150:J155 A149:C155 D149:D152 F188:F189 E194:F195 G195 C109:C136 D199:G199 H195:V199 C197:C199 B8:F8 K7:V10 E6:V6 C9:E9 C6:D7 E7:J7 A156:E162 C1:Z5 B1:B7 B192:B199 W6:Z12 W169:XFD199 AA200:XFD206 A169:A199 C11:V12 P19:P23 Q18:Q23 W29:W59 U29:U59 V25 V32:V59 X25 S25:T59 U25:U27 V27 W25:W27 X27 V29:V30 X29:X30 B171:B185 A1:A136 B9:B20 H18:H41 AA1:XFD123 Y13:Z59 L13:N123 S13:T23 V13:X15 U13:U18 C13:C18 F122:H124 F18:F30 O64 O15:O59 X64:X65 X32:X59 U74:W74 Y67:Y85 O79:W85 O101:Y123 Y89:Y100 S90:S95 Q90:Q95 U90:U95 O87:U87 T89:T96 X87:Y87 U96:W96 O86 X90:X100 O90:O97 B64:B65 O75 Y65 O68:Q74 S68:S74 X68:X86 Z60:Z64 E18:E19 D13:D19 D54:D64 D123:D127 C64:C107"/>
    <dataValidation type="list" allowBlank="1" sqref="D153:F153">
      <formula1>"yes,no"</formula1>
    </dataValidation>
  </dataValidations>
  <hyperlinks>
    <hyperlink ref="C42:C47" location="CHP!A1" display="CHP1 Electricity"/>
    <hyperlink ref="B60" location="'conversion factors'!A1" display="If you need to convert from miles to km, go to the Conversions tab or click here"/>
    <hyperlink ref="C42" location="CHP!K4" display="CHP1 Electricity"/>
    <hyperlink ref="C43" location="CHP!K4" display="CHP1 Heat"/>
    <hyperlink ref="C44" location="CHP!K31" display="CHP2 Electricity"/>
    <hyperlink ref="C45" location="CHP!K31" display="CHP2 Heat"/>
    <hyperlink ref="C46" location="CHP!K58" display="CHP3 Electricity"/>
    <hyperlink ref="C47" location="CHP!K58" display="CHP3 Heat"/>
  </hyperlink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151ED"/>
  </sheetPr>
  <dimension ref="A1:AD208"/>
  <sheetViews>
    <sheetView topLeftCell="A13" zoomScaleNormal="100" workbookViewId="0"/>
  </sheetViews>
  <sheetFormatPr defaultColWidth="9.109375" defaultRowHeight="13.8" x14ac:dyDescent="0.3"/>
  <cols>
    <col min="1" max="1" width="10.33203125" style="1813" customWidth="1"/>
    <col min="2" max="2" width="12.6640625" style="1517" customWidth="1"/>
    <col min="3" max="3" width="44.109375" style="1517" bestFit="1" customWidth="1"/>
    <col min="4" max="4" width="16.33203125" style="1517" customWidth="1"/>
    <col min="5" max="8" width="14" style="1517" customWidth="1"/>
    <col min="9" max="9" width="13.109375" style="1517" customWidth="1"/>
    <col min="10" max="10" width="12.33203125" style="1814" customWidth="1"/>
    <col min="11" max="11" width="14.33203125" style="1815" customWidth="1"/>
    <col min="12" max="12" width="29.77734375" style="1517" customWidth="1"/>
    <col min="13" max="13" width="25.77734375" style="1517" customWidth="1"/>
    <col min="14" max="14" width="11.77734375" style="1517" customWidth="1"/>
    <col min="15" max="15" width="11" style="1517" customWidth="1"/>
    <col min="16" max="16" width="19.109375" style="1517" customWidth="1"/>
    <col min="17" max="17" width="11" style="1517" customWidth="1"/>
    <col min="18" max="18" width="14" style="1517" customWidth="1"/>
    <col min="19" max="20" width="9.109375" style="1517"/>
    <col min="21" max="21" width="9.109375" style="1517" customWidth="1"/>
    <col min="22" max="22" width="15.77734375" style="1517" customWidth="1"/>
    <col min="23" max="23" width="9.109375" style="1517" customWidth="1"/>
    <col min="24" max="24" width="13.77734375" style="1517" customWidth="1"/>
    <col min="25" max="25" width="9.109375" style="1517"/>
    <col min="26" max="26" width="22.77734375" style="1517" customWidth="1"/>
    <col min="27" max="16384" width="9.109375" style="1517"/>
  </cols>
  <sheetData>
    <row r="1" spans="1:30" ht="23.4" x14ac:dyDescent="0.45">
      <c r="A1" s="1512" t="s">
        <v>517</v>
      </c>
      <c r="B1" s="1513"/>
      <c r="C1" s="1514"/>
      <c r="D1" s="1514"/>
      <c r="E1" s="1514"/>
      <c r="F1" s="1514"/>
      <c r="G1" s="1514"/>
      <c r="H1" s="1514"/>
      <c r="I1" s="1514"/>
      <c r="J1" s="1515"/>
      <c r="K1" s="1516"/>
      <c r="L1" s="1514"/>
      <c r="M1" s="1514"/>
      <c r="N1" s="1514"/>
      <c r="O1" s="1514"/>
      <c r="P1" s="1514"/>
      <c r="Q1" s="1514"/>
      <c r="R1" s="1514"/>
      <c r="S1" s="1514"/>
      <c r="T1" s="1514"/>
      <c r="U1" s="1514"/>
      <c r="V1" s="1514"/>
      <c r="W1" s="1514"/>
      <c r="X1" s="1514"/>
      <c r="Y1" s="1514"/>
      <c r="Z1" s="1514"/>
      <c r="AA1" s="1514"/>
      <c r="AB1" s="1514"/>
      <c r="AC1" s="1514"/>
      <c r="AD1" s="1514"/>
    </row>
    <row r="2" spans="1:30" x14ac:dyDescent="0.3">
      <c r="A2" s="1518"/>
      <c r="B2" s="1519"/>
      <c r="C2" s="1519"/>
      <c r="D2" s="1519"/>
      <c r="E2" s="1519"/>
      <c r="F2" s="1519"/>
      <c r="G2" s="1519"/>
      <c r="H2" s="1519"/>
      <c r="I2" s="1519"/>
      <c r="J2" s="1520"/>
      <c r="K2" s="1521"/>
      <c r="L2" s="1521"/>
      <c r="M2" s="1521"/>
      <c r="N2" s="1521"/>
      <c r="O2" s="1519"/>
      <c r="P2" s="1519"/>
      <c r="Q2" s="1519"/>
      <c r="R2" s="1519"/>
      <c r="S2" s="1519"/>
      <c r="T2" s="1519"/>
      <c r="U2" s="1519"/>
      <c r="V2" s="1519"/>
      <c r="W2" s="1519"/>
      <c r="X2" s="1519"/>
      <c r="Y2" s="1519"/>
      <c r="Z2" s="1519"/>
      <c r="AA2" s="1519"/>
      <c r="AB2" s="1519"/>
      <c r="AC2" s="1519"/>
      <c r="AD2" s="1519"/>
    </row>
    <row r="3" spans="1:30" x14ac:dyDescent="0.3">
      <c r="A3" s="1522"/>
      <c r="B3" s="1514"/>
      <c r="C3" s="1514"/>
      <c r="D3" s="1514"/>
      <c r="E3" s="1514"/>
      <c r="F3" s="1514"/>
      <c r="G3" s="1514"/>
      <c r="H3" s="1514"/>
      <c r="I3" s="1514"/>
      <c r="J3" s="1515"/>
      <c r="K3" s="1523"/>
      <c r="L3" s="1514"/>
      <c r="M3" s="1514"/>
      <c r="N3" s="1514"/>
      <c r="O3" s="1514"/>
      <c r="P3" s="1514"/>
      <c r="Q3" s="1514"/>
      <c r="R3" s="1514"/>
      <c r="S3" s="1514"/>
      <c r="T3" s="1514"/>
      <c r="U3" s="1514"/>
      <c r="V3" s="1514"/>
      <c r="W3" s="1514"/>
      <c r="X3" s="1514"/>
      <c r="Y3" s="1514"/>
      <c r="Z3" s="1514"/>
      <c r="AA3" s="1514"/>
      <c r="AB3" s="1514"/>
      <c r="AC3" s="1514"/>
      <c r="AD3" s="1514"/>
    </row>
    <row r="4" spans="1:30" s="1526" customFormat="1" ht="21" x14ac:dyDescent="0.3">
      <c r="A4" s="1524" t="s">
        <v>20</v>
      </c>
      <c r="B4" s="1525" t="str">
        <f>+Performance!C2</f>
        <v>MINISTRY OF JUSTICE (MoJ)</v>
      </c>
      <c r="C4" s="1525"/>
      <c r="D4" s="1525"/>
      <c r="E4" s="1525"/>
      <c r="F4" s="1525"/>
      <c r="G4" s="1525"/>
      <c r="H4" s="1525"/>
      <c r="I4" s="1525"/>
      <c r="J4" s="1525"/>
      <c r="K4" s="1525"/>
      <c r="L4" s="1525"/>
      <c r="M4" s="1525"/>
      <c r="N4" s="1525"/>
      <c r="O4" s="1525"/>
      <c r="P4" s="1525"/>
      <c r="Q4" s="1525"/>
      <c r="R4" s="1525"/>
      <c r="S4" s="1525"/>
      <c r="T4" s="1525"/>
      <c r="U4" s="1525"/>
      <c r="V4" s="1525"/>
      <c r="W4" s="1525"/>
      <c r="X4" s="1525"/>
      <c r="Y4" s="1525"/>
      <c r="Z4" s="1525"/>
      <c r="AA4" s="1525"/>
      <c r="AB4" s="1525"/>
      <c r="AC4" s="1525"/>
      <c r="AD4" s="1525"/>
    </row>
    <row r="5" spans="1:30" ht="21" x14ac:dyDescent="0.3">
      <c r="A5" s="1522"/>
      <c r="B5" s="1527"/>
      <c r="C5" s="1527"/>
      <c r="D5" s="1527"/>
      <c r="E5" s="1527"/>
      <c r="F5" s="1527"/>
      <c r="G5" s="1527"/>
      <c r="H5" s="1527"/>
      <c r="I5" s="1527"/>
      <c r="J5" s="1527"/>
      <c r="K5" s="1528"/>
      <c r="L5" s="1528"/>
      <c r="M5" s="1528"/>
      <c r="N5" s="1528"/>
      <c r="O5" s="1514"/>
      <c r="P5" s="1514"/>
      <c r="Q5" s="1514"/>
      <c r="R5" s="1514"/>
      <c r="S5" s="1514"/>
      <c r="T5" s="1514"/>
      <c r="U5" s="1514"/>
      <c r="V5" s="1514"/>
      <c r="W5" s="1514"/>
      <c r="X5" s="1514"/>
      <c r="Y5" s="1514"/>
      <c r="Z5" s="1514"/>
      <c r="AA5" s="1514"/>
      <c r="AB5" s="1514"/>
      <c r="AC5" s="1514"/>
      <c r="AD5" s="1514"/>
    </row>
    <row r="6" spans="1:30" ht="23.4" x14ac:dyDescent="0.3">
      <c r="A6" s="1529">
        <v>1</v>
      </c>
      <c r="B6" s="1530" t="s">
        <v>476</v>
      </c>
      <c r="C6" s="1531"/>
      <c r="D6" s="2387" t="str">
        <f>+$A$1</f>
        <v>Quarter 1 - 2018-2019</v>
      </c>
      <c r="E6" s="2387"/>
      <c r="F6" s="2387"/>
      <c r="G6" s="2387"/>
      <c r="H6" s="2387"/>
      <c r="I6" s="2387"/>
      <c r="J6" s="2387"/>
      <c r="K6" s="1532"/>
      <c r="L6" s="1532"/>
      <c r="M6" s="1532"/>
      <c r="N6" s="1519"/>
      <c r="O6" s="1519"/>
      <c r="P6" s="1533"/>
      <c r="Q6" s="1533"/>
      <c r="R6" s="1519"/>
      <c r="S6" s="1519"/>
      <c r="T6" s="1519"/>
      <c r="U6" s="1519"/>
      <c r="V6" s="1519"/>
      <c r="W6" s="1519"/>
      <c r="X6" s="1519"/>
      <c r="Y6" s="1519"/>
      <c r="Z6" s="1519"/>
      <c r="AA6" s="1519"/>
      <c r="AB6" s="1519"/>
      <c r="AC6" s="1519"/>
      <c r="AD6" s="1519"/>
    </row>
    <row r="7" spans="1:30" ht="14.4" thickBot="1" x14ac:dyDescent="0.35">
      <c r="A7" s="1522"/>
      <c r="B7" s="1534"/>
      <c r="C7" s="1535"/>
      <c r="D7" s="1535"/>
      <c r="E7" s="1535"/>
      <c r="F7" s="1535"/>
      <c r="G7" s="1535"/>
      <c r="H7" s="1535"/>
      <c r="I7" s="1535"/>
      <c r="J7" s="1535"/>
      <c r="K7" s="1535"/>
      <c r="L7" s="1535"/>
      <c r="M7" s="1535"/>
      <c r="N7" s="1535"/>
      <c r="O7" s="1535"/>
      <c r="P7" s="1535"/>
      <c r="Q7" s="1535"/>
      <c r="R7" s="1535"/>
      <c r="S7" s="1535"/>
      <c r="T7" s="1535"/>
      <c r="U7" s="1535"/>
      <c r="V7" s="1535"/>
      <c r="W7" s="1535"/>
      <c r="X7" s="1535"/>
      <c r="Y7" s="1514"/>
      <c r="Z7" s="1514"/>
      <c r="AA7" s="1514"/>
      <c r="AB7" s="1514"/>
      <c r="AC7" s="1514"/>
      <c r="AD7" s="1514"/>
    </row>
    <row r="8" spans="1:30" ht="14.4" thickBot="1" x14ac:dyDescent="0.35">
      <c r="A8" s="1522"/>
      <c r="B8" s="1514"/>
      <c r="C8" s="1534"/>
      <c r="D8" s="1536" t="s">
        <v>23</v>
      </c>
      <c r="E8" s="1537" t="s">
        <v>144</v>
      </c>
      <c r="F8" s="2388" t="s">
        <v>24</v>
      </c>
      <c r="G8" s="2389"/>
      <c r="H8" s="2390"/>
      <c r="I8" s="2394" t="s">
        <v>461</v>
      </c>
      <c r="J8" s="2395"/>
      <c r="K8" s="1535"/>
      <c r="L8" s="1535"/>
      <c r="M8" s="1535"/>
      <c r="N8" s="1535"/>
      <c r="O8" s="1535"/>
      <c r="P8" s="1535"/>
      <c r="Q8" s="1535"/>
      <c r="R8" s="1535"/>
      <c r="S8" s="1535"/>
      <c r="T8" s="1535"/>
      <c r="U8" s="1535"/>
      <c r="V8" s="1535"/>
      <c r="W8" s="1535"/>
      <c r="X8" s="1535"/>
      <c r="Y8" s="1514"/>
      <c r="Z8" s="1514"/>
      <c r="AA8" s="1535"/>
      <c r="AB8" s="1535"/>
      <c r="AC8" s="1535"/>
      <c r="AD8" s="1535"/>
    </row>
    <row r="9" spans="1:30" ht="14.4" thickBot="1" x14ac:dyDescent="0.35">
      <c r="A9" s="1522"/>
      <c r="B9" s="1538"/>
      <c r="C9" s="1514"/>
      <c r="D9" s="1539" t="s">
        <v>477</v>
      </c>
      <c r="E9" s="1540" t="s">
        <v>477</v>
      </c>
      <c r="F9" s="2391"/>
      <c r="G9" s="2392"/>
      <c r="H9" s="2393"/>
      <c r="I9" s="2396"/>
      <c r="J9" s="2397"/>
      <c r="K9" s="1535"/>
      <c r="L9" s="1535"/>
      <c r="M9" s="1535"/>
      <c r="N9" s="1535"/>
      <c r="O9" s="1535"/>
      <c r="P9" s="1535"/>
      <c r="Q9" s="1535"/>
      <c r="R9" s="1535"/>
      <c r="S9" s="1535"/>
      <c r="T9" s="1535"/>
      <c r="U9" s="1535"/>
      <c r="V9" s="1535"/>
      <c r="W9" s="1535"/>
      <c r="X9" s="1535"/>
      <c r="Y9" s="1514"/>
      <c r="Z9" s="1514"/>
      <c r="AA9" s="1535"/>
      <c r="AB9" s="1535"/>
      <c r="AC9" s="1535"/>
      <c r="AD9" s="1535"/>
    </row>
    <row r="10" spans="1:30" ht="14.4" thickBot="1" x14ac:dyDescent="0.35">
      <c r="A10" s="1522"/>
      <c r="B10" s="2398" t="s">
        <v>478</v>
      </c>
      <c r="C10" s="2399"/>
      <c r="D10" s="1541"/>
      <c r="E10" s="1542"/>
      <c r="F10" s="2400"/>
      <c r="G10" s="2401"/>
      <c r="H10" s="2402"/>
      <c r="I10" s="2403" t="str">
        <f>IF(OR(D10&lt;0,E10&lt;0),"Error - Negative number",IF(E10&gt;D10,"Offices only&gt;Total Estate",""))</f>
        <v/>
      </c>
      <c r="J10" s="2404"/>
      <c r="K10" s="1535"/>
      <c r="L10" s="1535"/>
      <c r="M10" s="1535"/>
      <c r="N10" s="1535"/>
      <c r="O10" s="1535"/>
      <c r="P10" s="1535"/>
      <c r="Q10" s="1535"/>
      <c r="R10" s="1535"/>
      <c r="S10" s="1535"/>
      <c r="T10" s="1535"/>
      <c r="U10" s="1535"/>
      <c r="V10" s="1535"/>
      <c r="W10" s="1535"/>
      <c r="X10" s="1535"/>
      <c r="Y10" s="1514"/>
      <c r="Z10" s="1514"/>
      <c r="AA10" s="1535"/>
      <c r="AB10" s="1535"/>
      <c r="AC10" s="1535"/>
      <c r="AD10" s="1535"/>
    </row>
    <row r="11" spans="1:30" x14ac:dyDescent="0.3">
      <c r="A11" s="1522"/>
      <c r="B11" s="1535"/>
      <c r="C11" s="1535"/>
      <c r="D11" s="1535"/>
      <c r="E11" s="1535"/>
      <c r="F11" s="1535"/>
      <c r="G11" s="1535"/>
      <c r="H11" s="1535"/>
      <c r="I11" s="1535"/>
      <c r="J11" s="1543"/>
      <c r="K11" s="1544"/>
      <c r="L11" s="1535"/>
      <c r="M11" s="1535"/>
      <c r="N11" s="1514"/>
      <c r="O11" s="1514"/>
      <c r="P11" s="1514"/>
      <c r="Q11" s="1514"/>
      <c r="R11" s="1514"/>
      <c r="S11" s="1514"/>
      <c r="T11" s="1514"/>
      <c r="U11" s="1514"/>
      <c r="V11" s="1514"/>
      <c r="W11" s="1514"/>
      <c r="X11" s="1514"/>
      <c r="Y11" s="1514"/>
      <c r="Z11" s="1514"/>
      <c r="AA11" s="1514"/>
      <c r="AB11" s="1514"/>
      <c r="AC11" s="1514"/>
      <c r="AD11" s="1514"/>
    </row>
    <row r="12" spans="1:30" x14ac:dyDescent="0.3">
      <c r="A12" s="1522"/>
      <c r="B12" s="1535"/>
      <c r="C12" s="1535"/>
      <c r="D12" s="1535"/>
      <c r="E12" s="1535"/>
      <c r="F12" s="1535"/>
      <c r="G12" s="1535"/>
      <c r="H12" s="1535"/>
      <c r="I12" s="1535"/>
      <c r="J12" s="1543"/>
      <c r="K12" s="1544"/>
      <c r="L12" s="1535"/>
      <c r="M12" s="1535"/>
      <c r="N12" s="1514"/>
      <c r="O12" s="1514"/>
      <c r="P12" s="1514"/>
      <c r="Q12" s="1514"/>
      <c r="R12" s="1514"/>
      <c r="S12" s="1514"/>
      <c r="T12" s="1514"/>
      <c r="U12" s="1514"/>
      <c r="V12" s="1514"/>
      <c r="W12" s="1514"/>
      <c r="X12" s="1514"/>
      <c r="Y12" s="1514"/>
      <c r="Z12" s="1514"/>
      <c r="AA12" s="1514"/>
      <c r="AB12" s="1514"/>
      <c r="AC12" s="1514"/>
      <c r="AD12" s="1514"/>
    </row>
    <row r="13" spans="1:30" ht="27.75" customHeight="1" x14ac:dyDescent="0.3">
      <c r="A13" s="1529">
        <v>2</v>
      </c>
      <c r="B13" s="1530" t="s">
        <v>21</v>
      </c>
      <c r="C13" s="1531"/>
      <c r="D13" s="2387" t="str">
        <f>+$A$1</f>
        <v>Quarter 1 - 2018-2019</v>
      </c>
      <c r="E13" s="2387"/>
      <c r="F13" s="2387"/>
      <c r="G13" s="2387"/>
      <c r="H13" s="2387"/>
      <c r="I13" s="2387"/>
      <c r="J13" s="2387"/>
      <c r="K13" s="1532"/>
      <c r="L13" s="1532"/>
      <c r="M13" s="1532"/>
      <c r="N13" s="1532"/>
      <c r="O13" s="1519"/>
      <c r="P13" s="1533"/>
      <c r="Q13" s="1533"/>
      <c r="R13" s="1519"/>
      <c r="S13" s="1519"/>
      <c r="T13" s="1519"/>
      <c r="U13" s="1519"/>
      <c r="V13" s="1519"/>
      <c r="W13" s="1519"/>
      <c r="X13" s="1519"/>
      <c r="Y13" s="1519"/>
      <c r="Z13" s="1519"/>
      <c r="AA13" s="1519"/>
      <c r="AB13" s="1519"/>
      <c r="AC13" s="1519"/>
      <c r="AD13" s="1519"/>
    </row>
    <row r="14" spans="1:30" s="1550" customFormat="1" ht="23.4" x14ac:dyDescent="0.3">
      <c r="A14" s="1545" t="s">
        <v>505</v>
      </c>
      <c r="B14" s="1546" t="s">
        <v>22</v>
      </c>
      <c r="C14" s="1547"/>
      <c r="D14" s="2387"/>
      <c r="E14" s="2387"/>
      <c r="F14" s="2387"/>
      <c r="G14" s="2387"/>
      <c r="H14" s="2387"/>
      <c r="I14" s="2387"/>
      <c r="J14" s="2387"/>
      <c r="K14" s="1548"/>
      <c r="L14" s="1548"/>
      <c r="M14" s="1548"/>
      <c r="N14" s="1548"/>
      <c r="O14" s="1548"/>
      <c r="P14" s="1548"/>
      <c r="Q14" s="1548"/>
      <c r="R14" s="1548"/>
      <c r="S14" s="1548"/>
      <c r="T14" s="1548"/>
      <c r="U14" s="1548"/>
      <c r="V14" s="1548"/>
      <c r="W14" s="1548"/>
      <c r="X14" s="1548"/>
      <c r="Y14" s="1549"/>
      <c r="Z14" s="1549"/>
      <c r="AA14" s="1549"/>
      <c r="AB14" s="1549"/>
      <c r="AC14" s="1549"/>
      <c r="AD14" s="1549"/>
    </row>
    <row r="15" spans="1:30" ht="15.75" customHeight="1" thickBot="1" x14ac:dyDescent="0.35">
      <c r="A15" s="1522"/>
      <c r="B15" s="1534"/>
      <c r="C15" s="30"/>
      <c r="D15" s="1534"/>
      <c r="E15" s="1551"/>
      <c r="F15" s="1551"/>
      <c r="G15" s="1551"/>
      <c r="H15" s="1551"/>
      <c r="I15" s="1551"/>
      <c r="J15" s="1551"/>
      <c r="K15" s="1551"/>
      <c r="L15" s="1514"/>
      <c r="M15" s="1514"/>
      <c r="N15" s="1514"/>
      <c r="O15" s="1514"/>
      <c r="P15" s="1514"/>
      <c r="Q15" s="1514"/>
      <c r="R15" s="1514"/>
      <c r="S15" s="1514"/>
      <c r="T15" s="1514"/>
      <c r="U15" s="1514"/>
      <c r="V15" s="1514"/>
      <c r="W15" s="1514"/>
      <c r="X15" s="1514"/>
      <c r="Y15" s="1514"/>
      <c r="Z15" s="1514"/>
      <c r="AA15" s="1514"/>
      <c r="AB15" s="1514"/>
      <c r="AC15" s="1514"/>
      <c r="AD15" s="1514"/>
    </row>
    <row r="16" spans="1:30" ht="15.75" customHeight="1" thickBot="1" x14ac:dyDescent="0.35">
      <c r="A16" s="1522"/>
      <c r="B16" s="1535"/>
      <c r="C16" s="1535"/>
      <c r="D16" s="1535"/>
      <c r="E16" s="1535"/>
      <c r="F16" s="1535"/>
      <c r="G16" s="1535"/>
      <c r="H16" s="1535"/>
      <c r="I16" s="1535"/>
      <c r="J16" s="1535"/>
      <c r="K16" s="1535"/>
      <c r="L16" s="1514"/>
      <c r="M16" s="1514"/>
      <c r="N16" s="1514"/>
      <c r="O16" s="2405" t="s">
        <v>23</v>
      </c>
      <c r="P16" s="2406"/>
      <c r="Q16" s="2406"/>
      <c r="R16" s="2407"/>
      <c r="S16" s="1514"/>
      <c r="T16" s="1514"/>
      <c r="U16" s="2408" t="s">
        <v>144</v>
      </c>
      <c r="V16" s="2409"/>
      <c r="W16" s="2409"/>
      <c r="X16" s="2410"/>
      <c r="Y16" s="1514"/>
      <c r="Z16" s="1514"/>
      <c r="AA16" s="1514"/>
      <c r="AB16" s="1514"/>
      <c r="AC16" s="1514"/>
      <c r="AD16" s="1514"/>
    </row>
    <row r="17" spans="1:30" ht="28.2" customHeight="1" thickBot="1" x14ac:dyDescent="0.35">
      <c r="A17" s="1522"/>
      <c r="B17" s="1535"/>
      <c r="C17" s="1535"/>
      <c r="D17" s="2411" t="s">
        <v>23</v>
      </c>
      <c r="E17" s="2412"/>
      <c r="F17" s="2413"/>
      <c r="G17" s="2414" t="s">
        <v>144</v>
      </c>
      <c r="H17" s="2415"/>
      <c r="I17" s="2388" t="s">
        <v>24</v>
      </c>
      <c r="J17" s="2389"/>
      <c r="K17" s="2390"/>
      <c r="L17" s="2419" t="s">
        <v>461</v>
      </c>
      <c r="M17" s="1514"/>
      <c r="N17" s="1514"/>
      <c r="O17" s="2405" t="s">
        <v>25</v>
      </c>
      <c r="P17" s="2406"/>
      <c r="Q17" s="2406"/>
      <c r="R17" s="2407"/>
      <c r="S17" s="1514"/>
      <c r="T17" s="1514"/>
      <c r="U17" s="2408" t="s">
        <v>25</v>
      </c>
      <c r="V17" s="2409"/>
      <c r="W17" s="2409"/>
      <c r="X17" s="2410"/>
      <c r="Y17" s="1514"/>
      <c r="Z17" s="1514"/>
      <c r="AA17" s="1514"/>
      <c r="AB17" s="1514"/>
      <c r="AC17" s="1514"/>
      <c r="AD17" s="1514"/>
    </row>
    <row r="18" spans="1:30" ht="15.75" customHeight="1" thickBot="1" x14ac:dyDescent="0.35">
      <c r="A18" s="1522"/>
      <c r="B18" s="1535"/>
      <c r="C18" s="1535"/>
      <c r="D18" s="1552" t="s">
        <v>26</v>
      </c>
      <c r="E18" s="1553" t="s">
        <v>27</v>
      </c>
      <c r="F18" s="1554" t="s">
        <v>28</v>
      </c>
      <c r="G18" s="1555" t="s">
        <v>29</v>
      </c>
      <c r="H18" s="1555" t="s">
        <v>28</v>
      </c>
      <c r="I18" s="2391"/>
      <c r="J18" s="2392"/>
      <c r="K18" s="2393"/>
      <c r="L18" s="2420"/>
      <c r="M18" s="1514"/>
      <c r="N18" s="1514"/>
      <c r="O18" s="2421" t="s">
        <v>30</v>
      </c>
      <c r="P18" s="2422"/>
      <c r="Q18" s="2421" t="s">
        <v>31</v>
      </c>
      <c r="R18" s="2422"/>
      <c r="S18" s="1514"/>
      <c r="T18" s="1514"/>
      <c r="U18" s="2414" t="s">
        <v>30</v>
      </c>
      <c r="V18" s="2415"/>
      <c r="W18" s="2414" t="s">
        <v>31</v>
      </c>
      <c r="X18" s="2415"/>
      <c r="Y18" s="1514"/>
      <c r="Z18" s="1514"/>
      <c r="AA18" s="1514"/>
      <c r="AB18" s="1514"/>
      <c r="AC18" s="1514"/>
      <c r="AD18" s="1514"/>
    </row>
    <row r="19" spans="1:30" ht="28.95" customHeight="1" thickBot="1" x14ac:dyDescent="0.35">
      <c r="A19" s="1522"/>
      <c r="B19" s="2423" t="s">
        <v>32</v>
      </c>
      <c r="C19" s="2424"/>
      <c r="D19" s="1556">
        <f>SUM(D20:D47)</f>
        <v>288821604.56426316</v>
      </c>
      <c r="E19" s="1557">
        <f>IF(D19&lt;&gt;0,F19*1000/D19,"")</f>
        <v>0.23132491012319628</v>
      </c>
      <c r="F19" s="1558">
        <f>SUM(F20:F47)</f>
        <v>66811.631717465512</v>
      </c>
      <c r="G19" s="1559">
        <f>SUM(G20:G47)</f>
        <v>6649070.8671875</v>
      </c>
      <c r="H19" s="1559">
        <f>SUM(H20:H47)</f>
        <v>1942.4859953278121</v>
      </c>
      <c r="I19" s="2416"/>
      <c r="J19" s="2417"/>
      <c r="K19" s="2418"/>
      <c r="L19" s="1560" t="str">
        <f>IF(OR(D19&lt;0,G19&lt;0),"Error - negative number",IF(G19&gt;D19,"Offices only &gt; Total Estate",IF(AND(D19&gt;0,E19=""),"Please enter CO2e factor","")))</f>
        <v/>
      </c>
      <c r="M19" s="1514"/>
      <c r="N19" s="1514"/>
      <c r="O19" s="1561" t="s">
        <v>33</v>
      </c>
      <c r="P19" s="1562" t="s">
        <v>34</v>
      </c>
      <c r="Q19" s="1561" t="s">
        <v>35</v>
      </c>
      <c r="R19" s="1562" t="s">
        <v>34</v>
      </c>
      <c r="S19" s="1563"/>
      <c r="T19" s="1514"/>
      <c r="U19" s="1564" t="s">
        <v>33</v>
      </c>
      <c r="V19" s="1565" t="s">
        <v>34</v>
      </c>
      <c r="W19" s="1564" t="s">
        <v>35</v>
      </c>
      <c r="X19" s="1565" t="s">
        <v>34</v>
      </c>
      <c r="Y19" s="1514"/>
      <c r="Z19" s="1514"/>
      <c r="AA19" s="1514"/>
      <c r="AB19" s="1514"/>
      <c r="AC19" s="1514"/>
      <c r="AD19" s="1514"/>
    </row>
    <row r="20" spans="1:30" ht="15" customHeight="1" thickBot="1" x14ac:dyDescent="0.35">
      <c r="A20" s="1522" t="s">
        <v>372</v>
      </c>
      <c r="B20" s="2425" t="s">
        <v>36</v>
      </c>
      <c r="C20" s="1566" t="s">
        <v>37</v>
      </c>
      <c r="D20" s="1567">
        <v>85374775.762852103</v>
      </c>
      <c r="E20" s="1568">
        <f>+O20+Q20</f>
        <v>0.30719999999999997</v>
      </c>
      <c r="F20" s="1569">
        <f>P20+R20</f>
        <v>26227.131114348165</v>
      </c>
      <c r="G20" s="1570">
        <v>2014957</v>
      </c>
      <c r="H20" s="1571">
        <f>IF(Performance!$L$2="y",F20,E20*G20/1000)</f>
        <v>618.99479039999994</v>
      </c>
      <c r="I20" s="2428" t="s">
        <v>553</v>
      </c>
      <c r="J20" s="2429"/>
      <c r="K20" s="2430"/>
      <c r="L20" s="1572" t="str">
        <f t="shared" ref="L20:L47" si="0">IF(OR(D20&lt;0,G20&lt;0),"Error - negative number",IF(G20&gt;D20,"Offices only &gt; Total Estate",IF(AND(D20&gt;0,E20=""),"Please enter CO2e factor","")))</f>
        <v/>
      </c>
      <c r="M20" s="1514"/>
      <c r="N20" s="1514"/>
      <c r="O20" s="1573">
        <f>+'Emission Factors'!J7</f>
        <v>0.28306999999999999</v>
      </c>
      <c r="P20" s="1574">
        <f>(D20*O20)/1000</f>
        <v>24167.037775190543</v>
      </c>
      <c r="Q20" s="1575">
        <f>+'Emission Factors'!J8</f>
        <v>2.4129999999999999E-2</v>
      </c>
      <c r="R20" s="1574">
        <f>(D20*Q20)/1000</f>
        <v>2060.0933391576214</v>
      </c>
      <c r="S20" s="1563"/>
      <c r="T20" s="1514"/>
      <c r="U20" s="1576">
        <f>+O20</f>
        <v>0.28306999999999999</v>
      </c>
      <c r="V20" s="1577">
        <f>IF(Performance!$L$2="y",P20,$G20*U20/1000)</f>
        <v>570.37387798999998</v>
      </c>
      <c r="W20" s="1576">
        <f>+Q20</f>
        <v>2.4129999999999999E-2</v>
      </c>
      <c r="X20" s="1578">
        <f>IF(Performance!$L$2="y",R20,$G20*W20/1000)</f>
        <v>48.620912409999995</v>
      </c>
      <c r="Y20" s="1514"/>
      <c r="Z20" s="1514"/>
      <c r="AA20" s="1514"/>
      <c r="AB20" s="1514"/>
      <c r="AC20" s="1514"/>
      <c r="AD20" s="1514"/>
    </row>
    <row r="21" spans="1:30" ht="15" customHeight="1" x14ac:dyDescent="0.3">
      <c r="A21" s="1522" t="s">
        <v>372</v>
      </c>
      <c r="B21" s="2426"/>
      <c r="C21" s="1566" t="s">
        <v>38</v>
      </c>
      <c r="D21" s="1567">
        <v>21699550</v>
      </c>
      <c r="E21" s="1579">
        <f>+O21+Q21</f>
        <v>0.30719999999999997</v>
      </c>
      <c r="F21" s="1569">
        <f>P21+R21</f>
        <v>6666.1017600000005</v>
      </c>
      <c r="G21" s="1570">
        <v>3821808</v>
      </c>
      <c r="H21" s="1580">
        <f>IF(Performance!$L$2="y",F21,E21*G21/1000)</f>
        <v>1174.0594175999997</v>
      </c>
      <c r="I21" s="2428" t="s">
        <v>553</v>
      </c>
      <c r="J21" s="2429"/>
      <c r="K21" s="2430"/>
      <c r="L21" s="1581" t="str">
        <f t="shared" si="0"/>
        <v/>
      </c>
      <c r="M21" s="1514"/>
      <c r="N21" s="1514"/>
      <c r="O21" s="1573">
        <f>+O20</f>
        <v>0.28306999999999999</v>
      </c>
      <c r="P21" s="1574">
        <f>(D21*O21)/1000</f>
        <v>6142.4916185000002</v>
      </c>
      <c r="Q21" s="1575">
        <f>+Q20</f>
        <v>2.4129999999999999E-2</v>
      </c>
      <c r="R21" s="1574">
        <f>(D21*Q21)/1000</f>
        <v>523.61014149999994</v>
      </c>
      <c r="S21" s="1563"/>
      <c r="T21" s="1514"/>
      <c r="U21" s="1582">
        <f>+O21</f>
        <v>0.28306999999999999</v>
      </c>
      <c r="V21" s="1583">
        <f>IF(Performance!$L$2="y",P21,$G21*U21/1000)</f>
        <v>1081.8391905599999</v>
      </c>
      <c r="W21" s="1582">
        <f>+Q21</f>
        <v>2.4129999999999999E-2</v>
      </c>
      <c r="X21" s="1584">
        <f>IF(Performance!$L$2="y",R21,$G21*W21/1000)</f>
        <v>92.220227039999997</v>
      </c>
      <c r="Y21" s="1514"/>
      <c r="Z21" s="1514"/>
      <c r="AA21" s="1514"/>
      <c r="AB21" s="1514"/>
      <c r="AC21" s="1514"/>
      <c r="AD21" s="1514"/>
    </row>
    <row r="22" spans="1:30" ht="17.25" customHeight="1" x14ac:dyDescent="0.3">
      <c r="A22" s="1522" t="s">
        <v>372</v>
      </c>
      <c r="B22" s="2426"/>
      <c r="C22" s="1566" t="s">
        <v>39</v>
      </c>
      <c r="D22" s="1567"/>
      <c r="E22" s="1579">
        <f>+O22+Q22</f>
        <v>0.30719999999999997</v>
      </c>
      <c r="F22" s="1569">
        <f>P22+R22</f>
        <v>0</v>
      </c>
      <c r="G22" s="1570"/>
      <c r="H22" s="1580">
        <f>IF(Performance!$L$2="y",F22,E22*G22/1000)</f>
        <v>0</v>
      </c>
      <c r="I22" s="2431"/>
      <c r="J22" s="2432"/>
      <c r="K22" s="2433"/>
      <c r="L22" s="1581" t="str">
        <f t="shared" si="0"/>
        <v/>
      </c>
      <c r="M22" s="1514"/>
      <c r="N22" s="1514"/>
      <c r="O22" s="1573">
        <f>+O21</f>
        <v>0.28306999999999999</v>
      </c>
      <c r="P22" s="1574">
        <f>(D22*O22)/1000</f>
        <v>0</v>
      </c>
      <c r="Q22" s="1575">
        <f>+Q21</f>
        <v>2.4129999999999999E-2</v>
      </c>
      <c r="R22" s="1574">
        <f>(D22*Q22)/1000</f>
        <v>0</v>
      </c>
      <c r="S22" s="1563"/>
      <c r="T22" s="1514"/>
      <c r="U22" s="1582">
        <f>+O22</f>
        <v>0.28306999999999999</v>
      </c>
      <c r="V22" s="1583">
        <f>IF(Performance!$L$2="y",P22,$G22*U22/1000)</f>
        <v>0</v>
      </c>
      <c r="W22" s="1582">
        <f>+Q22</f>
        <v>2.4129999999999999E-2</v>
      </c>
      <c r="X22" s="1584">
        <f>IF(Performance!$L$2="y",R22,$G22*W22/1000)</f>
        <v>0</v>
      </c>
      <c r="Y22" s="1514"/>
      <c r="Z22" s="1514"/>
      <c r="AA22" s="1514"/>
      <c r="AB22" s="1514"/>
      <c r="AC22" s="1514"/>
      <c r="AD22" s="1514"/>
    </row>
    <row r="23" spans="1:30" ht="17.25" customHeight="1" thickBot="1" x14ac:dyDescent="0.35">
      <c r="A23" s="1522" t="s">
        <v>372</v>
      </c>
      <c r="B23" s="2426"/>
      <c r="C23" s="1566" t="s">
        <v>40</v>
      </c>
      <c r="D23" s="1567"/>
      <c r="E23" s="1579">
        <f>+O23+Q23</f>
        <v>0.30719999999999997</v>
      </c>
      <c r="F23" s="1569">
        <f>P23+R23</f>
        <v>0</v>
      </c>
      <c r="G23" s="1570"/>
      <c r="H23" s="1580">
        <f>IF(Performance!$L$2="y",F23,E23*G23/1000)</f>
        <v>0</v>
      </c>
      <c r="I23" s="2431"/>
      <c r="J23" s="2432"/>
      <c r="K23" s="2433"/>
      <c r="L23" s="1581" t="str">
        <f t="shared" si="0"/>
        <v/>
      </c>
      <c r="M23" s="1514"/>
      <c r="N23" s="1514"/>
      <c r="O23" s="1585">
        <f>+O22</f>
        <v>0.28306999999999999</v>
      </c>
      <c r="P23" s="1586">
        <f>(D23*O23)/1000</f>
        <v>0</v>
      </c>
      <c r="Q23" s="1587">
        <f>+Q22</f>
        <v>2.4129999999999999E-2</v>
      </c>
      <c r="R23" s="1586">
        <f>(D23*Q23)/1000</f>
        <v>0</v>
      </c>
      <c r="S23" s="1563"/>
      <c r="T23" s="1514"/>
      <c r="U23" s="1588">
        <f>+O23</f>
        <v>0.28306999999999999</v>
      </c>
      <c r="V23" s="1589">
        <f>IF(Performance!$L$2="y",P23,$G23*U23/1000)</f>
        <v>0</v>
      </c>
      <c r="W23" s="1588">
        <f>+Q23</f>
        <v>2.4129999999999999E-2</v>
      </c>
      <c r="X23" s="1590">
        <f>IF(Performance!$L$2="y",R23,$G23*W23/1000)</f>
        <v>0</v>
      </c>
      <c r="Y23" s="1514"/>
      <c r="Z23" s="1514"/>
      <c r="AA23" s="1514"/>
      <c r="AB23" s="1514"/>
      <c r="AC23" s="1514"/>
      <c r="AD23" s="1514"/>
    </row>
    <row r="24" spans="1:30" ht="15.75" customHeight="1" thickBot="1" x14ac:dyDescent="0.35">
      <c r="A24" s="1522" t="s">
        <v>370</v>
      </c>
      <c r="B24" s="2426"/>
      <c r="C24" s="1591" t="s">
        <v>41</v>
      </c>
      <c r="D24" s="1567">
        <v>175594181.31428999</v>
      </c>
      <c r="E24" s="1592">
        <f>+'Emission Factors'!J11</f>
        <v>0.18396000000000001</v>
      </c>
      <c r="F24" s="1569">
        <f>(D24*E24)/1000</f>
        <v>32302.305594576788</v>
      </c>
      <c r="G24" s="1570">
        <v>812305.8671875</v>
      </c>
      <c r="H24" s="1580">
        <f>IF(Performance!$L$2="y",F24,E24*G24/1000)</f>
        <v>149.43178732781251</v>
      </c>
      <c r="I24" s="2428" t="s">
        <v>553</v>
      </c>
      <c r="J24" s="2429"/>
      <c r="K24" s="2430"/>
      <c r="L24" s="1581" t="str">
        <f t="shared" si="0"/>
        <v/>
      </c>
      <c r="M24" s="1514"/>
      <c r="N24" s="1514"/>
      <c r="O24" s="2434" t="s">
        <v>23</v>
      </c>
      <c r="P24" s="2435"/>
      <c r="Q24" s="2435"/>
      <c r="R24" s="2436"/>
      <c r="S24" s="1514"/>
      <c r="T24" s="1514"/>
      <c r="U24" s="2437" t="s">
        <v>144</v>
      </c>
      <c r="V24" s="2438"/>
      <c r="W24" s="2438"/>
      <c r="X24" s="2439"/>
      <c r="Y24" s="1514"/>
      <c r="Z24" s="1514"/>
      <c r="AA24" s="1514"/>
      <c r="AB24" s="1514"/>
      <c r="AC24" s="1514"/>
      <c r="AD24" s="1514"/>
    </row>
    <row r="25" spans="1:30" ht="15.75" customHeight="1" thickBot="1" x14ac:dyDescent="0.35">
      <c r="A25" s="1522" t="s">
        <v>370</v>
      </c>
      <c r="B25" s="2426"/>
      <c r="C25" s="1591" t="s">
        <v>42</v>
      </c>
      <c r="D25" s="1567">
        <v>5548487.2887567701</v>
      </c>
      <c r="E25" s="1592">
        <f>+'Emission Factors'!J12</f>
        <v>0.27651999999999999</v>
      </c>
      <c r="F25" s="1569">
        <f t="shared" ref="F25:F47" si="1">(D25*E25)/1000</f>
        <v>1534.267705087022</v>
      </c>
      <c r="G25" s="1570"/>
      <c r="H25" s="1580">
        <f>IF(Performance!$L$2="y",F25,E25*G25/1000)</f>
        <v>0</v>
      </c>
      <c r="I25" s="2431"/>
      <c r="J25" s="2432"/>
      <c r="K25" s="2433"/>
      <c r="L25" s="1581" t="str">
        <f t="shared" si="0"/>
        <v/>
      </c>
      <c r="M25" s="1514"/>
      <c r="N25" s="1514"/>
      <c r="O25" s="1514"/>
      <c r="P25" s="1514"/>
      <c r="Q25" s="1514"/>
      <c r="R25" s="1514"/>
      <c r="S25" s="1514"/>
      <c r="T25" s="1514"/>
      <c r="U25" s="1514"/>
      <c r="V25" s="1514"/>
      <c r="W25" s="1514"/>
      <c r="X25" s="1514"/>
      <c r="Y25" s="1514"/>
      <c r="Z25" s="1514"/>
      <c r="AA25" s="1514"/>
      <c r="AB25" s="1514"/>
      <c r="AC25" s="1514"/>
      <c r="AD25" s="1514"/>
    </row>
    <row r="26" spans="1:30" ht="13.5" customHeight="1" thickBot="1" x14ac:dyDescent="0.35">
      <c r="A26" s="1522" t="s">
        <v>370</v>
      </c>
      <c r="B26" s="2426"/>
      <c r="C26" s="1591" t="s">
        <v>43</v>
      </c>
      <c r="D26" s="1567">
        <v>353984.98828125</v>
      </c>
      <c r="E26" s="1592">
        <f>+'Emission Factors'!J13</f>
        <v>0.21448</v>
      </c>
      <c r="F26" s="1569">
        <f t="shared" si="1"/>
        <v>75.922700286562502</v>
      </c>
      <c r="G26" s="1570"/>
      <c r="H26" s="1580">
        <f>IF(Performance!$L$2="y",F26,E26*G26/1000)</f>
        <v>0</v>
      </c>
      <c r="I26" s="2431"/>
      <c r="J26" s="2432"/>
      <c r="K26" s="2433"/>
      <c r="L26" s="1581" t="str">
        <f t="shared" si="0"/>
        <v/>
      </c>
      <c r="M26" s="1514"/>
      <c r="N26" s="1514"/>
      <c r="O26" s="2421" t="s">
        <v>44</v>
      </c>
      <c r="P26" s="2422"/>
      <c r="Q26" s="2421" t="s">
        <v>45</v>
      </c>
      <c r="R26" s="2422"/>
      <c r="S26" s="1514"/>
      <c r="T26" s="1514"/>
      <c r="U26" s="2414" t="s">
        <v>44</v>
      </c>
      <c r="V26" s="2415"/>
      <c r="W26" s="2414" t="s">
        <v>45</v>
      </c>
      <c r="X26" s="2415"/>
      <c r="Y26" s="1514"/>
      <c r="Z26" s="1514"/>
      <c r="AA26" s="1514"/>
      <c r="AB26" s="1514"/>
      <c r="AC26" s="1514"/>
      <c r="AD26" s="1514"/>
    </row>
    <row r="27" spans="1:30" ht="15.75" customHeight="1" x14ac:dyDescent="0.3">
      <c r="A27" s="1522" t="s">
        <v>370</v>
      </c>
      <c r="B27" s="2426"/>
      <c r="C27" s="1591" t="s">
        <v>46</v>
      </c>
      <c r="D27" s="1567"/>
      <c r="E27" s="1592">
        <f>+'Emission Factors'!J14</f>
        <v>0.34472999999999998</v>
      </c>
      <c r="F27" s="1569">
        <f t="shared" si="1"/>
        <v>0</v>
      </c>
      <c r="G27" s="1570"/>
      <c r="H27" s="1580">
        <f>IF(Performance!$L$2="y",F27,E27*G27/1000)</f>
        <v>0</v>
      </c>
      <c r="I27" s="2431"/>
      <c r="J27" s="2432"/>
      <c r="K27" s="2433"/>
      <c r="L27" s="1581" t="str">
        <f t="shared" si="0"/>
        <v/>
      </c>
      <c r="M27" s="1514"/>
      <c r="N27" s="1514"/>
      <c r="O27" s="2444" t="s">
        <v>33</v>
      </c>
      <c r="P27" s="2446" t="s">
        <v>34</v>
      </c>
      <c r="Q27" s="2444" t="s">
        <v>35</v>
      </c>
      <c r="R27" s="2446" t="s">
        <v>34</v>
      </c>
      <c r="S27" s="1514"/>
      <c r="T27" s="1514"/>
      <c r="U27" s="2442" t="s">
        <v>33</v>
      </c>
      <c r="V27" s="2440" t="s">
        <v>34</v>
      </c>
      <c r="W27" s="2442" t="s">
        <v>35</v>
      </c>
      <c r="X27" s="2440" t="s">
        <v>34</v>
      </c>
      <c r="Y27" s="1514"/>
      <c r="Z27" s="1514"/>
      <c r="AA27" s="1514"/>
      <c r="AB27" s="1514"/>
      <c r="AC27" s="1514"/>
      <c r="AD27" s="1514"/>
    </row>
    <row r="28" spans="1:30" ht="15.75" customHeight="1" thickBot="1" x14ac:dyDescent="0.35">
      <c r="A28" s="1522" t="s">
        <v>370</v>
      </c>
      <c r="B28" s="2426"/>
      <c r="C28" s="1591" t="s">
        <v>47</v>
      </c>
      <c r="D28" s="1567">
        <v>229500</v>
      </c>
      <c r="E28" s="1592">
        <f>+'Emission Factors'!J15</f>
        <v>1.506E-2</v>
      </c>
      <c r="F28" s="1569">
        <f t="shared" si="1"/>
        <v>3.45627</v>
      </c>
      <c r="G28" s="1570"/>
      <c r="H28" s="1580">
        <f>IF(Performance!$L$2="y",F28,E28*G28/1000)</f>
        <v>0</v>
      </c>
      <c r="I28" s="2431"/>
      <c r="J28" s="2432"/>
      <c r="K28" s="2433"/>
      <c r="L28" s="1581" t="str">
        <f t="shared" si="0"/>
        <v/>
      </c>
      <c r="M28" s="1514"/>
      <c r="N28" s="1514"/>
      <c r="O28" s="2445"/>
      <c r="P28" s="2447"/>
      <c r="Q28" s="2445"/>
      <c r="R28" s="2447"/>
      <c r="S28" s="1514"/>
      <c r="T28" s="1514"/>
      <c r="U28" s="2443"/>
      <c r="V28" s="2441"/>
      <c r="W28" s="2443"/>
      <c r="X28" s="2441"/>
      <c r="Y28" s="1514"/>
      <c r="Z28" s="1514"/>
      <c r="AA28" s="1514"/>
      <c r="AB28" s="1514"/>
      <c r="AC28" s="1514"/>
      <c r="AD28" s="1514"/>
    </row>
    <row r="29" spans="1:30" ht="15.75" customHeight="1" thickBot="1" x14ac:dyDescent="0.35">
      <c r="A29" s="1522" t="s">
        <v>372</v>
      </c>
      <c r="B29" s="2426"/>
      <c r="C29" s="1566" t="s">
        <v>48</v>
      </c>
      <c r="D29" s="1567"/>
      <c r="E29" s="1592">
        <f>+O29+Q29</f>
        <v>0.19732631578947368</v>
      </c>
      <c r="F29" s="1569">
        <f>P29+R29</f>
        <v>0</v>
      </c>
      <c r="G29" s="1570"/>
      <c r="H29" s="1580">
        <f>IF(Performance!$L$2="y",F29,E29*G29/1000)</f>
        <v>0</v>
      </c>
      <c r="I29" s="2431"/>
      <c r="J29" s="2432"/>
      <c r="K29" s="2433"/>
      <c r="L29" s="1581" t="str">
        <f t="shared" si="0"/>
        <v/>
      </c>
      <c r="M29" s="1514"/>
      <c r="N29" s="1514"/>
      <c r="O29" s="1593">
        <f>+'Emission Factors'!J33</f>
        <v>0.18745999999999999</v>
      </c>
      <c r="P29" s="1594">
        <f>(D29*O29)/1000</f>
        <v>0</v>
      </c>
      <c r="Q29" s="1595">
        <f>+'Emission Factors'!J34</f>
        <v>9.8663157894736953E-3</v>
      </c>
      <c r="R29" s="1594">
        <f>(D29*Q29)/1000</f>
        <v>0</v>
      </c>
      <c r="S29" s="1514"/>
      <c r="T29" s="1514"/>
      <c r="U29" s="1596">
        <f>+O29</f>
        <v>0.18745999999999999</v>
      </c>
      <c r="V29" s="1597">
        <f>IF(Performance!$L$2="y",P29,$G29*U29/1000)</f>
        <v>0</v>
      </c>
      <c r="W29" s="1598">
        <f>+Q29</f>
        <v>9.8663157894736953E-3</v>
      </c>
      <c r="X29" s="1597">
        <f>IF(Performance!$L$2="y",R29,$G29*W29/1000)</f>
        <v>0</v>
      </c>
      <c r="Y29" s="1514"/>
      <c r="Z29" s="1514"/>
      <c r="AA29" s="1514"/>
      <c r="AB29" s="1514"/>
      <c r="AC29" s="1514"/>
      <c r="AD29" s="1514"/>
    </row>
    <row r="30" spans="1:30" ht="15.75" customHeight="1" thickBot="1" x14ac:dyDescent="0.35">
      <c r="A30" s="1522" t="s">
        <v>372</v>
      </c>
      <c r="B30" s="2426"/>
      <c r="C30" s="1591" t="s">
        <v>49</v>
      </c>
      <c r="D30" s="1567"/>
      <c r="E30" s="1592">
        <f>+'Emission Factors'!J17</f>
        <v>0</v>
      </c>
      <c r="F30" s="1569">
        <f>(D30*E30)/1000</f>
        <v>0</v>
      </c>
      <c r="G30" s="1570"/>
      <c r="H30" s="1580">
        <f>IF(Performance!$L$2="y",F30,E30*G30/1000)</f>
        <v>0</v>
      </c>
      <c r="I30" s="2431"/>
      <c r="J30" s="2432"/>
      <c r="K30" s="2433"/>
      <c r="L30" s="1581" t="str">
        <f t="shared" si="0"/>
        <v/>
      </c>
      <c r="M30" s="1514"/>
      <c r="N30" s="1514"/>
      <c r="O30" s="1514"/>
      <c r="P30" s="1514"/>
      <c r="Q30" s="1514"/>
      <c r="R30" s="1514"/>
      <c r="S30" s="1514"/>
      <c r="T30" s="1514"/>
      <c r="U30" s="1514"/>
      <c r="V30" s="1514"/>
      <c r="W30" s="1514"/>
      <c r="X30" s="1514"/>
      <c r="Y30" s="1514"/>
      <c r="Z30" s="1514"/>
      <c r="AA30" s="1514"/>
      <c r="AB30" s="1514"/>
      <c r="AC30" s="1514"/>
      <c r="AD30" s="1514"/>
    </row>
    <row r="31" spans="1:30" ht="23.25" customHeight="1" thickBot="1" x14ac:dyDescent="0.35">
      <c r="A31" s="1522" t="s">
        <v>372</v>
      </c>
      <c r="B31" s="2426"/>
      <c r="C31" s="1591" t="s">
        <v>50</v>
      </c>
      <c r="D31" s="1567"/>
      <c r="E31" s="1599"/>
      <c r="F31" s="1569">
        <f t="shared" si="1"/>
        <v>0</v>
      </c>
      <c r="G31" s="1570"/>
      <c r="H31" s="1580">
        <f>IF(Performance!$L$2="y",F31,E31*G31/1000)</f>
        <v>0</v>
      </c>
      <c r="I31" s="2431"/>
      <c r="J31" s="2432"/>
      <c r="K31" s="2433"/>
      <c r="L31" s="1581" t="str">
        <f>IF(OR(D31&lt;0,G31&lt;0),"Error - negative number",IF(G31&gt;D31,"Offices only &gt; Total Estate",IF(AND(D31&gt;0,E31=""),"Please enter CO2e factor","")))</f>
        <v/>
      </c>
      <c r="M31" s="1514"/>
      <c r="N31" s="1514"/>
      <c r="O31" s="2421" t="s">
        <v>511</v>
      </c>
      <c r="P31" s="2422"/>
      <c r="Q31" s="2421" t="s">
        <v>512</v>
      </c>
      <c r="R31" s="2422"/>
      <c r="S31" s="1514"/>
      <c r="T31" s="1514"/>
      <c r="U31" s="2414" t="s">
        <v>511</v>
      </c>
      <c r="V31" s="2415"/>
      <c r="W31" s="2414" t="s">
        <v>512</v>
      </c>
      <c r="X31" s="2415"/>
      <c r="Y31" s="1514"/>
      <c r="Z31" s="1514"/>
      <c r="AA31" s="1514"/>
      <c r="AB31" s="1514"/>
      <c r="AC31" s="1514"/>
      <c r="AD31" s="1514"/>
    </row>
    <row r="32" spans="1:30" ht="15" customHeight="1" thickBot="1" x14ac:dyDescent="0.35">
      <c r="A32" s="1522" t="s">
        <v>372</v>
      </c>
      <c r="B32" s="2426"/>
      <c r="C32" s="1591" t="s">
        <v>369</v>
      </c>
      <c r="D32" s="1567"/>
      <c r="E32" s="1592">
        <f>+O32+Q32</f>
        <v>0.26563604119443424</v>
      </c>
      <c r="F32" s="1569">
        <f>P32+R32</f>
        <v>0</v>
      </c>
      <c r="G32" s="1570"/>
      <c r="H32" s="1580">
        <f>IF(Performance!$L$2="y",F32,E32*G32/1000)</f>
        <v>0</v>
      </c>
      <c r="I32" s="2431"/>
      <c r="J32" s="2432"/>
      <c r="K32" s="2433"/>
      <c r="L32" s="1581" t="str">
        <f t="shared" si="0"/>
        <v/>
      </c>
      <c r="M32" s="1514"/>
      <c r="N32" s="1514"/>
      <c r="O32" s="1593">
        <f>+'Emission Factors'!J31</f>
        <v>0.26563604119443424</v>
      </c>
      <c r="P32" s="1594">
        <f>(D32*O32)/1000</f>
        <v>0</v>
      </c>
      <c r="Q32" s="1595">
        <f>+'Emission Factors'!J32</f>
        <v>0</v>
      </c>
      <c r="R32" s="1594">
        <f>(D32*Q32)/1000</f>
        <v>0</v>
      </c>
      <c r="S32" s="1514"/>
      <c r="T32" s="1514"/>
      <c r="U32" s="1596">
        <f>+O32</f>
        <v>0.26563604119443424</v>
      </c>
      <c r="V32" s="1597">
        <f>IF(Performance!$L$2="y",P32,$G32*U32/1000)</f>
        <v>0</v>
      </c>
      <c r="W32" s="1598">
        <f>+Q32</f>
        <v>0</v>
      </c>
      <c r="X32" s="1597">
        <f>IF(Performance!$L$2="y",R32,$G32*W32/1000)</f>
        <v>0</v>
      </c>
      <c r="Y32" s="1514"/>
      <c r="Z32" s="1514"/>
      <c r="AA32" s="1514"/>
      <c r="AB32" s="1514"/>
      <c r="AC32" s="1514"/>
      <c r="AD32" s="1514"/>
    </row>
    <row r="33" spans="1:30" ht="15.75" customHeight="1" x14ac:dyDescent="0.3">
      <c r="A33" s="1522" t="s">
        <v>370</v>
      </c>
      <c r="B33" s="2426"/>
      <c r="C33" s="1591" t="s">
        <v>514</v>
      </c>
      <c r="D33" s="1567"/>
      <c r="E33" s="1567"/>
      <c r="F33" s="1569">
        <f>(D33*E33)/1000</f>
        <v>0</v>
      </c>
      <c r="G33" s="1570"/>
      <c r="H33" s="1580">
        <f>IF(Performance!$L$2="y",F33,E33*G33/1000)</f>
        <v>0</v>
      </c>
      <c r="I33" s="1600"/>
      <c r="J33" s="2451"/>
      <c r="K33" s="2452"/>
      <c r="L33" s="1581" t="str">
        <f t="shared" si="0"/>
        <v/>
      </c>
      <c r="M33" s="1514"/>
      <c r="N33" s="1514"/>
      <c r="O33" s="1514"/>
      <c r="P33" s="1514"/>
      <c r="Q33" s="1514"/>
      <c r="R33" s="1514"/>
      <c r="S33" s="1514"/>
      <c r="T33" s="1514"/>
      <c r="U33" s="1514"/>
      <c r="V33" s="1514"/>
      <c r="W33" s="1514"/>
      <c r="X33" s="1514"/>
      <c r="Y33" s="1514"/>
      <c r="Z33" s="1514"/>
      <c r="AA33" s="1514"/>
      <c r="AB33" s="1514"/>
      <c r="AC33" s="1514"/>
      <c r="AD33" s="1514"/>
    </row>
    <row r="34" spans="1:30" ht="15.75" customHeight="1" x14ac:dyDescent="0.3">
      <c r="A34" s="1522"/>
      <c r="B34" s="2426"/>
      <c r="C34" s="1591" t="s">
        <v>515</v>
      </c>
      <c r="D34" s="1567"/>
      <c r="E34" s="1567"/>
      <c r="F34" s="1569">
        <f t="shared" ref="F34:F35" si="2">(D34*E34)/1000</f>
        <v>0</v>
      </c>
      <c r="G34" s="1570"/>
      <c r="H34" s="1580">
        <f>IF(Performance!$L$2="y",F34,E34*G34/1000)</f>
        <v>0</v>
      </c>
      <c r="I34" s="1600"/>
      <c r="J34" s="2453"/>
      <c r="K34" s="2452"/>
      <c r="L34" s="1581" t="str">
        <f t="shared" si="0"/>
        <v/>
      </c>
      <c r="M34" s="1514"/>
      <c r="N34" s="1514"/>
      <c r="O34" s="1514"/>
      <c r="P34" s="1514"/>
      <c r="Q34" s="1514"/>
      <c r="R34" s="1514"/>
      <c r="S34" s="1514"/>
      <c r="T34" s="1514"/>
      <c r="U34" s="1514"/>
      <c r="V34" s="1514"/>
      <c r="W34" s="1514"/>
      <c r="X34" s="1514"/>
      <c r="Y34" s="1514"/>
      <c r="Z34" s="1514"/>
      <c r="AA34" s="1514"/>
      <c r="AB34" s="1514"/>
      <c r="AC34" s="1514"/>
      <c r="AD34" s="1514"/>
    </row>
    <row r="35" spans="1:30" ht="15.75" customHeight="1" thickBot="1" x14ac:dyDescent="0.35">
      <c r="A35" s="1522"/>
      <c r="B35" s="2427"/>
      <c r="C35" s="1566" t="s">
        <v>516</v>
      </c>
      <c r="D35" s="1567">
        <v>9919.2100830078107</v>
      </c>
      <c r="E35" s="1567">
        <v>0.24665000000000001</v>
      </c>
      <c r="F35" s="1569">
        <f t="shared" si="2"/>
        <v>2.4465731669738764</v>
      </c>
      <c r="G35" s="1570"/>
      <c r="H35" s="1580">
        <f>IF(Performance!$L$2="y",F35,E35*G35/1000)</f>
        <v>0</v>
      </c>
      <c r="I35" s="1601" t="s">
        <v>139</v>
      </c>
      <c r="J35" s="2454" t="s">
        <v>541</v>
      </c>
      <c r="K35" s="2455"/>
      <c r="L35" s="1581" t="str">
        <f t="shared" si="0"/>
        <v/>
      </c>
      <c r="M35" s="1514"/>
      <c r="N35" s="1514"/>
      <c r="O35" s="1514"/>
      <c r="P35" s="1514"/>
      <c r="Q35" s="1514"/>
      <c r="R35" s="1514"/>
      <c r="S35" s="1514"/>
      <c r="T35" s="1514"/>
      <c r="U35" s="1514"/>
      <c r="V35" s="1514"/>
      <c r="W35" s="1514"/>
      <c r="X35" s="1514"/>
      <c r="Y35" s="1514"/>
      <c r="Z35" s="1514"/>
      <c r="AA35" s="1514"/>
      <c r="AB35" s="1514"/>
      <c r="AC35" s="1514"/>
      <c r="AD35" s="1514"/>
    </row>
    <row r="36" spans="1:30" ht="15" customHeight="1" x14ac:dyDescent="0.3">
      <c r="A36" s="1522" t="s">
        <v>370</v>
      </c>
      <c r="B36" s="2425" t="s">
        <v>53</v>
      </c>
      <c r="C36" s="1602" t="s">
        <v>54</v>
      </c>
      <c r="D36" s="1603">
        <v>11206</v>
      </c>
      <c r="E36" s="1568">
        <f>+'Emission Factors'!J21</f>
        <v>0</v>
      </c>
      <c r="F36" s="1604">
        <f t="shared" si="1"/>
        <v>0</v>
      </c>
      <c r="G36" s="1605"/>
      <c r="H36" s="1571">
        <f>IF(Performance!$L$2="y",F36,E36*G36/1000)</f>
        <v>0</v>
      </c>
      <c r="I36" s="2428" t="s">
        <v>537</v>
      </c>
      <c r="J36" s="2429"/>
      <c r="K36" s="2430"/>
      <c r="L36" s="1606" t="str">
        <f t="shared" si="0"/>
        <v/>
      </c>
      <c r="M36" s="1514"/>
      <c r="N36" s="1514"/>
      <c r="O36" s="1514"/>
      <c r="P36" s="1514"/>
      <c r="Q36" s="1514"/>
      <c r="R36" s="1514"/>
      <c r="S36" s="1514"/>
      <c r="T36" s="1514"/>
      <c r="U36" s="1514"/>
      <c r="V36" s="1514"/>
      <c r="W36" s="1514"/>
      <c r="X36" s="1514"/>
      <c r="Y36" s="1514"/>
      <c r="Z36" s="1514"/>
      <c r="AA36" s="1514"/>
      <c r="AB36" s="1514"/>
      <c r="AC36" s="1514"/>
      <c r="AD36" s="1514"/>
    </row>
    <row r="37" spans="1:30" ht="15" customHeight="1" x14ac:dyDescent="0.3">
      <c r="A37" s="1522" t="s">
        <v>370</v>
      </c>
      <c r="B37" s="2426"/>
      <c r="C37" s="1591" t="s">
        <v>55</v>
      </c>
      <c r="D37" s="1607"/>
      <c r="E37" s="1592">
        <f>+'Emission Factors'!J22</f>
        <v>0</v>
      </c>
      <c r="F37" s="1608">
        <f t="shared" si="1"/>
        <v>0</v>
      </c>
      <c r="G37" s="1609"/>
      <c r="H37" s="1580">
        <f>IF(Performance!$L$2="y",F37,E37*G37/1000)</f>
        <v>0</v>
      </c>
      <c r="I37" s="2431"/>
      <c r="J37" s="2432"/>
      <c r="K37" s="2433"/>
      <c r="L37" s="1581" t="str">
        <f t="shared" si="0"/>
        <v/>
      </c>
      <c r="M37" s="1514"/>
      <c r="N37" s="1514"/>
      <c r="O37" s="1514"/>
      <c r="P37" s="1514"/>
      <c r="Q37" s="1514"/>
      <c r="R37" s="1514"/>
      <c r="S37" s="1514"/>
      <c r="T37" s="1514"/>
      <c r="U37" s="1514"/>
      <c r="V37" s="1514"/>
      <c r="W37" s="1514"/>
      <c r="X37" s="1514"/>
      <c r="Y37" s="1514"/>
      <c r="Z37" s="1514"/>
      <c r="AA37" s="1514"/>
      <c r="AB37" s="1514"/>
      <c r="AC37" s="1514"/>
      <c r="AD37" s="1514"/>
    </row>
    <row r="38" spans="1:30" ht="15" customHeight="1" x14ac:dyDescent="0.3">
      <c r="A38" s="1522" t="s">
        <v>370</v>
      </c>
      <c r="B38" s="2426"/>
      <c r="C38" s="1591" t="s">
        <v>56</v>
      </c>
      <c r="D38" s="1607"/>
      <c r="E38" s="1592">
        <f>+'Emission Factors'!J23</f>
        <v>0</v>
      </c>
      <c r="F38" s="1608">
        <f t="shared" si="1"/>
        <v>0</v>
      </c>
      <c r="G38" s="1609"/>
      <c r="H38" s="1580">
        <f>IF(Performance!$L$2="y",F38,E38*G38/1000)</f>
        <v>0</v>
      </c>
      <c r="I38" s="2431"/>
      <c r="J38" s="2432"/>
      <c r="K38" s="2433"/>
      <c r="L38" s="1581" t="str">
        <f t="shared" si="0"/>
        <v/>
      </c>
      <c r="M38" s="1514"/>
      <c r="N38" s="1514"/>
      <c r="O38" s="1514"/>
      <c r="P38" s="1514"/>
      <c r="Q38" s="1514"/>
      <c r="R38" s="1514"/>
      <c r="S38" s="1514"/>
      <c r="T38" s="1514"/>
      <c r="U38" s="1514"/>
      <c r="V38" s="1514"/>
      <c r="W38" s="1514"/>
      <c r="X38" s="1514"/>
      <c r="Y38" s="1514"/>
      <c r="Z38" s="1514"/>
      <c r="AA38" s="1514"/>
      <c r="AB38" s="1514"/>
      <c r="AC38" s="1514"/>
      <c r="AD38" s="1514"/>
    </row>
    <row r="39" spans="1:30" ht="15" customHeight="1" x14ac:dyDescent="0.3">
      <c r="A39" s="1522" t="s">
        <v>370</v>
      </c>
      <c r="B39" s="2426"/>
      <c r="C39" s="1591" t="s">
        <v>410</v>
      </c>
      <c r="D39" s="1607"/>
      <c r="E39" s="1610"/>
      <c r="F39" s="1608">
        <f t="shared" si="1"/>
        <v>0</v>
      </c>
      <c r="G39" s="1609"/>
      <c r="H39" s="1580">
        <f>IF(Performance!$L$2="y",F39,E39*G39/1000)</f>
        <v>0</v>
      </c>
      <c r="I39" s="2431"/>
      <c r="J39" s="2432"/>
      <c r="K39" s="2433"/>
      <c r="L39" s="1581" t="str">
        <f t="shared" si="0"/>
        <v/>
      </c>
      <c r="M39" s="1514"/>
      <c r="N39" s="1514"/>
      <c r="O39" s="1514"/>
      <c r="P39" s="1514"/>
      <c r="Q39" s="1514"/>
      <c r="R39" s="1514"/>
      <c r="S39" s="1514"/>
      <c r="T39" s="1514"/>
      <c r="U39" s="1514"/>
      <c r="V39" s="1514"/>
      <c r="W39" s="1514"/>
      <c r="X39" s="1514"/>
      <c r="Y39" s="1514"/>
      <c r="Z39" s="1514"/>
      <c r="AA39" s="1514"/>
      <c r="AB39" s="1514"/>
      <c r="AC39" s="1514"/>
      <c r="AD39" s="1514"/>
    </row>
    <row r="40" spans="1:30" ht="15" customHeight="1" x14ac:dyDescent="0.3">
      <c r="A40" s="1522"/>
      <c r="B40" s="2426"/>
      <c r="C40" s="1591" t="s">
        <v>411</v>
      </c>
      <c r="D40" s="1607"/>
      <c r="E40" s="1610"/>
      <c r="F40" s="1608">
        <f t="shared" si="1"/>
        <v>0</v>
      </c>
      <c r="G40" s="1609"/>
      <c r="H40" s="1580">
        <f>IF(Performance!$L$2="y",F40,E40*G40/1000)</f>
        <v>0</v>
      </c>
      <c r="I40" s="2431"/>
      <c r="J40" s="2432"/>
      <c r="K40" s="2433"/>
      <c r="L40" s="1581"/>
      <c r="M40" s="1514"/>
      <c r="N40" s="1514"/>
      <c r="O40" s="1514"/>
      <c r="P40" s="1514"/>
      <c r="Q40" s="1514"/>
      <c r="R40" s="1514"/>
      <c r="S40" s="1514"/>
      <c r="T40" s="1514"/>
      <c r="U40" s="1514"/>
      <c r="V40" s="1514"/>
      <c r="W40" s="1514"/>
      <c r="X40" s="1514"/>
      <c r="Y40" s="1514"/>
      <c r="Z40" s="1514"/>
      <c r="AA40" s="1514"/>
      <c r="AB40" s="1514"/>
      <c r="AC40" s="1514"/>
      <c r="AD40" s="1514"/>
    </row>
    <row r="41" spans="1:30" ht="15" customHeight="1" x14ac:dyDescent="0.3">
      <c r="A41" s="1522"/>
      <c r="B41" s="2426"/>
      <c r="C41" s="1591" t="s">
        <v>412</v>
      </c>
      <c r="D41" s="1607"/>
      <c r="E41" s="1610"/>
      <c r="F41" s="1608">
        <f t="shared" si="1"/>
        <v>0</v>
      </c>
      <c r="G41" s="1609"/>
      <c r="H41" s="1580">
        <f>IF(Performance!$L$2="y",F41,E41*G41/1000)</f>
        <v>0</v>
      </c>
      <c r="I41" s="2431"/>
      <c r="J41" s="2432"/>
      <c r="K41" s="2433"/>
      <c r="L41" s="1581"/>
      <c r="M41" s="1514"/>
      <c r="N41" s="1514"/>
      <c r="O41" s="1514"/>
      <c r="P41" s="1514"/>
      <c r="Q41" s="1514"/>
      <c r="R41" s="1514"/>
      <c r="S41" s="1514"/>
      <c r="T41" s="1514"/>
      <c r="U41" s="1514"/>
      <c r="V41" s="1514"/>
      <c r="W41" s="1514"/>
      <c r="X41" s="1514"/>
      <c r="Y41" s="1514"/>
      <c r="Z41" s="1514"/>
      <c r="AA41" s="1514"/>
      <c r="AB41" s="1514"/>
      <c r="AC41" s="1514"/>
      <c r="AD41" s="1514"/>
    </row>
    <row r="42" spans="1:30" ht="15" customHeight="1" x14ac:dyDescent="0.3">
      <c r="A42" s="1522" t="s">
        <v>370</v>
      </c>
      <c r="B42" s="2426"/>
      <c r="C42" s="357" t="s">
        <v>57</v>
      </c>
      <c r="D42" s="1611">
        <f>+CHP!BM22</f>
        <v>0</v>
      </c>
      <c r="E42" s="1592">
        <f>+CHP!X17</f>
        <v>0</v>
      </c>
      <c r="F42" s="1608">
        <f>(D42*E42)/1000</f>
        <v>0</v>
      </c>
      <c r="G42" s="1609"/>
      <c r="H42" s="1612">
        <f>IF(Performance!$L$2="y",F42,E42*G42/1000)</f>
        <v>0</v>
      </c>
      <c r="I42" s="2431"/>
      <c r="J42" s="2432"/>
      <c r="K42" s="2433"/>
      <c r="L42" s="1581" t="str">
        <f t="shared" si="0"/>
        <v/>
      </c>
      <c r="M42" s="1514"/>
      <c r="N42" s="1514"/>
      <c r="O42" s="1514"/>
      <c r="P42" s="1514"/>
      <c r="Q42" s="1514"/>
      <c r="R42" s="1514"/>
      <c r="S42" s="1514"/>
      <c r="T42" s="1514"/>
      <c r="U42" s="1514"/>
      <c r="V42" s="1514"/>
      <c r="W42" s="1514"/>
      <c r="X42" s="1514"/>
      <c r="Y42" s="1514"/>
      <c r="Z42" s="1514"/>
      <c r="AA42" s="1514"/>
      <c r="AB42" s="1514"/>
      <c r="AC42" s="1514"/>
      <c r="AD42" s="1514"/>
    </row>
    <row r="43" spans="1:30" ht="15" customHeight="1" x14ac:dyDescent="0.3">
      <c r="A43" s="1522" t="s">
        <v>370</v>
      </c>
      <c r="B43" s="2426"/>
      <c r="C43" s="357" t="s">
        <v>58</v>
      </c>
      <c r="D43" s="1611">
        <f>+CHP!BM23</f>
        <v>0</v>
      </c>
      <c r="E43" s="1592">
        <f>+CHP!X18</f>
        <v>0</v>
      </c>
      <c r="F43" s="1608">
        <f t="shared" si="1"/>
        <v>0</v>
      </c>
      <c r="G43" s="1609"/>
      <c r="H43" s="1612">
        <f>IF(Performance!$L$2="y",F43,E43*G43/1000)</f>
        <v>0</v>
      </c>
      <c r="I43" s="2431"/>
      <c r="J43" s="2432"/>
      <c r="K43" s="2433"/>
      <c r="L43" s="1581" t="str">
        <f t="shared" si="0"/>
        <v/>
      </c>
      <c r="M43" s="1514"/>
      <c r="N43" s="1514"/>
      <c r="O43" s="1514"/>
      <c r="P43" s="1514"/>
      <c r="Q43" s="1514"/>
      <c r="R43" s="1514"/>
      <c r="S43" s="1514"/>
      <c r="T43" s="1514"/>
      <c r="U43" s="1514"/>
      <c r="V43" s="1514"/>
      <c r="W43" s="1514"/>
      <c r="X43" s="1514"/>
      <c r="Y43" s="1514"/>
      <c r="Z43" s="1514"/>
      <c r="AA43" s="1514"/>
      <c r="AB43" s="1514"/>
      <c r="AC43" s="1514"/>
      <c r="AD43" s="1514"/>
    </row>
    <row r="44" spans="1:30" ht="15" customHeight="1" x14ac:dyDescent="0.3">
      <c r="A44" s="1522" t="s">
        <v>370</v>
      </c>
      <c r="B44" s="2426"/>
      <c r="C44" s="357" t="s">
        <v>59</v>
      </c>
      <c r="D44" s="1611">
        <f>+CHP!BM49</f>
        <v>0</v>
      </c>
      <c r="E44" s="1592">
        <f>+CHP!X44</f>
        <v>0</v>
      </c>
      <c r="F44" s="1608">
        <f t="shared" si="1"/>
        <v>0</v>
      </c>
      <c r="G44" s="1609"/>
      <c r="H44" s="1612">
        <f>IF(Performance!$L$2="y",F44,E44*G44/1000)</f>
        <v>0</v>
      </c>
      <c r="I44" s="2431"/>
      <c r="J44" s="2432"/>
      <c r="K44" s="2433"/>
      <c r="L44" s="1581" t="str">
        <f t="shared" si="0"/>
        <v/>
      </c>
      <c r="M44" s="1514"/>
      <c r="N44" s="1514"/>
      <c r="O44" s="1514"/>
      <c r="P44" s="1514"/>
      <c r="Q44" s="1514"/>
      <c r="R44" s="1514"/>
      <c r="S44" s="1514"/>
      <c r="T44" s="1514"/>
      <c r="U44" s="1514"/>
      <c r="V44" s="1514"/>
      <c r="W44" s="1514"/>
      <c r="X44" s="1514"/>
      <c r="Y44" s="1514"/>
      <c r="Z44" s="1514"/>
      <c r="AA44" s="1514"/>
      <c r="AB44" s="1514"/>
      <c r="AC44" s="1514"/>
      <c r="AD44" s="1514"/>
    </row>
    <row r="45" spans="1:30" ht="15" customHeight="1" x14ac:dyDescent="0.3">
      <c r="A45" s="1522" t="s">
        <v>370</v>
      </c>
      <c r="B45" s="2426"/>
      <c r="C45" s="357" t="s">
        <v>60</v>
      </c>
      <c r="D45" s="1611">
        <f>+CHP!BM50</f>
        <v>0</v>
      </c>
      <c r="E45" s="1592">
        <f>+CHP!X45</f>
        <v>0</v>
      </c>
      <c r="F45" s="1608">
        <f t="shared" si="1"/>
        <v>0</v>
      </c>
      <c r="G45" s="1609"/>
      <c r="H45" s="1612">
        <f>IF(Performance!$L$2="y",F45,E45*G45/1000)</f>
        <v>0</v>
      </c>
      <c r="I45" s="2431"/>
      <c r="J45" s="2432"/>
      <c r="K45" s="2433"/>
      <c r="L45" s="1581" t="str">
        <f t="shared" si="0"/>
        <v/>
      </c>
      <c r="M45" s="1514"/>
      <c r="N45" s="1514"/>
      <c r="O45" s="1514"/>
      <c r="P45" s="1514"/>
      <c r="Q45" s="1514"/>
      <c r="R45" s="1514"/>
      <c r="S45" s="1514"/>
      <c r="T45" s="1514"/>
      <c r="U45" s="1514"/>
      <c r="V45" s="1514"/>
      <c r="W45" s="1514"/>
      <c r="X45" s="1514"/>
      <c r="Y45" s="1514"/>
      <c r="Z45" s="1514"/>
      <c r="AA45" s="1514"/>
      <c r="AB45" s="1514"/>
      <c r="AC45" s="1514"/>
      <c r="AD45" s="1514"/>
    </row>
    <row r="46" spans="1:30" ht="15" customHeight="1" x14ac:dyDescent="0.3">
      <c r="A46" s="1522" t="s">
        <v>370</v>
      </c>
      <c r="B46" s="2426"/>
      <c r="C46" s="357" t="s">
        <v>61</v>
      </c>
      <c r="D46" s="1611">
        <f>+CHP!BM76</f>
        <v>0</v>
      </c>
      <c r="E46" s="1592">
        <f>+CHP!X71</f>
        <v>0</v>
      </c>
      <c r="F46" s="1608">
        <f t="shared" si="1"/>
        <v>0</v>
      </c>
      <c r="G46" s="1609"/>
      <c r="H46" s="1612">
        <f>IF(Performance!$L$2="y",F46,E46*G46/1000)</f>
        <v>0</v>
      </c>
      <c r="I46" s="2431"/>
      <c r="J46" s="2432"/>
      <c r="K46" s="2433"/>
      <c r="L46" s="1581" t="str">
        <f t="shared" si="0"/>
        <v/>
      </c>
      <c r="M46" s="1514"/>
      <c r="N46" s="1514"/>
      <c r="O46" s="1514"/>
      <c r="P46" s="1514"/>
      <c r="Q46" s="1514"/>
      <c r="R46" s="1514"/>
      <c r="S46" s="1514"/>
      <c r="T46" s="1514"/>
      <c r="U46" s="1514"/>
      <c r="V46" s="1514"/>
      <c r="W46" s="1514"/>
      <c r="X46" s="1514"/>
      <c r="Y46" s="1514"/>
      <c r="Z46" s="1514"/>
      <c r="AA46" s="1514"/>
      <c r="AB46" s="1514"/>
      <c r="AC46" s="1514"/>
      <c r="AD46" s="1514"/>
    </row>
    <row r="47" spans="1:30" ht="15.75" customHeight="1" thickBot="1" x14ac:dyDescent="0.35">
      <c r="A47" s="1522" t="s">
        <v>370</v>
      </c>
      <c r="B47" s="2427"/>
      <c r="C47" s="358" t="s">
        <v>62</v>
      </c>
      <c r="D47" s="1613">
        <f>+CHP!BM77</f>
        <v>0</v>
      </c>
      <c r="E47" s="1614">
        <f>+CHP!X72</f>
        <v>0</v>
      </c>
      <c r="F47" s="1615">
        <f t="shared" si="1"/>
        <v>0</v>
      </c>
      <c r="G47" s="1616"/>
      <c r="H47" s="1617">
        <f>IF(Performance!$L$2="y",F47,E47*G47/1000)</f>
        <v>0</v>
      </c>
      <c r="I47" s="2448"/>
      <c r="J47" s="2449"/>
      <c r="K47" s="2450"/>
      <c r="L47" s="1618" t="str">
        <f t="shared" si="0"/>
        <v/>
      </c>
      <c r="M47" s="1514"/>
      <c r="N47" s="1514"/>
      <c r="O47" s="1514"/>
      <c r="P47" s="1514"/>
      <c r="Q47" s="1514"/>
      <c r="R47" s="1514"/>
      <c r="S47" s="1514"/>
      <c r="T47" s="1514"/>
      <c r="U47" s="1514"/>
      <c r="V47" s="1514"/>
      <c r="W47" s="1514"/>
      <c r="X47" s="1514"/>
      <c r="Y47" s="1514"/>
      <c r="Z47" s="1514"/>
      <c r="AA47" s="1514"/>
      <c r="AB47" s="1514"/>
      <c r="AC47" s="1514"/>
      <c r="AD47" s="1514"/>
    </row>
    <row r="48" spans="1:30" x14ac:dyDescent="0.3">
      <c r="A48" s="1522"/>
      <c r="B48" s="1514" t="s">
        <v>63</v>
      </c>
      <c r="C48" s="1535"/>
      <c r="D48" s="1535"/>
      <c r="E48" s="1535"/>
      <c r="F48" s="1535"/>
      <c r="G48" s="1535"/>
      <c r="H48" s="1535"/>
      <c r="I48" s="1535"/>
      <c r="J48" s="1535"/>
      <c r="K48" s="1535"/>
      <c r="L48" s="1514"/>
      <c r="M48" s="1514"/>
      <c r="N48" s="1514"/>
      <c r="O48" s="1514"/>
      <c r="P48" s="1514"/>
      <c r="Q48" s="1514"/>
      <c r="R48" s="1514"/>
      <c r="S48" s="1514"/>
      <c r="T48" s="1514"/>
      <c r="U48" s="1514"/>
      <c r="V48" s="1514"/>
      <c r="W48" s="1514"/>
      <c r="X48" s="1514"/>
      <c r="Y48" s="1514"/>
      <c r="Z48" s="1514"/>
      <c r="AA48" s="1514"/>
      <c r="AB48" s="1514"/>
      <c r="AC48" s="1514"/>
      <c r="AD48" s="1514"/>
    </row>
    <row r="49" spans="1:30" s="1550" customFormat="1" ht="23.4" x14ac:dyDescent="0.3">
      <c r="A49" s="1545" t="s">
        <v>506</v>
      </c>
      <c r="B49" s="1546" t="s">
        <v>65</v>
      </c>
      <c r="C49" s="1547"/>
      <c r="D49" s="2387" t="str">
        <f>+$A$1</f>
        <v>Quarter 1 - 2018-2019</v>
      </c>
      <c r="E49" s="2387"/>
      <c r="F49" s="2387"/>
      <c r="G49" s="2387"/>
      <c r="H49" s="2387"/>
      <c r="I49" s="2387"/>
      <c r="J49" s="2387"/>
      <c r="K49" s="1548"/>
      <c r="L49" s="1548"/>
      <c r="M49" s="1548"/>
      <c r="N49" s="1548"/>
      <c r="O49" s="1548"/>
      <c r="P49" s="1548"/>
      <c r="Q49" s="1548"/>
      <c r="R49" s="1548"/>
      <c r="S49" s="1548"/>
      <c r="T49" s="1548"/>
      <c r="U49" s="1548"/>
      <c r="V49" s="1548"/>
      <c r="W49" s="1548"/>
      <c r="X49" s="1548"/>
      <c r="Y49" s="1549"/>
      <c r="Z49" s="1549"/>
      <c r="AA49" s="1549"/>
      <c r="AB49" s="1549"/>
      <c r="AC49" s="1549"/>
      <c r="AD49" s="1549"/>
    </row>
    <row r="50" spans="1:30" ht="14.4" thickBot="1" x14ac:dyDescent="0.35">
      <c r="A50" s="1522"/>
      <c r="B50" s="1534" t="s">
        <v>66</v>
      </c>
      <c r="C50" s="1538"/>
      <c r="D50" s="1535"/>
      <c r="E50" s="1535"/>
      <c r="F50" s="1535"/>
      <c r="G50" s="1535"/>
      <c r="H50" s="1535"/>
      <c r="I50" s="1535"/>
      <c r="J50" s="1535"/>
      <c r="K50" s="1535"/>
      <c r="L50" s="1514"/>
      <c r="M50" s="1514"/>
      <c r="N50" s="1514"/>
      <c r="O50" s="1514"/>
      <c r="P50" s="1514"/>
      <c r="Q50" s="1514"/>
      <c r="R50" s="1514"/>
      <c r="S50" s="1514"/>
      <c r="T50" s="1514"/>
      <c r="U50" s="1514"/>
      <c r="V50" s="1514"/>
      <c r="W50" s="1514"/>
      <c r="X50" s="1514"/>
      <c r="Y50" s="1514"/>
      <c r="Z50" s="1514"/>
      <c r="AA50" s="1514"/>
      <c r="AB50" s="1514"/>
      <c r="AC50" s="1514"/>
      <c r="AD50" s="1514"/>
    </row>
    <row r="51" spans="1:30" ht="30" customHeight="1" thickBot="1" x14ac:dyDescent="0.35">
      <c r="A51" s="1522"/>
      <c r="B51" s="1514"/>
      <c r="C51" s="1514"/>
      <c r="D51" s="2468" t="s">
        <v>23</v>
      </c>
      <c r="E51" s="2469"/>
      <c r="F51" s="2470"/>
      <c r="G51" s="2471" t="s">
        <v>144</v>
      </c>
      <c r="H51" s="2472"/>
      <c r="I51" s="2473" t="s">
        <v>24</v>
      </c>
      <c r="J51" s="2474"/>
      <c r="K51" s="2475"/>
      <c r="L51" s="2419" t="s">
        <v>461</v>
      </c>
      <c r="M51" s="1514"/>
      <c r="N51" s="1514"/>
      <c r="O51" s="1514"/>
      <c r="P51" s="1514"/>
      <c r="Q51" s="1514"/>
      <c r="R51" s="1514"/>
      <c r="S51" s="1514"/>
      <c r="T51" s="1514"/>
      <c r="U51" s="1514"/>
      <c r="V51" s="1514"/>
      <c r="W51" s="1514"/>
      <c r="X51" s="1514"/>
      <c r="Y51" s="1514"/>
      <c r="Z51" s="1514"/>
      <c r="AA51" s="1514"/>
      <c r="AB51" s="1514"/>
      <c r="AC51" s="1514"/>
      <c r="AD51" s="1514"/>
    </row>
    <row r="52" spans="1:30" ht="39" customHeight="1" thickBot="1" x14ac:dyDescent="0.35">
      <c r="A52" s="1522"/>
      <c r="B52" s="1619"/>
      <c r="C52" s="1538"/>
      <c r="D52" s="1620" t="s">
        <v>67</v>
      </c>
      <c r="E52" s="1621" t="s">
        <v>68</v>
      </c>
      <c r="F52" s="1622" t="s">
        <v>28</v>
      </c>
      <c r="G52" s="1555" t="s">
        <v>67</v>
      </c>
      <c r="H52" s="1555" t="s">
        <v>28</v>
      </c>
      <c r="I52" s="2476"/>
      <c r="J52" s="2477"/>
      <c r="K52" s="2478"/>
      <c r="L52" s="2420"/>
      <c r="M52" s="1514"/>
      <c r="N52" s="1514"/>
      <c r="O52" s="1514"/>
      <c r="P52" s="1514"/>
      <c r="Q52" s="1514"/>
      <c r="R52" s="1514"/>
      <c r="S52" s="1514"/>
      <c r="T52" s="1514"/>
      <c r="U52" s="1514"/>
      <c r="V52" s="1514"/>
      <c r="W52" s="1514"/>
      <c r="X52" s="1514"/>
      <c r="Y52" s="1514"/>
      <c r="Z52" s="1514"/>
      <c r="AA52" s="1514"/>
      <c r="AB52" s="1514"/>
      <c r="AC52" s="1514"/>
      <c r="AD52" s="1514"/>
    </row>
    <row r="53" spans="1:30" ht="13.5" customHeight="1" thickBot="1" x14ac:dyDescent="0.35">
      <c r="A53" s="1522" t="s">
        <v>370</v>
      </c>
      <c r="B53" s="2479" t="s">
        <v>69</v>
      </c>
      <c r="C53" s="2480"/>
      <c r="D53" s="1623"/>
      <c r="E53" s="1624"/>
      <c r="F53" s="1625">
        <f>D53/1000</f>
        <v>0</v>
      </c>
      <c r="G53" s="1626"/>
      <c r="H53" s="1627">
        <f>IF(Performance!L2="y",F53,G53/1000)</f>
        <v>0</v>
      </c>
      <c r="I53" s="2481"/>
      <c r="J53" s="2482"/>
      <c r="K53" s="2483"/>
      <c r="L53" s="1560" t="str">
        <f>IF(OR(D53&lt;0,G53&lt;0),"Error - negative number",IF(G53&gt;D53,"Offices only &gt; Total Estate",IF(AND(D53&gt;0,E53=""),"Please enter method used","")))</f>
        <v/>
      </c>
      <c r="M53" s="1514"/>
      <c r="N53" s="1514"/>
      <c r="O53" s="1514"/>
      <c r="P53" s="1514"/>
      <c r="Q53" s="1514"/>
      <c r="R53" s="1514"/>
      <c r="S53" s="1514"/>
      <c r="T53" s="1514"/>
      <c r="U53" s="1514"/>
      <c r="V53" s="1514"/>
      <c r="W53" s="1514"/>
      <c r="X53" s="1514"/>
      <c r="Y53" s="1514"/>
      <c r="Z53" s="1514"/>
      <c r="AA53" s="1514"/>
      <c r="AB53" s="1514"/>
      <c r="AC53" s="1514"/>
      <c r="AD53" s="1514"/>
    </row>
    <row r="54" spans="1:30" x14ac:dyDescent="0.3">
      <c r="A54" s="1628"/>
      <c r="B54" s="1535"/>
      <c r="C54" s="1535"/>
      <c r="D54" s="1535"/>
      <c r="E54" s="1535"/>
      <c r="F54" s="1629"/>
      <c r="G54" s="1535"/>
      <c r="H54" s="1535"/>
      <c r="I54" s="1535"/>
      <c r="J54" s="1535"/>
      <c r="K54" s="1535"/>
      <c r="L54" s="1514"/>
      <c r="M54" s="1514"/>
      <c r="N54" s="1514"/>
      <c r="O54" s="1514"/>
      <c r="P54" s="1514"/>
      <c r="Q54" s="1514"/>
      <c r="R54" s="1514"/>
      <c r="S54" s="1514"/>
      <c r="T54" s="1514"/>
      <c r="U54" s="1514"/>
      <c r="V54" s="1514"/>
      <c r="W54" s="1514"/>
      <c r="X54" s="1514"/>
      <c r="Y54" s="1514"/>
      <c r="Z54" s="1514"/>
      <c r="AA54" s="1514"/>
      <c r="AB54" s="1514"/>
      <c r="AC54" s="1514"/>
      <c r="AD54" s="1514"/>
    </row>
    <row r="55" spans="1:30" s="1550" customFormat="1" ht="23.4" x14ac:dyDescent="0.3">
      <c r="A55" s="1545" t="s">
        <v>507</v>
      </c>
      <c r="B55" s="1546" t="s">
        <v>71</v>
      </c>
      <c r="C55" s="1547"/>
      <c r="D55" s="2387" t="str">
        <f>+$A$1</f>
        <v>Quarter 1 - 2018-2019</v>
      </c>
      <c r="E55" s="2387"/>
      <c r="F55" s="2387"/>
      <c r="G55" s="2387"/>
      <c r="H55" s="2387"/>
      <c r="I55" s="2387"/>
      <c r="J55" s="2387"/>
      <c r="K55" s="1548"/>
      <c r="L55" s="1548"/>
      <c r="M55" s="1548"/>
      <c r="N55" s="1548"/>
      <c r="O55" s="1548"/>
      <c r="P55" s="1548"/>
      <c r="Q55" s="1548"/>
      <c r="R55" s="1548"/>
      <c r="S55" s="1548"/>
      <c r="T55" s="1548"/>
      <c r="U55" s="1548"/>
      <c r="V55" s="1548"/>
      <c r="W55" s="1548"/>
      <c r="X55" s="1548"/>
      <c r="Y55" s="1549"/>
      <c r="Z55" s="1549"/>
      <c r="AA55" s="1549"/>
      <c r="AB55" s="1549"/>
      <c r="AC55" s="1549"/>
      <c r="AD55" s="1549"/>
    </row>
    <row r="56" spans="1:30" x14ac:dyDescent="0.3">
      <c r="A56" s="1522"/>
      <c r="B56" s="1534" t="s">
        <v>72</v>
      </c>
      <c r="C56" s="1538"/>
      <c r="D56" s="1535"/>
      <c r="E56" s="1535"/>
      <c r="F56" s="1535"/>
      <c r="G56" s="1535"/>
      <c r="H56" s="1535"/>
      <c r="I56" s="1535"/>
      <c r="J56" s="1535"/>
      <c r="K56" s="1535"/>
      <c r="L56" s="1514"/>
      <c r="M56" s="1514"/>
      <c r="N56" s="1514"/>
      <c r="O56" s="1514"/>
      <c r="P56" s="1514"/>
      <c r="Q56" s="1514"/>
      <c r="R56" s="1514"/>
      <c r="S56" s="1514"/>
      <c r="T56" s="1514"/>
      <c r="U56" s="1514"/>
      <c r="V56" s="1514"/>
      <c r="W56" s="1514"/>
      <c r="X56" s="1514"/>
      <c r="Y56" s="1514"/>
      <c r="Z56" s="1514"/>
      <c r="AA56" s="1514"/>
      <c r="AB56" s="1514"/>
      <c r="AC56" s="1514"/>
      <c r="AD56" s="1514"/>
    </row>
    <row r="57" spans="1:30" x14ac:dyDescent="0.3">
      <c r="A57" s="1522"/>
      <c r="B57" s="1534" t="s">
        <v>73</v>
      </c>
      <c r="C57" s="1538"/>
      <c r="D57" s="1535"/>
      <c r="E57" s="1535"/>
      <c r="F57" s="1535"/>
      <c r="G57" s="1535"/>
      <c r="H57" s="1535"/>
      <c r="I57" s="1535"/>
      <c r="J57" s="1535"/>
      <c r="K57" s="1535"/>
      <c r="L57" s="1514"/>
      <c r="M57" s="1514"/>
      <c r="N57" s="1514"/>
      <c r="O57" s="1514"/>
      <c r="P57" s="1514"/>
      <c r="Q57" s="1514"/>
      <c r="R57" s="1514"/>
      <c r="S57" s="1514"/>
      <c r="T57" s="1514"/>
      <c r="U57" s="1514"/>
      <c r="V57" s="1514"/>
      <c r="W57" s="1514"/>
      <c r="X57" s="1514"/>
      <c r="Y57" s="1514"/>
      <c r="Z57" s="1514"/>
      <c r="AA57" s="1514"/>
      <c r="AB57" s="1514"/>
      <c r="AC57" s="1514"/>
      <c r="AD57" s="1514"/>
    </row>
    <row r="58" spans="1:30" x14ac:dyDescent="0.3">
      <c r="A58" s="1522"/>
      <c r="B58" s="1534" t="s">
        <v>528</v>
      </c>
      <c r="C58" s="1538"/>
      <c r="D58" s="1535"/>
      <c r="E58" s="1535"/>
      <c r="F58" s="1535"/>
      <c r="G58" s="1535"/>
      <c r="H58" s="1535"/>
      <c r="I58" s="1535"/>
      <c r="J58" s="1535"/>
      <c r="K58" s="1535"/>
      <c r="L58" s="1514"/>
      <c r="M58" s="1514"/>
      <c r="N58" s="1514"/>
      <c r="O58" s="1514"/>
      <c r="P58" s="1514"/>
      <c r="Q58" s="1514"/>
      <c r="R58" s="1514"/>
      <c r="S58" s="1514"/>
      <c r="T58" s="1514"/>
      <c r="U58" s="1514"/>
      <c r="V58" s="1514"/>
      <c r="W58" s="1514"/>
      <c r="X58" s="1514"/>
      <c r="Y58" s="1514"/>
      <c r="Z58" s="1514"/>
      <c r="AA58" s="1514"/>
      <c r="AB58" s="1514"/>
      <c r="AC58" s="1514"/>
      <c r="AD58" s="1514"/>
    </row>
    <row r="59" spans="1:30" x14ac:dyDescent="0.3">
      <c r="A59" s="1522"/>
      <c r="B59" s="1534" t="s">
        <v>76</v>
      </c>
      <c r="C59" s="1538"/>
      <c r="D59" s="1535"/>
      <c r="E59" s="1535"/>
      <c r="F59" s="1535"/>
      <c r="G59" s="1535"/>
      <c r="H59" s="1535"/>
      <c r="I59" s="1535"/>
      <c r="J59" s="1535"/>
      <c r="K59" s="1535"/>
      <c r="L59" s="1514"/>
      <c r="M59" s="1514"/>
      <c r="N59" s="1514"/>
      <c r="O59" s="1514"/>
      <c r="P59" s="1514"/>
      <c r="Q59" s="1514"/>
      <c r="R59" s="1514"/>
      <c r="S59" s="1514"/>
      <c r="T59" s="1514"/>
      <c r="U59" s="1514"/>
      <c r="V59" s="1514"/>
      <c r="W59" s="1514"/>
      <c r="X59" s="1514"/>
      <c r="Y59" s="1514"/>
      <c r="Z59" s="1514"/>
      <c r="AA59" s="1514"/>
      <c r="AB59" s="1514"/>
      <c r="AC59" s="1514"/>
      <c r="AD59" s="1514"/>
    </row>
    <row r="60" spans="1:30" ht="13.5" customHeight="1" x14ac:dyDescent="0.3">
      <c r="A60" s="1522"/>
      <c r="B60" s="143" t="s">
        <v>363</v>
      </c>
      <c r="C60" s="1538"/>
      <c r="D60" s="1535"/>
      <c r="E60" s="1535"/>
      <c r="F60" s="1535"/>
      <c r="G60" s="1535"/>
      <c r="H60" s="1535"/>
      <c r="I60" s="1535"/>
      <c r="J60" s="1535"/>
      <c r="K60" s="1535"/>
      <c r="L60" s="1514"/>
      <c r="M60" s="1514"/>
      <c r="N60" s="1514"/>
      <c r="O60" s="1514"/>
      <c r="P60" s="1514"/>
      <c r="Q60" s="1514"/>
      <c r="R60" s="1514"/>
      <c r="S60" s="1514"/>
      <c r="T60" s="1514"/>
      <c r="U60" s="1514"/>
      <c r="V60" s="1514"/>
      <c r="W60" s="1514"/>
      <c r="X60" s="1514"/>
      <c r="Y60" s="1514"/>
      <c r="Z60" s="1514"/>
      <c r="AA60" s="1514"/>
      <c r="AB60" s="1514"/>
      <c r="AC60" s="1514"/>
      <c r="AD60" s="1514"/>
    </row>
    <row r="61" spans="1:30" ht="15.75" customHeight="1" thickBot="1" x14ac:dyDescent="0.35">
      <c r="A61" s="1522" t="s">
        <v>370</v>
      </c>
      <c r="B61" s="1534"/>
      <c r="C61" s="1538"/>
      <c r="D61" s="1535"/>
      <c r="E61" s="1535"/>
      <c r="F61" s="1630"/>
      <c r="G61" s="1535"/>
      <c r="H61" s="1535"/>
      <c r="I61" s="1535"/>
      <c r="J61" s="1535"/>
      <c r="K61" s="1514"/>
      <c r="L61" s="1514"/>
      <c r="M61" s="1514"/>
      <c r="N61" s="1514"/>
      <c r="O61" s="1514"/>
      <c r="P61" s="1514"/>
      <c r="Q61" s="1514"/>
      <c r="R61" s="1514"/>
      <c r="S61" s="1514"/>
      <c r="T61" s="1514"/>
      <c r="U61" s="1514"/>
      <c r="V61" s="1514"/>
      <c r="W61" s="1514"/>
      <c r="X61" s="1514"/>
      <c r="Y61" s="1514"/>
      <c r="Z61" s="1514"/>
      <c r="AA61" s="1514"/>
      <c r="AB61" s="1514"/>
      <c r="AC61" s="1514"/>
      <c r="AD61" s="1514"/>
    </row>
    <row r="62" spans="1:30" ht="26.25" customHeight="1" thickBot="1" x14ac:dyDescent="0.35">
      <c r="A62" s="1522"/>
      <c r="B62" s="2456" t="s">
        <v>79</v>
      </c>
      <c r="C62" s="2457"/>
      <c r="D62" s="2460" t="s">
        <v>23</v>
      </c>
      <c r="E62" s="2461"/>
      <c r="F62" s="2462"/>
      <c r="G62" s="1631"/>
      <c r="H62" s="1631"/>
      <c r="I62" s="2388" t="s">
        <v>24</v>
      </c>
      <c r="J62" s="2389"/>
      <c r="K62" s="2390"/>
      <c r="L62" s="2419" t="s">
        <v>461</v>
      </c>
      <c r="M62" s="1514"/>
      <c r="N62" s="1514"/>
      <c r="O62" s="1514"/>
      <c r="P62" s="1514"/>
      <c r="Q62" s="1514"/>
      <c r="R62" s="1514"/>
      <c r="S62" s="1514"/>
      <c r="T62" s="1514"/>
      <c r="U62" s="1514"/>
      <c r="V62" s="1514"/>
      <c r="W62" s="1514"/>
      <c r="X62" s="1514"/>
      <c r="Y62" s="1514"/>
      <c r="Z62" s="1514"/>
      <c r="AA62" s="1514"/>
      <c r="AB62" s="1514"/>
      <c r="AC62" s="1514"/>
      <c r="AD62" s="1514"/>
    </row>
    <row r="63" spans="1:30" ht="15.75" customHeight="1" thickBot="1" x14ac:dyDescent="0.35">
      <c r="A63" s="1522"/>
      <c r="B63" s="2458"/>
      <c r="C63" s="2459"/>
      <c r="D63" s="1632" t="s">
        <v>81</v>
      </c>
      <c r="E63" s="1633" t="s">
        <v>27</v>
      </c>
      <c r="F63" s="1634" t="s">
        <v>28</v>
      </c>
      <c r="G63" s="1631"/>
      <c r="H63" s="1631"/>
      <c r="I63" s="2391"/>
      <c r="J63" s="2392"/>
      <c r="K63" s="2393"/>
      <c r="L63" s="2420"/>
      <c r="M63" s="1514"/>
      <c r="N63" s="1514"/>
      <c r="O63" s="1514"/>
      <c r="P63" s="1514"/>
      <c r="Q63" s="1514"/>
      <c r="R63" s="1514"/>
      <c r="S63" s="1514"/>
      <c r="T63" s="1514"/>
      <c r="U63" s="1514"/>
      <c r="V63" s="1514"/>
      <c r="W63" s="1514"/>
      <c r="X63" s="1514"/>
      <c r="Y63" s="1514"/>
      <c r="Z63" s="1514"/>
      <c r="AA63" s="1514"/>
      <c r="AB63" s="1514"/>
      <c r="AC63" s="1514"/>
      <c r="AD63" s="1514"/>
    </row>
    <row r="64" spans="1:30" ht="31.5" customHeight="1" thickBot="1" x14ac:dyDescent="0.35">
      <c r="A64" s="1522"/>
      <c r="B64" s="2463" t="s">
        <v>77</v>
      </c>
      <c r="C64" s="2464"/>
      <c r="D64" s="1635">
        <f>SUM(D65:D85)</f>
        <v>4377355</v>
      </c>
      <c r="E64" s="1557">
        <f>IF(D64&lt;&gt;0,F64*1000/D64,"")</f>
        <v>0.55739522688701282</v>
      </c>
      <c r="F64" s="1636">
        <f>SUM(F65:F85)</f>
        <v>2439.9167833900001</v>
      </c>
      <c r="G64" s="1631"/>
      <c r="H64" s="1631"/>
      <c r="I64" s="2465"/>
      <c r="J64" s="2466"/>
      <c r="K64" s="2467"/>
      <c r="L64" s="1560" t="str">
        <f t="shared" ref="L64:L122" si="3">IF(OR(D64&lt;0,G64&lt;0),"Error - negative number",IF(G64&gt;D64,"Offices only &gt; Total Estate",IF(AND(D64&gt;0,E64=""),"Please enter CO2e factor","")))</f>
        <v/>
      </c>
      <c r="M64" s="1514"/>
      <c r="N64" s="1514"/>
      <c r="O64" s="2484" t="str">
        <f>B64</f>
        <v>TOTAL DOMESTIC FROM FLEET (i.e. vehicles owned or leased by the department) (Scope 1)</v>
      </c>
      <c r="P64" s="2485"/>
      <c r="Q64" s="2485"/>
      <c r="R64" s="2485"/>
      <c r="S64" s="2485"/>
      <c r="T64" s="2485"/>
      <c r="U64" s="2485"/>
      <c r="V64" s="2485"/>
      <c r="W64" s="2486"/>
      <c r="X64" s="2405" t="s">
        <v>381</v>
      </c>
      <c r="Y64" s="2407"/>
      <c r="Z64" s="2419" t="s">
        <v>461</v>
      </c>
      <c r="AA64" s="1514"/>
      <c r="AB64" s="1514"/>
      <c r="AC64" s="1514"/>
      <c r="AD64" s="1514"/>
    </row>
    <row r="65" spans="1:30" ht="15" customHeight="1" x14ac:dyDescent="0.3">
      <c r="A65" s="1522" t="s">
        <v>370</v>
      </c>
      <c r="B65" s="2488" t="s">
        <v>84</v>
      </c>
      <c r="C65" s="1637" t="s">
        <v>85</v>
      </c>
      <c r="D65" s="1567">
        <v>8973</v>
      </c>
      <c r="E65" s="1638">
        <f>+'Emission Factors'!J48</f>
        <v>0.15565000000000001</v>
      </c>
      <c r="F65" s="1604">
        <f>(D65*E65)/1000</f>
        <v>1.3966474500000001</v>
      </c>
      <c r="G65" s="1631"/>
      <c r="H65" s="1631"/>
      <c r="I65" s="2491"/>
      <c r="J65" s="2492"/>
      <c r="K65" s="2493"/>
      <c r="L65" s="1572" t="str">
        <f t="shared" si="3"/>
        <v/>
      </c>
      <c r="M65" s="1514"/>
      <c r="N65" s="1514"/>
      <c r="O65" s="1639"/>
      <c r="P65" s="1640"/>
      <c r="Q65" s="2494" t="s">
        <v>78</v>
      </c>
      <c r="R65" s="2494" t="s">
        <v>80</v>
      </c>
      <c r="S65" s="2497" t="s">
        <v>27</v>
      </c>
      <c r="T65" s="2500" t="s">
        <v>374</v>
      </c>
      <c r="U65" s="2502" t="s">
        <v>24</v>
      </c>
      <c r="V65" s="2503"/>
      <c r="W65" s="2504"/>
      <c r="X65" s="2523" t="s">
        <v>27</v>
      </c>
      <c r="Y65" s="2526" t="s">
        <v>374</v>
      </c>
      <c r="Z65" s="2487"/>
      <c r="AA65" s="1514"/>
      <c r="AB65" s="1514"/>
      <c r="AC65" s="1514"/>
      <c r="AD65" s="1514"/>
    </row>
    <row r="66" spans="1:30" ht="15" customHeight="1" thickBot="1" x14ac:dyDescent="0.35">
      <c r="A66" s="1522" t="s">
        <v>370</v>
      </c>
      <c r="B66" s="2489"/>
      <c r="C66" s="1641" t="s">
        <v>87</v>
      </c>
      <c r="D66" s="1567"/>
      <c r="E66" s="1638">
        <f>+'Emission Factors'!J49</f>
        <v>0.19386</v>
      </c>
      <c r="F66" s="1608">
        <f t="shared" ref="F66:F85" si="4">(D66*E66)/1000</f>
        <v>0</v>
      </c>
      <c r="G66" s="1631"/>
      <c r="H66" s="1631"/>
      <c r="I66" s="2511"/>
      <c r="J66" s="2512"/>
      <c r="K66" s="2513"/>
      <c r="L66" s="1581" t="str">
        <f t="shared" si="3"/>
        <v/>
      </c>
      <c r="M66" s="1514"/>
      <c r="N66" s="1514"/>
      <c r="O66" s="1642"/>
      <c r="P66" s="1643"/>
      <c r="Q66" s="2495"/>
      <c r="R66" s="2495"/>
      <c r="S66" s="2498"/>
      <c r="T66" s="2501"/>
      <c r="U66" s="2505"/>
      <c r="V66" s="2506"/>
      <c r="W66" s="2507"/>
      <c r="X66" s="2524"/>
      <c r="Y66" s="2527"/>
      <c r="Z66" s="2487"/>
      <c r="AA66" s="1514"/>
      <c r="AB66" s="1514"/>
      <c r="AC66" s="1514"/>
      <c r="AD66" s="1514"/>
    </row>
    <row r="67" spans="1:30" ht="15" customHeight="1" thickBot="1" x14ac:dyDescent="0.35">
      <c r="A67" s="1522" t="s">
        <v>370</v>
      </c>
      <c r="B67" s="2489"/>
      <c r="C67" s="1641" t="s">
        <v>89</v>
      </c>
      <c r="D67" s="1567"/>
      <c r="E67" s="1638">
        <f>+'Emission Factors'!J50</f>
        <v>0.28410999999999997</v>
      </c>
      <c r="F67" s="1608">
        <f t="shared" si="4"/>
        <v>0</v>
      </c>
      <c r="G67" s="1631"/>
      <c r="H67" s="1631"/>
      <c r="I67" s="2511"/>
      <c r="J67" s="2512"/>
      <c r="K67" s="2513"/>
      <c r="L67" s="1581" t="str">
        <f t="shared" si="3"/>
        <v/>
      </c>
      <c r="M67" s="1514"/>
      <c r="N67" s="1514"/>
      <c r="O67" s="1644"/>
      <c r="P67" s="1645"/>
      <c r="Q67" s="2496"/>
      <c r="R67" s="2496"/>
      <c r="S67" s="2499"/>
      <c r="T67" s="1636">
        <f>SUM(T68:T74)</f>
        <v>1056.9531887399999</v>
      </c>
      <c r="U67" s="2508"/>
      <c r="V67" s="2509"/>
      <c r="W67" s="2510"/>
      <c r="X67" s="2525"/>
      <c r="Y67" s="1636">
        <f>SUM(Y68:Y74)</f>
        <v>23066.581200000001</v>
      </c>
      <c r="Z67" s="2420"/>
      <c r="AA67" s="1514"/>
      <c r="AB67" s="1514"/>
      <c r="AC67" s="1514"/>
      <c r="AD67" s="1514"/>
    </row>
    <row r="68" spans="1:30" ht="15" customHeight="1" x14ac:dyDescent="0.3">
      <c r="A68" s="1522" t="s">
        <v>370</v>
      </c>
      <c r="B68" s="2489"/>
      <c r="C68" s="1641" t="s">
        <v>91</v>
      </c>
      <c r="D68" s="1567"/>
      <c r="E68" s="1638">
        <f>+'Emission Factors'!J51</f>
        <v>0.18368000000000001</v>
      </c>
      <c r="F68" s="1608">
        <f t="shared" si="4"/>
        <v>0</v>
      </c>
      <c r="G68" s="1631"/>
      <c r="H68" s="1631"/>
      <c r="I68" s="2511"/>
      <c r="J68" s="2512"/>
      <c r="K68" s="2513"/>
      <c r="L68" s="1581" t="str">
        <f t="shared" si="3"/>
        <v/>
      </c>
      <c r="M68" s="1514"/>
      <c r="N68" s="1514"/>
      <c r="O68" s="1646" t="s">
        <v>82</v>
      </c>
      <c r="P68" s="1647"/>
      <c r="Q68" s="1648" t="s">
        <v>83</v>
      </c>
      <c r="R68" s="1649">
        <v>2600</v>
      </c>
      <c r="S68" s="1650">
        <f>+'Emission Factors'!J36</f>
        <v>2.2030699999999999</v>
      </c>
      <c r="T68" s="1651">
        <f t="shared" ref="T68:T74" si="5">(R68*S68)/1000</f>
        <v>5.7279819999999999</v>
      </c>
      <c r="U68" s="2528" t="s">
        <v>539</v>
      </c>
      <c r="V68" s="2529"/>
      <c r="W68" s="2530"/>
      <c r="X68" s="1652">
        <f>+'Emission Factors'!J42</f>
        <v>6.8000000000000005E-2</v>
      </c>
      <c r="Y68" s="1653">
        <f t="shared" ref="Y68:Y74" si="6">+X68*R68</f>
        <v>176.8</v>
      </c>
      <c r="Z68" s="1606" t="str">
        <f t="shared" ref="Z68:Z74" si="7">IF(R68&lt;0,"Error - negative number","")</f>
        <v/>
      </c>
      <c r="AA68" s="1514"/>
      <c r="AB68" s="1514"/>
      <c r="AC68" s="1514"/>
      <c r="AD68" s="1514"/>
    </row>
    <row r="69" spans="1:30" ht="15" customHeight="1" thickBot="1" x14ac:dyDescent="0.35">
      <c r="A69" s="1522" t="s">
        <v>370</v>
      </c>
      <c r="B69" s="2489"/>
      <c r="C69" s="1641" t="s">
        <v>94</v>
      </c>
      <c r="D69" s="1567">
        <v>1261201</v>
      </c>
      <c r="E69" s="1638">
        <f>+'Emission Factors'!J52</f>
        <v>0.14532999999999999</v>
      </c>
      <c r="F69" s="1608">
        <f t="shared" si="4"/>
        <v>183.29034132999999</v>
      </c>
      <c r="G69" s="1631"/>
      <c r="H69" s="1631"/>
      <c r="I69" s="2511"/>
      <c r="J69" s="2512"/>
      <c r="K69" s="2513"/>
      <c r="L69" s="1581" t="str">
        <f t="shared" si="3"/>
        <v/>
      </c>
      <c r="M69" s="1514"/>
      <c r="N69" s="1514"/>
      <c r="O69" s="1654" t="s">
        <v>86</v>
      </c>
      <c r="P69" s="1655"/>
      <c r="Q69" s="1656" t="s">
        <v>83</v>
      </c>
      <c r="R69" s="1657"/>
      <c r="S69" s="1658">
        <f>+'Emission Factors'!J37</f>
        <v>2.30531</v>
      </c>
      <c r="T69" s="1659">
        <f t="shared" si="5"/>
        <v>0</v>
      </c>
      <c r="U69" s="2514"/>
      <c r="V69" s="2515"/>
      <c r="W69" s="2516"/>
      <c r="X69" s="1658">
        <f>+'Emission Factors'!J43</f>
        <v>0</v>
      </c>
      <c r="Y69" s="1660">
        <f t="shared" si="6"/>
        <v>0</v>
      </c>
      <c r="Z69" s="1581" t="str">
        <f t="shared" si="7"/>
        <v/>
      </c>
      <c r="AA69" s="1514"/>
      <c r="AB69" s="1514"/>
      <c r="AC69" s="1514"/>
      <c r="AD69" s="1514"/>
    </row>
    <row r="70" spans="1:30" ht="15" customHeight="1" x14ac:dyDescent="0.3">
      <c r="A70" s="1522" t="s">
        <v>370</v>
      </c>
      <c r="B70" s="2489"/>
      <c r="C70" s="1641" t="s">
        <v>96</v>
      </c>
      <c r="D70" s="1567">
        <v>261047</v>
      </c>
      <c r="E70" s="1638">
        <f>+'Emission Factors'!J53</f>
        <v>0.17352999999999999</v>
      </c>
      <c r="F70" s="1608">
        <f t="shared" si="4"/>
        <v>45.299485909999994</v>
      </c>
      <c r="G70" s="1631"/>
      <c r="H70" s="1631"/>
      <c r="I70" s="2511"/>
      <c r="J70" s="2512"/>
      <c r="K70" s="2513"/>
      <c r="L70" s="1581" t="str">
        <f t="shared" si="3"/>
        <v/>
      </c>
      <c r="M70" s="1514"/>
      <c r="N70" s="1514"/>
      <c r="O70" s="1654" t="s">
        <v>88</v>
      </c>
      <c r="P70" s="1655"/>
      <c r="Q70" s="1656" t="s">
        <v>83</v>
      </c>
      <c r="R70" s="1649">
        <v>400171</v>
      </c>
      <c r="S70" s="1658">
        <f>+'Emission Factors'!J38</f>
        <v>2.6269399999999998</v>
      </c>
      <c r="T70" s="1659">
        <f t="shared" si="5"/>
        <v>1051.2252067399997</v>
      </c>
      <c r="U70" s="2517" t="s">
        <v>539</v>
      </c>
      <c r="V70" s="2518"/>
      <c r="W70" s="2519"/>
      <c r="X70" s="1658">
        <f>+'Emission Factors'!J44</f>
        <v>5.7200000000000001E-2</v>
      </c>
      <c r="Y70" s="1660">
        <f t="shared" si="6"/>
        <v>22889.781200000001</v>
      </c>
      <c r="Z70" s="1581" t="str">
        <f t="shared" si="7"/>
        <v/>
      </c>
      <c r="AA70" s="1514"/>
      <c r="AB70" s="1514"/>
      <c r="AC70" s="1514"/>
      <c r="AD70" s="1514"/>
    </row>
    <row r="71" spans="1:30" ht="15" customHeight="1" x14ac:dyDescent="0.3">
      <c r="A71" s="1522" t="s">
        <v>370</v>
      </c>
      <c r="B71" s="2489"/>
      <c r="C71" s="1641" t="s">
        <v>97</v>
      </c>
      <c r="D71" s="1567">
        <v>13825</v>
      </c>
      <c r="E71" s="1638">
        <f>+'Emission Factors'!J54</f>
        <v>0.2152</v>
      </c>
      <c r="F71" s="1608">
        <f t="shared" si="4"/>
        <v>2.9751399999999997</v>
      </c>
      <c r="G71" s="1631"/>
      <c r="H71" s="1631"/>
      <c r="I71" s="2511"/>
      <c r="J71" s="2512"/>
      <c r="K71" s="2513"/>
      <c r="L71" s="1581" t="str">
        <f t="shared" si="3"/>
        <v/>
      </c>
      <c r="M71" s="1514"/>
      <c r="N71" s="1514"/>
      <c r="O71" s="1654" t="s">
        <v>90</v>
      </c>
      <c r="P71" s="1655"/>
      <c r="Q71" s="1656" t="s">
        <v>83</v>
      </c>
      <c r="R71" s="1657"/>
      <c r="S71" s="1658">
        <f>+'Emission Factors'!J39</f>
        <v>2.6877900000000001</v>
      </c>
      <c r="T71" s="1659">
        <f t="shared" si="5"/>
        <v>0</v>
      </c>
      <c r="U71" s="2520"/>
      <c r="V71" s="2521"/>
      <c r="W71" s="2522"/>
      <c r="X71" s="1658">
        <f>+'Emission Factors'!J45</f>
        <v>0</v>
      </c>
      <c r="Y71" s="1660">
        <f t="shared" si="6"/>
        <v>0</v>
      </c>
      <c r="Z71" s="1581" t="str">
        <f t="shared" si="7"/>
        <v/>
      </c>
      <c r="AA71" s="1514"/>
      <c r="AB71" s="1514"/>
      <c r="AC71" s="1514"/>
      <c r="AD71" s="1514"/>
    </row>
    <row r="72" spans="1:30" ht="15" customHeight="1" x14ac:dyDescent="0.3">
      <c r="A72" s="1522" t="s">
        <v>370</v>
      </c>
      <c r="B72" s="2489"/>
      <c r="C72" s="1641" t="s">
        <v>98</v>
      </c>
      <c r="D72" s="1567"/>
      <c r="E72" s="1638">
        <f>+'Emission Factors'!J55</f>
        <v>0.17752999999999999</v>
      </c>
      <c r="F72" s="1608">
        <f t="shared" si="4"/>
        <v>0</v>
      </c>
      <c r="G72" s="1631"/>
      <c r="H72" s="1631"/>
      <c r="I72" s="2511"/>
      <c r="J72" s="2512"/>
      <c r="K72" s="2513"/>
      <c r="L72" s="1581" t="str">
        <f t="shared" si="3"/>
        <v/>
      </c>
      <c r="M72" s="1514"/>
      <c r="N72" s="1514"/>
      <c r="O72" s="1654" t="s">
        <v>92</v>
      </c>
      <c r="P72" s="1655"/>
      <c r="Q72" s="1656" t="s">
        <v>93</v>
      </c>
      <c r="R72" s="1657"/>
      <c r="S72" s="1658">
        <f>+'Emission Factors'!J40</f>
        <v>2.7466300000000001</v>
      </c>
      <c r="T72" s="1659">
        <f t="shared" si="5"/>
        <v>0</v>
      </c>
      <c r="U72" s="2520"/>
      <c r="V72" s="2521"/>
      <c r="W72" s="2522"/>
      <c r="X72" s="1658">
        <f>+'Emission Factors'!J46</f>
        <v>0</v>
      </c>
      <c r="Y72" s="1660">
        <f t="shared" si="6"/>
        <v>0</v>
      </c>
      <c r="Z72" s="1581" t="str">
        <f t="shared" si="7"/>
        <v/>
      </c>
      <c r="AA72" s="1514"/>
      <c r="AB72" s="1514"/>
      <c r="AC72" s="1514"/>
      <c r="AD72" s="1514"/>
    </row>
    <row r="73" spans="1:30" ht="15" customHeight="1" x14ac:dyDescent="0.3">
      <c r="A73" s="1522" t="s">
        <v>370</v>
      </c>
      <c r="B73" s="2489"/>
      <c r="C73" s="1641" t="s">
        <v>99</v>
      </c>
      <c r="D73" s="1567">
        <v>52212</v>
      </c>
      <c r="E73" s="1638">
        <f>+'Emission Factors'!J56</f>
        <v>0.11538000000000001</v>
      </c>
      <c r="F73" s="1608">
        <f t="shared" si="4"/>
        <v>6.0242205600000007</v>
      </c>
      <c r="G73" s="1631"/>
      <c r="H73" s="1631"/>
      <c r="I73" s="2511"/>
      <c r="J73" s="2512"/>
      <c r="K73" s="2513"/>
      <c r="L73" s="1581" t="str">
        <f t="shared" si="3"/>
        <v/>
      </c>
      <c r="M73" s="1514"/>
      <c r="N73" s="1514"/>
      <c r="O73" s="1654" t="s">
        <v>95</v>
      </c>
      <c r="P73" s="1655"/>
      <c r="Q73" s="1656" t="s">
        <v>83</v>
      </c>
      <c r="R73" s="1657"/>
      <c r="S73" s="1658">
        <f>+'Emission Factors'!J41</f>
        <v>1.5190600000000001</v>
      </c>
      <c r="T73" s="1659">
        <f t="shared" si="5"/>
        <v>0</v>
      </c>
      <c r="U73" s="2520"/>
      <c r="V73" s="2521"/>
      <c r="W73" s="2522"/>
      <c r="X73" s="1658">
        <f>+'Emission Factors'!J47</f>
        <v>0</v>
      </c>
      <c r="Y73" s="1660">
        <f t="shared" si="6"/>
        <v>0</v>
      </c>
      <c r="Z73" s="1581" t="str">
        <f t="shared" si="7"/>
        <v/>
      </c>
      <c r="AA73" s="1514"/>
      <c r="AB73" s="1514"/>
      <c r="AC73" s="1514"/>
      <c r="AD73" s="1514"/>
    </row>
    <row r="74" spans="1:30" ht="15" customHeight="1" thickBot="1" x14ac:dyDescent="0.35">
      <c r="A74" s="1522" t="s">
        <v>370</v>
      </c>
      <c r="B74" s="2489"/>
      <c r="C74" s="1641" t="s">
        <v>100</v>
      </c>
      <c r="D74" s="1567"/>
      <c r="E74" s="1638">
        <f>+'Emission Factors'!J57</f>
        <v>0.16133999999999998</v>
      </c>
      <c r="F74" s="1608">
        <f t="shared" si="4"/>
        <v>0</v>
      </c>
      <c r="G74" s="1631"/>
      <c r="H74" s="1631"/>
      <c r="I74" s="2511"/>
      <c r="J74" s="2512"/>
      <c r="K74" s="2513"/>
      <c r="L74" s="1581" t="str">
        <f t="shared" si="3"/>
        <v/>
      </c>
      <c r="M74" s="1514"/>
      <c r="N74" s="1514"/>
      <c r="O74" s="1661" t="s">
        <v>409</v>
      </c>
      <c r="P74" s="1662"/>
      <c r="Q74" s="1663"/>
      <c r="R74" s="1664"/>
      <c r="S74" s="1665"/>
      <c r="T74" s="1666">
        <f t="shared" si="5"/>
        <v>0</v>
      </c>
      <c r="U74" s="2533"/>
      <c r="V74" s="2534"/>
      <c r="W74" s="2535"/>
      <c r="X74" s="1665"/>
      <c r="Y74" s="1667">
        <f t="shared" si="6"/>
        <v>0</v>
      </c>
      <c r="Z74" s="1618" t="str">
        <f t="shared" si="7"/>
        <v/>
      </c>
      <c r="AA74" s="1514"/>
      <c r="AB74" s="1514"/>
      <c r="AC74" s="1514"/>
      <c r="AD74" s="1514"/>
    </row>
    <row r="75" spans="1:30" ht="15" customHeight="1" x14ac:dyDescent="0.3">
      <c r="A75" s="1522" t="s">
        <v>370</v>
      </c>
      <c r="B75" s="2489"/>
      <c r="C75" s="1641" t="s">
        <v>529</v>
      </c>
      <c r="D75" s="1567"/>
      <c r="E75" s="1638">
        <f>+'Emission Factors'!J58</f>
        <v>0.20021999999999998</v>
      </c>
      <c r="F75" s="1608">
        <f t="shared" si="4"/>
        <v>0</v>
      </c>
      <c r="G75" s="1631"/>
      <c r="H75" s="1631"/>
      <c r="I75" s="2511"/>
      <c r="J75" s="2512"/>
      <c r="K75" s="2513"/>
      <c r="L75" s="1581" t="str">
        <f t="shared" si="3"/>
        <v/>
      </c>
      <c r="M75" s="1514"/>
      <c r="N75" s="1514"/>
      <c r="O75" s="2531" t="s">
        <v>367</v>
      </c>
      <c r="P75" s="2531"/>
      <c r="Q75" s="2531"/>
      <c r="R75" s="2531"/>
      <c r="S75" s="2531"/>
      <c r="T75" s="2531"/>
      <c r="U75" s="2531"/>
      <c r="V75" s="2531"/>
      <c r="W75" s="2531"/>
      <c r="X75" s="1514"/>
      <c r="Y75" s="1514"/>
      <c r="Z75" s="1514"/>
      <c r="AA75" s="1514"/>
      <c r="AB75" s="1514"/>
      <c r="AC75" s="1514"/>
      <c r="AD75" s="1514"/>
    </row>
    <row r="76" spans="1:30" ht="15" customHeight="1" x14ac:dyDescent="0.3">
      <c r="A76" s="1522" t="s">
        <v>370</v>
      </c>
      <c r="B76" s="2489"/>
      <c r="C76" s="1641" t="s">
        <v>102</v>
      </c>
      <c r="D76" s="1567">
        <v>70014</v>
      </c>
      <c r="E76" s="1638">
        <f>+'Emission Factors'!J59</f>
        <v>0.18064</v>
      </c>
      <c r="F76" s="1608">
        <f t="shared" si="4"/>
        <v>12.647328959999999</v>
      </c>
      <c r="G76" s="1631"/>
      <c r="H76" s="1631"/>
      <c r="I76" s="2511"/>
      <c r="J76" s="2512"/>
      <c r="K76" s="2513"/>
      <c r="L76" s="1581" t="str">
        <f t="shared" si="3"/>
        <v/>
      </c>
      <c r="M76" s="1514"/>
      <c r="N76" s="1514"/>
      <c r="O76" s="2532"/>
      <c r="P76" s="2532"/>
      <c r="Q76" s="2532"/>
      <c r="R76" s="2532"/>
      <c r="S76" s="2532"/>
      <c r="T76" s="2532"/>
      <c r="U76" s="2532"/>
      <c r="V76" s="2532"/>
      <c r="W76" s="2532"/>
      <c r="X76" s="1514"/>
      <c r="Y76" s="1514"/>
      <c r="Z76" s="1514"/>
      <c r="AA76" s="1514"/>
      <c r="AB76" s="1514"/>
      <c r="AC76" s="1514"/>
      <c r="AD76" s="1514"/>
    </row>
    <row r="77" spans="1:30" ht="15" customHeight="1" x14ac:dyDescent="0.3">
      <c r="A77" s="1522" t="s">
        <v>370</v>
      </c>
      <c r="B77" s="2489"/>
      <c r="C77" s="1641" t="s">
        <v>103</v>
      </c>
      <c r="D77" s="1567"/>
      <c r="E77" s="1638">
        <f>+'Emission Factors'!J60</f>
        <v>8.4629999999999997E-2</v>
      </c>
      <c r="F77" s="1608">
        <f t="shared" si="4"/>
        <v>0</v>
      </c>
      <c r="G77" s="1631"/>
      <c r="H77" s="1631"/>
      <c r="I77" s="2511"/>
      <c r="J77" s="2512"/>
      <c r="K77" s="2513"/>
      <c r="L77" s="1581" t="str">
        <f t="shared" si="3"/>
        <v/>
      </c>
      <c r="M77" s="1514"/>
      <c r="N77" s="1514"/>
      <c r="O77" s="2532"/>
      <c r="P77" s="2532"/>
      <c r="Q77" s="2532"/>
      <c r="R77" s="2532"/>
      <c r="S77" s="2532"/>
      <c r="T77" s="2532"/>
      <c r="U77" s="2532"/>
      <c r="V77" s="2532"/>
      <c r="W77" s="2532"/>
      <c r="X77" s="1514"/>
      <c r="Y77" s="1514"/>
      <c r="Z77" s="1514"/>
      <c r="AA77" s="1514"/>
      <c r="AB77" s="1514"/>
      <c r="AC77" s="1514"/>
      <c r="AD77" s="1514"/>
    </row>
    <row r="78" spans="1:30" ht="15" customHeight="1" x14ac:dyDescent="0.3">
      <c r="A78" s="1522" t="s">
        <v>370</v>
      </c>
      <c r="B78" s="2489"/>
      <c r="C78" s="1641" t="s">
        <v>104</v>
      </c>
      <c r="D78" s="1567"/>
      <c r="E78" s="1638">
        <f>+'Emission Factors'!J61</f>
        <v>0.10310000000000001</v>
      </c>
      <c r="F78" s="1608">
        <f t="shared" si="4"/>
        <v>0</v>
      </c>
      <c r="G78" s="1631"/>
      <c r="H78" s="1631"/>
      <c r="I78" s="2511"/>
      <c r="J78" s="2512"/>
      <c r="K78" s="2513"/>
      <c r="L78" s="1581" t="str">
        <f t="shared" si="3"/>
        <v/>
      </c>
      <c r="M78" s="1514"/>
      <c r="N78" s="1514"/>
      <c r="O78" s="2532"/>
      <c r="P78" s="2532"/>
      <c r="Q78" s="2532"/>
      <c r="R78" s="2532"/>
      <c r="S78" s="2532"/>
      <c r="T78" s="2532"/>
      <c r="U78" s="2532"/>
      <c r="V78" s="2532"/>
      <c r="W78" s="2532"/>
      <c r="X78" s="1514"/>
      <c r="Y78" s="1514"/>
      <c r="Z78" s="1514"/>
      <c r="AA78" s="1514"/>
      <c r="AB78" s="1514"/>
      <c r="AC78" s="1514"/>
      <c r="AD78" s="1514"/>
    </row>
    <row r="79" spans="1:30" ht="15" customHeight="1" x14ac:dyDescent="0.3">
      <c r="A79" s="1522" t="s">
        <v>370</v>
      </c>
      <c r="B79" s="2489"/>
      <c r="C79" s="1641" t="s">
        <v>105</v>
      </c>
      <c r="D79" s="1567"/>
      <c r="E79" s="1638">
        <f>+'Emission Factors'!J62</f>
        <v>0.13528000000000001</v>
      </c>
      <c r="F79" s="1608">
        <f t="shared" si="4"/>
        <v>0</v>
      </c>
      <c r="G79" s="1631"/>
      <c r="H79" s="1631"/>
      <c r="I79" s="2511"/>
      <c r="J79" s="2512"/>
      <c r="K79" s="2513"/>
      <c r="L79" s="1581" t="str">
        <f t="shared" si="3"/>
        <v/>
      </c>
      <c r="M79" s="1514"/>
      <c r="N79" s="1514"/>
      <c r="O79" s="1514"/>
      <c r="P79" s="1514"/>
      <c r="Q79" s="1514"/>
      <c r="R79" s="1514"/>
      <c r="S79" s="1514"/>
      <c r="T79" s="1514"/>
      <c r="U79" s="1514"/>
      <c r="V79" s="1514"/>
      <c r="W79" s="1514"/>
      <c r="X79" s="1514"/>
      <c r="Y79" s="1514"/>
      <c r="Z79" s="1514"/>
      <c r="AA79" s="1514"/>
      <c r="AB79" s="1514"/>
      <c r="AC79" s="1514"/>
      <c r="AD79" s="1514"/>
    </row>
    <row r="80" spans="1:30" ht="15" customHeight="1" x14ac:dyDescent="0.3">
      <c r="A80" s="1522" t="s">
        <v>370</v>
      </c>
      <c r="B80" s="2489"/>
      <c r="C80" s="1641" t="s">
        <v>106</v>
      </c>
      <c r="D80" s="1567"/>
      <c r="E80" s="1638">
        <f>+'Emission Factors'!J63</f>
        <v>0.11528999999999999</v>
      </c>
      <c r="F80" s="1608">
        <f t="shared" si="4"/>
        <v>0</v>
      </c>
      <c r="G80" s="1631"/>
      <c r="H80" s="1631"/>
      <c r="I80" s="2511"/>
      <c r="J80" s="2512"/>
      <c r="K80" s="2513"/>
      <c r="L80" s="1581" t="str">
        <f t="shared" si="3"/>
        <v/>
      </c>
      <c r="M80" s="1514"/>
      <c r="N80" s="1514"/>
      <c r="O80" s="1514"/>
      <c r="P80" s="1514"/>
      <c r="Q80" s="1514"/>
      <c r="R80" s="1514"/>
      <c r="S80" s="1514"/>
      <c r="T80" s="1514"/>
      <c r="U80" s="1514"/>
      <c r="V80" s="1514"/>
      <c r="W80" s="1514"/>
      <c r="X80" s="1514"/>
      <c r="Y80" s="1514"/>
      <c r="Z80" s="1514"/>
      <c r="AA80" s="1514"/>
      <c r="AB80" s="1514"/>
      <c r="AC80" s="1514"/>
      <c r="AD80" s="1514"/>
    </row>
    <row r="81" spans="1:30" ht="15" customHeight="1" x14ac:dyDescent="0.3">
      <c r="A81" s="1522" t="s">
        <v>370</v>
      </c>
      <c r="B81" s="2489"/>
      <c r="C81" s="1566" t="s">
        <v>410</v>
      </c>
      <c r="D81" s="1567">
        <v>2336859</v>
      </c>
      <c r="E81" s="1668">
        <v>0.80745999999999996</v>
      </c>
      <c r="F81" s="1608">
        <f t="shared" si="4"/>
        <v>1886.92016814</v>
      </c>
      <c r="G81" s="1631"/>
      <c r="H81" s="1631"/>
      <c r="I81" s="2511" t="s">
        <v>534</v>
      </c>
      <c r="J81" s="2512"/>
      <c r="K81" s="2513"/>
      <c r="L81" s="1581" t="str">
        <f t="shared" si="3"/>
        <v/>
      </c>
      <c r="M81" s="1514"/>
      <c r="N81" s="1514"/>
      <c r="O81" s="1514"/>
      <c r="P81" s="1514"/>
      <c r="Q81" s="1514"/>
      <c r="R81" s="1514"/>
      <c r="S81" s="1514"/>
      <c r="T81" s="1514"/>
      <c r="U81" s="1514"/>
      <c r="V81" s="1514"/>
      <c r="W81" s="1514"/>
      <c r="X81" s="1514"/>
      <c r="Y81" s="1514"/>
      <c r="Z81" s="1514"/>
      <c r="AA81" s="1514"/>
      <c r="AB81" s="1514"/>
      <c r="AC81" s="1514"/>
      <c r="AD81" s="1514"/>
    </row>
    <row r="82" spans="1:30" ht="15" customHeight="1" x14ac:dyDescent="0.3">
      <c r="A82" s="1522" t="s">
        <v>370</v>
      </c>
      <c r="B82" s="2489"/>
      <c r="C82" s="1566" t="s">
        <v>411</v>
      </c>
      <c r="D82" s="1567">
        <v>373224</v>
      </c>
      <c r="E82" s="1668">
        <v>0.80745999999999996</v>
      </c>
      <c r="F82" s="1608">
        <f t="shared" si="4"/>
        <v>301.36345103999997</v>
      </c>
      <c r="G82" s="1631"/>
      <c r="H82" s="1631"/>
      <c r="I82" s="2511" t="s">
        <v>535</v>
      </c>
      <c r="J82" s="2512"/>
      <c r="K82" s="2513"/>
      <c r="L82" s="1581" t="str">
        <f t="shared" si="3"/>
        <v/>
      </c>
      <c r="M82" s="1514"/>
      <c r="N82" s="1514"/>
      <c r="O82" s="1514"/>
      <c r="P82" s="1514"/>
      <c r="Q82" s="1514"/>
      <c r="R82" s="1514"/>
      <c r="S82" s="1514"/>
      <c r="T82" s="1514"/>
      <c r="U82" s="1514"/>
      <c r="V82" s="1514"/>
      <c r="W82" s="1514"/>
      <c r="X82" s="1514"/>
      <c r="Y82" s="1514"/>
      <c r="Z82" s="1514"/>
      <c r="AA82" s="1514"/>
      <c r="AB82" s="1514"/>
      <c r="AC82" s="1514"/>
      <c r="AD82" s="1514"/>
    </row>
    <row r="83" spans="1:30" ht="15" customHeight="1" x14ac:dyDescent="0.3">
      <c r="A83" s="1522" t="s">
        <v>370</v>
      </c>
      <c r="B83" s="2489"/>
      <c r="C83" s="1566" t="s">
        <v>412</v>
      </c>
      <c r="D83" s="1567"/>
      <c r="E83" s="1668"/>
      <c r="F83" s="1608">
        <f t="shared" si="4"/>
        <v>0</v>
      </c>
      <c r="G83" s="1631"/>
      <c r="H83" s="1631"/>
      <c r="I83" s="2511"/>
      <c r="J83" s="2512"/>
      <c r="K83" s="2513"/>
      <c r="L83" s="1581" t="str">
        <f t="shared" si="3"/>
        <v/>
      </c>
      <c r="M83" s="1514"/>
      <c r="N83" s="1514"/>
      <c r="O83" s="1514"/>
      <c r="P83" s="1514"/>
      <c r="Q83" s="1514"/>
      <c r="R83" s="1514"/>
      <c r="S83" s="1514"/>
      <c r="T83" s="1514"/>
      <c r="U83" s="1514"/>
      <c r="V83" s="1514"/>
      <c r="W83" s="1514"/>
      <c r="X83" s="1514"/>
      <c r="Y83" s="1514"/>
      <c r="Z83" s="1514"/>
      <c r="AA83" s="1514"/>
      <c r="AB83" s="1514"/>
      <c r="AC83" s="1514"/>
      <c r="AD83" s="1514"/>
    </row>
    <row r="84" spans="1:30" ht="15" customHeight="1" x14ac:dyDescent="0.3">
      <c r="A84" s="1522"/>
      <c r="B84" s="2489"/>
      <c r="C84" s="1566" t="s">
        <v>509</v>
      </c>
      <c r="D84" s="1567"/>
      <c r="E84" s="1668"/>
      <c r="F84" s="1608">
        <f t="shared" si="4"/>
        <v>0</v>
      </c>
      <c r="G84" s="1631"/>
      <c r="H84" s="1631"/>
      <c r="I84" s="2511"/>
      <c r="J84" s="2512"/>
      <c r="K84" s="2513"/>
      <c r="L84" s="1581" t="str">
        <f t="shared" si="3"/>
        <v/>
      </c>
      <c r="M84" s="1514"/>
      <c r="N84" s="1514"/>
      <c r="O84" s="1514"/>
      <c r="P84" s="1514"/>
      <c r="Q84" s="1514"/>
      <c r="R84" s="1514"/>
      <c r="S84" s="1514"/>
      <c r="T84" s="1514"/>
      <c r="U84" s="1514"/>
      <c r="V84" s="1514"/>
      <c r="W84" s="1514"/>
      <c r="X84" s="1514"/>
      <c r="Y84" s="1514"/>
      <c r="Z84" s="1514"/>
      <c r="AA84" s="1514"/>
      <c r="AB84" s="1514"/>
      <c r="AC84" s="1514"/>
      <c r="AD84" s="1514"/>
    </row>
    <row r="85" spans="1:30" ht="15" customHeight="1" thickBot="1" x14ac:dyDescent="0.35">
      <c r="A85" s="1522"/>
      <c r="B85" s="2490"/>
      <c r="C85" s="1566" t="s">
        <v>510</v>
      </c>
      <c r="D85" s="1567"/>
      <c r="E85" s="1669"/>
      <c r="F85" s="1608">
        <f t="shared" si="4"/>
        <v>0</v>
      </c>
      <c r="G85" s="1631"/>
      <c r="H85" s="1631"/>
      <c r="I85" s="2511"/>
      <c r="J85" s="2512"/>
      <c r="K85" s="2513"/>
      <c r="L85" s="1581" t="str">
        <f t="shared" si="3"/>
        <v/>
      </c>
      <c r="M85" s="1514"/>
      <c r="N85" s="1514"/>
      <c r="O85" s="1514"/>
      <c r="P85" s="1514"/>
      <c r="Q85" s="1514"/>
      <c r="R85" s="1514"/>
      <c r="S85" s="1514"/>
      <c r="T85" s="1514"/>
      <c r="U85" s="1514"/>
      <c r="V85" s="1514"/>
      <c r="W85" s="1514"/>
      <c r="X85" s="1514"/>
      <c r="Y85" s="1514"/>
      <c r="Z85" s="1514"/>
      <c r="AA85" s="1514"/>
      <c r="AB85" s="1514"/>
      <c r="AC85" s="1514"/>
      <c r="AD85" s="1514"/>
    </row>
    <row r="86" spans="1:30" ht="29.25" customHeight="1" thickBot="1" x14ac:dyDescent="0.35">
      <c r="A86" s="1522"/>
      <c r="B86" s="2463" t="s">
        <v>110</v>
      </c>
      <c r="C86" s="2464"/>
      <c r="D86" s="1635">
        <f>SUM(D87:D107)</f>
        <v>15401114</v>
      </c>
      <c r="E86" s="1670">
        <f>IF(D86&lt;&gt;0,F86*1000/D86,"")</f>
        <v>0.18063999999999997</v>
      </c>
      <c r="F86" s="1636">
        <f>SUM(F87:F107)</f>
        <v>2782.0572329599995</v>
      </c>
      <c r="G86" s="1631"/>
      <c r="H86" s="1631"/>
      <c r="I86" s="2465"/>
      <c r="J86" s="2466"/>
      <c r="K86" s="2467"/>
      <c r="L86" s="1560" t="str">
        <f t="shared" si="3"/>
        <v/>
      </c>
      <c r="M86" s="1514"/>
      <c r="N86" s="1514"/>
      <c r="O86" s="2484" t="str">
        <f>B86</f>
        <v>TOTAL DOMESTIC FROM GREY FLEET/HIRE (i.e. employee owned or hire vehicles) (Scope 3)</v>
      </c>
      <c r="P86" s="2485"/>
      <c r="Q86" s="2485"/>
      <c r="R86" s="2485"/>
      <c r="S86" s="2485"/>
      <c r="T86" s="2485"/>
      <c r="U86" s="2485"/>
      <c r="V86" s="2485"/>
      <c r="W86" s="2486"/>
      <c r="X86" s="2405" t="s">
        <v>381</v>
      </c>
      <c r="Y86" s="2407"/>
      <c r="Z86" s="2419" t="s">
        <v>461</v>
      </c>
      <c r="AA86" s="1514"/>
      <c r="AB86" s="1514"/>
      <c r="AC86" s="1514"/>
      <c r="AD86" s="1514"/>
    </row>
    <row r="87" spans="1:30" ht="15" customHeight="1" x14ac:dyDescent="0.3">
      <c r="A87" s="1522" t="s">
        <v>371</v>
      </c>
      <c r="B87" s="2488" t="s">
        <v>111</v>
      </c>
      <c r="C87" s="1637" t="s">
        <v>85</v>
      </c>
      <c r="D87" s="1567"/>
      <c r="E87" s="1638">
        <f t="shared" ref="E87:E102" si="8">+E65</f>
        <v>0.15565000000000001</v>
      </c>
      <c r="F87" s="1604">
        <f>(D87*E87)/1000</f>
        <v>0</v>
      </c>
      <c r="G87" s="1631"/>
      <c r="H87" s="1631"/>
      <c r="I87" s="2491"/>
      <c r="J87" s="2492"/>
      <c r="K87" s="2493"/>
      <c r="L87" s="1572" t="str">
        <f t="shared" si="3"/>
        <v/>
      </c>
      <c r="M87" s="1514"/>
      <c r="N87" s="1514"/>
      <c r="O87" s="1639"/>
      <c r="P87" s="1640"/>
      <c r="Q87" s="2494" t="s">
        <v>78</v>
      </c>
      <c r="R87" s="2494" t="s">
        <v>80</v>
      </c>
      <c r="S87" s="2497" t="s">
        <v>27</v>
      </c>
      <c r="T87" s="2500" t="s">
        <v>374</v>
      </c>
      <c r="U87" s="2502" t="s">
        <v>24</v>
      </c>
      <c r="V87" s="2503"/>
      <c r="W87" s="2504"/>
      <c r="X87" s="2523" t="s">
        <v>27</v>
      </c>
      <c r="Y87" s="2536" t="s">
        <v>374</v>
      </c>
      <c r="Z87" s="2487"/>
      <c r="AA87" s="1514"/>
      <c r="AB87" s="1514"/>
      <c r="AC87" s="1514"/>
      <c r="AD87" s="1514"/>
    </row>
    <row r="88" spans="1:30" ht="15" customHeight="1" thickBot="1" x14ac:dyDescent="0.35">
      <c r="A88" s="1522" t="s">
        <v>371</v>
      </c>
      <c r="B88" s="2489"/>
      <c r="C88" s="1641" t="s">
        <v>87</v>
      </c>
      <c r="D88" s="1567"/>
      <c r="E88" s="1638">
        <f t="shared" si="8"/>
        <v>0.19386</v>
      </c>
      <c r="F88" s="1608">
        <f t="shared" ref="F88:F107" si="9">(D88*E88)/1000</f>
        <v>0</v>
      </c>
      <c r="G88" s="1631"/>
      <c r="H88" s="1631"/>
      <c r="I88" s="2511"/>
      <c r="J88" s="2512"/>
      <c r="K88" s="2513"/>
      <c r="L88" s="1581" t="str">
        <f t="shared" si="3"/>
        <v/>
      </c>
      <c r="M88" s="1514"/>
      <c r="N88" s="1514"/>
      <c r="O88" s="1642"/>
      <c r="P88" s="1643"/>
      <c r="Q88" s="2495"/>
      <c r="R88" s="2495"/>
      <c r="S88" s="2498"/>
      <c r="T88" s="2501"/>
      <c r="U88" s="2505"/>
      <c r="V88" s="2506"/>
      <c r="W88" s="2507"/>
      <c r="X88" s="2524"/>
      <c r="Y88" s="2537"/>
      <c r="Z88" s="2487"/>
      <c r="AA88" s="1514"/>
      <c r="AB88" s="1514"/>
      <c r="AC88" s="1514"/>
      <c r="AD88" s="1514"/>
    </row>
    <row r="89" spans="1:30" ht="15" customHeight="1" thickBot="1" x14ac:dyDescent="0.35">
      <c r="A89" s="1522" t="s">
        <v>371</v>
      </c>
      <c r="B89" s="2489"/>
      <c r="C89" s="1641" t="s">
        <v>89</v>
      </c>
      <c r="D89" s="1567"/>
      <c r="E89" s="1638">
        <f t="shared" si="8"/>
        <v>0.28410999999999997</v>
      </c>
      <c r="F89" s="1608">
        <f t="shared" si="9"/>
        <v>0</v>
      </c>
      <c r="G89" s="1631"/>
      <c r="H89" s="1631"/>
      <c r="I89" s="2511"/>
      <c r="J89" s="2512"/>
      <c r="K89" s="2513"/>
      <c r="L89" s="1581" t="str">
        <f t="shared" si="3"/>
        <v/>
      </c>
      <c r="M89" s="1514"/>
      <c r="N89" s="1514"/>
      <c r="O89" s="1644"/>
      <c r="P89" s="1645"/>
      <c r="Q89" s="2496"/>
      <c r="R89" s="2496"/>
      <c r="S89" s="2499"/>
      <c r="T89" s="1636">
        <f>SUM(T90:T96)</f>
        <v>0</v>
      </c>
      <c r="U89" s="2508"/>
      <c r="V89" s="2509"/>
      <c r="W89" s="2510"/>
      <c r="X89" s="2525"/>
      <c r="Y89" s="1636">
        <f>SUM(Y90:Y96)</f>
        <v>0</v>
      </c>
      <c r="Z89" s="2420"/>
      <c r="AA89" s="1514"/>
      <c r="AB89" s="1514"/>
      <c r="AC89" s="1514"/>
      <c r="AD89" s="1514"/>
    </row>
    <row r="90" spans="1:30" ht="15" customHeight="1" x14ac:dyDescent="0.3">
      <c r="A90" s="1522" t="s">
        <v>371</v>
      </c>
      <c r="B90" s="2489"/>
      <c r="C90" s="1641" t="s">
        <v>91</v>
      </c>
      <c r="D90" s="1567"/>
      <c r="E90" s="1638">
        <f t="shared" si="8"/>
        <v>0.18368000000000001</v>
      </c>
      <c r="F90" s="1608">
        <f t="shared" si="9"/>
        <v>0</v>
      </c>
      <c r="G90" s="1631"/>
      <c r="H90" s="1631"/>
      <c r="I90" s="2511"/>
      <c r="J90" s="2512"/>
      <c r="K90" s="2513"/>
      <c r="L90" s="1581" t="str">
        <f t="shared" si="3"/>
        <v/>
      </c>
      <c r="M90" s="1514"/>
      <c r="N90" s="1514"/>
      <c r="O90" s="1646" t="s">
        <v>82</v>
      </c>
      <c r="P90" s="1647"/>
      <c r="Q90" s="1648" t="s">
        <v>83</v>
      </c>
      <c r="R90" s="1649"/>
      <c r="S90" s="1650">
        <f>+'Emission Factors'!J36</f>
        <v>2.2030699999999999</v>
      </c>
      <c r="T90" s="1651">
        <f t="shared" ref="T90:T96" si="10">(R90*S90)/1000</f>
        <v>0</v>
      </c>
      <c r="U90" s="2528"/>
      <c r="V90" s="2529"/>
      <c r="W90" s="2530"/>
      <c r="X90" s="1652">
        <f>+'Emission Factors'!J42</f>
        <v>6.8000000000000005E-2</v>
      </c>
      <c r="Y90" s="1653">
        <f t="shared" ref="Y90:Y96" si="11">+X90*R90</f>
        <v>0</v>
      </c>
      <c r="Z90" s="1606" t="str">
        <f t="shared" ref="Z90:Z96" si="12">IF(R90&lt;0,"Error - negative number","")</f>
        <v/>
      </c>
      <c r="AA90" s="1514"/>
      <c r="AB90" s="1514"/>
      <c r="AC90" s="1514"/>
      <c r="AD90" s="1514"/>
    </row>
    <row r="91" spans="1:30" ht="15" customHeight="1" x14ac:dyDescent="0.3">
      <c r="A91" s="1522" t="s">
        <v>371</v>
      </c>
      <c r="B91" s="2489"/>
      <c r="C91" s="1641" t="s">
        <v>94</v>
      </c>
      <c r="D91" s="1567"/>
      <c r="E91" s="1638">
        <f t="shared" si="8"/>
        <v>0.14532999999999999</v>
      </c>
      <c r="F91" s="1608">
        <f t="shared" si="9"/>
        <v>0</v>
      </c>
      <c r="G91" s="1631"/>
      <c r="H91" s="1631"/>
      <c r="I91" s="2511"/>
      <c r="J91" s="2512"/>
      <c r="K91" s="2513"/>
      <c r="L91" s="1581" t="str">
        <f t="shared" si="3"/>
        <v/>
      </c>
      <c r="M91" s="1514"/>
      <c r="N91" s="1514"/>
      <c r="O91" s="1654" t="s">
        <v>86</v>
      </c>
      <c r="P91" s="1655"/>
      <c r="Q91" s="1656" t="s">
        <v>83</v>
      </c>
      <c r="R91" s="1657"/>
      <c r="S91" s="1658">
        <f>+'Emission Factors'!J37</f>
        <v>2.30531</v>
      </c>
      <c r="T91" s="1659">
        <f t="shared" si="10"/>
        <v>0</v>
      </c>
      <c r="U91" s="2520"/>
      <c r="V91" s="2521"/>
      <c r="W91" s="2522"/>
      <c r="X91" s="1652">
        <f>+'Emission Factors'!J43</f>
        <v>0</v>
      </c>
      <c r="Y91" s="1660">
        <f t="shared" si="11"/>
        <v>0</v>
      </c>
      <c r="Z91" s="1581" t="str">
        <f t="shared" si="12"/>
        <v/>
      </c>
      <c r="AA91" s="1514"/>
      <c r="AB91" s="1514"/>
      <c r="AC91" s="1514"/>
      <c r="AD91" s="1514"/>
    </row>
    <row r="92" spans="1:30" ht="15" customHeight="1" x14ac:dyDescent="0.3">
      <c r="A92" s="1522" t="s">
        <v>371</v>
      </c>
      <c r="B92" s="2489"/>
      <c r="C92" s="1641" t="s">
        <v>96</v>
      </c>
      <c r="D92" s="1567"/>
      <c r="E92" s="1638">
        <f t="shared" si="8"/>
        <v>0.17352999999999999</v>
      </c>
      <c r="F92" s="1608">
        <f t="shared" si="9"/>
        <v>0</v>
      </c>
      <c r="G92" s="1631"/>
      <c r="H92" s="1631"/>
      <c r="I92" s="2511"/>
      <c r="J92" s="2512"/>
      <c r="K92" s="2513"/>
      <c r="L92" s="1581" t="str">
        <f t="shared" si="3"/>
        <v/>
      </c>
      <c r="M92" s="1514"/>
      <c r="N92" s="1514"/>
      <c r="O92" s="1654" t="s">
        <v>88</v>
      </c>
      <c r="P92" s="1655"/>
      <c r="Q92" s="1656" t="s">
        <v>83</v>
      </c>
      <c r="R92" s="1657"/>
      <c r="S92" s="1658">
        <f>+'Emission Factors'!J38</f>
        <v>2.6269399999999998</v>
      </c>
      <c r="T92" s="1659">
        <f t="shared" si="10"/>
        <v>0</v>
      </c>
      <c r="U92" s="2520"/>
      <c r="V92" s="2521"/>
      <c r="W92" s="2522"/>
      <c r="X92" s="1652">
        <f>+'Emission Factors'!J44</f>
        <v>5.7200000000000001E-2</v>
      </c>
      <c r="Y92" s="1660">
        <f t="shared" si="11"/>
        <v>0</v>
      </c>
      <c r="Z92" s="1581" t="str">
        <f t="shared" si="12"/>
        <v/>
      </c>
      <c r="AA92" s="1514"/>
      <c r="AB92" s="1514"/>
      <c r="AC92" s="1514"/>
      <c r="AD92" s="1514"/>
    </row>
    <row r="93" spans="1:30" ht="15" customHeight="1" x14ac:dyDescent="0.3">
      <c r="A93" s="1522" t="s">
        <v>371</v>
      </c>
      <c r="B93" s="2489"/>
      <c r="C93" s="1641" t="s">
        <v>97</v>
      </c>
      <c r="D93" s="1567"/>
      <c r="E93" s="1638">
        <f t="shared" si="8"/>
        <v>0.2152</v>
      </c>
      <c r="F93" s="1608">
        <f t="shared" si="9"/>
        <v>0</v>
      </c>
      <c r="G93" s="1631"/>
      <c r="H93" s="1631"/>
      <c r="I93" s="2511"/>
      <c r="J93" s="2512"/>
      <c r="K93" s="2513"/>
      <c r="L93" s="1581" t="str">
        <f t="shared" si="3"/>
        <v/>
      </c>
      <c r="M93" s="1514"/>
      <c r="N93" s="1514"/>
      <c r="O93" s="1654" t="s">
        <v>90</v>
      </c>
      <c r="P93" s="1655"/>
      <c r="Q93" s="1656" t="s">
        <v>83</v>
      </c>
      <c r="R93" s="1657"/>
      <c r="S93" s="1658">
        <f>+'Emission Factors'!J39</f>
        <v>2.6877900000000001</v>
      </c>
      <c r="T93" s="1659">
        <f t="shared" si="10"/>
        <v>0</v>
      </c>
      <c r="U93" s="2520"/>
      <c r="V93" s="2521"/>
      <c r="W93" s="2522"/>
      <c r="X93" s="1652">
        <f>+'Emission Factors'!J45</f>
        <v>0</v>
      </c>
      <c r="Y93" s="1660">
        <f t="shared" si="11"/>
        <v>0</v>
      </c>
      <c r="Z93" s="1581" t="str">
        <f t="shared" si="12"/>
        <v/>
      </c>
      <c r="AA93" s="1514"/>
      <c r="AB93" s="1514"/>
      <c r="AC93" s="1514"/>
      <c r="AD93" s="1514"/>
    </row>
    <row r="94" spans="1:30" ht="15" customHeight="1" x14ac:dyDescent="0.3">
      <c r="A94" s="1522" t="s">
        <v>371</v>
      </c>
      <c r="B94" s="2489"/>
      <c r="C94" s="1641" t="s">
        <v>98</v>
      </c>
      <c r="D94" s="1567"/>
      <c r="E94" s="1638">
        <f t="shared" si="8"/>
        <v>0.17752999999999999</v>
      </c>
      <c r="F94" s="1608">
        <f t="shared" si="9"/>
        <v>0</v>
      </c>
      <c r="G94" s="1631"/>
      <c r="H94" s="1631"/>
      <c r="I94" s="2511"/>
      <c r="J94" s="2512"/>
      <c r="K94" s="2513"/>
      <c r="L94" s="1581" t="str">
        <f t="shared" si="3"/>
        <v/>
      </c>
      <c r="M94" s="1514"/>
      <c r="N94" s="1514"/>
      <c r="O94" s="1654" t="s">
        <v>92</v>
      </c>
      <c r="P94" s="1655"/>
      <c r="Q94" s="1656" t="s">
        <v>93</v>
      </c>
      <c r="R94" s="1657"/>
      <c r="S94" s="1658">
        <f>+'Emission Factors'!J40</f>
        <v>2.7466300000000001</v>
      </c>
      <c r="T94" s="1659">
        <f t="shared" si="10"/>
        <v>0</v>
      </c>
      <c r="U94" s="2520"/>
      <c r="V94" s="2521"/>
      <c r="W94" s="2522"/>
      <c r="X94" s="1652">
        <f>+'Emission Factors'!J46</f>
        <v>0</v>
      </c>
      <c r="Y94" s="1660">
        <f t="shared" si="11"/>
        <v>0</v>
      </c>
      <c r="Z94" s="1581" t="str">
        <f t="shared" si="12"/>
        <v/>
      </c>
      <c r="AA94" s="1514"/>
      <c r="AB94" s="1514"/>
      <c r="AC94" s="1514"/>
      <c r="AD94" s="1514"/>
    </row>
    <row r="95" spans="1:30" ht="15" customHeight="1" x14ac:dyDescent="0.3">
      <c r="A95" s="1522" t="s">
        <v>371</v>
      </c>
      <c r="B95" s="2489"/>
      <c r="C95" s="1641" t="s">
        <v>99</v>
      </c>
      <c r="D95" s="1567"/>
      <c r="E95" s="1638">
        <f t="shared" si="8"/>
        <v>0.11538000000000001</v>
      </c>
      <c r="F95" s="1608">
        <f t="shared" si="9"/>
        <v>0</v>
      </c>
      <c r="G95" s="1631"/>
      <c r="H95" s="1631"/>
      <c r="I95" s="2511"/>
      <c r="J95" s="2512"/>
      <c r="K95" s="2513"/>
      <c r="L95" s="1581" t="str">
        <f t="shared" si="3"/>
        <v/>
      </c>
      <c r="M95" s="1514"/>
      <c r="N95" s="1514"/>
      <c r="O95" s="1654" t="s">
        <v>95</v>
      </c>
      <c r="P95" s="1655"/>
      <c r="Q95" s="1656" t="s">
        <v>83</v>
      </c>
      <c r="R95" s="1657"/>
      <c r="S95" s="1658">
        <f>+'Emission Factors'!J41</f>
        <v>1.5190600000000001</v>
      </c>
      <c r="T95" s="1659">
        <f t="shared" si="10"/>
        <v>0</v>
      </c>
      <c r="U95" s="2520"/>
      <c r="V95" s="2521"/>
      <c r="W95" s="2522"/>
      <c r="X95" s="1652">
        <f>+'Emission Factors'!J47</f>
        <v>0</v>
      </c>
      <c r="Y95" s="1660">
        <f t="shared" si="11"/>
        <v>0</v>
      </c>
      <c r="Z95" s="1581" t="str">
        <f t="shared" si="12"/>
        <v/>
      </c>
      <c r="AA95" s="1514"/>
      <c r="AB95" s="1514"/>
      <c r="AC95" s="1514"/>
      <c r="AD95" s="1514"/>
    </row>
    <row r="96" spans="1:30" ht="15" customHeight="1" thickBot="1" x14ac:dyDescent="0.35">
      <c r="A96" s="1522" t="s">
        <v>371</v>
      </c>
      <c r="B96" s="2489"/>
      <c r="C96" s="1641" t="s">
        <v>100</v>
      </c>
      <c r="D96" s="1567"/>
      <c r="E96" s="1638">
        <f t="shared" si="8"/>
        <v>0.16133999999999998</v>
      </c>
      <c r="F96" s="1608">
        <f t="shared" si="9"/>
        <v>0</v>
      </c>
      <c r="G96" s="1631"/>
      <c r="H96" s="1631"/>
      <c r="I96" s="2511"/>
      <c r="J96" s="2512"/>
      <c r="K96" s="2513"/>
      <c r="L96" s="1581" t="str">
        <f t="shared" si="3"/>
        <v/>
      </c>
      <c r="M96" s="1514"/>
      <c r="N96" s="1514"/>
      <c r="O96" s="1661" t="s">
        <v>409</v>
      </c>
      <c r="P96" s="1662"/>
      <c r="Q96" s="1663"/>
      <c r="R96" s="1664"/>
      <c r="S96" s="1665"/>
      <c r="T96" s="1666">
        <f t="shared" si="10"/>
        <v>0</v>
      </c>
      <c r="U96" s="2533"/>
      <c r="V96" s="2534"/>
      <c r="W96" s="2535"/>
      <c r="X96" s="1665"/>
      <c r="Y96" s="1667">
        <f t="shared" si="11"/>
        <v>0</v>
      </c>
      <c r="Z96" s="1618" t="str">
        <f t="shared" si="12"/>
        <v/>
      </c>
      <c r="AA96" s="1514"/>
      <c r="AB96" s="1514"/>
      <c r="AC96" s="1514"/>
      <c r="AD96" s="1514"/>
    </row>
    <row r="97" spans="1:30" ht="15" customHeight="1" x14ac:dyDescent="0.3">
      <c r="A97" s="1522" t="s">
        <v>371</v>
      </c>
      <c r="B97" s="2489"/>
      <c r="C97" s="1641" t="s">
        <v>529</v>
      </c>
      <c r="D97" s="1567"/>
      <c r="E97" s="1638">
        <f t="shared" si="8"/>
        <v>0.20021999999999998</v>
      </c>
      <c r="F97" s="1608">
        <f t="shared" si="9"/>
        <v>0</v>
      </c>
      <c r="G97" s="1631"/>
      <c r="H97" s="1631"/>
      <c r="I97" s="2511"/>
      <c r="J97" s="2512"/>
      <c r="K97" s="2513"/>
      <c r="L97" s="1581" t="str">
        <f t="shared" si="3"/>
        <v/>
      </c>
      <c r="M97" s="1514"/>
      <c r="N97" s="1514"/>
      <c r="O97" s="2531" t="s">
        <v>367</v>
      </c>
      <c r="P97" s="2531"/>
      <c r="Q97" s="2531"/>
      <c r="R97" s="2531"/>
      <c r="S97" s="2531"/>
      <c r="T97" s="2531"/>
      <c r="U97" s="2531"/>
      <c r="V97" s="2531"/>
      <c r="W97" s="2531"/>
      <c r="X97" s="1514"/>
      <c r="Y97" s="1514"/>
      <c r="Z97" s="1514"/>
      <c r="AA97" s="1514"/>
      <c r="AB97" s="1514"/>
      <c r="AC97" s="1514"/>
      <c r="AD97" s="1514"/>
    </row>
    <row r="98" spans="1:30" ht="15" customHeight="1" x14ac:dyDescent="0.3">
      <c r="A98" s="1522" t="s">
        <v>371</v>
      </c>
      <c r="B98" s="2489"/>
      <c r="C98" s="1641" t="s">
        <v>102</v>
      </c>
      <c r="D98" s="1567">
        <v>15401114</v>
      </c>
      <c r="E98" s="1638">
        <f t="shared" si="8"/>
        <v>0.18064</v>
      </c>
      <c r="F98" s="1608">
        <f t="shared" si="9"/>
        <v>2782.0572329599995</v>
      </c>
      <c r="G98" s="1631"/>
      <c r="H98" s="1631"/>
      <c r="I98" s="2511" t="s">
        <v>538</v>
      </c>
      <c r="J98" s="2512"/>
      <c r="K98" s="2513"/>
      <c r="L98" s="1581" t="str">
        <f t="shared" si="3"/>
        <v/>
      </c>
      <c r="M98" s="1514"/>
      <c r="N98" s="1514"/>
      <c r="O98" s="2532"/>
      <c r="P98" s="2532"/>
      <c r="Q98" s="2532"/>
      <c r="R98" s="2532"/>
      <c r="S98" s="2532"/>
      <c r="T98" s="2532"/>
      <c r="U98" s="2532"/>
      <c r="V98" s="2532"/>
      <c r="W98" s="2532"/>
      <c r="X98" s="1514"/>
      <c r="Y98" s="1514"/>
      <c r="Z98" s="1514"/>
      <c r="AA98" s="1514"/>
      <c r="AB98" s="1514"/>
      <c r="AC98" s="1514"/>
      <c r="AD98" s="1514"/>
    </row>
    <row r="99" spans="1:30" ht="15" customHeight="1" x14ac:dyDescent="0.3">
      <c r="A99" s="1522" t="s">
        <v>371</v>
      </c>
      <c r="B99" s="2489"/>
      <c r="C99" s="1641" t="s">
        <v>103</v>
      </c>
      <c r="D99" s="1567"/>
      <c r="E99" s="1638">
        <f t="shared" si="8"/>
        <v>8.4629999999999997E-2</v>
      </c>
      <c r="F99" s="1608">
        <f t="shared" si="9"/>
        <v>0</v>
      </c>
      <c r="G99" s="1631"/>
      <c r="H99" s="1631"/>
      <c r="I99" s="2511"/>
      <c r="J99" s="2512"/>
      <c r="K99" s="2513"/>
      <c r="L99" s="1581" t="str">
        <f t="shared" si="3"/>
        <v/>
      </c>
      <c r="M99" s="1514"/>
      <c r="N99" s="1514"/>
      <c r="O99" s="2532"/>
      <c r="P99" s="2532"/>
      <c r="Q99" s="2532"/>
      <c r="R99" s="2532"/>
      <c r="S99" s="2532"/>
      <c r="T99" s="2532"/>
      <c r="U99" s="2532"/>
      <c r="V99" s="2532"/>
      <c r="W99" s="2532"/>
      <c r="X99" s="1514"/>
      <c r="Y99" s="1514"/>
      <c r="Z99" s="1514"/>
      <c r="AA99" s="1514"/>
      <c r="AB99" s="1514"/>
      <c r="AC99" s="1514"/>
      <c r="AD99" s="1514"/>
    </row>
    <row r="100" spans="1:30" ht="15" customHeight="1" x14ac:dyDescent="0.3">
      <c r="A100" s="1522" t="s">
        <v>371</v>
      </c>
      <c r="B100" s="2489"/>
      <c r="C100" s="1641" t="s">
        <v>104</v>
      </c>
      <c r="D100" s="1567"/>
      <c r="E100" s="1638">
        <f t="shared" si="8"/>
        <v>0.10310000000000001</v>
      </c>
      <c r="F100" s="1608">
        <f t="shared" si="9"/>
        <v>0</v>
      </c>
      <c r="G100" s="1631"/>
      <c r="H100" s="1631"/>
      <c r="I100" s="2511"/>
      <c r="J100" s="2512"/>
      <c r="K100" s="2513"/>
      <c r="L100" s="1581" t="str">
        <f t="shared" si="3"/>
        <v/>
      </c>
      <c r="M100" s="1514"/>
      <c r="N100" s="1514"/>
      <c r="O100" s="2532"/>
      <c r="P100" s="2532"/>
      <c r="Q100" s="2532"/>
      <c r="R100" s="2532"/>
      <c r="S100" s="2532"/>
      <c r="T100" s="2532"/>
      <c r="U100" s="2532"/>
      <c r="V100" s="2532"/>
      <c r="W100" s="2532"/>
      <c r="X100" s="1514"/>
      <c r="Y100" s="1514"/>
      <c r="Z100" s="1514"/>
      <c r="AA100" s="1514"/>
      <c r="AB100" s="1514"/>
      <c r="AC100" s="1514"/>
      <c r="AD100" s="1514"/>
    </row>
    <row r="101" spans="1:30" ht="15" customHeight="1" x14ac:dyDescent="0.3">
      <c r="A101" s="1522" t="s">
        <v>371</v>
      </c>
      <c r="B101" s="2489"/>
      <c r="C101" s="1641" t="s">
        <v>105</v>
      </c>
      <c r="D101" s="1567"/>
      <c r="E101" s="1638">
        <f t="shared" si="8"/>
        <v>0.13528000000000001</v>
      </c>
      <c r="F101" s="1608">
        <f t="shared" si="9"/>
        <v>0</v>
      </c>
      <c r="G101" s="1631"/>
      <c r="H101" s="1631"/>
      <c r="I101" s="2511"/>
      <c r="J101" s="2512"/>
      <c r="K101" s="2513"/>
      <c r="L101" s="1581" t="str">
        <f t="shared" si="3"/>
        <v/>
      </c>
      <c r="M101" s="1514"/>
      <c r="N101" s="1514"/>
      <c r="O101" s="1514"/>
      <c r="P101" s="1514"/>
      <c r="Q101" s="1514"/>
      <c r="R101" s="1514"/>
      <c r="S101" s="1514"/>
      <c r="T101" s="1514"/>
      <c r="U101" s="1514"/>
      <c r="V101" s="1514"/>
      <c r="W101" s="1514"/>
      <c r="X101" s="1514"/>
      <c r="Y101" s="1514"/>
      <c r="Z101" s="1514"/>
      <c r="AA101" s="1514"/>
      <c r="AB101" s="1514"/>
      <c r="AC101" s="1514"/>
      <c r="AD101" s="1514"/>
    </row>
    <row r="102" spans="1:30" ht="15" customHeight="1" x14ac:dyDescent="0.3">
      <c r="A102" s="1522" t="s">
        <v>371</v>
      </c>
      <c r="B102" s="2489"/>
      <c r="C102" s="1641" t="s">
        <v>106</v>
      </c>
      <c r="D102" s="1567"/>
      <c r="E102" s="1638">
        <f t="shared" si="8"/>
        <v>0.11528999999999999</v>
      </c>
      <c r="F102" s="1608">
        <f t="shared" si="9"/>
        <v>0</v>
      </c>
      <c r="G102" s="1631"/>
      <c r="H102" s="1631"/>
      <c r="I102" s="2511"/>
      <c r="J102" s="2512"/>
      <c r="K102" s="2513"/>
      <c r="L102" s="1581" t="str">
        <f t="shared" si="3"/>
        <v/>
      </c>
      <c r="M102" s="1514"/>
      <c r="N102" s="1514"/>
      <c r="O102" s="1514"/>
      <c r="P102" s="1514"/>
      <c r="Q102" s="1514"/>
      <c r="R102" s="1514"/>
      <c r="S102" s="1514"/>
      <c r="T102" s="1514"/>
      <c r="U102" s="1514"/>
      <c r="V102" s="1514"/>
      <c r="W102" s="1514"/>
      <c r="X102" s="1514"/>
      <c r="Y102" s="1514"/>
      <c r="Z102" s="1514"/>
      <c r="AA102" s="1514"/>
      <c r="AB102" s="1514"/>
      <c r="AC102" s="1514"/>
      <c r="AD102" s="1514"/>
    </row>
    <row r="103" spans="1:30" ht="15" customHeight="1" x14ac:dyDescent="0.3">
      <c r="A103" s="1522" t="s">
        <v>371</v>
      </c>
      <c r="B103" s="2489"/>
      <c r="C103" s="1566" t="s">
        <v>410</v>
      </c>
      <c r="D103" s="1567"/>
      <c r="E103" s="1668"/>
      <c r="F103" s="1608">
        <f t="shared" si="9"/>
        <v>0</v>
      </c>
      <c r="G103" s="1631"/>
      <c r="H103" s="1631"/>
      <c r="I103" s="2511"/>
      <c r="J103" s="2512"/>
      <c r="K103" s="2513"/>
      <c r="L103" s="1581" t="str">
        <f t="shared" si="3"/>
        <v/>
      </c>
      <c r="M103" s="1514"/>
      <c r="N103" s="1514"/>
      <c r="O103" s="1514"/>
      <c r="P103" s="1514"/>
      <c r="Q103" s="1514"/>
      <c r="R103" s="1514"/>
      <c r="S103" s="1514"/>
      <c r="T103" s="1514"/>
      <c r="U103" s="1514"/>
      <c r="V103" s="1514"/>
      <c r="W103" s="1514"/>
      <c r="X103" s="1514"/>
      <c r="Y103" s="1514"/>
      <c r="Z103" s="1514"/>
      <c r="AA103" s="1514"/>
      <c r="AB103" s="1514"/>
      <c r="AC103" s="1514"/>
      <c r="AD103" s="1514"/>
    </row>
    <row r="104" spans="1:30" ht="15" customHeight="1" x14ac:dyDescent="0.3">
      <c r="A104" s="1522" t="s">
        <v>371</v>
      </c>
      <c r="B104" s="2489"/>
      <c r="C104" s="1566" t="s">
        <v>411</v>
      </c>
      <c r="D104" s="1567"/>
      <c r="E104" s="1668"/>
      <c r="F104" s="1608">
        <f t="shared" si="9"/>
        <v>0</v>
      </c>
      <c r="G104" s="1631"/>
      <c r="H104" s="1631"/>
      <c r="I104" s="2511"/>
      <c r="J104" s="2512"/>
      <c r="K104" s="2513"/>
      <c r="L104" s="1581" t="str">
        <f t="shared" si="3"/>
        <v/>
      </c>
      <c r="M104" s="1514"/>
      <c r="N104" s="1514"/>
      <c r="O104" s="1514"/>
      <c r="P104" s="1514"/>
      <c r="Q104" s="1514"/>
      <c r="R104" s="1514"/>
      <c r="S104" s="1514"/>
      <c r="T104" s="1514"/>
      <c r="U104" s="1514"/>
      <c r="V104" s="1514"/>
      <c r="W104" s="1514"/>
      <c r="X104" s="1514"/>
      <c r="Y104" s="1514"/>
      <c r="Z104" s="1514"/>
      <c r="AA104" s="1514"/>
      <c r="AB104" s="1514"/>
      <c r="AC104" s="1514"/>
      <c r="AD104" s="1514"/>
    </row>
    <row r="105" spans="1:30" ht="15" customHeight="1" x14ac:dyDescent="0.3">
      <c r="A105" s="1522" t="s">
        <v>371</v>
      </c>
      <c r="B105" s="2489"/>
      <c r="C105" s="1566" t="s">
        <v>412</v>
      </c>
      <c r="D105" s="1567"/>
      <c r="E105" s="1668"/>
      <c r="F105" s="1608">
        <f t="shared" si="9"/>
        <v>0</v>
      </c>
      <c r="G105" s="1631"/>
      <c r="H105" s="1631"/>
      <c r="I105" s="2511"/>
      <c r="J105" s="2512"/>
      <c r="K105" s="2513"/>
      <c r="L105" s="1581" t="str">
        <f t="shared" si="3"/>
        <v/>
      </c>
      <c r="M105" s="1514"/>
      <c r="N105" s="1514"/>
      <c r="O105" s="1514"/>
      <c r="P105" s="1514"/>
      <c r="Q105" s="1514"/>
      <c r="R105" s="1514"/>
      <c r="S105" s="1514"/>
      <c r="T105" s="1514"/>
      <c r="U105" s="1514"/>
      <c r="V105" s="1514"/>
      <c r="W105" s="1514"/>
      <c r="X105" s="1514"/>
      <c r="Y105" s="1514"/>
      <c r="Z105" s="1514"/>
      <c r="AA105" s="1514"/>
      <c r="AB105" s="1514"/>
      <c r="AC105" s="1514"/>
      <c r="AD105" s="1514"/>
    </row>
    <row r="106" spans="1:30" ht="15" customHeight="1" x14ac:dyDescent="0.3">
      <c r="A106" s="1522"/>
      <c r="B106" s="2489"/>
      <c r="C106" s="1566" t="s">
        <v>509</v>
      </c>
      <c r="D106" s="1567"/>
      <c r="E106" s="1668"/>
      <c r="F106" s="1608">
        <f t="shared" si="9"/>
        <v>0</v>
      </c>
      <c r="G106" s="1631"/>
      <c r="H106" s="1631"/>
      <c r="I106" s="2511"/>
      <c r="J106" s="2512"/>
      <c r="K106" s="2513"/>
      <c r="L106" s="1581" t="str">
        <f t="shared" si="3"/>
        <v/>
      </c>
      <c r="M106" s="1514"/>
      <c r="N106" s="1514"/>
      <c r="O106" s="1514"/>
      <c r="P106" s="1514"/>
      <c r="Q106" s="1514"/>
      <c r="R106" s="1514"/>
      <c r="S106" s="1514"/>
      <c r="T106" s="1514"/>
      <c r="U106" s="1514"/>
      <c r="V106" s="1514"/>
      <c r="W106" s="1514"/>
      <c r="X106" s="1514"/>
      <c r="Y106" s="1514"/>
      <c r="Z106" s="1514"/>
      <c r="AA106" s="1514"/>
      <c r="AB106" s="1514"/>
      <c r="AC106" s="1514"/>
      <c r="AD106" s="1514"/>
    </row>
    <row r="107" spans="1:30" ht="15" customHeight="1" thickBot="1" x14ac:dyDescent="0.35">
      <c r="A107" s="1522"/>
      <c r="B107" s="2490"/>
      <c r="C107" s="1566" t="s">
        <v>510</v>
      </c>
      <c r="D107" s="1567"/>
      <c r="E107" s="1669"/>
      <c r="F107" s="1608">
        <f t="shared" si="9"/>
        <v>0</v>
      </c>
      <c r="G107" s="1631"/>
      <c r="H107" s="1631"/>
      <c r="I107" s="2538"/>
      <c r="J107" s="2539"/>
      <c r="K107" s="2540"/>
      <c r="L107" s="1581" t="str">
        <f t="shared" si="3"/>
        <v/>
      </c>
      <c r="M107" s="1514"/>
      <c r="N107" s="1514"/>
      <c r="O107" s="1514"/>
      <c r="P107" s="1514"/>
      <c r="Q107" s="1514"/>
      <c r="R107" s="1514"/>
      <c r="S107" s="1514"/>
      <c r="T107" s="1514"/>
      <c r="U107" s="1514"/>
      <c r="V107" s="1514"/>
      <c r="W107" s="1514"/>
      <c r="X107" s="1514"/>
      <c r="Y107" s="1514"/>
      <c r="Z107" s="1514"/>
      <c r="AA107" s="1514"/>
      <c r="AB107" s="1514"/>
      <c r="AC107" s="1514"/>
      <c r="AD107" s="1514"/>
    </row>
    <row r="108" spans="1:30" ht="15.75" customHeight="1" thickBot="1" x14ac:dyDescent="0.35">
      <c r="A108" s="1522"/>
      <c r="B108" s="2463" t="s">
        <v>112</v>
      </c>
      <c r="C108" s="2464"/>
      <c r="D108" s="1635">
        <f>SUM(D109:D121)</f>
        <v>14676410.224322509</v>
      </c>
      <c r="E108" s="1671">
        <f>IF(D108&lt;&gt;0,F108*1000/D108,"")</f>
        <v>4.7880260755220609E-2</v>
      </c>
      <c r="F108" s="1636">
        <f>SUM(F109:F121)</f>
        <v>702.71034849114756</v>
      </c>
      <c r="G108" s="1631"/>
      <c r="H108" s="1631"/>
      <c r="I108" s="2541"/>
      <c r="J108" s="2542"/>
      <c r="K108" s="2543"/>
      <c r="L108" s="1560" t="str">
        <f t="shared" si="3"/>
        <v/>
      </c>
      <c r="M108" s="1514"/>
      <c r="N108" s="1514"/>
      <c r="O108" s="1514"/>
      <c r="P108" s="1514"/>
      <c r="Q108" s="1514"/>
      <c r="R108" s="1514"/>
      <c r="S108" s="1514"/>
      <c r="T108" s="1514"/>
      <c r="U108" s="1514"/>
      <c r="V108" s="1514"/>
      <c r="W108" s="1514"/>
      <c r="X108" s="1514"/>
      <c r="Y108" s="1514"/>
      <c r="Z108" s="1514"/>
      <c r="AA108" s="1514"/>
      <c r="AB108" s="1514"/>
      <c r="AC108" s="1514"/>
      <c r="AD108" s="1514"/>
    </row>
    <row r="109" spans="1:30" ht="15" customHeight="1" x14ac:dyDescent="0.3">
      <c r="A109" s="1522" t="s">
        <v>371</v>
      </c>
      <c r="B109" s="2425" t="s">
        <v>113</v>
      </c>
      <c r="C109" s="1637" t="s">
        <v>114</v>
      </c>
      <c r="D109" s="1603">
        <v>469460.71846313478</v>
      </c>
      <c r="E109" s="1672">
        <f>+'Emission Factors'!J88</f>
        <v>0.15777000000000002</v>
      </c>
      <c r="F109" s="1673">
        <f t="shared" ref="F109:F121" si="13">(D109*E109)/1000</f>
        <v>74.066817551928793</v>
      </c>
      <c r="G109" s="1631"/>
      <c r="H109" s="1631"/>
      <c r="I109" s="2491"/>
      <c r="J109" s="2492"/>
      <c r="K109" s="2493"/>
      <c r="L109" s="1572" t="str">
        <f t="shared" si="3"/>
        <v/>
      </c>
      <c r="M109" s="1514"/>
      <c r="N109" s="1514"/>
      <c r="O109" s="1514"/>
      <c r="P109" s="1514"/>
      <c r="Q109" s="1514"/>
      <c r="R109" s="1514"/>
      <c r="S109" s="1514"/>
      <c r="T109" s="1514"/>
      <c r="U109" s="1514"/>
      <c r="V109" s="1514"/>
      <c r="W109" s="1514"/>
      <c r="X109" s="1514"/>
      <c r="Y109" s="1514"/>
      <c r="Z109" s="1514"/>
      <c r="AA109" s="1514"/>
      <c r="AB109" s="1514"/>
      <c r="AC109" s="1514"/>
      <c r="AD109" s="1514"/>
    </row>
    <row r="110" spans="1:30" ht="15" customHeight="1" x14ac:dyDescent="0.3">
      <c r="A110" s="1522" t="s">
        <v>371</v>
      </c>
      <c r="B110" s="2426"/>
      <c r="C110" s="1641" t="s">
        <v>115</v>
      </c>
      <c r="D110" s="1607">
        <v>14201745.505859375</v>
      </c>
      <c r="E110" s="1638">
        <f>+'Emission Factors'!J89</f>
        <v>4.4239999999999995E-2</v>
      </c>
      <c r="F110" s="1673">
        <f t="shared" si="13"/>
        <v>628.28522117921875</v>
      </c>
      <c r="G110" s="1631"/>
      <c r="H110" s="1631"/>
      <c r="I110" s="2511"/>
      <c r="J110" s="2512"/>
      <c r="K110" s="2513"/>
      <c r="L110" s="1581" t="str">
        <f t="shared" si="3"/>
        <v/>
      </c>
      <c r="M110" s="1514"/>
      <c r="N110" s="1514"/>
      <c r="O110" s="1514"/>
      <c r="P110" s="1514"/>
      <c r="Q110" s="1514"/>
      <c r="R110" s="1514"/>
      <c r="S110" s="1514"/>
      <c r="T110" s="1514"/>
      <c r="U110" s="1514"/>
      <c r="V110" s="1514"/>
      <c r="W110" s="1514"/>
      <c r="X110" s="1514"/>
      <c r="Y110" s="1514"/>
      <c r="Z110" s="1514"/>
      <c r="AA110" s="1514"/>
      <c r="AB110" s="1514"/>
      <c r="AC110" s="1514"/>
      <c r="AD110" s="1514"/>
    </row>
    <row r="111" spans="1:30" ht="15" customHeight="1" x14ac:dyDescent="0.3">
      <c r="A111" s="1522" t="s">
        <v>371</v>
      </c>
      <c r="B111" s="2426"/>
      <c r="C111" s="1641" t="s">
        <v>116</v>
      </c>
      <c r="D111" s="1607"/>
      <c r="E111" s="1638">
        <f>+'Emission Factors'!J90</f>
        <v>3.9670000000000004E-2</v>
      </c>
      <c r="F111" s="1673">
        <f t="shared" si="13"/>
        <v>0</v>
      </c>
      <c r="G111" s="1631"/>
      <c r="H111" s="1631"/>
      <c r="I111" s="2511"/>
      <c r="J111" s="2512"/>
      <c r="K111" s="2513"/>
      <c r="L111" s="1581" t="str">
        <f t="shared" si="3"/>
        <v/>
      </c>
      <c r="M111" s="1514"/>
      <c r="N111" s="1514"/>
      <c r="O111" s="1514"/>
      <c r="P111" s="1514"/>
      <c r="Q111" s="1514"/>
      <c r="R111" s="1514"/>
      <c r="S111" s="1514"/>
      <c r="T111" s="1514"/>
      <c r="U111" s="1514"/>
      <c r="V111" s="1514"/>
      <c r="W111" s="1514"/>
      <c r="X111" s="1514"/>
      <c r="Y111" s="1514"/>
      <c r="Z111" s="1514"/>
      <c r="AA111" s="1514"/>
      <c r="AB111" s="1514"/>
      <c r="AC111" s="1514"/>
      <c r="AD111" s="1514"/>
    </row>
    <row r="112" spans="1:30" ht="15" customHeight="1" x14ac:dyDescent="0.3">
      <c r="A112" s="1522" t="s">
        <v>371</v>
      </c>
      <c r="B112" s="2426"/>
      <c r="C112" s="1641" t="s">
        <v>117</v>
      </c>
      <c r="D112" s="1607">
        <v>3800</v>
      </c>
      <c r="E112" s="1638">
        <f>+'Emission Factors'!J91</f>
        <v>3.7600000000000001E-2</v>
      </c>
      <c r="F112" s="1673">
        <f t="shared" si="13"/>
        <v>0.14288000000000001</v>
      </c>
      <c r="G112" s="1631"/>
      <c r="H112" s="1631"/>
      <c r="I112" s="2511"/>
      <c r="J112" s="2512"/>
      <c r="K112" s="2513"/>
      <c r="L112" s="1581" t="str">
        <f t="shared" si="3"/>
        <v/>
      </c>
      <c r="M112" s="1514"/>
      <c r="N112" s="1514"/>
      <c r="O112" s="1514"/>
      <c r="P112" s="1514"/>
      <c r="Q112" s="1514"/>
      <c r="R112" s="1514"/>
      <c r="S112" s="1514"/>
      <c r="T112" s="1514"/>
      <c r="U112" s="1514"/>
      <c r="V112" s="1514"/>
      <c r="W112" s="1514"/>
      <c r="X112" s="1514"/>
      <c r="Y112" s="1514"/>
      <c r="Z112" s="1514"/>
      <c r="AA112" s="1514"/>
      <c r="AB112" s="1514"/>
      <c r="AC112" s="1514"/>
      <c r="AD112" s="1514"/>
    </row>
    <row r="113" spans="1:30" ht="15" customHeight="1" x14ac:dyDescent="0.3">
      <c r="A113" s="1522" t="s">
        <v>371</v>
      </c>
      <c r="B113" s="2426"/>
      <c r="C113" s="1641" t="s">
        <v>118</v>
      </c>
      <c r="D113" s="1607">
        <v>1404</v>
      </c>
      <c r="E113" s="1638">
        <f>+'Emission Factors'!J92</f>
        <v>0.15343999999999999</v>
      </c>
      <c r="F113" s="1673">
        <f t="shared" si="13"/>
        <v>0.21542976</v>
      </c>
      <c r="G113" s="1631"/>
      <c r="H113" s="1631"/>
      <c r="I113" s="2511"/>
      <c r="J113" s="2512"/>
      <c r="K113" s="2513"/>
      <c r="L113" s="1581" t="str">
        <f t="shared" si="3"/>
        <v/>
      </c>
      <c r="M113" s="1514"/>
      <c r="N113" s="1514"/>
      <c r="O113" s="1514"/>
      <c r="P113" s="1514"/>
      <c r="Q113" s="1514"/>
      <c r="R113" s="1514"/>
      <c r="S113" s="1514"/>
      <c r="T113" s="1514"/>
      <c r="U113" s="1514"/>
      <c r="V113" s="1514"/>
      <c r="W113" s="1514"/>
      <c r="X113" s="1514"/>
      <c r="Y113" s="1514"/>
      <c r="Z113" s="1514"/>
      <c r="AA113" s="1514"/>
      <c r="AB113" s="1514"/>
      <c r="AC113" s="1514"/>
      <c r="AD113" s="1514"/>
    </row>
    <row r="114" spans="1:30" ht="15" customHeight="1" x14ac:dyDescent="0.3">
      <c r="A114" s="1522" t="s">
        <v>371</v>
      </c>
      <c r="B114" s="2426"/>
      <c r="C114" s="1641" t="s">
        <v>119</v>
      </c>
      <c r="D114" s="1607"/>
      <c r="E114" s="1638">
        <f>+'Emission Factors'!J93</f>
        <v>0.2142</v>
      </c>
      <c r="F114" s="1673">
        <f t="shared" si="13"/>
        <v>0</v>
      </c>
      <c r="G114" s="1631"/>
      <c r="H114" s="1631"/>
      <c r="I114" s="2511"/>
      <c r="J114" s="2512"/>
      <c r="K114" s="2513"/>
      <c r="L114" s="1581" t="str">
        <f t="shared" si="3"/>
        <v/>
      </c>
      <c r="M114" s="1514"/>
      <c r="N114" s="1514"/>
      <c r="O114" s="1514"/>
      <c r="P114" s="1514"/>
      <c r="Q114" s="1514"/>
      <c r="R114" s="1514"/>
      <c r="S114" s="1514"/>
      <c r="T114" s="1514"/>
      <c r="U114" s="1514"/>
      <c r="V114" s="1514"/>
      <c r="W114" s="1514"/>
      <c r="X114" s="1514"/>
      <c r="Y114" s="1514"/>
      <c r="Z114" s="1514"/>
      <c r="AA114" s="1514"/>
      <c r="AB114" s="1514"/>
      <c r="AC114" s="1514"/>
      <c r="AD114" s="1514"/>
    </row>
    <row r="115" spans="1:30" ht="15" customHeight="1" x14ac:dyDescent="0.3">
      <c r="A115" s="1522" t="s">
        <v>371</v>
      </c>
      <c r="B115" s="2426"/>
      <c r="C115" s="1641" t="s">
        <v>120</v>
      </c>
      <c r="D115" s="1607"/>
      <c r="E115" s="1638">
        <f>+'Emission Factors'!J94</f>
        <v>0.12007</v>
      </c>
      <c r="F115" s="1673">
        <f t="shared" si="13"/>
        <v>0</v>
      </c>
      <c r="G115" s="1631"/>
      <c r="H115" s="1631"/>
      <c r="I115" s="2511"/>
      <c r="J115" s="2512"/>
      <c r="K115" s="2513"/>
      <c r="L115" s="1581" t="str">
        <f t="shared" si="3"/>
        <v/>
      </c>
      <c r="M115" s="1514"/>
      <c r="N115" s="1514"/>
      <c r="O115" s="1514"/>
      <c r="P115" s="1514"/>
      <c r="Q115" s="1514"/>
      <c r="R115" s="1514"/>
      <c r="S115" s="1514"/>
      <c r="T115" s="1514"/>
      <c r="U115" s="1514"/>
      <c r="V115" s="1514"/>
      <c r="W115" s="1514"/>
      <c r="X115" s="1514"/>
      <c r="Y115" s="1514"/>
      <c r="Z115" s="1514"/>
      <c r="AA115" s="1514"/>
      <c r="AB115" s="1514"/>
      <c r="AC115" s="1514"/>
      <c r="AD115" s="1514"/>
    </row>
    <row r="116" spans="1:30" ht="15" customHeight="1" x14ac:dyDescent="0.3">
      <c r="A116" s="1522" t="s">
        <v>371</v>
      </c>
      <c r="B116" s="2426"/>
      <c r="C116" s="1641" t="s">
        <v>121</v>
      </c>
      <c r="D116" s="1607"/>
      <c r="E116" s="1638">
        <f>+'Emission Factors'!J95</f>
        <v>7.2110000000000007E-2</v>
      </c>
      <c r="F116" s="1673">
        <f t="shared" si="13"/>
        <v>0</v>
      </c>
      <c r="G116" s="1631"/>
      <c r="H116" s="1631"/>
      <c r="I116" s="2511"/>
      <c r="J116" s="2512"/>
      <c r="K116" s="2513"/>
      <c r="L116" s="1581" t="str">
        <f t="shared" si="3"/>
        <v/>
      </c>
      <c r="M116" s="1514"/>
      <c r="N116" s="1514"/>
      <c r="O116" s="1514"/>
      <c r="P116" s="1514"/>
      <c r="Q116" s="1514"/>
      <c r="R116" s="1514"/>
      <c r="S116" s="1514"/>
      <c r="T116" s="1514"/>
      <c r="U116" s="1514"/>
      <c r="V116" s="1514"/>
      <c r="W116" s="1514"/>
      <c r="X116" s="1514"/>
      <c r="Y116" s="1514"/>
      <c r="Z116" s="1514"/>
      <c r="AA116" s="1514"/>
      <c r="AB116" s="1514"/>
      <c r="AC116" s="1514"/>
      <c r="AD116" s="1514"/>
    </row>
    <row r="117" spans="1:30" ht="15" customHeight="1" x14ac:dyDescent="0.3">
      <c r="A117" s="1522" t="s">
        <v>371</v>
      </c>
      <c r="B117" s="2426"/>
      <c r="C117" s="1641" t="s">
        <v>122</v>
      </c>
      <c r="D117" s="1607"/>
      <c r="E117" s="1638">
        <f>+'Emission Factors'!J96</f>
        <v>0.10097</v>
      </c>
      <c r="F117" s="1673">
        <f t="shared" si="13"/>
        <v>0</v>
      </c>
      <c r="G117" s="1631"/>
      <c r="H117" s="1631"/>
      <c r="I117" s="2511"/>
      <c r="J117" s="2512"/>
      <c r="K117" s="2513"/>
      <c r="L117" s="1581" t="str">
        <f t="shared" si="3"/>
        <v/>
      </c>
      <c r="M117" s="1514"/>
      <c r="N117" s="1514"/>
      <c r="O117" s="1514"/>
      <c r="P117" s="1514"/>
      <c r="Q117" s="1514"/>
      <c r="R117" s="1514"/>
      <c r="S117" s="1514"/>
      <c r="T117" s="1514"/>
      <c r="U117" s="1514"/>
      <c r="V117" s="1514"/>
      <c r="W117" s="1514"/>
      <c r="X117" s="1514"/>
      <c r="Y117" s="1514"/>
      <c r="Z117" s="1514"/>
      <c r="AA117" s="1514"/>
      <c r="AB117" s="1514"/>
      <c r="AC117" s="1514"/>
      <c r="AD117" s="1514"/>
    </row>
    <row r="118" spans="1:30" ht="15" customHeight="1" x14ac:dyDescent="0.3">
      <c r="A118" s="1522" t="s">
        <v>371</v>
      </c>
      <c r="B118" s="2426"/>
      <c r="C118" s="1641" t="s">
        <v>123</v>
      </c>
      <c r="D118" s="1607"/>
      <c r="E118" s="1638">
        <f>+'Emission Factors'!J97</f>
        <v>2.801E-2</v>
      </c>
      <c r="F118" s="1673">
        <f t="shared" si="13"/>
        <v>0</v>
      </c>
      <c r="G118" s="1631"/>
      <c r="H118" s="1631"/>
      <c r="I118" s="2511"/>
      <c r="J118" s="2512"/>
      <c r="K118" s="2513"/>
      <c r="L118" s="1581" t="str">
        <f t="shared" si="3"/>
        <v/>
      </c>
      <c r="M118" s="1514"/>
      <c r="N118" s="1514"/>
      <c r="O118" s="1514"/>
      <c r="P118" s="1514"/>
      <c r="Q118" s="1514"/>
      <c r="R118" s="1514"/>
      <c r="S118" s="1514"/>
      <c r="T118" s="1514"/>
      <c r="U118" s="1514"/>
      <c r="V118" s="1514"/>
      <c r="W118" s="1514"/>
      <c r="X118" s="1514"/>
      <c r="Y118" s="1514"/>
      <c r="Z118" s="1514"/>
      <c r="AA118" s="1514"/>
      <c r="AB118" s="1514"/>
      <c r="AC118" s="1514"/>
      <c r="AD118" s="1514"/>
    </row>
    <row r="119" spans="1:30" ht="15" customHeight="1" x14ac:dyDescent="0.3">
      <c r="A119" s="1522" t="s">
        <v>371</v>
      </c>
      <c r="B119" s="2426"/>
      <c r="C119" s="1566" t="s">
        <v>410</v>
      </c>
      <c r="D119" s="1607"/>
      <c r="E119" s="1668"/>
      <c r="F119" s="1673">
        <f t="shared" si="13"/>
        <v>0</v>
      </c>
      <c r="G119" s="1631"/>
      <c r="H119" s="1631"/>
      <c r="I119" s="2511"/>
      <c r="J119" s="2512"/>
      <c r="K119" s="2513"/>
      <c r="L119" s="1581" t="str">
        <f t="shared" si="3"/>
        <v/>
      </c>
      <c r="M119" s="1514"/>
      <c r="N119" s="1514"/>
      <c r="O119" s="1514"/>
      <c r="P119" s="1514"/>
      <c r="Q119" s="1514"/>
      <c r="R119" s="1514"/>
      <c r="S119" s="1514"/>
      <c r="T119" s="1514"/>
      <c r="U119" s="1514"/>
      <c r="V119" s="1514"/>
      <c r="W119" s="1514"/>
      <c r="X119" s="1514"/>
      <c r="Y119" s="1514"/>
      <c r="Z119" s="1514"/>
      <c r="AA119" s="1514"/>
      <c r="AB119" s="1514"/>
      <c r="AC119" s="1514"/>
      <c r="AD119" s="1514"/>
    </row>
    <row r="120" spans="1:30" ht="15" customHeight="1" x14ac:dyDescent="0.3">
      <c r="A120" s="1522" t="s">
        <v>371</v>
      </c>
      <c r="B120" s="2426"/>
      <c r="C120" s="1566" t="s">
        <v>411</v>
      </c>
      <c r="D120" s="1607"/>
      <c r="E120" s="1668"/>
      <c r="F120" s="1673">
        <f t="shared" si="13"/>
        <v>0</v>
      </c>
      <c r="G120" s="1631"/>
      <c r="H120" s="1631"/>
      <c r="I120" s="2511"/>
      <c r="J120" s="2512"/>
      <c r="K120" s="2513"/>
      <c r="L120" s="1581" t="str">
        <f t="shared" si="3"/>
        <v/>
      </c>
      <c r="M120" s="1514"/>
      <c r="N120" s="1514"/>
      <c r="O120" s="1514"/>
      <c r="P120" s="1514"/>
      <c r="Q120" s="1514"/>
      <c r="R120" s="1514"/>
      <c r="S120" s="1514"/>
      <c r="T120" s="1514"/>
      <c r="U120" s="1514"/>
      <c r="V120" s="1514"/>
      <c r="W120" s="1514"/>
      <c r="X120" s="1514"/>
      <c r="Y120" s="1514"/>
      <c r="Z120" s="1514"/>
      <c r="AA120" s="1514"/>
      <c r="AB120" s="1514"/>
      <c r="AC120" s="1514"/>
      <c r="AD120" s="1514"/>
    </row>
    <row r="121" spans="1:30" ht="15" customHeight="1" thickBot="1" x14ac:dyDescent="0.35">
      <c r="A121" s="1522" t="s">
        <v>371</v>
      </c>
      <c r="B121" s="2426"/>
      <c r="C121" s="1566" t="s">
        <v>412</v>
      </c>
      <c r="D121" s="1816"/>
      <c r="E121" s="1817"/>
      <c r="F121" s="1818">
        <f t="shared" si="13"/>
        <v>0</v>
      </c>
      <c r="G121" s="1631"/>
      <c r="H121" s="1631"/>
      <c r="I121" s="2544"/>
      <c r="J121" s="2545"/>
      <c r="K121" s="2546"/>
      <c r="L121" s="1778" t="str">
        <f t="shared" si="3"/>
        <v/>
      </c>
      <c r="M121" s="1514"/>
      <c r="N121" s="1514"/>
      <c r="O121" s="1514"/>
      <c r="P121" s="1514"/>
      <c r="Q121" s="1514"/>
      <c r="R121" s="1514"/>
      <c r="S121" s="1514"/>
      <c r="T121" s="1514"/>
      <c r="U121" s="1514"/>
      <c r="V121" s="1514"/>
      <c r="W121" s="1514"/>
      <c r="X121" s="1514"/>
      <c r="Y121" s="1514"/>
      <c r="Z121" s="1514"/>
      <c r="AA121" s="1514"/>
      <c r="AB121" s="1514"/>
      <c r="AC121" s="1514"/>
      <c r="AD121" s="1514"/>
    </row>
    <row r="122" spans="1:30" ht="14.4" thickBot="1" x14ac:dyDescent="0.35">
      <c r="A122" s="1522"/>
      <c r="B122" s="1674" t="s">
        <v>406</v>
      </c>
      <c r="C122" s="1675" t="s">
        <v>405</v>
      </c>
      <c r="D122" s="1623"/>
      <c r="E122" s="1676">
        <v>0</v>
      </c>
      <c r="F122" s="1676"/>
      <c r="G122" s="1677"/>
      <c r="H122" s="1678"/>
      <c r="I122" s="2547"/>
      <c r="J122" s="2548"/>
      <c r="K122" s="2549"/>
      <c r="L122" s="1560" t="str">
        <f t="shared" si="3"/>
        <v/>
      </c>
      <c r="M122" s="1514"/>
      <c r="N122" s="1514"/>
      <c r="O122" s="1514"/>
      <c r="P122" s="1514"/>
      <c r="Q122" s="1514"/>
      <c r="R122" s="1514"/>
      <c r="S122" s="1514"/>
      <c r="T122" s="1514"/>
      <c r="U122" s="1514"/>
      <c r="V122" s="1514"/>
      <c r="W122" s="1514"/>
      <c r="X122" s="1514"/>
      <c r="Y122" s="1514"/>
      <c r="Z122" s="1514"/>
      <c r="AA122" s="1514"/>
      <c r="AB122" s="1514"/>
      <c r="AC122" s="1514"/>
      <c r="AD122" s="1514"/>
    </row>
    <row r="123" spans="1:30" ht="13.5" customHeight="1" thickBot="1" x14ac:dyDescent="0.35">
      <c r="A123" s="1522"/>
      <c r="B123" s="1679" t="s">
        <v>124</v>
      </c>
      <c r="C123" s="1680"/>
      <c r="D123" s="1681"/>
      <c r="E123" s="1670"/>
      <c r="F123" s="1682">
        <f>+F19+F53+F64+T67+F86+T89+F108</f>
        <v>73793.269271046651</v>
      </c>
      <c r="G123" s="1514"/>
      <c r="H123" s="1514"/>
      <c r="I123" s="1514"/>
      <c r="J123" s="1514"/>
      <c r="K123" s="1514"/>
      <c r="L123" s="1514"/>
      <c r="M123" s="1514"/>
      <c r="N123" s="1514"/>
      <c r="O123" s="1514"/>
      <c r="P123" s="1514"/>
      <c r="Q123" s="1514"/>
      <c r="R123" s="1514"/>
      <c r="S123" s="1514"/>
      <c r="T123" s="1514"/>
      <c r="U123" s="1514"/>
      <c r="V123" s="1514"/>
      <c r="W123" s="1514"/>
      <c r="X123" s="1514"/>
      <c r="Y123" s="1514"/>
      <c r="Z123" s="1514"/>
      <c r="AA123" s="1514"/>
      <c r="AB123" s="1514"/>
      <c r="AC123" s="1514"/>
      <c r="AD123" s="1514"/>
    </row>
    <row r="124" spans="1:30" s="1689" customFormat="1" ht="15" thickBot="1" x14ac:dyDescent="0.35">
      <c r="A124" s="1683"/>
      <c r="B124" s="1684" t="s">
        <v>125</v>
      </c>
      <c r="C124" s="1685"/>
      <c r="D124" s="1685"/>
      <c r="E124" s="1685"/>
      <c r="F124" s="1685"/>
      <c r="G124" s="1685"/>
      <c r="H124" s="1686"/>
      <c r="I124" s="1687"/>
      <c r="J124" s="1688"/>
      <c r="K124" s="1688"/>
      <c r="L124" s="1688"/>
      <c r="M124" s="1688"/>
      <c r="N124" s="1688"/>
      <c r="O124" s="1688"/>
      <c r="P124" s="1688"/>
      <c r="Q124" s="1688"/>
      <c r="R124" s="1688"/>
      <c r="S124" s="1688"/>
      <c r="T124" s="1688"/>
      <c r="U124" s="1688"/>
      <c r="V124" s="1688"/>
      <c r="W124" s="1688"/>
      <c r="X124" s="1688"/>
      <c r="Y124" s="1688"/>
      <c r="Z124" s="1688"/>
      <c r="AA124" s="1688"/>
      <c r="AB124" s="1688"/>
      <c r="AC124" s="1688"/>
      <c r="AD124" s="1688"/>
    </row>
    <row r="125" spans="1:30" ht="15.75" customHeight="1" thickBot="1" x14ac:dyDescent="0.35">
      <c r="A125" s="1522"/>
      <c r="B125" s="1690"/>
      <c r="C125" s="1691"/>
      <c r="D125" s="2550" t="s">
        <v>23</v>
      </c>
      <c r="E125" s="2551"/>
      <c r="F125" s="2552"/>
      <c r="G125" s="1692"/>
      <c r="H125" s="1692"/>
      <c r="I125" s="2553" t="s">
        <v>24</v>
      </c>
      <c r="J125" s="2554"/>
      <c r="K125" s="2555"/>
      <c r="L125" s="1622" t="s">
        <v>408</v>
      </c>
      <c r="M125" s="2419" t="s">
        <v>461</v>
      </c>
      <c r="N125" s="1514"/>
      <c r="O125" s="1514"/>
      <c r="P125" s="1514"/>
      <c r="Q125" s="1514"/>
      <c r="R125" s="1514"/>
      <c r="S125" s="1514"/>
      <c r="T125" s="1514"/>
      <c r="U125" s="1514"/>
      <c r="V125" s="1514"/>
      <c r="W125" s="1514"/>
      <c r="X125" s="1514"/>
      <c r="Y125" s="1514"/>
      <c r="Z125" s="1514"/>
      <c r="AA125" s="1514"/>
      <c r="AB125" s="1514"/>
      <c r="AC125" s="1514"/>
      <c r="AD125" s="1514"/>
    </row>
    <row r="126" spans="1:30" ht="15.75" customHeight="1" thickBot="1" x14ac:dyDescent="0.35">
      <c r="A126" s="1522"/>
      <c r="B126" s="1690"/>
      <c r="C126" s="1691"/>
      <c r="D126" s="1693" t="s">
        <v>81</v>
      </c>
      <c r="E126" s="1819" t="s">
        <v>171</v>
      </c>
      <c r="F126" s="1695" t="s">
        <v>174</v>
      </c>
      <c r="G126" s="1631"/>
      <c r="H126" s="1631"/>
      <c r="I126" s="2556"/>
      <c r="J126" s="2557"/>
      <c r="K126" s="2558"/>
      <c r="L126" s="1696" t="s">
        <v>28</v>
      </c>
      <c r="M126" s="2420"/>
      <c r="N126" s="1514"/>
      <c r="O126" s="1514"/>
      <c r="P126" s="1514"/>
      <c r="Q126" s="1514"/>
      <c r="R126" s="1514"/>
      <c r="S126" s="1514"/>
      <c r="T126" s="1514"/>
      <c r="U126" s="1514"/>
      <c r="V126" s="1514"/>
      <c r="W126" s="1514"/>
      <c r="X126" s="1514"/>
      <c r="Y126" s="1514"/>
      <c r="Z126" s="1514"/>
      <c r="AA126" s="1514"/>
      <c r="AB126" s="1514"/>
      <c r="AC126" s="1514"/>
      <c r="AD126" s="1514"/>
    </row>
    <row r="127" spans="1:30" ht="13.5" customHeight="1" thickBot="1" x14ac:dyDescent="0.35">
      <c r="A127" s="1522"/>
      <c r="B127" s="1697" t="s">
        <v>126</v>
      </c>
      <c r="C127" s="1698"/>
      <c r="D127" s="1699">
        <f>SUM(D128:D136)</f>
        <v>967366.96932884958</v>
      </c>
      <c r="E127" s="1700"/>
      <c r="F127" s="1701">
        <f>SUM(F128:F136)</f>
        <v>91.991988059154792</v>
      </c>
      <c r="G127" s="1631"/>
      <c r="H127" s="1631"/>
      <c r="I127" s="2556"/>
      <c r="J127" s="2557"/>
      <c r="K127" s="2558"/>
      <c r="L127" s="1702">
        <f>SUM(L128:L136)</f>
        <v>191.70341934944707</v>
      </c>
      <c r="M127" s="1560" t="str">
        <f>IF(D127&lt;0,"Error - Negative number","")</f>
        <v/>
      </c>
      <c r="N127" s="1514"/>
      <c r="O127" s="1514"/>
      <c r="P127" s="1514"/>
      <c r="Q127" s="1514"/>
      <c r="R127" s="1514"/>
      <c r="S127" s="1514"/>
      <c r="T127" s="1514"/>
      <c r="U127" s="1514"/>
      <c r="V127" s="1514"/>
      <c r="W127" s="1514"/>
      <c r="X127" s="1514"/>
      <c r="Y127" s="1514"/>
      <c r="Z127" s="1514"/>
      <c r="AA127" s="1514"/>
      <c r="AB127" s="1514"/>
      <c r="AC127" s="1514"/>
      <c r="AD127" s="1514"/>
    </row>
    <row r="128" spans="1:30" ht="15" customHeight="1" x14ac:dyDescent="0.3">
      <c r="A128" s="1522" t="s">
        <v>373</v>
      </c>
      <c r="B128" s="1703" t="s">
        <v>127</v>
      </c>
      <c r="C128" s="1704"/>
      <c r="D128" s="1705"/>
      <c r="E128" s="1672">
        <f>+'Emission Factors'!J107</f>
        <v>8.5839999999999986E-2</v>
      </c>
      <c r="F128" s="1706">
        <f>(D128*E128)/1000</f>
        <v>0</v>
      </c>
      <c r="G128" s="1631"/>
      <c r="H128" s="1631"/>
      <c r="I128" s="2559"/>
      <c r="J128" s="2560"/>
      <c r="K128" s="2561"/>
      <c r="L128" s="1707">
        <f>+F128*2.09</f>
        <v>0</v>
      </c>
      <c r="M128" s="1572" t="str">
        <f t="shared" ref="M128:M136" si="14">IF(D128&lt;0,"Error - Negative number","")</f>
        <v/>
      </c>
      <c r="N128" s="1514"/>
      <c r="O128" s="1514"/>
      <c r="P128" s="1514"/>
      <c r="Q128" s="1514"/>
      <c r="R128" s="1514"/>
      <c r="S128" s="1514"/>
      <c r="T128" s="1514"/>
      <c r="U128" s="1514"/>
      <c r="V128" s="1514"/>
      <c r="W128" s="1514"/>
      <c r="X128" s="1514"/>
      <c r="Y128" s="1514"/>
      <c r="Z128" s="1514"/>
      <c r="AA128" s="1514"/>
      <c r="AB128" s="1514"/>
      <c r="AC128" s="1514"/>
      <c r="AD128" s="1514"/>
    </row>
    <row r="129" spans="1:30" ht="15.75" customHeight="1" x14ac:dyDescent="0.3">
      <c r="A129" s="1522" t="s">
        <v>373</v>
      </c>
      <c r="B129" s="1708" t="s">
        <v>128</v>
      </c>
      <c r="C129" s="1709"/>
      <c r="D129" s="1710">
        <v>436696.24407958984</v>
      </c>
      <c r="E129" s="1638">
        <f>+'Emission Factors'!J108</f>
        <v>8.4429999999999991E-2</v>
      </c>
      <c r="F129" s="1711">
        <f t="shared" ref="F129:F136" si="15">(D129*E129)/1000</f>
        <v>36.870263887639766</v>
      </c>
      <c r="G129" s="1631"/>
      <c r="H129" s="1631"/>
      <c r="I129" s="2562"/>
      <c r="J129" s="2563"/>
      <c r="K129" s="2564"/>
      <c r="L129" s="1712">
        <f t="shared" ref="L129:L135" si="16">+F129*2.09</f>
        <v>77.0588515251671</v>
      </c>
      <c r="M129" s="1581" t="str">
        <f t="shared" si="14"/>
        <v/>
      </c>
      <c r="N129" s="1514"/>
      <c r="O129" s="1514"/>
      <c r="P129" s="1514"/>
      <c r="Q129" s="1514"/>
      <c r="R129" s="1514"/>
      <c r="S129" s="1514"/>
      <c r="T129" s="1514"/>
      <c r="U129" s="1514"/>
      <c r="V129" s="1514"/>
      <c r="W129" s="1514"/>
      <c r="X129" s="1514"/>
      <c r="Y129" s="1514"/>
      <c r="Z129" s="1514"/>
      <c r="AA129" s="1514"/>
      <c r="AB129" s="1514"/>
      <c r="AC129" s="1514"/>
      <c r="AD129" s="1514"/>
    </row>
    <row r="130" spans="1:30" ht="15" customHeight="1" x14ac:dyDescent="0.3">
      <c r="A130" s="1522" t="s">
        <v>373</v>
      </c>
      <c r="B130" s="1708" t="s">
        <v>129</v>
      </c>
      <c r="C130" s="1709"/>
      <c r="D130" s="1710">
        <v>35264.453308105469</v>
      </c>
      <c r="E130" s="1638">
        <f>+'Emission Factors'!J109</f>
        <v>0.12665000000000001</v>
      </c>
      <c r="F130" s="1711">
        <f t="shared" si="15"/>
        <v>4.4662430114715583</v>
      </c>
      <c r="G130" s="1631"/>
      <c r="H130" s="1631"/>
      <c r="I130" s="2562"/>
      <c r="J130" s="2563"/>
      <c r="K130" s="2564"/>
      <c r="L130" s="1712">
        <f t="shared" si="16"/>
        <v>9.3344478939755557</v>
      </c>
      <c r="M130" s="1581" t="str">
        <f t="shared" si="14"/>
        <v/>
      </c>
      <c r="N130" s="1514"/>
      <c r="O130" s="1514"/>
      <c r="P130" s="1514"/>
      <c r="Q130" s="1514"/>
      <c r="R130" s="1514"/>
      <c r="S130" s="1514"/>
      <c r="T130" s="1514"/>
      <c r="U130" s="1514"/>
      <c r="V130" s="1514"/>
      <c r="W130" s="1514"/>
      <c r="X130" s="1514"/>
      <c r="Y130" s="1514"/>
      <c r="Z130" s="1514"/>
      <c r="AA130" s="1514"/>
      <c r="AB130" s="1514"/>
      <c r="AC130" s="1514"/>
      <c r="AD130" s="1514"/>
    </row>
    <row r="131" spans="1:30" ht="15.75" customHeight="1" x14ac:dyDescent="0.3">
      <c r="A131" s="1522" t="s">
        <v>373</v>
      </c>
      <c r="B131" s="1708" t="s">
        <v>130</v>
      </c>
      <c r="C131" s="1709"/>
      <c r="D131" s="1710"/>
      <c r="E131" s="1638">
        <f>+'Emission Factors'!J110</f>
        <v>0.11237</v>
      </c>
      <c r="F131" s="1711">
        <f t="shared" si="15"/>
        <v>0</v>
      </c>
      <c r="G131" s="1631"/>
      <c r="H131" s="1631"/>
      <c r="I131" s="2562"/>
      <c r="J131" s="2563"/>
      <c r="K131" s="2564"/>
      <c r="L131" s="1712">
        <f t="shared" si="16"/>
        <v>0</v>
      </c>
      <c r="M131" s="1581" t="str">
        <f t="shared" si="14"/>
        <v/>
      </c>
      <c r="N131" s="1514"/>
      <c r="O131" s="1514"/>
      <c r="P131" s="1514"/>
      <c r="Q131" s="1514"/>
      <c r="R131" s="1514"/>
      <c r="S131" s="1514"/>
      <c r="T131" s="1514"/>
      <c r="U131" s="1514"/>
      <c r="V131" s="1514"/>
      <c r="W131" s="1514"/>
      <c r="X131" s="1514"/>
      <c r="Y131" s="1514"/>
      <c r="Z131" s="1514"/>
      <c r="AA131" s="1514"/>
      <c r="AB131" s="1514"/>
      <c r="AC131" s="1514"/>
      <c r="AD131" s="1514"/>
    </row>
    <row r="132" spans="1:30" ht="15" customHeight="1" x14ac:dyDescent="0.3">
      <c r="A132" s="1522" t="s">
        <v>373</v>
      </c>
      <c r="B132" s="1708" t="s">
        <v>131</v>
      </c>
      <c r="C132" s="1709"/>
      <c r="D132" s="1710">
        <v>362971.0927734375</v>
      </c>
      <c r="E132" s="1638">
        <f>+'Emission Factors'!J111</f>
        <v>8.6070000000000008E-2</v>
      </c>
      <c r="F132" s="1711">
        <f t="shared" si="15"/>
        <v>31.240921955009771</v>
      </c>
      <c r="G132" s="1631"/>
      <c r="H132" s="1631"/>
      <c r="I132" s="2562"/>
      <c r="J132" s="2563"/>
      <c r="K132" s="2564"/>
      <c r="L132" s="1712">
        <f t="shared" si="16"/>
        <v>65.293526885970422</v>
      </c>
      <c r="M132" s="1581" t="str">
        <f t="shared" si="14"/>
        <v/>
      </c>
      <c r="N132" s="1514"/>
      <c r="O132" s="1514"/>
      <c r="P132" s="1514"/>
      <c r="Q132" s="1514"/>
      <c r="R132" s="1514"/>
      <c r="S132" s="1514"/>
      <c r="T132" s="1514"/>
      <c r="U132" s="1514"/>
      <c r="V132" s="1514"/>
      <c r="W132" s="1514"/>
      <c r="X132" s="1514"/>
      <c r="Y132" s="1514"/>
      <c r="Z132" s="1514"/>
      <c r="AA132" s="1514"/>
      <c r="AB132" s="1514"/>
      <c r="AC132" s="1514"/>
      <c r="AD132" s="1514"/>
    </row>
    <row r="133" spans="1:30" ht="15.75" customHeight="1" x14ac:dyDescent="0.3">
      <c r="A133" s="1522" t="s">
        <v>373</v>
      </c>
      <c r="B133" s="1708" t="s">
        <v>132</v>
      </c>
      <c r="C133" s="1709"/>
      <c r="D133" s="1710">
        <v>75558.638671875</v>
      </c>
      <c r="E133" s="1638">
        <f>+'Emission Factors'!J112</f>
        <v>0.13770000000000002</v>
      </c>
      <c r="F133" s="1711">
        <f t="shared" si="15"/>
        <v>10.404424545117188</v>
      </c>
      <c r="G133" s="1631"/>
      <c r="H133" s="1631"/>
      <c r="I133" s="2562"/>
      <c r="J133" s="2563"/>
      <c r="K133" s="2564"/>
      <c r="L133" s="1712">
        <f t="shared" si="16"/>
        <v>21.74524729929492</v>
      </c>
      <c r="M133" s="1581" t="str">
        <f t="shared" si="14"/>
        <v/>
      </c>
      <c r="N133" s="1514"/>
      <c r="O133" s="1514"/>
      <c r="P133" s="1514"/>
      <c r="Q133" s="1514"/>
      <c r="R133" s="1514"/>
      <c r="S133" s="1514"/>
      <c r="T133" s="1514"/>
      <c r="U133" s="1514"/>
      <c r="V133" s="1514"/>
      <c r="W133" s="1514"/>
      <c r="X133" s="1514"/>
      <c r="Y133" s="1514"/>
      <c r="Z133" s="1514"/>
      <c r="AA133" s="1514"/>
      <c r="AB133" s="1514"/>
      <c r="AC133" s="1514"/>
      <c r="AD133" s="1514"/>
    </row>
    <row r="134" spans="1:30" ht="15" customHeight="1" x14ac:dyDescent="0.3">
      <c r="A134" s="1522" t="s">
        <v>373</v>
      </c>
      <c r="B134" s="1708" t="s">
        <v>133</v>
      </c>
      <c r="C134" s="1709"/>
      <c r="D134" s="1710">
        <v>35027.9296875</v>
      </c>
      <c r="E134" s="1638">
        <f>+'Emission Factors'!J113</f>
        <v>0.24958</v>
      </c>
      <c r="F134" s="1711">
        <f t="shared" si="15"/>
        <v>8.7422706914062491</v>
      </c>
      <c r="G134" s="1631"/>
      <c r="H134" s="1631"/>
      <c r="I134" s="2562"/>
      <c r="J134" s="2563"/>
      <c r="K134" s="2564"/>
      <c r="L134" s="1712">
        <f t="shared" si="16"/>
        <v>18.27134574503906</v>
      </c>
      <c r="M134" s="1581" t="str">
        <f t="shared" si="14"/>
        <v/>
      </c>
      <c r="N134" s="1514"/>
      <c r="O134" s="1514"/>
      <c r="P134" s="1514"/>
      <c r="Q134" s="1514"/>
      <c r="R134" s="1514"/>
      <c r="S134" s="1514"/>
      <c r="T134" s="1514"/>
      <c r="U134" s="1514"/>
      <c r="V134" s="1514"/>
      <c r="W134" s="1514"/>
      <c r="X134" s="1514"/>
      <c r="Y134" s="1514"/>
      <c r="Z134" s="1514"/>
      <c r="AA134" s="1514"/>
      <c r="AB134" s="1514"/>
      <c r="AC134" s="1514"/>
      <c r="AD134" s="1514"/>
    </row>
    <row r="135" spans="1:30" ht="15.75" customHeight="1" thickBot="1" x14ac:dyDescent="0.35">
      <c r="A135" s="1522" t="s">
        <v>373</v>
      </c>
      <c r="B135" s="1708" t="s">
        <v>134</v>
      </c>
      <c r="C135" s="1709"/>
      <c r="D135" s="1710"/>
      <c r="E135" s="1638">
        <f>+'Emission Factors'!J114</f>
        <v>0.34425000000000006</v>
      </c>
      <c r="F135" s="1711">
        <f>(D135*E135)/1000</f>
        <v>0</v>
      </c>
      <c r="G135" s="1631"/>
      <c r="H135" s="1631"/>
      <c r="I135" s="2562"/>
      <c r="J135" s="2563"/>
      <c r="K135" s="2564"/>
      <c r="L135" s="1713">
        <f t="shared" si="16"/>
        <v>0</v>
      </c>
      <c r="M135" s="1581" t="str">
        <f t="shared" si="14"/>
        <v/>
      </c>
      <c r="N135" s="1514"/>
      <c r="O135" s="1514"/>
      <c r="P135" s="1514"/>
      <c r="Q135" s="1514"/>
      <c r="R135" s="1514"/>
      <c r="S135" s="1514"/>
      <c r="T135" s="1514"/>
      <c r="U135" s="1514"/>
      <c r="V135" s="1514"/>
      <c r="W135" s="1514"/>
      <c r="X135" s="1514"/>
      <c r="Y135" s="1514"/>
      <c r="Z135" s="1514"/>
      <c r="AA135" s="1514"/>
      <c r="AB135" s="1514"/>
      <c r="AC135" s="1514"/>
      <c r="AD135" s="1514"/>
    </row>
    <row r="136" spans="1:30" ht="15" customHeight="1" thickBot="1" x14ac:dyDescent="0.35">
      <c r="A136" s="1522" t="s">
        <v>373</v>
      </c>
      <c r="B136" s="1714" t="s">
        <v>135</v>
      </c>
      <c r="C136" s="1715"/>
      <c r="D136" s="1716">
        <v>21848.610808341735</v>
      </c>
      <c r="E136" s="1717">
        <f>+'Emission Factors'!J115</f>
        <v>1.2260000000000002E-2</v>
      </c>
      <c r="F136" s="1718">
        <f t="shared" si="15"/>
        <v>0.26786396851026972</v>
      </c>
      <c r="G136" s="1719"/>
      <c r="H136" s="1719"/>
      <c r="I136" s="2565"/>
      <c r="J136" s="2566"/>
      <c r="K136" s="2567"/>
      <c r="L136" s="1514"/>
      <c r="M136" s="1618" t="str">
        <f t="shared" si="14"/>
        <v/>
      </c>
      <c r="N136" s="1514"/>
      <c r="O136" s="1514"/>
      <c r="P136" s="1514"/>
      <c r="Q136" s="1514"/>
      <c r="R136" s="1514"/>
      <c r="S136" s="1514"/>
      <c r="T136" s="1514"/>
      <c r="U136" s="1514"/>
      <c r="V136" s="1514"/>
      <c r="W136" s="1514"/>
      <c r="X136" s="1514"/>
      <c r="Y136" s="1514"/>
      <c r="Z136" s="1514"/>
      <c r="AA136" s="1514"/>
      <c r="AB136" s="1514"/>
      <c r="AC136" s="1514"/>
      <c r="AD136" s="1514"/>
    </row>
    <row r="137" spans="1:30" ht="15" customHeight="1" x14ac:dyDescent="0.3">
      <c r="A137" s="1514"/>
      <c r="B137" s="1720" t="s">
        <v>407</v>
      </c>
      <c r="C137" s="1721"/>
      <c r="D137" s="1722"/>
      <c r="E137" s="1723"/>
      <c r="F137" s="1724"/>
      <c r="G137" s="1724"/>
      <c r="H137" s="1724"/>
      <c r="I137" s="1725"/>
      <c r="J137" s="1725"/>
      <c r="K137" s="1725"/>
      <c r="L137" s="1726"/>
      <c r="M137" s="1727"/>
      <c r="N137" s="1514"/>
      <c r="O137" s="1514"/>
      <c r="P137" s="1514"/>
      <c r="Q137" s="1514"/>
      <c r="R137" s="1514"/>
      <c r="S137" s="1514"/>
      <c r="T137" s="1514"/>
      <c r="U137" s="1514"/>
      <c r="V137" s="1514"/>
      <c r="W137" s="1514"/>
      <c r="X137" s="1514"/>
      <c r="Y137" s="1514"/>
      <c r="Z137" s="1514"/>
      <c r="AA137" s="1514"/>
      <c r="AB137" s="1514"/>
      <c r="AC137" s="1514"/>
      <c r="AD137" s="1514"/>
    </row>
    <row r="138" spans="1:30" s="1550" customFormat="1" ht="23.4" x14ac:dyDescent="0.3">
      <c r="A138" s="1529"/>
      <c r="B138" s="1530" t="s">
        <v>136</v>
      </c>
      <c r="C138" s="1547"/>
      <c r="D138" s="2387" t="str">
        <f>+$A$1</f>
        <v>Quarter 1 - 2018-2019</v>
      </c>
      <c r="E138" s="2387"/>
      <c r="F138" s="2387"/>
      <c r="G138" s="2387"/>
      <c r="H138" s="2387"/>
      <c r="I138" s="2387"/>
      <c r="J138" s="2387"/>
      <c r="K138" s="1548"/>
      <c r="L138" s="1548"/>
      <c r="M138" s="1548"/>
      <c r="N138" s="1548"/>
      <c r="O138" s="1548"/>
      <c r="P138" s="1548"/>
      <c r="Q138" s="1548"/>
      <c r="R138" s="1548"/>
      <c r="S138" s="1548"/>
      <c r="T138" s="1548"/>
      <c r="U138" s="1548"/>
      <c r="V138" s="1548"/>
      <c r="W138" s="1548"/>
      <c r="X138" s="1548"/>
      <c r="Y138" s="1549"/>
      <c r="Z138" s="1549"/>
      <c r="AA138" s="1549"/>
      <c r="AB138" s="1549"/>
      <c r="AC138" s="1549"/>
      <c r="AD138" s="1549"/>
    </row>
    <row r="139" spans="1:30" ht="15" customHeight="1" thickBot="1" x14ac:dyDescent="0.35">
      <c r="A139" s="1522"/>
      <c r="B139" s="1534" t="s">
        <v>137</v>
      </c>
      <c r="C139" s="1721"/>
      <c r="D139" s="1722"/>
      <c r="E139" s="1723"/>
      <c r="F139" s="1724"/>
      <c r="G139" s="1724"/>
      <c r="H139" s="1724"/>
      <c r="I139" s="1725"/>
      <c r="J139" s="1725"/>
      <c r="K139" s="1725"/>
      <c r="L139" s="1514"/>
      <c r="M139" s="1514"/>
      <c r="N139" s="1514"/>
      <c r="O139" s="1514"/>
      <c r="P139" s="1514"/>
      <c r="Q139" s="1514"/>
      <c r="R139" s="1514"/>
      <c r="S139" s="1514"/>
      <c r="T139" s="1514"/>
      <c r="U139" s="1514"/>
      <c r="V139" s="1514"/>
      <c r="W139" s="1514"/>
      <c r="X139" s="1514"/>
      <c r="Y139" s="1514"/>
      <c r="Z139" s="1514"/>
      <c r="AA139" s="1514"/>
      <c r="AB139" s="1514"/>
      <c r="AC139" s="1514"/>
      <c r="AD139" s="1514"/>
    </row>
    <row r="140" spans="1:30" ht="30.75" customHeight="1" thickBot="1" x14ac:dyDescent="0.35">
      <c r="A140" s="1522"/>
      <c r="B140" s="1514"/>
      <c r="C140" s="1514"/>
      <c r="D140" s="1728"/>
      <c r="E140" s="1721"/>
      <c r="F140" s="1729" t="s">
        <v>23</v>
      </c>
      <c r="G140" s="1730"/>
      <c r="H140" s="1731" t="s">
        <v>144</v>
      </c>
      <c r="I140" s="2568" t="s">
        <v>24</v>
      </c>
      <c r="J140" s="2569"/>
      <c r="K140" s="2570"/>
      <c r="L140" s="1514"/>
      <c r="M140" s="1514"/>
      <c r="N140" s="1514"/>
      <c r="O140" s="1725"/>
      <c r="P140" s="1514"/>
      <c r="Q140" s="1514"/>
      <c r="R140" s="1514"/>
      <c r="S140" s="1514"/>
      <c r="T140" s="1514"/>
      <c r="U140" s="1514"/>
      <c r="V140" s="1514"/>
      <c r="W140" s="1514"/>
      <c r="X140" s="1514"/>
      <c r="Y140" s="1514"/>
      <c r="Z140" s="1514"/>
      <c r="AA140" s="1514"/>
      <c r="AB140" s="1514"/>
      <c r="AC140" s="1514"/>
      <c r="AD140" s="1514"/>
    </row>
    <row r="141" spans="1:30" ht="15" customHeight="1" thickBot="1" x14ac:dyDescent="0.35">
      <c r="A141" s="1522"/>
      <c r="B141" s="1514"/>
      <c r="C141" s="1514"/>
      <c r="D141" s="1534" t="str">
        <f>IF(D33&gt;0,"Please add F7 to relevant to total for relevant scope","")</f>
        <v/>
      </c>
      <c r="E141" s="1721"/>
      <c r="F141" s="1620" t="s">
        <v>28</v>
      </c>
      <c r="G141" s="1730"/>
      <c r="H141" s="1555" t="s">
        <v>28</v>
      </c>
      <c r="I141" s="2571"/>
      <c r="J141" s="2572"/>
      <c r="K141" s="2573"/>
      <c r="L141" s="1514"/>
      <c r="M141" s="1514"/>
      <c r="N141" s="1514"/>
      <c r="O141" s="1725"/>
      <c r="P141" s="1514"/>
      <c r="Q141" s="1514"/>
      <c r="R141" s="1514"/>
      <c r="S141" s="1514"/>
      <c r="T141" s="1514"/>
      <c r="U141" s="1514"/>
      <c r="V141" s="1514"/>
      <c r="W141" s="1514"/>
      <c r="X141" s="1514"/>
      <c r="Y141" s="1514"/>
      <c r="Z141" s="1514"/>
      <c r="AA141" s="1514"/>
      <c r="AB141" s="1514"/>
      <c r="AC141" s="1514"/>
      <c r="AD141" s="1514"/>
    </row>
    <row r="142" spans="1:30" ht="15" customHeight="1" thickBot="1" x14ac:dyDescent="0.35">
      <c r="A142" s="1727"/>
      <c r="B142" s="1514"/>
      <c r="C142" s="1732"/>
      <c r="D142" s="2398" t="s">
        <v>513</v>
      </c>
      <c r="E142" s="2399"/>
      <c r="F142" s="1625">
        <f>F143+F144+F145</f>
        <v>73793.269271046665</v>
      </c>
      <c r="G142" s="1730"/>
      <c r="H142" s="1627">
        <f>H143+H144+H145</f>
        <v>1942.4859953278124</v>
      </c>
      <c r="I142" s="2574"/>
      <c r="J142" s="2575"/>
      <c r="K142" s="2576"/>
      <c r="L142" s="1733"/>
      <c r="M142" s="1727"/>
      <c r="N142" s="1514"/>
      <c r="O142" s="1725"/>
      <c r="P142" s="1514"/>
      <c r="Q142" s="1514"/>
      <c r="R142" s="1514"/>
      <c r="S142" s="1514"/>
      <c r="T142" s="1514"/>
      <c r="U142" s="1514"/>
      <c r="V142" s="1514"/>
      <c r="W142" s="1514"/>
      <c r="X142" s="1514"/>
      <c r="Y142" s="1514"/>
      <c r="Z142" s="1514"/>
      <c r="AA142" s="1514"/>
      <c r="AB142" s="1514"/>
      <c r="AC142" s="1514"/>
      <c r="AD142" s="1514"/>
    </row>
    <row r="143" spans="1:30" ht="15" customHeight="1" x14ac:dyDescent="0.3">
      <c r="A143" s="1727"/>
      <c r="B143" s="1727"/>
      <c r="C143" s="1734"/>
      <c r="D143" s="2582" t="s">
        <v>139</v>
      </c>
      <c r="E143" s="2583"/>
      <c r="F143" s="1735">
        <f>F24+F25+F26+F27+F28+IF(I33="Scope 1",F33,0)+IF(I34="Scope 1",F34,0)+IF(I35="Scope 1",F35,0)+F36+F37+F38+F39+F40+F41+F42+F43+F44+F45+F46+F47+F53+T67+F64</f>
        <v>37415.268815247349</v>
      </c>
      <c r="G143" s="1736"/>
      <c r="H143" s="1612">
        <f>H24+H25+H26+H27+H28+IF(I33="Scope 1",H33,0)+IF(I34="Scope 1",H34,0)+IF(I35="Scope 1",H35,0)+H36+H37+H38+H39+H40+H41+H42+H43+H44+H45+H46+H47+H53</f>
        <v>149.43178732781251</v>
      </c>
      <c r="I143" s="2584"/>
      <c r="J143" s="2585"/>
      <c r="K143" s="2586"/>
      <c r="L143" s="1727"/>
      <c r="M143" s="1727"/>
      <c r="N143" s="1514"/>
      <c r="O143" s="1725"/>
      <c r="P143" s="1514"/>
      <c r="Q143" s="1514"/>
      <c r="R143" s="1514"/>
      <c r="S143" s="1514"/>
      <c r="T143" s="1514"/>
      <c r="U143" s="1514"/>
      <c r="V143" s="1514"/>
      <c r="W143" s="1514"/>
      <c r="X143" s="1514"/>
      <c r="Y143" s="1514"/>
      <c r="Z143" s="1514"/>
      <c r="AA143" s="1514"/>
      <c r="AB143" s="1514"/>
      <c r="AC143" s="1514"/>
      <c r="AD143" s="1514"/>
    </row>
    <row r="144" spans="1:30" ht="15" customHeight="1" x14ac:dyDescent="0.3">
      <c r="A144" s="1727"/>
      <c r="B144" s="1727"/>
      <c r="C144" s="1737"/>
      <c r="D144" s="2587" t="s">
        <v>140</v>
      </c>
      <c r="E144" s="2588"/>
      <c r="F144" s="1735">
        <f>+P20+P21+P22+P23+P29+F30+F31+P32+IF(I33="Scope 2",F33,0)+IF(I34="Scope 2",F34,0)+IF(I35="Scope 2",F35,0)</f>
        <v>30309.529393690544</v>
      </c>
      <c r="G144" s="1738"/>
      <c r="H144" s="1612">
        <f>+V20+V21+V22+V23+V29+H30+H31+V32+IF(I33="Scope 2",H33,0)+IF(I34="Scope 2",H34,0)+IF(I35="Scope 2",H35,0)</f>
        <v>1652.2130685499999</v>
      </c>
      <c r="I144" s="2589"/>
      <c r="J144" s="2590"/>
      <c r="K144" s="2591"/>
      <c r="L144" s="1737"/>
      <c r="M144" s="1727"/>
      <c r="N144" s="1514"/>
      <c r="O144" s="1725"/>
      <c r="P144" s="1514"/>
      <c r="Q144" s="1514"/>
      <c r="R144" s="1514"/>
      <c r="S144" s="1514"/>
      <c r="T144" s="1514"/>
      <c r="U144" s="1514"/>
      <c r="V144" s="1514"/>
      <c r="W144" s="1514"/>
      <c r="X144" s="1514"/>
      <c r="Y144" s="1514"/>
      <c r="Z144" s="1514"/>
      <c r="AA144" s="1514"/>
      <c r="AB144" s="1514"/>
      <c r="AC144" s="1514"/>
      <c r="AD144" s="1514"/>
    </row>
    <row r="145" spans="1:30" ht="15" customHeight="1" thickBot="1" x14ac:dyDescent="0.35">
      <c r="A145" s="1727"/>
      <c r="B145" s="1727"/>
      <c r="C145" s="1737"/>
      <c r="D145" s="2592" t="s">
        <v>141</v>
      </c>
      <c r="E145" s="2593"/>
      <c r="F145" s="1739">
        <f>+R20+R21+R22+R23+R29+R32+IF(I33="Scope 3",F33,0)+IF(I34="Scope 3",F34,0)+IF(I35="Scope 3",F35,0)+F86+T89+F108</f>
        <v>6068.4710621087688</v>
      </c>
      <c r="G145" s="1740"/>
      <c r="H145" s="1741">
        <f>+X20+X21+X22+X23+X29+X32+IF(I33="Scope 3",H33,0)+IF(I34="Scope 3",H34,0)+IF(I35="Scope 3",H35,0)</f>
        <v>140.84113944999999</v>
      </c>
      <c r="I145" s="2594"/>
      <c r="J145" s="2595"/>
      <c r="K145" s="2596"/>
      <c r="L145" s="1737"/>
      <c r="M145" s="1727"/>
      <c r="N145" s="1514"/>
      <c r="O145" s="1725"/>
      <c r="P145" s="1514"/>
      <c r="Q145" s="1514"/>
      <c r="R145" s="1514"/>
      <c r="S145" s="1514"/>
      <c r="T145" s="1514"/>
      <c r="U145" s="1514"/>
      <c r="V145" s="1514"/>
      <c r="W145" s="1514"/>
      <c r="X145" s="1514"/>
      <c r="Y145" s="1514"/>
      <c r="Z145" s="1514"/>
      <c r="AA145" s="1514"/>
      <c r="AB145" s="1514"/>
      <c r="AC145" s="1514"/>
      <c r="AD145" s="1514"/>
    </row>
    <row r="146" spans="1:30" ht="15" customHeight="1" thickBot="1" x14ac:dyDescent="0.35">
      <c r="A146" s="1727"/>
      <c r="B146" s="1727"/>
      <c r="C146" s="1726"/>
      <c r="D146" s="2577" t="s">
        <v>172</v>
      </c>
      <c r="E146" s="2578"/>
      <c r="F146" s="1742">
        <f>+Y67+Y89+F127</f>
        <v>23158.573188059156</v>
      </c>
      <c r="G146" s="1743"/>
      <c r="H146" s="1626"/>
      <c r="I146" s="1744"/>
      <c r="J146" s="1745"/>
      <c r="K146" s="1746"/>
      <c r="L146" s="1514"/>
      <c r="M146" s="1727"/>
      <c r="N146" s="1514"/>
      <c r="O146" s="1725"/>
      <c r="P146" s="1514"/>
      <c r="Q146" s="1514"/>
      <c r="R146" s="1514"/>
      <c r="S146" s="1514"/>
      <c r="T146" s="1514"/>
      <c r="U146" s="1514"/>
      <c r="V146" s="1514"/>
      <c r="W146" s="1514"/>
      <c r="X146" s="1514"/>
      <c r="Y146" s="1514"/>
      <c r="Z146" s="1514"/>
      <c r="AA146" s="1514"/>
      <c r="AB146" s="1514"/>
      <c r="AC146" s="1514"/>
      <c r="AD146" s="1514"/>
    </row>
    <row r="147" spans="1:30" ht="27.75" customHeight="1" x14ac:dyDescent="0.3">
      <c r="A147" s="1522"/>
      <c r="B147" s="2579" t="s">
        <v>142</v>
      </c>
      <c r="C147" s="2579"/>
      <c r="D147" s="2579"/>
      <c r="E147" s="2579"/>
      <c r="F147" s="2579"/>
      <c r="G147" s="2579"/>
      <c r="H147" s="2579"/>
      <c r="I147" s="2579"/>
      <c r="J147" s="2579"/>
      <c r="K147" s="2579"/>
      <c r="L147" s="2579"/>
      <c r="M147" s="1514"/>
      <c r="N147" s="1514"/>
      <c r="O147" s="1514"/>
      <c r="P147" s="1514"/>
      <c r="Q147" s="1514"/>
      <c r="R147" s="1514"/>
      <c r="S147" s="1514"/>
      <c r="T147" s="1514"/>
      <c r="U147" s="1514"/>
      <c r="V147" s="1514"/>
      <c r="W147" s="1514"/>
      <c r="X147" s="1514"/>
      <c r="Y147" s="1514"/>
      <c r="Z147" s="1514"/>
      <c r="AA147" s="1514"/>
      <c r="AB147" s="1514"/>
      <c r="AC147" s="1514"/>
      <c r="AD147" s="1514"/>
    </row>
    <row r="148" spans="1:30" ht="27.75" customHeight="1" x14ac:dyDescent="0.3">
      <c r="A148" s="1522"/>
      <c r="B148" s="1747"/>
      <c r="C148" s="1747"/>
      <c r="D148" s="1747"/>
      <c r="E148" s="1747"/>
      <c r="F148" s="1747"/>
      <c r="G148" s="1747"/>
      <c r="H148" s="1747"/>
      <c r="I148" s="1747"/>
      <c r="J148" s="1747"/>
      <c r="K148" s="1747"/>
      <c r="L148" s="1747"/>
      <c r="M148" s="1514"/>
      <c r="N148" s="1514"/>
      <c r="O148" s="1514"/>
      <c r="P148" s="1514"/>
      <c r="Q148" s="1514"/>
      <c r="R148" s="1514"/>
      <c r="S148" s="1514"/>
      <c r="T148" s="1514"/>
      <c r="U148" s="1514"/>
      <c r="V148" s="1514"/>
      <c r="W148" s="1514"/>
      <c r="X148" s="1514"/>
      <c r="Y148" s="1514"/>
      <c r="Z148" s="1514"/>
      <c r="AA148" s="1514"/>
      <c r="AB148" s="1514"/>
      <c r="AC148" s="1514"/>
      <c r="AD148" s="1514"/>
    </row>
    <row r="149" spans="1:30" s="1550" customFormat="1" ht="23.4" x14ac:dyDescent="0.3">
      <c r="A149" s="1529"/>
      <c r="B149" s="1530" t="s">
        <v>462</v>
      </c>
      <c r="C149" s="1547"/>
      <c r="D149" s="2387" t="str">
        <f>+$A$1</f>
        <v>Quarter 1 - 2018-2019</v>
      </c>
      <c r="E149" s="2387"/>
      <c r="F149" s="2387"/>
      <c r="G149" s="2387"/>
      <c r="H149" s="2387"/>
      <c r="I149" s="2387"/>
      <c r="J149" s="2387"/>
      <c r="K149" s="1548"/>
      <c r="L149" s="1548"/>
      <c r="M149" s="1548"/>
      <c r="N149" s="1548"/>
      <c r="O149" s="1548"/>
      <c r="P149" s="1548"/>
      <c r="Q149" s="1548"/>
      <c r="R149" s="1548"/>
      <c r="S149" s="1548"/>
      <c r="T149" s="1548"/>
      <c r="U149" s="1548"/>
      <c r="V149" s="1548"/>
      <c r="W149" s="1548"/>
      <c r="X149" s="1548"/>
      <c r="Y149" s="1549"/>
      <c r="Z149" s="1549"/>
      <c r="AA149" s="1549"/>
      <c r="AB149" s="1549"/>
      <c r="AC149" s="1549"/>
      <c r="AD149" s="1549"/>
    </row>
    <row r="150" spans="1:30" ht="15" customHeight="1" x14ac:dyDescent="0.3">
      <c r="A150" s="1522"/>
      <c r="B150" s="1534" t="s">
        <v>480</v>
      </c>
      <c r="C150" s="1721"/>
      <c r="D150" s="1722"/>
      <c r="E150" s="1723"/>
      <c r="F150" s="1724"/>
      <c r="G150" s="1724"/>
      <c r="H150" s="1724"/>
      <c r="I150" s="1725"/>
      <c r="J150" s="1725"/>
      <c r="K150" s="1725"/>
      <c r="L150" s="1514"/>
      <c r="M150" s="1514"/>
      <c r="N150" s="1514"/>
      <c r="O150" s="1514"/>
      <c r="P150" s="1514"/>
      <c r="Q150" s="1514"/>
      <c r="R150" s="1514"/>
      <c r="S150" s="1514"/>
      <c r="T150" s="1514"/>
      <c r="U150" s="1514"/>
      <c r="V150" s="1514"/>
      <c r="W150" s="1514"/>
      <c r="X150" s="1514"/>
      <c r="Y150" s="1514"/>
      <c r="Z150" s="1514"/>
      <c r="AA150" s="1514"/>
      <c r="AB150" s="1514"/>
      <c r="AC150" s="1514"/>
      <c r="AD150" s="1514"/>
    </row>
    <row r="151" spans="1:30" ht="15" customHeight="1" thickBot="1" x14ac:dyDescent="0.35">
      <c r="A151" s="1522"/>
      <c r="B151" s="1514"/>
      <c r="C151" s="1514"/>
      <c r="D151" s="1728"/>
      <c r="E151" s="1721"/>
      <c r="F151" s="1721"/>
      <c r="G151" s="1721"/>
      <c r="H151" s="1721"/>
      <c r="I151" s="1721"/>
      <c r="J151" s="1721"/>
      <c r="K151" s="1721"/>
      <c r="L151" s="1514"/>
      <c r="M151" s="1514"/>
      <c r="N151" s="1514"/>
      <c r="O151" s="1725"/>
      <c r="P151" s="1514"/>
      <c r="Q151" s="1514"/>
      <c r="R151" s="1514"/>
      <c r="S151" s="1514"/>
      <c r="T151" s="1514"/>
      <c r="U151" s="1514"/>
      <c r="V151" s="1514"/>
      <c r="W151" s="1514"/>
      <c r="X151" s="1514"/>
      <c r="Y151" s="1514"/>
      <c r="Z151" s="1514"/>
      <c r="AA151" s="1514"/>
      <c r="AB151" s="1514"/>
      <c r="AC151" s="1514"/>
      <c r="AD151" s="1514"/>
    </row>
    <row r="152" spans="1:30" ht="15" customHeight="1" thickBot="1" x14ac:dyDescent="0.35">
      <c r="A152" s="1522"/>
      <c r="B152" s="1514"/>
      <c r="C152" s="1514"/>
      <c r="D152" s="2434" t="s">
        <v>23</v>
      </c>
      <c r="E152" s="2435"/>
      <c r="F152" s="2436"/>
      <c r="G152" s="2434" t="s">
        <v>24</v>
      </c>
      <c r="H152" s="2435"/>
      <c r="I152" s="2436"/>
      <c r="J152" s="1721"/>
      <c r="K152" s="1721"/>
      <c r="L152" s="1514"/>
      <c r="M152" s="1514"/>
      <c r="N152" s="1514"/>
      <c r="O152" s="1725"/>
      <c r="P152" s="1514"/>
      <c r="Q152" s="1514"/>
      <c r="R152" s="1514"/>
      <c r="S152" s="1514"/>
      <c r="T152" s="1514"/>
      <c r="U152" s="1514"/>
      <c r="V152" s="1514"/>
      <c r="W152" s="1514"/>
      <c r="X152" s="1514"/>
      <c r="Y152" s="1514"/>
      <c r="Z152" s="1514"/>
      <c r="AA152" s="1514"/>
      <c r="AB152" s="1514"/>
      <c r="AC152" s="1514"/>
      <c r="AD152" s="1514"/>
    </row>
    <row r="153" spans="1:30" ht="15" customHeight="1" thickBot="1" x14ac:dyDescent="0.35">
      <c r="A153" s="1522"/>
      <c r="B153" s="2580" t="s">
        <v>463</v>
      </c>
      <c r="C153" s="2581"/>
      <c r="D153" s="2465"/>
      <c r="E153" s="2466"/>
      <c r="F153" s="2467"/>
      <c r="G153" s="2428"/>
      <c r="H153" s="2429"/>
      <c r="I153" s="2430"/>
      <c r="J153" s="1721"/>
      <c r="K153" s="1721"/>
      <c r="L153" s="1733"/>
      <c r="M153" s="1727"/>
      <c r="N153" s="1514"/>
      <c r="O153" s="1725"/>
      <c r="P153" s="1514"/>
      <c r="Q153" s="1514"/>
      <c r="R153" s="1514"/>
      <c r="S153" s="1514"/>
      <c r="T153" s="1514"/>
      <c r="U153" s="1514"/>
      <c r="V153" s="1514"/>
      <c r="W153" s="1514"/>
      <c r="X153" s="1514"/>
      <c r="Y153" s="1514"/>
      <c r="Z153" s="1514"/>
      <c r="AA153" s="1514"/>
      <c r="AB153" s="1514"/>
      <c r="AC153" s="1514"/>
      <c r="AD153" s="1514"/>
    </row>
    <row r="154" spans="1:30" ht="15" customHeight="1" thickBot="1" x14ac:dyDescent="0.35">
      <c r="A154" s="1522"/>
      <c r="B154" s="2580" t="s">
        <v>464</v>
      </c>
      <c r="C154" s="2581"/>
      <c r="D154" s="1748" t="s">
        <v>466</v>
      </c>
      <c r="E154" s="2600"/>
      <c r="F154" s="2601"/>
      <c r="G154" s="2428"/>
      <c r="H154" s="2429"/>
      <c r="I154" s="2430"/>
      <c r="J154" s="1721"/>
      <c r="K154" s="1721"/>
      <c r="L154" s="1727"/>
      <c r="M154" s="1727"/>
      <c r="N154" s="1514"/>
      <c r="O154" s="1725"/>
      <c r="P154" s="1514"/>
      <c r="Q154" s="1514"/>
      <c r="R154" s="1514"/>
      <c r="S154" s="1514"/>
      <c r="T154" s="1514"/>
      <c r="U154" s="1514"/>
      <c r="V154" s="1514"/>
      <c r="W154" s="1514"/>
      <c r="X154" s="1514"/>
      <c r="Y154" s="1514"/>
      <c r="Z154" s="1514"/>
      <c r="AA154" s="1514"/>
      <c r="AB154" s="1514"/>
      <c r="AC154" s="1514"/>
      <c r="AD154" s="1514"/>
    </row>
    <row r="155" spans="1:30" ht="45" customHeight="1" thickBot="1" x14ac:dyDescent="0.35">
      <c r="A155" s="1522"/>
      <c r="B155" s="2580" t="s">
        <v>465</v>
      </c>
      <c r="C155" s="2581"/>
      <c r="D155" s="2547"/>
      <c r="E155" s="2548"/>
      <c r="F155" s="2549"/>
      <c r="G155" s="2400"/>
      <c r="H155" s="2401"/>
      <c r="I155" s="2402"/>
      <c r="J155" s="1721"/>
      <c r="K155" s="1721"/>
      <c r="L155" s="1737"/>
      <c r="M155" s="1727"/>
      <c r="N155" s="1514"/>
      <c r="O155" s="1725"/>
      <c r="P155" s="1514"/>
      <c r="Q155" s="1514"/>
      <c r="R155" s="1514"/>
      <c r="S155" s="1514"/>
      <c r="T155" s="1514"/>
      <c r="U155" s="1514"/>
      <c r="V155" s="1514"/>
      <c r="W155" s="1514"/>
      <c r="X155" s="1514"/>
      <c r="Y155" s="1514"/>
      <c r="Z155" s="1514"/>
      <c r="AA155" s="1514"/>
      <c r="AB155" s="1514"/>
      <c r="AC155" s="1514"/>
      <c r="AD155" s="1514"/>
    </row>
    <row r="156" spans="1:30" ht="15" customHeight="1" x14ac:dyDescent="0.3">
      <c r="A156" s="1522"/>
      <c r="B156" s="1747"/>
      <c r="C156" s="1747"/>
      <c r="D156" s="1747"/>
      <c r="E156" s="1747"/>
      <c r="F156" s="1747"/>
      <c r="G156" s="1747"/>
      <c r="H156" s="1747"/>
      <c r="I156" s="1747"/>
      <c r="J156" s="1747"/>
      <c r="K156" s="1747"/>
      <c r="L156" s="1747"/>
      <c r="M156" s="1514"/>
      <c r="N156" s="1514"/>
      <c r="O156" s="1514"/>
      <c r="P156" s="1514"/>
      <c r="Q156" s="1514"/>
      <c r="R156" s="1514"/>
      <c r="S156" s="1514"/>
      <c r="T156" s="1514"/>
      <c r="U156" s="1514"/>
      <c r="V156" s="1514"/>
      <c r="W156" s="1514"/>
      <c r="X156" s="1514"/>
      <c r="Y156" s="1514"/>
      <c r="Z156" s="1514"/>
      <c r="AA156" s="1514"/>
      <c r="AB156" s="1514"/>
      <c r="AC156" s="1514"/>
      <c r="AD156" s="1514"/>
    </row>
    <row r="157" spans="1:30" ht="27.75" customHeight="1" x14ac:dyDescent="0.3">
      <c r="A157" s="1529">
        <v>3</v>
      </c>
      <c r="B157" s="1530" t="s">
        <v>143</v>
      </c>
      <c r="C157" s="1531"/>
      <c r="D157" s="2387" t="str">
        <f>+$A$1</f>
        <v>Quarter 1 - 2018-2019</v>
      </c>
      <c r="E157" s="2387"/>
      <c r="F157" s="2387"/>
      <c r="G157" s="2387"/>
      <c r="H157" s="2387"/>
      <c r="I157" s="2387"/>
      <c r="J157" s="2387"/>
      <c r="K157" s="1532"/>
      <c r="L157" s="1532"/>
      <c r="M157" s="1532"/>
      <c r="N157" s="1519"/>
      <c r="O157" s="1519"/>
      <c r="P157" s="1533"/>
      <c r="Q157" s="1533"/>
      <c r="R157" s="1519"/>
      <c r="S157" s="1519"/>
      <c r="T157" s="1519"/>
      <c r="U157" s="1519"/>
      <c r="V157" s="1519"/>
      <c r="W157" s="1519"/>
      <c r="X157" s="1519"/>
      <c r="Y157" s="1519"/>
      <c r="Z157" s="1519"/>
      <c r="AA157" s="1519"/>
      <c r="AB157" s="1519"/>
      <c r="AC157" s="1519"/>
      <c r="AD157" s="1519"/>
    </row>
    <row r="158" spans="1:30" x14ac:dyDescent="0.3">
      <c r="A158" s="1522"/>
      <c r="B158" s="1514"/>
      <c r="C158" s="1514"/>
      <c r="D158" s="1551"/>
      <c r="E158" s="1535"/>
      <c r="F158" s="1535"/>
      <c r="G158" s="1535"/>
      <c r="H158" s="1535"/>
      <c r="I158" s="1535"/>
      <c r="J158" s="1543"/>
      <c r="K158" s="1749"/>
      <c r="L158" s="1535"/>
      <c r="M158" s="1535"/>
      <c r="N158" s="1514"/>
      <c r="O158" s="1514"/>
      <c r="P158" s="1514"/>
      <c r="Q158" s="1514"/>
      <c r="R158" s="1514"/>
      <c r="S158" s="1514"/>
      <c r="T158" s="1514"/>
      <c r="U158" s="1514"/>
      <c r="V158" s="1514"/>
      <c r="W158" s="1514"/>
      <c r="X158" s="1514"/>
      <c r="Y158" s="1514"/>
      <c r="Z158" s="1514"/>
      <c r="AA158" s="1514"/>
      <c r="AB158" s="1514"/>
      <c r="AC158" s="1514"/>
      <c r="AD158" s="1514"/>
    </row>
    <row r="159" spans="1:30" x14ac:dyDescent="0.3">
      <c r="A159" s="1522"/>
      <c r="B159" s="1514"/>
      <c r="C159" s="1514"/>
      <c r="D159" s="1551"/>
      <c r="E159" s="1725"/>
      <c r="F159" s="1725"/>
      <c r="G159" s="1725"/>
      <c r="H159" s="1725"/>
      <c r="I159" s="1725"/>
      <c r="J159" s="1725"/>
      <c r="K159" s="1725"/>
      <c r="L159" s="1535"/>
      <c r="M159" s="1535"/>
      <c r="N159" s="1514"/>
      <c r="O159" s="1514"/>
      <c r="P159" s="1514"/>
      <c r="Q159" s="1514"/>
      <c r="R159" s="1514"/>
      <c r="S159" s="1514"/>
      <c r="T159" s="1514"/>
      <c r="U159" s="1514"/>
      <c r="V159" s="1514"/>
      <c r="W159" s="1514"/>
      <c r="X159" s="1514"/>
      <c r="Y159" s="1514"/>
      <c r="Z159" s="1514"/>
      <c r="AA159" s="1514"/>
      <c r="AB159" s="1514"/>
      <c r="AC159" s="1514"/>
      <c r="AD159" s="1514"/>
    </row>
    <row r="160" spans="1:30" ht="18.75" customHeight="1" x14ac:dyDescent="0.3">
      <c r="A160" s="1522"/>
      <c r="B160" s="1534"/>
      <c r="C160" s="30"/>
      <c r="D160" s="1534"/>
      <c r="E160" s="1725"/>
      <c r="F160" s="1725"/>
      <c r="G160" s="1725"/>
      <c r="H160" s="1725"/>
      <c r="I160" s="1725"/>
      <c r="J160" s="1725"/>
      <c r="K160" s="1725"/>
      <c r="L160" s="1725"/>
      <c r="M160" s="1725"/>
      <c r="N160" s="1725"/>
      <c r="O160" s="1725"/>
      <c r="P160" s="1725"/>
      <c r="Q160" s="1725"/>
      <c r="R160" s="1725"/>
      <c r="S160" s="1725"/>
      <c r="T160" s="1725"/>
      <c r="U160" s="1725"/>
      <c r="V160" s="1725"/>
      <c r="W160" s="1725"/>
      <c r="X160" s="1725"/>
      <c r="Y160" s="1725"/>
      <c r="Z160" s="1725"/>
      <c r="AA160" s="1725"/>
      <c r="AB160" s="1725"/>
      <c r="AC160" s="1725"/>
      <c r="AD160" s="1725"/>
    </row>
    <row r="161" spans="1:30" ht="15.75" customHeight="1" thickBot="1" x14ac:dyDescent="0.35">
      <c r="A161" s="1522"/>
      <c r="B161" s="1514"/>
      <c r="C161" s="1514"/>
      <c r="D161" s="1534"/>
      <c r="E161" s="1514"/>
      <c r="F161" s="1551"/>
      <c r="G161" s="1551"/>
      <c r="H161" s="1551"/>
      <c r="I161" s="1725"/>
      <c r="J161" s="1725"/>
      <c r="K161" s="1725"/>
      <c r="L161" s="1725"/>
      <c r="M161" s="1725"/>
      <c r="N161" s="1725"/>
      <c r="O161" s="1725"/>
      <c r="P161" s="1725"/>
      <c r="Q161" s="1725"/>
      <c r="R161" s="1725"/>
      <c r="S161" s="1725"/>
      <c r="T161" s="1725"/>
      <c r="U161" s="1725"/>
      <c r="V161" s="1725"/>
      <c r="W161" s="1725"/>
      <c r="X161" s="1725"/>
      <c r="Y161" s="1725"/>
      <c r="Z161" s="1725"/>
      <c r="AA161" s="1725"/>
      <c r="AB161" s="1725"/>
      <c r="AC161" s="1725"/>
      <c r="AD161" s="1725"/>
    </row>
    <row r="162" spans="1:30" ht="15.75" customHeight="1" thickBot="1" x14ac:dyDescent="0.35">
      <c r="A162" s="1522"/>
      <c r="B162" s="1514"/>
      <c r="C162" s="1534"/>
      <c r="D162" s="1536" t="s">
        <v>23</v>
      </c>
      <c r="E162" s="2597" t="s">
        <v>144</v>
      </c>
      <c r="F162" s="2598"/>
      <c r="G162" s="2598"/>
      <c r="H162" s="2599"/>
      <c r="I162" s="2388" t="s">
        <v>24</v>
      </c>
      <c r="J162" s="2389"/>
      <c r="K162" s="2390"/>
      <c r="L162" s="2419" t="s">
        <v>461</v>
      </c>
      <c r="M162" s="1725"/>
      <c r="N162" s="1725"/>
      <c r="O162" s="1725"/>
      <c r="P162" s="1725"/>
      <c r="Q162" s="1725"/>
      <c r="R162" s="1725"/>
      <c r="S162" s="1725"/>
      <c r="T162" s="1725"/>
      <c r="U162" s="1725"/>
      <c r="V162" s="1725"/>
      <c r="W162" s="1725"/>
      <c r="X162" s="1725"/>
      <c r="Y162" s="1725"/>
      <c r="Z162" s="1725"/>
      <c r="AA162" s="1725"/>
      <c r="AB162" s="1725"/>
      <c r="AC162" s="1725"/>
      <c r="AD162" s="1725"/>
    </row>
    <row r="163" spans="1:30" ht="39.75" customHeight="1" thickBot="1" x14ac:dyDescent="0.35">
      <c r="A163" s="1522"/>
      <c r="B163" s="1538"/>
      <c r="C163" s="1514"/>
      <c r="D163" s="1539" t="s">
        <v>145</v>
      </c>
      <c r="E163" s="1540" t="s">
        <v>173</v>
      </c>
      <c r="F163" s="1540" t="s">
        <v>376</v>
      </c>
      <c r="G163" s="1555" t="s">
        <v>145</v>
      </c>
      <c r="H163" s="1540" t="s">
        <v>469</v>
      </c>
      <c r="I163" s="2391"/>
      <c r="J163" s="2392"/>
      <c r="K163" s="2393"/>
      <c r="L163" s="2420"/>
      <c r="M163" s="1725"/>
      <c r="N163" s="1725"/>
      <c r="O163" s="1725"/>
      <c r="P163" s="1725"/>
      <c r="Q163" s="1725"/>
      <c r="R163" s="1725"/>
      <c r="S163" s="1725"/>
      <c r="T163" s="1725"/>
      <c r="U163" s="1725"/>
      <c r="V163" s="1725"/>
      <c r="W163" s="1725"/>
      <c r="X163" s="1725"/>
      <c r="Y163" s="1725"/>
      <c r="Z163" s="1725"/>
      <c r="AA163" s="1725"/>
      <c r="AB163" s="1725"/>
      <c r="AC163" s="1725"/>
      <c r="AD163" s="1725"/>
    </row>
    <row r="164" spans="1:30" ht="15.75" customHeight="1" thickBot="1" x14ac:dyDescent="0.35">
      <c r="A164" s="1522"/>
      <c r="B164" s="2398" t="s">
        <v>146</v>
      </c>
      <c r="C164" s="2399"/>
      <c r="D164" s="1541">
        <v>2274097.3106746501</v>
      </c>
      <c r="E164" s="1541">
        <v>3304</v>
      </c>
      <c r="F164" s="1542">
        <v>9638.502681477863</v>
      </c>
      <c r="G164" s="1750">
        <f>IF(Performance!$L$2="Y",D164,F164)</f>
        <v>9638.502681477863</v>
      </c>
      <c r="H164" s="1751">
        <f>IF(AND(E164&lt;&gt;0,E164&lt;&gt;""),G164/E164,"")</f>
        <v>2.9172223612221133</v>
      </c>
      <c r="I164" s="2428" t="s">
        <v>553</v>
      </c>
      <c r="J164" s="2429"/>
      <c r="K164" s="2430"/>
      <c r="L164" s="1560" t="str">
        <f>IF(OR(D164&lt;0,E164&lt;0,F164&lt;0),"Error - negative number",IF(F164&gt;D164,"Offices only &gt; Total Estate",IF(AND(H164&lt;'QA config'!D2,H164&lt;&gt;""),CONCATENATE("&lt; ",'QA config'!D2," m3/FTE"),IF(AND(H164&gt;'QA config'!C2,H164&lt;&gt;""),CONCATENATE("&gt; ",'QA config'!C2," m3/FTE"),""))))</f>
        <v/>
      </c>
      <c r="M164" s="1725"/>
      <c r="N164" s="1725"/>
      <c r="O164" s="1725"/>
      <c r="P164" s="1725"/>
      <c r="Q164" s="1725"/>
      <c r="R164" s="1725"/>
      <c r="S164" s="1725"/>
      <c r="T164" s="1725"/>
      <c r="U164" s="1725"/>
      <c r="V164" s="1725"/>
      <c r="W164" s="1725"/>
      <c r="X164" s="1725"/>
      <c r="Y164" s="1725"/>
      <c r="Z164" s="1725"/>
      <c r="AA164" s="1725"/>
      <c r="AB164" s="1725"/>
      <c r="AC164" s="1725"/>
      <c r="AD164" s="1725"/>
    </row>
    <row r="165" spans="1:30" ht="13.5" customHeight="1" x14ac:dyDescent="0.3">
      <c r="A165" s="1522"/>
      <c r="B165" s="1514" t="s">
        <v>175</v>
      </c>
      <c r="C165" s="1514"/>
      <c r="D165" s="1514"/>
      <c r="E165" s="1514"/>
      <c r="F165" s="1514"/>
      <c r="G165" s="1514"/>
      <c r="H165" s="1514"/>
      <c r="I165" s="1725"/>
      <c r="J165" s="1725"/>
      <c r="K165" s="1725"/>
      <c r="L165" s="1725"/>
      <c r="M165" s="1725"/>
      <c r="N165" s="1725"/>
      <c r="O165" s="1725"/>
      <c r="P165" s="1725"/>
      <c r="Q165" s="1725"/>
      <c r="R165" s="1725"/>
      <c r="S165" s="1725"/>
      <c r="T165" s="1725"/>
      <c r="U165" s="1725"/>
      <c r="V165" s="1725"/>
      <c r="W165" s="1725"/>
      <c r="X165" s="1725"/>
      <c r="Y165" s="1725"/>
      <c r="Z165" s="1725"/>
      <c r="AA165" s="1725"/>
      <c r="AB165" s="1725"/>
      <c r="AC165" s="1725"/>
      <c r="AD165" s="1725"/>
    </row>
    <row r="166" spans="1:30" x14ac:dyDescent="0.3">
      <c r="A166" s="1522"/>
      <c r="B166" s="1514"/>
      <c r="C166" s="1514"/>
      <c r="D166" s="1619"/>
      <c r="E166" s="1535"/>
      <c r="F166" s="1535"/>
      <c r="G166" s="1535"/>
      <c r="H166" s="1535"/>
      <c r="I166" s="1535"/>
      <c r="J166" s="1725"/>
      <c r="K166" s="1725"/>
      <c r="L166" s="1535"/>
      <c r="M166" s="1535"/>
      <c r="N166" s="1752"/>
      <c r="O166" s="1535"/>
      <c r="P166" s="1514"/>
      <c r="Q166" s="1514"/>
      <c r="R166" s="1522"/>
      <c r="S166" s="1514"/>
      <c r="T166" s="1514"/>
      <c r="U166" s="1514"/>
      <c r="V166" s="1514"/>
      <c r="W166" s="1514"/>
      <c r="X166" s="1514"/>
      <c r="Y166" s="1514"/>
      <c r="Z166" s="1514"/>
      <c r="AA166" s="1514"/>
      <c r="AB166" s="1514"/>
      <c r="AC166" s="1514"/>
      <c r="AD166" s="1514"/>
    </row>
    <row r="167" spans="1:30" ht="27.75" customHeight="1" x14ac:dyDescent="0.3">
      <c r="A167" s="1529">
        <v>4</v>
      </c>
      <c r="B167" s="1530" t="s">
        <v>147</v>
      </c>
      <c r="C167" s="1531"/>
      <c r="D167" s="2387" t="str">
        <f>+$A$1</f>
        <v>Quarter 1 - 2018-2019</v>
      </c>
      <c r="E167" s="2387"/>
      <c r="F167" s="2387"/>
      <c r="G167" s="2387"/>
      <c r="H167" s="2387"/>
      <c r="I167" s="2387"/>
      <c r="J167" s="2387"/>
      <c r="K167" s="1532"/>
      <c r="L167" s="1532"/>
      <c r="M167" s="1519"/>
      <c r="N167" s="1519"/>
      <c r="O167" s="1519"/>
      <c r="P167" s="1533"/>
      <c r="Q167" s="1519"/>
      <c r="R167" s="1519"/>
      <c r="S167" s="1519"/>
      <c r="T167" s="1519"/>
      <c r="U167" s="1519"/>
      <c r="V167" s="1519"/>
      <c r="W167" s="1519"/>
      <c r="X167" s="1519"/>
      <c r="Y167" s="1519"/>
      <c r="Z167" s="1519"/>
      <c r="AA167" s="1519"/>
      <c r="AB167" s="1519"/>
      <c r="AC167" s="1519"/>
      <c r="AD167" s="1519"/>
    </row>
    <row r="168" spans="1:30" ht="15.75" customHeight="1" thickBot="1" x14ac:dyDescent="0.35">
      <c r="A168" s="1522"/>
      <c r="B168" s="1514"/>
      <c r="C168" s="1514"/>
      <c r="D168" s="1551"/>
      <c r="E168" s="1551"/>
      <c r="F168" s="1551"/>
      <c r="G168" s="1551"/>
      <c r="H168" s="1551"/>
      <c r="I168" s="1551"/>
      <c r="J168" s="1551"/>
      <c r="K168" s="1551"/>
      <c r="L168" s="1514"/>
      <c r="M168" s="1514"/>
      <c r="N168" s="1514"/>
      <c r="O168" s="1514"/>
      <c r="P168" s="1514"/>
      <c r="Q168" s="1514"/>
      <c r="R168" s="1514"/>
      <c r="S168" s="1514"/>
      <c r="T168" s="1514"/>
      <c r="U168" s="1514"/>
      <c r="V168" s="1514"/>
      <c r="W168" s="1514"/>
      <c r="X168" s="1514"/>
      <c r="Y168" s="1514"/>
      <c r="Z168" s="1514"/>
      <c r="AA168" s="1514"/>
      <c r="AB168" s="1514"/>
      <c r="AC168" s="1514"/>
      <c r="AD168" s="1514"/>
    </row>
    <row r="169" spans="1:30" ht="13.5" customHeight="1" thickBot="1" x14ac:dyDescent="0.35">
      <c r="A169" s="1522"/>
      <c r="B169" s="1514"/>
      <c r="C169" s="1534"/>
      <c r="D169" s="1535"/>
      <c r="E169" s="2602" t="s">
        <v>23</v>
      </c>
      <c r="F169" s="2603"/>
      <c r="G169" s="2604" t="s">
        <v>144</v>
      </c>
      <c r="H169" s="2605"/>
      <c r="I169" s="2388" t="s">
        <v>24</v>
      </c>
      <c r="J169" s="2389"/>
      <c r="K169" s="2390"/>
      <c r="L169" s="2419" t="s">
        <v>461</v>
      </c>
      <c r="M169" s="1514"/>
      <c r="N169" s="1514"/>
      <c r="O169" s="1514"/>
      <c r="P169" s="1514"/>
      <c r="Q169" s="1514"/>
      <c r="R169" s="1514"/>
      <c r="S169" s="1514"/>
      <c r="T169" s="1514"/>
      <c r="U169" s="1514"/>
      <c r="V169" s="1514"/>
      <c r="W169" s="1514"/>
      <c r="X169" s="1514"/>
      <c r="Y169" s="1514"/>
      <c r="Z169" s="1514"/>
      <c r="AA169" s="1514"/>
      <c r="AB169" s="1514"/>
      <c r="AC169" s="1514"/>
      <c r="AD169" s="1514"/>
    </row>
    <row r="170" spans="1:30" ht="16.5" customHeight="1" thickBot="1" x14ac:dyDescent="0.35">
      <c r="A170" s="1522"/>
      <c r="B170" s="1514"/>
      <c r="C170" s="1538"/>
      <c r="D170" s="1514"/>
      <c r="E170" s="1753" t="s">
        <v>148</v>
      </c>
      <c r="F170" s="1754" t="s">
        <v>149</v>
      </c>
      <c r="G170" s="1555" t="s">
        <v>148</v>
      </c>
      <c r="H170" s="1555" t="s">
        <v>149</v>
      </c>
      <c r="I170" s="2391"/>
      <c r="J170" s="2392"/>
      <c r="K170" s="2393"/>
      <c r="L170" s="2420"/>
      <c r="M170" s="1514"/>
      <c r="N170" s="1514"/>
      <c r="O170" s="1514"/>
      <c r="P170" s="1514"/>
      <c r="Q170" s="1514"/>
      <c r="R170" s="1514"/>
      <c r="S170" s="1514"/>
      <c r="T170" s="1514"/>
      <c r="U170" s="1514"/>
      <c r="V170" s="1514"/>
      <c r="W170" s="1514"/>
      <c r="X170" s="1514"/>
      <c r="Y170" s="1514"/>
      <c r="Z170" s="1514"/>
      <c r="AA170" s="1514"/>
      <c r="AB170" s="1514"/>
      <c r="AC170" s="1514"/>
      <c r="AD170" s="1514"/>
    </row>
    <row r="171" spans="1:30" ht="15.75" customHeight="1" x14ac:dyDescent="0.3">
      <c r="A171" s="1522"/>
      <c r="B171" s="1755" t="s">
        <v>150</v>
      </c>
      <c r="C171" s="1756"/>
      <c r="D171" s="1757"/>
      <c r="E171" s="1758">
        <v>10054.920793076501</v>
      </c>
      <c r="F171" s="1759">
        <f>IF($E$184&gt;0,E171/$E$184,"")</f>
        <v>0.79133744989586907</v>
      </c>
      <c r="G171" s="1570">
        <v>406.14503385925201</v>
      </c>
      <c r="H171" s="1760">
        <f>IF($G$184&gt;0,G171/$G$184,"")</f>
        <v>0.84347678936540804</v>
      </c>
      <c r="I171" s="2428" t="s">
        <v>553</v>
      </c>
      <c r="J171" s="2429"/>
      <c r="K171" s="2430"/>
      <c r="L171" s="1606" t="str">
        <f>IF(OR(E171&lt;0,G171&lt;0),"Error - negative number",IF(G171&gt;E171,"Offices only &gt; Total Estate",""))</f>
        <v/>
      </c>
      <c r="M171" s="1514"/>
      <c r="N171" s="1514"/>
      <c r="O171" s="1514"/>
      <c r="P171" s="1514"/>
      <c r="Q171" s="1514"/>
      <c r="R171" s="1514"/>
      <c r="S171" s="1514"/>
      <c r="T171" s="1514"/>
      <c r="U171" s="1514"/>
      <c r="V171" s="1514"/>
      <c r="W171" s="1514"/>
      <c r="X171" s="1514"/>
      <c r="Y171" s="1514"/>
      <c r="Z171" s="1514"/>
      <c r="AA171" s="1514"/>
      <c r="AB171" s="1514"/>
      <c r="AC171" s="1514"/>
      <c r="AD171" s="1514"/>
    </row>
    <row r="172" spans="1:30" ht="15.75" customHeight="1" x14ac:dyDescent="0.3">
      <c r="A172" s="1522"/>
      <c r="B172" s="1761" t="s">
        <v>365</v>
      </c>
      <c r="C172" s="1762"/>
      <c r="D172" s="1763"/>
      <c r="E172" s="1758">
        <v>178.97343481827534</v>
      </c>
      <c r="F172" s="1764"/>
      <c r="G172" s="1570"/>
      <c r="H172" s="1765"/>
      <c r="I172" s="2431"/>
      <c r="J172" s="2432"/>
      <c r="K172" s="2433"/>
      <c r="L172" s="1581" t="str">
        <f t="shared" ref="L172:L185" si="17">IF(OR(E172&lt;0,G172&lt;0),"Error - negative number",IF(G172&gt;E172,"Offices only &gt; Total Estate",""))</f>
        <v/>
      </c>
      <c r="M172" s="1514"/>
      <c r="N172" s="1514"/>
      <c r="O172" s="1514"/>
      <c r="P172" s="1514"/>
      <c r="Q172" s="1514"/>
      <c r="R172" s="1514"/>
      <c r="S172" s="1514"/>
      <c r="T172" s="1514"/>
      <c r="U172" s="1514"/>
      <c r="V172" s="1514"/>
      <c r="W172" s="1514"/>
      <c r="X172" s="1514"/>
      <c r="Y172" s="1514"/>
      <c r="Z172" s="1514"/>
      <c r="AA172" s="1514"/>
      <c r="AB172" s="1514"/>
      <c r="AC172" s="1514"/>
      <c r="AD172" s="1514"/>
    </row>
    <row r="173" spans="1:30" ht="15.75" customHeight="1" x14ac:dyDescent="0.3">
      <c r="A173" s="1522"/>
      <c r="B173" s="1766" t="s">
        <v>151</v>
      </c>
      <c r="C173" s="1767"/>
      <c r="D173" s="1768"/>
      <c r="E173" s="1758">
        <v>1.3125</v>
      </c>
      <c r="F173" s="1769">
        <f>IF($E$184&gt;0,E173/$E$184,"")</f>
        <v>1.0329573194683901E-4</v>
      </c>
      <c r="G173" s="1570"/>
      <c r="H173" s="1770">
        <f>IF($G$184&gt;0,G173/$G$184,"")</f>
        <v>0</v>
      </c>
      <c r="I173" s="2431"/>
      <c r="J173" s="2432"/>
      <c r="K173" s="2433"/>
      <c r="L173" s="1581" t="str">
        <f t="shared" si="17"/>
        <v/>
      </c>
      <c r="M173" s="1514"/>
      <c r="N173" s="1514"/>
      <c r="O173" s="1514"/>
      <c r="P173" s="1514"/>
      <c r="Q173" s="1514"/>
      <c r="R173" s="1514"/>
      <c r="S173" s="1514"/>
      <c r="T173" s="1514"/>
      <c r="U173" s="1514"/>
      <c r="V173" s="1514"/>
      <c r="W173" s="1514"/>
      <c r="X173" s="1514"/>
      <c r="Y173" s="1514"/>
      <c r="Z173" s="1514"/>
      <c r="AA173" s="1514"/>
      <c r="AB173" s="1514"/>
      <c r="AC173" s="1514"/>
      <c r="AD173" s="1514"/>
    </row>
    <row r="174" spans="1:30" ht="15.75" customHeight="1" x14ac:dyDescent="0.3">
      <c r="A174" s="1522"/>
      <c r="B174" s="1766" t="s">
        <v>185</v>
      </c>
      <c r="C174" s="1767"/>
      <c r="D174" s="1768"/>
      <c r="E174" s="1758"/>
      <c r="F174" s="1764"/>
      <c r="G174" s="1570"/>
      <c r="H174" s="1765"/>
      <c r="I174" s="2431"/>
      <c r="J174" s="2432"/>
      <c r="K174" s="2433"/>
      <c r="L174" s="1581" t="str">
        <f t="shared" si="17"/>
        <v/>
      </c>
      <c r="M174" s="1514"/>
      <c r="N174" s="1514"/>
      <c r="O174" s="1514"/>
      <c r="P174" s="1514"/>
      <c r="Q174" s="1514"/>
      <c r="R174" s="1514"/>
      <c r="S174" s="1514"/>
      <c r="T174" s="1514"/>
      <c r="U174" s="1514"/>
      <c r="V174" s="1514"/>
      <c r="W174" s="1514"/>
      <c r="X174" s="1514"/>
      <c r="Y174" s="1514"/>
      <c r="Z174" s="1514"/>
      <c r="AA174" s="1514"/>
      <c r="AB174" s="1514"/>
      <c r="AC174" s="1514"/>
      <c r="AD174" s="1514"/>
    </row>
    <row r="175" spans="1:30" ht="15.75" customHeight="1" x14ac:dyDescent="0.3">
      <c r="A175" s="1522"/>
      <c r="B175" s="1766" t="s">
        <v>152</v>
      </c>
      <c r="C175" s="1767"/>
      <c r="D175" s="1768"/>
      <c r="E175" s="1758"/>
      <c r="F175" s="1769">
        <f>IF($E$184&gt;0,E175/$E$184,"")</f>
        <v>0</v>
      </c>
      <c r="G175" s="1570"/>
      <c r="H175" s="1770">
        <f>IF($G$184&gt;0,G175/$G$184,"")</f>
        <v>0</v>
      </c>
      <c r="I175" s="2431"/>
      <c r="J175" s="2432"/>
      <c r="K175" s="2433"/>
      <c r="L175" s="1581" t="str">
        <f t="shared" si="17"/>
        <v/>
      </c>
      <c r="M175" s="1514"/>
      <c r="N175" s="1514"/>
      <c r="O175" s="1514"/>
      <c r="P175" s="1514"/>
      <c r="Q175" s="1514"/>
      <c r="R175" s="1514"/>
      <c r="S175" s="1514"/>
      <c r="T175" s="1514"/>
      <c r="U175" s="1514"/>
      <c r="V175" s="1514"/>
      <c r="W175" s="1514"/>
      <c r="X175" s="1514"/>
      <c r="Y175" s="1514"/>
      <c r="Z175" s="1514"/>
      <c r="AA175" s="1514"/>
      <c r="AB175" s="1514"/>
      <c r="AC175" s="1514"/>
      <c r="AD175" s="1514"/>
    </row>
    <row r="176" spans="1:30" ht="15.75" customHeight="1" x14ac:dyDescent="0.3">
      <c r="A176" s="1522"/>
      <c r="B176" s="1761" t="s">
        <v>153</v>
      </c>
      <c r="C176" s="1762"/>
      <c r="D176" s="1763"/>
      <c r="E176" s="1758">
        <v>543.67475000000002</v>
      </c>
      <c r="F176" s="1769">
        <f>IF($E$184&gt;0,E176/$E$184,"")</f>
        <v>4.2788023803630261E-2</v>
      </c>
      <c r="G176" s="1570">
        <v>18.556000000000001</v>
      </c>
      <c r="H176" s="1770">
        <f>IF($G$184&gt;0,G176/$G$184,"")</f>
        <v>3.8536862447242179E-2</v>
      </c>
      <c r="I176" s="2431"/>
      <c r="J176" s="2432"/>
      <c r="K176" s="2433"/>
      <c r="L176" s="1581" t="str">
        <f t="shared" si="17"/>
        <v/>
      </c>
      <c r="M176" s="1514"/>
      <c r="N176" s="1514"/>
      <c r="O176" s="1514"/>
      <c r="P176" s="1514"/>
      <c r="Q176" s="1514"/>
      <c r="R176" s="1514"/>
      <c r="S176" s="1514"/>
      <c r="T176" s="1514"/>
      <c r="U176" s="1514"/>
      <c r="V176" s="1514"/>
      <c r="W176" s="1514"/>
      <c r="X176" s="1514"/>
      <c r="Y176" s="1514"/>
      <c r="Z176" s="1514"/>
      <c r="AA176" s="1514"/>
      <c r="AB176" s="1514"/>
      <c r="AC176" s="1514"/>
      <c r="AD176" s="1514"/>
    </row>
    <row r="177" spans="1:30" ht="15.75" customHeight="1" x14ac:dyDescent="0.3">
      <c r="A177" s="1522"/>
      <c r="B177" s="1761" t="s">
        <v>154</v>
      </c>
      <c r="C177" s="1762"/>
      <c r="D177" s="1763"/>
      <c r="E177" s="1758">
        <v>1718.9902080782299</v>
      </c>
      <c r="F177" s="1769">
        <f>IF($E$184&gt;0,E177/$E$184,"")</f>
        <v>0.13528712514505895</v>
      </c>
      <c r="G177" s="1570"/>
      <c r="H177" s="1770">
        <f>IF($G$184&gt;0,G177/$G$184,"")</f>
        <v>0</v>
      </c>
      <c r="I177" s="2431"/>
      <c r="J177" s="2432"/>
      <c r="K177" s="2433"/>
      <c r="L177" s="1581" t="str">
        <f t="shared" si="17"/>
        <v/>
      </c>
      <c r="M177" s="1514"/>
      <c r="N177" s="1514"/>
      <c r="O177" s="1514"/>
      <c r="P177" s="1514"/>
      <c r="Q177" s="1514"/>
      <c r="R177" s="1514"/>
      <c r="S177" s="1514"/>
      <c r="T177" s="1514"/>
      <c r="U177" s="1514"/>
      <c r="V177" s="1514"/>
      <c r="W177" s="1514"/>
      <c r="X177" s="1514"/>
      <c r="Y177" s="1514"/>
      <c r="Z177" s="1514"/>
      <c r="AA177" s="1514"/>
      <c r="AB177" s="1514"/>
      <c r="AC177" s="1514"/>
      <c r="AD177" s="1514"/>
    </row>
    <row r="178" spans="1:30" ht="15.75" customHeight="1" thickBot="1" x14ac:dyDescent="0.35">
      <c r="A178" s="1522"/>
      <c r="B178" s="1771" t="s">
        <v>155</v>
      </c>
      <c r="C178" s="1772"/>
      <c r="D178" s="1773"/>
      <c r="E178" s="1774"/>
      <c r="F178" s="1775">
        <f>IF($E$184&gt;0,E178/$E$184,"")</f>
        <v>0</v>
      </c>
      <c r="G178" s="1776"/>
      <c r="H178" s="1777">
        <f>IF($G$184&gt;0,G178/$G$184,"")</f>
        <v>0</v>
      </c>
      <c r="I178" s="2611"/>
      <c r="J178" s="2612"/>
      <c r="K178" s="2613"/>
      <c r="L178" s="1778" t="str">
        <f t="shared" si="17"/>
        <v/>
      </c>
      <c r="M178" s="1514"/>
      <c r="N178" s="1514"/>
      <c r="O178" s="1514"/>
      <c r="P178" s="1514"/>
      <c r="Q178" s="1514"/>
      <c r="R178" s="1514"/>
      <c r="S178" s="1514"/>
      <c r="T178" s="1514"/>
      <c r="U178" s="1514"/>
      <c r="V178" s="1514"/>
      <c r="W178" s="1514"/>
      <c r="X178" s="1514"/>
      <c r="Y178" s="1514"/>
      <c r="Z178" s="1514"/>
      <c r="AA178" s="1514"/>
      <c r="AB178" s="1514"/>
      <c r="AC178" s="1514"/>
      <c r="AD178" s="1514"/>
    </row>
    <row r="179" spans="1:30" ht="15.75" customHeight="1" thickBot="1" x14ac:dyDescent="0.35">
      <c r="A179" s="1522"/>
      <c r="B179" s="1779" t="s">
        <v>156</v>
      </c>
      <c r="C179" s="1780"/>
      <c r="D179" s="1781"/>
      <c r="E179" s="1782"/>
      <c r="F179" s="1748"/>
      <c r="G179" s="1626"/>
      <c r="H179" s="1783"/>
      <c r="I179" s="2400"/>
      <c r="J179" s="2401"/>
      <c r="K179" s="2402"/>
      <c r="L179" s="1560" t="str">
        <f t="shared" si="17"/>
        <v/>
      </c>
      <c r="M179" s="1514"/>
      <c r="N179" s="1514"/>
      <c r="O179" s="1514"/>
      <c r="P179" s="1514"/>
      <c r="Q179" s="1514"/>
      <c r="R179" s="1514"/>
      <c r="S179" s="1514"/>
      <c r="T179" s="1514"/>
      <c r="U179" s="1514"/>
      <c r="V179" s="1514"/>
      <c r="W179" s="1514"/>
      <c r="X179" s="1514"/>
      <c r="Y179" s="1514"/>
      <c r="Z179" s="1514"/>
      <c r="AA179" s="1514"/>
      <c r="AB179" s="1514"/>
      <c r="AC179" s="1514"/>
      <c r="AD179" s="1514"/>
    </row>
    <row r="180" spans="1:30" ht="15.75" customHeight="1" thickBot="1" x14ac:dyDescent="0.35">
      <c r="A180" s="1522"/>
      <c r="B180" s="1784" t="s">
        <v>157</v>
      </c>
      <c r="C180" s="1785"/>
      <c r="D180" s="1786"/>
      <c r="E180" s="1787">
        <f>+E171+E173+E176</f>
        <v>10599.908043076501</v>
      </c>
      <c r="F180" s="1748">
        <f>IF(E184=0,"",+E180/E184)</f>
        <v>0.83422876943144619</v>
      </c>
      <c r="G180" s="1788">
        <f>IF(Performance!$L$2="y",E180,G171+G173+G176)</f>
        <v>424.70103385925199</v>
      </c>
      <c r="H180" s="1789">
        <f>IF(G184=0,"",+G180/G184)</f>
        <v>0.88201365181265023</v>
      </c>
      <c r="I180" s="2614"/>
      <c r="J180" s="2615"/>
      <c r="K180" s="2616"/>
      <c r="L180" s="1560" t="str">
        <f t="shared" si="17"/>
        <v/>
      </c>
      <c r="M180" s="1514"/>
      <c r="N180" s="1514"/>
      <c r="O180" s="1514"/>
      <c r="P180" s="1514"/>
      <c r="Q180" s="1514"/>
      <c r="R180" s="1514"/>
      <c r="S180" s="1514"/>
      <c r="T180" s="1514"/>
      <c r="U180" s="1514"/>
      <c r="V180" s="1514"/>
      <c r="W180" s="1514"/>
      <c r="X180" s="1514"/>
      <c r="Y180" s="1514"/>
      <c r="Z180" s="1514"/>
      <c r="AA180" s="1514"/>
      <c r="AB180" s="1514"/>
      <c r="AC180" s="1514"/>
      <c r="AD180" s="1514"/>
    </row>
    <row r="181" spans="1:30" ht="15.75" customHeight="1" thickBot="1" x14ac:dyDescent="0.35">
      <c r="A181" s="1522"/>
      <c r="B181" s="1790" t="s">
        <v>521</v>
      </c>
      <c r="C181" s="1791"/>
      <c r="D181" s="1792"/>
      <c r="E181" s="1793">
        <f>E173+E175</f>
        <v>1.3125</v>
      </c>
      <c r="F181" s="1794">
        <f>IF($E$184&gt;0,E181/$E$184,"")</f>
        <v>1.0329573194683901E-4</v>
      </c>
      <c r="G181" s="1795">
        <f>IF(Performance!$L$2="y",E181,G173+G175)</f>
        <v>0</v>
      </c>
      <c r="H181" s="1796">
        <f>IF($G$184&gt;0,G181/$G$184,"")</f>
        <v>0</v>
      </c>
      <c r="I181" s="2400"/>
      <c r="J181" s="2401"/>
      <c r="K181" s="2402"/>
      <c r="L181" s="1560" t="str">
        <f t="shared" si="17"/>
        <v/>
      </c>
      <c r="M181" s="1514"/>
      <c r="N181" s="1514"/>
      <c r="O181" s="1514"/>
      <c r="P181" s="1514"/>
      <c r="Q181" s="1514"/>
      <c r="R181" s="1514"/>
      <c r="S181" s="1514"/>
      <c r="T181" s="1514"/>
      <c r="U181" s="1514"/>
      <c r="V181" s="1514"/>
      <c r="W181" s="1514"/>
      <c r="X181" s="1514"/>
      <c r="Y181" s="1514"/>
      <c r="Z181" s="1514"/>
      <c r="AA181" s="1514"/>
      <c r="AB181" s="1514"/>
      <c r="AC181" s="1514"/>
      <c r="AD181" s="1514"/>
    </row>
    <row r="182" spans="1:30" ht="15.75" customHeight="1" thickBot="1" x14ac:dyDescent="0.35">
      <c r="A182" s="1522"/>
      <c r="B182" s="1784" t="s">
        <v>522</v>
      </c>
      <c r="C182" s="1785"/>
      <c r="D182" s="1786"/>
      <c r="E182" s="1793">
        <f>SUM(E171:E178)-E172-E174</f>
        <v>12318.898251154731</v>
      </c>
      <c r="F182" s="1748">
        <f>IF($E$184&gt;0,E182/$E$184,"")</f>
        <v>0.96951589457650522</v>
      </c>
      <c r="G182" s="1795">
        <f>IF(Performance!$L$2="y",E182,SUM(G171:G178)-G172-G174)</f>
        <v>424.70103385925199</v>
      </c>
      <c r="H182" s="1783">
        <f>IF($G$184&gt;0,G182/$G$184,"")</f>
        <v>0.88201365181265023</v>
      </c>
      <c r="I182" s="2400"/>
      <c r="J182" s="2401"/>
      <c r="K182" s="2402"/>
      <c r="L182" s="1560" t="str">
        <f t="shared" si="17"/>
        <v/>
      </c>
      <c r="M182" s="1514"/>
      <c r="N182" s="1514"/>
      <c r="O182" s="1514"/>
      <c r="P182" s="1514"/>
      <c r="Q182" s="1514"/>
      <c r="R182" s="1514"/>
      <c r="S182" s="1514"/>
      <c r="T182" s="1514"/>
      <c r="U182" s="1514"/>
      <c r="V182" s="1514"/>
      <c r="W182" s="1514"/>
      <c r="X182" s="1514"/>
      <c r="Y182" s="1514"/>
      <c r="Z182" s="1514"/>
      <c r="AA182" s="1514"/>
      <c r="AB182" s="1514"/>
      <c r="AC182" s="1514"/>
      <c r="AD182" s="1514"/>
    </row>
    <row r="183" spans="1:30" ht="15.75" customHeight="1" thickBot="1" x14ac:dyDescent="0.35">
      <c r="A183" s="1522"/>
      <c r="B183" s="1790" t="s">
        <v>160</v>
      </c>
      <c r="C183" s="1791"/>
      <c r="D183" s="1792"/>
      <c r="E183" s="1758">
        <v>387.33825313255102</v>
      </c>
      <c r="F183" s="1748">
        <f>IF($E$184&gt;0,E183/$E$184,"")</f>
        <v>3.0484105423494758E-2</v>
      </c>
      <c r="G183" s="1570">
        <v>56.8119597167968</v>
      </c>
      <c r="H183" s="1783">
        <f>IF($G$184&gt;0,G183/$G$184,"")</f>
        <v>0.11798634818734975</v>
      </c>
      <c r="I183" s="2614"/>
      <c r="J183" s="2615"/>
      <c r="K183" s="2616"/>
      <c r="L183" s="1560" t="str">
        <f t="shared" si="17"/>
        <v/>
      </c>
      <c r="M183" s="1514"/>
      <c r="N183" s="1514"/>
      <c r="O183" s="1514"/>
      <c r="P183" s="1514"/>
      <c r="Q183" s="1514"/>
      <c r="R183" s="1514"/>
      <c r="S183" s="1514"/>
      <c r="T183" s="1514"/>
      <c r="U183" s="1514"/>
      <c r="V183" s="1514"/>
      <c r="W183" s="1514"/>
      <c r="X183" s="1514"/>
      <c r="Y183" s="1514"/>
      <c r="Z183" s="1514"/>
      <c r="AA183" s="1514"/>
      <c r="AB183" s="1514"/>
      <c r="AC183" s="1514"/>
      <c r="AD183" s="1514"/>
    </row>
    <row r="184" spans="1:30" ht="15.75" customHeight="1" thickBot="1" x14ac:dyDescent="0.35">
      <c r="A184" s="1522"/>
      <c r="B184" s="1797" t="s">
        <v>523</v>
      </c>
      <c r="C184" s="1798"/>
      <c r="D184" s="1799"/>
      <c r="E184" s="1793">
        <f>E183+E182</f>
        <v>12706.236504287283</v>
      </c>
      <c r="F184" s="1800"/>
      <c r="G184" s="1801">
        <f>IF(Performance!$L$2="y",E184,G183+G182)</f>
        <v>481.51299357604881</v>
      </c>
      <c r="H184" s="1802"/>
      <c r="I184" s="2400"/>
      <c r="J184" s="2401"/>
      <c r="K184" s="2402"/>
      <c r="L184" s="1560" t="str">
        <f t="shared" si="17"/>
        <v/>
      </c>
      <c r="M184" s="1514"/>
      <c r="N184" s="1514"/>
      <c r="O184" s="1514"/>
      <c r="P184" s="1514"/>
      <c r="Q184" s="1514"/>
      <c r="R184" s="1514"/>
      <c r="S184" s="1514"/>
      <c r="T184" s="1514"/>
      <c r="U184" s="1514"/>
      <c r="V184" s="1514"/>
      <c r="W184" s="1514"/>
      <c r="X184" s="1514"/>
      <c r="Y184" s="1514"/>
      <c r="Z184" s="1514"/>
      <c r="AA184" s="1514"/>
      <c r="AB184" s="1514"/>
      <c r="AC184" s="1514"/>
      <c r="AD184" s="1514"/>
    </row>
    <row r="185" spans="1:30" ht="17.25" customHeight="1" thickBot="1" x14ac:dyDescent="0.35">
      <c r="A185" s="1522"/>
      <c r="B185" s="1803" t="s">
        <v>162</v>
      </c>
      <c r="C185" s="1804"/>
      <c r="D185" s="1805"/>
      <c r="E185" s="1806"/>
      <c r="F185" s="1748">
        <f>IF($E$184&gt;0,E185/$E$184,"")</f>
        <v>0</v>
      </c>
      <c r="G185" s="1626"/>
      <c r="H185" s="1783">
        <f>IF($E$184&gt;0,G185/$E$184,"")</f>
        <v>0</v>
      </c>
      <c r="I185" s="2606"/>
      <c r="J185" s="2607"/>
      <c r="K185" s="2608"/>
      <c r="L185" s="1560" t="str">
        <f t="shared" si="17"/>
        <v/>
      </c>
      <c r="M185" s="1514"/>
      <c r="N185" s="1514"/>
      <c r="O185" s="1514"/>
      <c r="P185" s="1514"/>
      <c r="Q185" s="1514"/>
      <c r="R185" s="1514"/>
      <c r="S185" s="1514"/>
      <c r="T185" s="1514"/>
      <c r="U185" s="1514"/>
      <c r="V185" s="1514"/>
      <c r="W185" s="1514"/>
      <c r="X185" s="1514"/>
      <c r="Y185" s="1514"/>
      <c r="Z185" s="1514"/>
      <c r="AA185" s="1514"/>
      <c r="AB185" s="1514"/>
      <c r="AC185" s="1514"/>
      <c r="AD185" s="1514"/>
    </row>
    <row r="186" spans="1:30" ht="31.5" customHeight="1" x14ac:dyDescent="0.3">
      <c r="A186" s="1522"/>
      <c r="B186" s="1514"/>
      <c r="C186" s="2609" t="s">
        <v>163</v>
      </c>
      <c r="D186" s="2610"/>
      <c r="E186" s="2610"/>
      <c r="F186" s="2610"/>
      <c r="G186" s="2610"/>
      <c r="H186" s="2610"/>
      <c r="I186" s="2610"/>
      <c r="J186" s="2610"/>
      <c r="K186" s="1543"/>
      <c r="L186" s="1749"/>
      <c r="M186" s="1535"/>
      <c r="N186" s="1535"/>
      <c r="O186" s="1514"/>
      <c r="P186" s="1514"/>
      <c r="Q186" s="1514"/>
      <c r="R186" s="1514"/>
      <c r="S186" s="1514"/>
      <c r="T186" s="1514"/>
      <c r="U186" s="1514"/>
      <c r="V186" s="1514"/>
      <c r="W186" s="1514"/>
      <c r="X186" s="1514"/>
      <c r="Y186" s="1514"/>
      <c r="Z186" s="1514"/>
      <c r="AA186" s="1514"/>
      <c r="AB186" s="1514"/>
      <c r="AC186" s="1514"/>
      <c r="AD186" s="1514"/>
    </row>
    <row r="187" spans="1:30" ht="27.75" customHeight="1" x14ac:dyDescent="0.3">
      <c r="A187" s="1529">
        <v>5</v>
      </c>
      <c r="B187" s="1530" t="s">
        <v>164</v>
      </c>
      <c r="C187" s="1531"/>
      <c r="D187" s="2387" t="str">
        <f>+$A$1</f>
        <v>Quarter 1 - 2018-2019</v>
      </c>
      <c r="E187" s="2387"/>
      <c r="F187" s="2387"/>
      <c r="G187" s="2387"/>
      <c r="H187" s="2387"/>
      <c r="I187" s="2387"/>
      <c r="J187" s="2387"/>
      <c r="K187" s="1532"/>
      <c r="L187" s="1532"/>
      <c r="M187" s="1532"/>
      <c r="N187" s="1519"/>
      <c r="O187" s="1519"/>
      <c r="P187" s="1533"/>
      <c r="Q187" s="1533"/>
      <c r="R187" s="1519"/>
      <c r="S187" s="1519"/>
      <c r="T187" s="1519"/>
      <c r="U187" s="1519"/>
      <c r="V187" s="1519"/>
      <c r="W187" s="1519"/>
      <c r="X187" s="1519"/>
      <c r="Y187" s="1519"/>
      <c r="Z187" s="1519"/>
      <c r="AA187" s="1519"/>
      <c r="AB187" s="1519"/>
      <c r="AC187" s="1519"/>
      <c r="AD187" s="1519"/>
    </row>
    <row r="188" spans="1:30" ht="15.75" customHeight="1" thickBot="1" x14ac:dyDescent="0.35">
      <c r="A188" s="1522"/>
      <c r="B188" s="1534"/>
      <c r="C188" s="1514"/>
      <c r="D188" s="1551"/>
      <c r="E188" s="1551"/>
      <c r="F188" s="1551"/>
      <c r="G188" s="1551"/>
      <c r="H188" s="1551"/>
      <c r="I188" s="1551"/>
      <c r="J188" s="1551"/>
      <c r="K188" s="1551"/>
      <c r="L188" s="1514"/>
      <c r="M188" s="1514"/>
      <c r="N188" s="1514"/>
      <c r="O188" s="1514"/>
      <c r="P188" s="1514"/>
      <c r="Q188" s="1514"/>
      <c r="R188" s="1514"/>
      <c r="S188" s="1514"/>
      <c r="T188" s="1514"/>
      <c r="U188" s="1514"/>
      <c r="V188" s="1514"/>
      <c r="W188" s="1514"/>
      <c r="X188" s="1514"/>
      <c r="Y188" s="1514"/>
      <c r="Z188" s="1514"/>
      <c r="AA188" s="1514"/>
      <c r="AB188" s="1514"/>
      <c r="AC188" s="1514"/>
      <c r="AD188" s="1514"/>
    </row>
    <row r="189" spans="1:30" ht="15.75" customHeight="1" thickBot="1" x14ac:dyDescent="0.35">
      <c r="A189" s="1522"/>
      <c r="B189" s="2434" t="s">
        <v>23</v>
      </c>
      <c r="C189" s="2435"/>
      <c r="D189" s="2435"/>
      <c r="E189" s="2436"/>
      <c r="F189" s="2388" t="s">
        <v>24</v>
      </c>
      <c r="G189" s="2389"/>
      <c r="H189" s="2390"/>
      <c r="I189" s="2394" t="s">
        <v>461</v>
      </c>
      <c r="J189" s="2395"/>
      <c r="K189" s="1514"/>
      <c r="L189" s="1514"/>
      <c r="M189" s="1514"/>
      <c r="N189" s="1514"/>
      <c r="O189" s="1514"/>
      <c r="P189" s="1514"/>
      <c r="Q189" s="1514"/>
      <c r="R189" s="1514"/>
      <c r="S189" s="1514"/>
      <c r="T189" s="1514"/>
      <c r="U189" s="1514"/>
      <c r="V189" s="1514"/>
      <c r="W189" s="1514"/>
      <c r="X189" s="1514"/>
      <c r="Y189" s="1514"/>
      <c r="Z189" s="1514"/>
      <c r="AA189" s="1514"/>
      <c r="AB189" s="1514"/>
      <c r="AC189" s="1514"/>
      <c r="AD189" s="1514"/>
    </row>
    <row r="190" spans="1:30" ht="24.6" thickBot="1" x14ac:dyDescent="0.35">
      <c r="A190" s="1522"/>
      <c r="B190" s="1807" t="s">
        <v>165</v>
      </c>
      <c r="C190" s="1808" t="s">
        <v>166</v>
      </c>
      <c r="D190" s="1809" t="s">
        <v>167</v>
      </c>
      <c r="E190" s="1810" t="s">
        <v>168</v>
      </c>
      <c r="F190" s="2391"/>
      <c r="G190" s="2392"/>
      <c r="H190" s="2393"/>
      <c r="I190" s="2396"/>
      <c r="J190" s="2397"/>
      <c r="K190" s="1514"/>
      <c r="L190" s="1514"/>
      <c r="M190" s="1514"/>
      <c r="N190" s="1514"/>
      <c r="O190" s="1514"/>
      <c r="P190" s="1514"/>
      <c r="Q190" s="1514"/>
      <c r="R190" s="1514"/>
      <c r="S190" s="1514"/>
      <c r="T190" s="1514"/>
      <c r="U190" s="1514"/>
      <c r="V190" s="1514"/>
      <c r="W190" s="1514"/>
      <c r="X190" s="1514"/>
      <c r="Y190" s="1514"/>
      <c r="Z190" s="1514"/>
      <c r="AA190" s="1514"/>
      <c r="AB190" s="1514"/>
      <c r="AC190" s="1514"/>
      <c r="AD190" s="1514"/>
    </row>
    <row r="191" spans="1:30" ht="14.4" thickBot="1" x14ac:dyDescent="0.35">
      <c r="A191" s="1522"/>
      <c r="B191" s="1623">
        <v>273509</v>
      </c>
      <c r="C191" s="1623">
        <v>1891</v>
      </c>
      <c r="D191" s="1623">
        <v>467</v>
      </c>
      <c r="E191" s="1811">
        <f>B191+(C191*2)+(D191/2)</f>
        <v>277524.5</v>
      </c>
      <c r="F191" s="2400"/>
      <c r="G191" s="2401"/>
      <c r="H191" s="2402"/>
      <c r="I191" s="2403" t="str">
        <f>IF(OR(B191&lt;0,C191&lt;0,D191&lt;0),"Error - Negative number","")</f>
        <v/>
      </c>
      <c r="J191" s="2404"/>
      <c r="K191" s="1514"/>
      <c r="L191" s="1514"/>
      <c r="M191" s="1514"/>
      <c r="N191" s="1514"/>
      <c r="O191" s="1514"/>
      <c r="P191" s="1514"/>
      <c r="Q191" s="1514"/>
      <c r="R191" s="1514"/>
      <c r="S191" s="1514"/>
      <c r="T191" s="1514"/>
      <c r="U191" s="1514"/>
      <c r="V191" s="1514"/>
      <c r="W191" s="1514"/>
      <c r="X191" s="1514"/>
      <c r="Y191" s="1514"/>
      <c r="Z191" s="1514"/>
      <c r="AA191" s="1514"/>
      <c r="AB191" s="1514"/>
      <c r="AC191" s="1514"/>
      <c r="AD191" s="1514"/>
    </row>
    <row r="192" spans="1:30" x14ac:dyDescent="0.3">
      <c r="A192" s="1522"/>
      <c r="B192" s="1535"/>
      <c r="C192" s="1535"/>
      <c r="D192" s="1535"/>
      <c r="E192" s="1535"/>
      <c r="F192" s="1535"/>
      <c r="G192" s="1535"/>
      <c r="H192" s="1535"/>
      <c r="I192" s="1535"/>
      <c r="J192" s="1535"/>
      <c r="K192" s="1535"/>
      <c r="L192" s="1535"/>
      <c r="M192" s="1535"/>
      <c r="N192" s="1514"/>
      <c r="O192" s="1514"/>
      <c r="P192" s="1514"/>
      <c r="Q192" s="1514"/>
      <c r="R192" s="1514"/>
      <c r="S192" s="1514"/>
      <c r="T192" s="1514"/>
      <c r="U192" s="1514"/>
      <c r="V192" s="1514"/>
      <c r="W192" s="1514"/>
      <c r="X192" s="1514"/>
      <c r="Y192" s="1514"/>
      <c r="Z192" s="1514"/>
      <c r="AA192" s="1514"/>
      <c r="AB192" s="1514"/>
      <c r="AC192" s="1514"/>
      <c r="AD192" s="1514"/>
    </row>
    <row r="193" spans="1:30" ht="27.75" customHeight="1" x14ac:dyDescent="0.3">
      <c r="A193" s="1529">
        <v>6</v>
      </c>
      <c r="B193" s="1530" t="s">
        <v>169</v>
      </c>
      <c r="C193" s="1531"/>
      <c r="D193" s="2387" t="str">
        <f>+$A$1</f>
        <v>Quarter 1 - 2018-2019</v>
      </c>
      <c r="E193" s="2387"/>
      <c r="F193" s="2387"/>
      <c r="G193" s="2387"/>
      <c r="H193" s="2387"/>
      <c r="I193" s="2387"/>
      <c r="J193" s="2387"/>
      <c r="K193" s="1532"/>
      <c r="L193" s="1532"/>
      <c r="M193" s="1532"/>
      <c r="N193" s="1519"/>
      <c r="O193" s="1519"/>
      <c r="P193" s="1533"/>
      <c r="Q193" s="1533"/>
      <c r="R193" s="1519"/>
      <c r="S193" s="1519"/>
      <c r="T193" s="1519"/>
      <c r="U193" s="1519"/>
      <c r="V193" s="1519"/>
      <c r="W193" s="1519"/>
      <c r="X193" s="1519"/>
      <c r="Y193" s="1519"/>
      <c r="Z193" s="1519"/>
      <c r="AA193" s="1519"/>
      <c r="AB193" s="1519"/>
      <c r="AC193" s="1519"/>
      <c r="AD193" s="1519"/>
    </row>
    <row r="194" spans="1:30" ht="27.75" customHeight="1" x14ac:dyDescent="0.3">
      <c r="A194" s="1522"/>
      <c r="B194" s="1514"/>
      <c r="C194" s="1514"/>
      <c r="D194" s="1514"/>
      <c r="E194" s="1514"/>
      <c r="F194" s="1514"/>
      <c r="G194" s="1514"/>
      <c r="H194" s="1514"/>
      <c r="I194" s="1514"/>
      <c r="J194" s="1514"/>
      <c r="K194" s="1514"/>
      <c r="L194" s="1514"/>
      <c r="M194" s="1514"/>
      <c r="N194" s="1514"/>
      <c r="O194" s="1514"/>
      <c r="P194" s="1812"/>
      <c r="Q194" s="1812"/>
      <c r="R194" s="1514"/>
      <c r="S194" s="1514"/>
      <c r="T194" s="1514"/>
      <c r="U194" s="1514"/>
      <c r="V194" s="1514"/>
      <c r="W194" s="1514"/>
      <c r="X194" s="1514"/>
      <c r="Y194" s="1514"/>
      <c r="Z194" s="1514"/>
      <c r="AA194" s="1514"/>
      <c r="AB194" s="1514"/>
      <c r="AC194" s="1514"/>
      <c r="AD194" s="1514"/>
    </row>
    <row r="195" spans="1:30" ht="14.4" thickBot="1" x14ac:dyDescent="0.35">
      <c r="A195" s="1522"/>
      <c r="B195" s="1534"/>
      <c r="C195" s="1535"/>
      <c r="D195" s="1535"/>
      <c r="E195" s="1535"/>
      <c r="F195" s="1535"/>
      <c r="G195" s="1535"/>
      <c r="H195" s="1535"/>
      <c r="I195" s="1535"/>
      <c r="J195" s="1535"/>
      <c r="K195" s="1535"/>
      <c r="L195" s="1535"/>
      <c r="M195" s="1535"/>
      <c r="N195" s="1535"/>
      <c r="O195" s="1535"/>
      <c r="P195" s="1535"/>
      <c r="Q195" s="1535"/>
      <c r="R195" s="1535"/>
      <c r="S195" s="1535"/>
      <c r="T195" s="1535"/>
      <c r="U195" s="1535"/>
      <c r="V195" s="1535"/>
      <c r="W195" s="1535"/>
      <c r="X195" s="1535"/>
      <c r="Y195" s="1514"/>
      <c r="Z195" s="1514"/>
      <c r="AA195" s="1514"/>
      <c r="AB195" s="1514"/>
      <c r="AC195" s="1514"/>
      <c r="AD195" s="1514"/>
    </row>
    <row r="196" spans="1:30" ht="15.75" customHeight="1" thickBot="1" x14ac:dyDescent="0.35">
      <c r="A196" s="1522"/>
      <c r="B196" s="2434" t="s">
        <v>23</v>
      </c>
      <c r="C196" s="2435"/>
      <c r="D196" s="2436"/>
      <c r="E196" s="2434" t="s">
        <v>24</v>
      </c>
      <c r="F196" s="2435"/>
      <c r="G196" s="2436"/>
      <c r="H196" s="2423" t="s">
        <v>461</v>
      </c>
      <c r="I196" s="2621"/>
      <c r="J196" s="2424"/>
      <c r="K196" s="1535"/>
      <c r="L196" s="1535"/>
      <c r="M196" s="1535"/>
      <c r="N196" s="1535"/>
      <c r="O196" s="1535"/>
      <c r="P196" s="1535"/>
      <c r="Q196" s="1535"/>
      <c r="R196" s="1535"/>
      <c r="S196" s="1535"/>
      <c r="T196" s="1535"/>
      <c r="U196" s="1535"/>
      <c r="V196" s="1535"/>
      <c r="W196" s="1535"/>
      <c r="X196" s="1535"/>
      <c r="Y196" s="1514"/>
      <c r="Z196" s="1514"/>
      <c r="AA196" s="1514"/>
      <c r="AB196" s="1514"/>
      <c r="AC196" s="1514"/>
      <c r="AD196" s="1514"/>
    </row>
    <row r="197" spans="1:30" ht="13.5" customHeight="1" thickBot="1" x14ac:dyDescent="0.35">
      <c r="A197" s="1522"/>
      <c r="B197" s="2580" t="s">
        <v>170</v>
      </c>
      <c r="C197" s="2581"/>
      <c r="D197" s="1623">
        <v>1059</v>
      </c>
      <c r="E197" s="2428"/>
      <c r="F197" s="2429"/>
      <c r="G197" s="2430"/>
      <c r="H197" s="2403" t="str">
        <f>IF(D197&lt;0,"Error - Negative number","")</f>
        <v/>
      </c>
      <c r="I197" s="2617"/>
      <c r="J197" s="2404"/>
      <c r="K197" s="1535"/>
      <c r="L197" s="1535"/>
      <c r="M197" s="1535"/>
      <c r="N197" s="1535"/>
      <c r="O197" s="1535"/>
      <c r="P197" s="1535"/>
      <c r="Q197" s="1535"/>
      <c r="R197" s="1535"/>
      <c r="S197" s="1535"/>
      <c r="T197" s="1535"/>
      <c r="U197" s="1535"/>
      <c r="V197" s="1535"/>
      <c r="W197" s="1535"/>
      <c r="X197" s="1535"/>
      <c r="Y197" s="1514"/>
      <c r="Z197" s="1514"/>
      <c r="AA197" s="1514"/>
      <c r="AB197" s="1514"/>
      <c r="AC197" s="1514"/>
      <c r="AD197" s="1514"/>
    </row>
    <row r="198" spans="1:30" ht="13.5" customHeight="1" thickBot="1" x14ac:dyDescent="0.35">
      <c r="A198" s="1522"/>
      <c r="B198" s="2580" t="s">
        <v>468</v>
      </c>
      <c r="C198" s="2581"/>
      <c r="D198" s="1811">
        <f>IF(D197=0,"",+D109/D197)</f>
        <v>443.3056831568789</v>
      </c>
      <c r="E198" s="2400"/>
      <c r="F198" s="2401"/>
      <c r="G198" s="2402"/>
      <c r="H198" s="2618" t="str">
        <f>IF(AND(D198&lt;'QA config'!D3,D198&lt;&gt;""),CONCATENATE("Average distance less than ",'QA config'!D3," km"),IF(AND(D198&gt;'QA config'!C3,D198&lt;&gt;""),CONCATENATE("Average distance more than ",'QA config'!C3," km"),""))</f>
        <v/>
      </c>
      <c r="I198" s="2619"/>
      <c r="J198" s="2620"/>
      <c r="K198" s="1535"/>
      <c r="L198" s="1535"/>
      <c r="M198" s="1535"/>
      <c r="N198" s="1535"/>
      <c r="O198" s="1535"/>
      <c r="P198" s="1535"/>
      <c r="Q198" s="1535"/>
      <c r="R198" s="1535"/>
      <c r="S198" s="1535"/>
      <c r="T198" s="1535"/>
      <c r="U198" s="1535"/>
      <c r="V198" s="1535"/>
      <c r="W198" s="1535"/>
      <c r="X198" s="1535"/>
      <c r="Y198" s="1514"/>
      <c r="Z198" s="1514"/>
      <c r="AA198" s="1514"/>
      <c r="AB198" s="1514"/>
      <c r="AC198" s="1514"/>
      <c r="AD198" s="1514"/>
    </row>
    <row r="199" spans="1:30" x14ac:dyDescent="0.3">
      <c r="A199" s="1522"/>
      <c r="B199" s="1535"/>
      <c r="C199" s="1535"/>
      <c r="D199" s="1535"/>
      <c r="E199" s="1535"/>
      <c r="F199" s="1535"/>
      <c r="G199" s="1535"/>
      <c r="H199" s="1535"/>
      <c r="I199" s="1535"/>
      <c r="J199" s="1543"/>
      <c r="K199" s="1544"/>
      <c r="L199" s="1535"/>
      <c r="M199" s="1535"/>
      <c r="N199" s="1514"/>
      <c r="O199" s="1514"/>
      <c r="P199" s="1514"/>
      <c r="Q199" s="1514"/>
      <c r="R199" s="1514"/>
      <c r="S199" s="1514"/>
      <c r="T199" s="1514"/>
      <c r="U199" s="1514"/>
      <c r="V199" s="1514"/>
      <c r="W199" s="1514"/>
      <c r="X199" s="1514"/>
      <c r="Y199" s="1514"/>
      <c r="Z199" s="1514"/>
      <c r="AA199" s="1514"/>
      <c r="AB199" s="1514"/>
      <c r="AC199" s="1514"/>
      <c r="AD199" s="1514"/>
    </row>
    <row r="200" spans="1:30" ht="27.75" customHeight="1" x14ac:dyDescent="0.3">
      <c r="A200" s="1517"/>
      <c r="J200" s="1517"/>
      <c r="K200" s="1517"/>
    </row>
    <row r="201" spans="1:30" x14ac:dyDescent="0.3">
      <c r="A201" s="1517"/>
      <c r="J201" s="1517"/>
      <c r="K201" s="1517"/>
    </row>
    <row r="202" spans="1:30" ht="15.75" customHeight="1" x14ac:dyDescent="0.3">
      <c r="A202" s="1517"/>
      <c r="J202" s="1517"/>
      <c r="K202" s="1517"/>
    </row>
    <row r="203" spans="1:30" ht="13.5" customHeight="1" x14ac:dyDescent="0.3">
      <c r="A203" s="1517"/>
      <c r="J203" s="1517"/>
      <c r="K203" s="1517"/>
    </row>
    <row r="204" spans="1:30" ht="13.5" customHeight="1" x14ac:dyDescent="0.3">
      <c r="A204" s="1517"/>
      <c r="J204" s="1517"/>
      <c r="K204" s="1517"/>
    </row>
    <row r="205" spans="1:30" x14ac:dyDescent="0.3">
      <c r="A205" s="1517"/>
      <c r="J205" s="1517"/>
      <c r="K205" s="1517"/>
    </row>
    <row r="206" spans="1:30" x14ac:dyDescent="0.3">
      <c r="A206" s="1517"/>
      <c r="J206" s="1517"/>
      <c r="K206" s="1517"/>
    </row>
    <row r="207" spans="1:30" x14ac:dyDescent="0.3">
      <c r="AA207" s="1514"/>
      <c r="AB207" s="1514"/>
      <c r="AC207" s="1514"/>
      <c r="AD207" s="1514"/>
    </row>
    <row r="208" spans="1:30" x14ac:dyDescent="0.3">
      <c r="AA208" s="1514"/>
      <c r="AB208" s="1514"/>
      <c r="AC208" s="1514"/>
      <c r="AD208" s="1514"/>
    </row>
  </sheetData>
  <sheetProtection algorithmName="SHA-512" hashValue="rR/IUP77u54YCyLzey2h1CPvopsHB49Ayr6j3q8KJHPGPIio4PFK8OD8HDeD+Wfp1r5K+AmqxEh1SQafxC2rwg==" saltValue="1yTe/qXJ2OpqxKAcgeChhw==" spinCount="100000" sheet="1" objects="1" scenarios="1"/>
  <mergeCells count="261">
    <mergeCell ref="B197:C197"/>
    <mergeCell ref="E197:G197"/>
    <mergeCell ref="H197:J197"/>
    <mergeCell ref="B198:C198"/>
    <mergeCell ref="E198:G198"/>
    <mergeCell ref="H198:J198"/>
    <mergeCell ref="F191:H191"/>
    <mergeCell ref="I191:J191"/>
    <mergeCell ref="D193:J193"/>
    <mergeCell ref="B196:D196"/>
    <mergeCell ref="E196:G196"/>
    <mergeCell ref="H196:J196"/>
    <mergeCell ref="I184:K184"/>
    <mergeCell ref="I185:K185"/>
    <mergeCell ref="C186:J186"/>
    <mergeCell ref="D187:J187"/>
    <mergeCell ref="B189:E189"/>
    <mergeCell ref="F189:H190"/>
    <mergeCell ref="I189:J190"/>
    <mergeCell ref="I178:K178"/>
    <mergeCell ref="I179:K179"/>
    <mergeCell ref="I180:K180"/>
    <mergeCell ref="I181:K181"/>
    <mergeCell ref="I182:K182"/>
    <mergeCell ref="I183:K183"/>
    <mergeCell ref="I172:K172"/>
    <mergeCell ref="I173:K173"/>
    <mergeCell ref="I174:K174"/>
    <mergeCell ref="I175:K175"/>
    <mergeCell ref="I176:K176"/>
    <mergeCell ref="I177:K177"/>
    <mergeCell ref="D167:J167"/>
    <mergeCell ref="E169:F169"/>
    <mergeCell ref="G169:H169"/>
    <mergeCell ref="I169:K170"/>
    <mergeCell ref="L169:L170"/>
    <mergeCell ref="I171:K171"/>
    <mergeCell ref="D157:J157"/>
    <mergeCell ref="E162:H162"/>
    <mergeCell ref="I162:K163"/>
    <mergeCell ref="L162:L163"/>
    <mergeCell ref="B164:C164"/>
    <mergeCell ref="I164:K164"/>
    <mergeCell ref="B154:C154"/>
    <mergeCell ref="E154:F154"/>
    <mergeCell ref="G154:I154"/>
    <mergeCell ref="B155:C155"/>
    <mergeCell ref="D155:F155"/>
    <mergeCell ref="G155:I155"/>
    <mergeCell ref="D146:E146"/>
    <mergeCell ref="B147:L147"/>
    <mergeCell ref="D149:J149"/>
    <mergeCell ref="D152:F152"/>
    <mergeCell ref="G152:I152"/>
    <mergeCell ref="B153:C153"/>
    <mergeCell ref="D153:F153"/>
    <mergeCell ref="G153:I153"/>
    <mergeCell ref="D143:E143"/>
    <mergeCell ref="I143:K143"/>
    <mergeCell ref="D144:E144"/>
    <mergeCell ref="I144:K144"/>
    <mergeCell ref="D145:E145"/>
    <mergeCell ref="I145:K145"/>
    <mergeCell ref="I135:K135"/>
    <mergeCell ref="I136:K136"/>
    <mergeCell ref="D138:J138"/>
    <mergeCell ref="I140:K141"/>
    <mergeCell ref="D142:E142"/>
    <mergeCell ref="I142:K142"/>
    <mergeCell ref="I129:K129"/>
    <mergeCell ref="I130:K130"/>
    <mergeCell ref="I131:K131"/>
    <mergeCell ref="I132:K132"/>
    <mergeCell ref="I133:K133"/>
    <mergeCell ref="I134:K134"/>
    <mergeCell ref="I122:K122"/>
    <mergeCell ref="D125:F125"/>
    <mergeCell ref="I125:K127"/>
    <mergeCell ref="M125:M126"/>
    <mergeCell ref="I128:K128"/>
    <mergeCell ref="I115:K115"/>
    <mergeCell ref="I116:K116"/>
    <mergeCell ref="I117:K117"/>
    <mergeCell ref="I118:K118"/>
    <mergeCell ref="I119:K119"/>
    <mergeCell ref="I120:K120"/>
    <mergeCell ref="I107:K107"/>
    <mergeCell ref="B108:C108"/>
    <mergeCell ref="I108:K108"/>
    <mergeCell ref="B109:B121"/>
    <mergeCell ref="I109:K109"/>
    <mergeCell ref="I110:K110"/>
    <mergeCell ref="I111:K111"/>
    <mergeCell ref="I112:K112"/>
    <mergeCell ref="I113:K113"/>
    <mergeCell ref="I114:K114"/>
    <mergeCell ref="I121:K121"/>
    <mergeCell ref="I101:K101"/>
    <mergeCell ref="I102:K102"/>
    <mergeCell ref="I103:K103"/>
    <mergeCell ref="I104:K104"/>
    <mergeCell ref="I105:K105"/>
    <mergeCell ref="I106:K106"/>
    <mergeCell ref="I96:K96"/>
    <mergeCell ref="U96:W96"/>
    <mergeCell ref="I97:K97"/>
    <mergeCell ref="O97:W100"/>
    <mergeCell ref="I98:K98"/>
    <mergeCell ref="I99:K99"/>
    <mergeCell ref="I100:K100"/>
    <mergeCell ref="I94:K94"/>
    <mergeCell ref="U94:W94"/>
    <mergeCell ref="I95:K95"/>
    <mergeCell ref="U95:W95"/>
    <mergeCell ref="I90:K90"/>
    <mergeCell ref="U90:W90"/>
    <mergeCell ref="I91:K91"/>
    <mergeCell ref="U91:W91"/>
    <mergeCell ref="I92:K92"/>
    <mergeCell ref="U92:W92"/>
    <mergeCell ref="Z86:Z89"/>
    <mergeCell ref="B87:B107"/>
    <mergeCell ref="I87:K87"/>
    <mergeCell ref="Q87:Q89"/>
    <mergeCell ref="R87:R89"/>
    <mergeCell ref="S87:S89"/>
    <mergeCell ref="I80:K80"/>
    <mergeCell ref="I81:K81"/>
    <mergeCell ref="I82:K82"/>
    <mergeCell ref="I83:K83"/>
    <mergeCell ref="I84:K84"/>
    <mergeCell ref="I85:K85"/>
    <mergeCell ref="T87:T88"/>
    <mergeCell ref="U87:W89"/>
    <mergeCell ref="X87:X89"/>
    <mergeCell ref="Y87:Y88"/>
    <mergeCell ref="I88:K88"/>
    <mergeCell ref="I89:K89"/>
    <mergeCell ref="B86:C86"/>
    <mergeCell ref="I86:K86"/>
    <mergeCell ref="O86:W86"/>
    <mergeCell ref="X86:Y86"/>
    <mergeCell ref="I93:K93"/>
    <mergeCell ref="U93:W93"/>
    <mergeCell ref="I76:K76"/>
    <mergeCell ref="I77:K77"/>
    <mergeCell ref="I78:K78"/>
    <mergeCell ref="I79:K79"/>
    <mergeCell ref="I72:K72"/>
    <mergeCell ref="U72:W72"/>
    <mergeCell ref="I73:K73"/>
    <mergeCell ref="U73:W73"/>
    <mergeCell ref="I74:K74"/>
    <mergeCell ref="U74:W74"/>
    <mergeCell ref="O64:W64"/>
    <mergeCell ref="X64:Y64"/>
    <mergeCell ref="Z64:Z67"/>
    <mergeCell ref="B65:B85"/>
    <mergeCell ref="I65:K65"/>
    <mergeCell ref="Q65:Q67"/>
    <mergeCell ref="R65:R67"/>
    <mergeCell ref="S65:S67"/>
    <mergeCell ref="T65:T66"/>
    <mergeCell ref="U65:W67"/>
    <mergeCell ref="I69:K69"/>
    <mergeCell ref="U69:W69"/>
    <mergeCell ref="I70:K70"/>
    <mergeCell ref="U70:W70"/>
    <mergeCell ref="I71:K71"/>
    <mergeCell ref="U71:W71"/>
    <mergeCell ref="X65:X67"/>
    <mergeCell ref="Y65:Y66"/>
    <mergeCell ref="I66:K66"/>
    <mergeCell ref="I67:K67"/>
    <mergeCell ref="I68:K68"/>
    <mergeCell ref="U68:W68"/>
    <mergeCell ref="I75:K75"/>
    <mergeCell ref="O75:W78"/>
    <mergeCell ref="J35:K35"/>
    <mergeCell ref="D55:J55"/>
    <mergeCell ref="B62:C63"/>
    <mergeCell ref="D62:F62"/>
    <mergeCell ref="I62:K63"/>
    <mergeCell ref="L62:L63"/>
    <mergeCell ref="B64:C64"/>
    <mergeCell ref="I64:K64"/>
    <mergeCell ref="D49:J49"/>
    <mergeCell ref="D51:F51"/>
    <mergeCell ref="G51:H51"/>
    <mergeCell ref="I51:K52"/>
    <mergeCell ref="L51:L52"/>
    <mergeCell ref="B53:C53"/>
    <mergeCell ref="I53:K53"/>
    <mergeCell ref="I30:K30"/>
    <mergeCell ref="I27:K27"/>
    <mergeCell ref="O27:O28"/>
    <mergeCell ref="P27:P28"/>
    <mergeCell ref="Q27:Q28"/>
    <mergeCell ref="R27:R28"/>
    <mergeCell ref="U27:U28"/>
    <mergeCell ref="B36:B47"/>
    <mergeCell ref="I36:K36"/>
    <mergeCell ref="I37:K37"/>
    <mergeCell ref="I38:K38"/>
    <mergeCell ref="I39:K39"/>
    <mergeCell ref="I40:K40"/>
    <mergeCell ref="I41:K41"/>
    <mergeCell ref="I31:K31"/>
    <mergeCell ref="O31:P31"/>
    <mergeCell ref="I42:K42"/>
    <mergeCell ref="I43:K43"/>
    <mergeCell ref="I44:K44"/>
    <mergeCell ref="I45:K45"/>
    <mergeCell ref="I46:K46"/>
    <mergeCell ref="I47:K47"/>
    <mergeCell ref="J33:K33"/>
    <mergeCell ref="J34:K34"/>
    <mergeCell ref="B19:C19"/>
    <mergeCell ref="B20:B35"/>
    <mergeCell ref="I20:K20"/>
    <mergeCell ref="I21:K21"/>
    <mergeCell ref="I22:K22"/>
    <mergeCell ref="I23:K23"/>
    <mergeCell ref="I24:K24"/>
    <mergeCell ref="O24:R24"/>
    <mergeCell ref="U24:X24"/>
    <mergeCell ref="I25:K25"/>
    <mergeCell ref="I26:K26"/>
    <mergeCell ref="O26:P26"/>
    <mergeCell ref="Q26:R26"/>
    <mergeCell ref="U26:V26"/>
    <mergeCell ref="W26:X26"/>
    <mergeCell ref="Q31:R31"/>
    <mergeCell ref="U31:V31"/>
    <mergeCell ref="W31:X31"/>
    <mergeCell ref="I32:K32"/>
    <mergeCell ref="V27:V28"/>
    <mergeCell ref="W27:W28"/>
    <mergeCell ref="X27:X28"/>
    <mergeCell ref="I28:K28"/>
    <mergeCell ref="I29:K29"/>
    <mergeCell ref="U16:X16"/>
    <mergeCell ref="D17:F17"/>
    <mergeCell ref="G17:H17"/>
    <mergeCell ref="I17:K19"/>
    <mergeCell ref="L17:L18"/>
    <mergeCell ref="O17:R17"/>
    <mergeCell ref="U17:X17"/>
    <mergeCell ref="O18:P18"/>
    <mergeCell ref="Q18:R18"/>
    <mergeCell ref="U18:V18"/>
    <mergeCell ref="W18:X18"/>
    <mergeCell ref="D6:J6"/>
    <mergeCell ref="F8:H9"/>
    <mergeCell ref="I8:J9"/>
    <mergeCell ref="B10:C10"/>
    <mergeCell ref="F10:H10"/>
    <mergeCell ref="I10:J10"/>
    <mergeCell ref="D13:J13"/>
    <mergeCell ref="D14:J14"/>
    <mergeCell ref="O16:R16"/>
  </mergeCells>
  <conditionalFormatting sqref="H17697">
    <cfRule type="expression" dxfId="66" priority="16">
      <formula>$H$197&lt;&gt;""</formula>
    </cfRule>
  </conditionalFormatting>
  <conditionalFormatting sqref="H198 L64:L122">
    <cfRule type="expression" dxfId="65" priority="15">
      <formula>H64&lt;&gt;""</formula>
    </cfRule>
  </conditionalFormatting>
  <conditionalFormatting sqref="H197">
    <cfRule type="expression" dxfId="64" priority="14">
      <formula>H197&lt;&gt;""</formula>
    </cfRule>
  </conditionalFormatting>
  <conditionalFormatting sqref="L171:L185">
    <cfRule type="expression" dxfId="63" priority="13">
      <formula>L171&lt;&gt;""</formula>
    </cfRule>
  </conditionalFormatting>
  <conditionalFormatting sqref="L19:L47">
    <cfRule type="expression" dxfId="62" priority="12">
      <formula>L19&lt;&gt;""</formula>
    </cfRule>
  </conditionalFormatting>
  <conditionalFormatting sqref="L164">
    <cfRule type="expression" dxfId="61" priority="11">
      <formula>L164&lt;&gt;""</formula>
    </cfRule>
  </conditionalFormatting>
  <conditionalFormatting sqref="I191">
    <cfRule type="expression" dxfId="60" priority="9">
      <formula>I191&lt;&gt;""</formula>
    </cfRule>
  </conditionalFormatting>
  <conditionalFormatting sqref="M127:M136">
    <cfRule type="expression" dxfId="59" priority="10">
      <formula>M127&lt;&gt;""</formula>
    </cfRule>
  </conditionalFormatting>
  <conditionalFormatting sqref="I10">
    <cfRule type="expression" dxfId="58" priority="8">
      <formula>I10&lt;&gt;""</formula>
    </cfRule>
  </conditionalFormatting>
  <conditionalFormatting sqref="Z68:Z72">
    <cfRule type="expression" dxfId="57" priority="7">
      <formula>Z68&lt;&gt;""</formula>
    </cfRule>
  </conditionalFormatting>
  <conditionalFormatting sqref="L53">
    <cfRule type="expression" dxfId="56" priority="6">
      <formula>L53&lt;&gt;""</formula>
    </cfRule>
  </conditionalFormatting>
  <conditionalFormatting sqref="Z95">
    <cfRule type="expression" dxfId="55" priority="1">
      <formula>Z95&lt;&gt;""</formula>
    </cfRule>
  </conditionalFormatting>
  <conditionalFormatting sqref="Z74">
    <cfRule type="expression" dxfId="54" priority="5">
      <formula>Z74&lt;&gt;""</formula>
    </cfRule>
  </conditionalFormatting>
  <conditionalFormatting sqref="Z73">
    <cfRule type="expression" dxfId="53" priority="4">
      <formula>Z73&lt;&gt;""</formula>
    </cfRule>
  </conditionalFormatting>
  <conditionalFormatting sqref="Z90:Z94">
    <cfRule type="expression" dxfId="52" priority="3">
      <formula>Z90&lt;&gt;""</formula>
    </cfRule>
  </conditionalFormatting>
  <conditionalFormatting sqref="Z96">
    <cfRule type="expression" dxfId="51" priority="2">
      <formula>Z96&lt;&gt;""</formula>
    </cfRule>
  </conditionalFormatting>
  <dataValidations count="6">
    <dataValidation type="decimal" operator="greaterThan" allowBlank="1" showInputMessage="1" showErrorMessage="1" errorTitle="Invalid input" error="Must be a positive number" sqref="E154:F154">
      <formula1>0</formula1>
    </dataValidation>
    <dataValidation type="list" allowBlank="1" showErrorMessage="1" errorTitle="Invalid input" error="Please enter &quot;yes&quot; or &quot;no&quot;." sqref="D153:F153">
      <formula1>"yes,no"</formula1>
    </dataValidation>
    <dataValidation type="list" allowBlank="1" showInputMessage="1" showErrorMessage="1" errorTitle="Invalid data" error="Please enter &quot;Scope 1&quot;, &quot;Scope 2&quot; or &quot;Scope 3&quot;." promptTitle="Reporting scope" prompt="Please enter the reporting scope of the data in this row." sqref="I33:I35">
      <formula1>"Scope 1,Scope 2,Scope 3"</formula1>
    </dataValidation>
    <dataValidation type="decimal" operator="greaterThan" allowBlank="1" showInputMessage="1" showErrorMessage="1" error="Must be a positive number" sqref="D10:E10">
      <formula1>0</formula1>
    </dataValidation>
    <dataValidation allowBlank="1" showInputMessage="1" sqref="L196:L198"/>
    <dataValidation allowBlank="1" sqref="G50:G52 H50 D108:E108 G17:G19 N189:V189 I189 K190:V194 J50 E184 I50:I51 E50:F50 I17 E18:E19 R19 I139:I140 F191:F192 D187:J187 B169:E170 B186:E186 G188:J188 I142:I146 J139 C9:E9 F170:F186 W18 O13:R14 P15:R15 P20:R23 E138:J138 B86:B87 D123:D127 E49:J49 D86:E86 E139:H139 G184 G169:G170 G181:G182 B187:B190 C190:D190 K48:K50 J48 H170 G48 D49:D52 D54:D64 I53:I54 J54 H52:H54 K186:V188 G186:J186 C187:C188 D188:E188 F10 C192:D195 E190:E192 G192:J192 G194:J194 E193:J193 B171:B185 D137 E13:K16 H171:I185 E181:E182 X122:Y122 J124:K124 A147:K148 I62 E55:J60 K54:K60 E61:K61 Q68:Q73 B123:C137 U68:U74 I169 H164:I164 U19:X59 B108:B109 B64:B65 P25:R59 E54:G54 E52:F53 B36:B62 S68:S73 O65:U65 T67:T74 X65:Y65 X64 C64:C107 H18:H48 C20:C61 F18:F48 L19:L51 Y89:Y121 J123:XFD123 F140:G146 E194:F195 L53:L62 B122 I128:I137 K137:K139 G137:H137 J137 F188:F189 G195 E196:E198 M127:M155 M169:V185 L169 G152:G155 E149:J149 K149:K155 E150:I151 J150:J155 B156:XFD156 E140:E141 I191 K195:K198 E126:F137 I195:J195 A166:XFD168 L164:L165 F157:K161 C163:D163 B157:E162 B163:B164 B165:K165 I162 G163:H163 E163:F164 M157:XFD165 L157:L162 I199:L199 D154:D155 G123:H124 L124:L155 N124:XFD155 M124:M125 L171:L185 D199:G199 C197:C199 H195:H199 I8 I10 K8:K10 H140:H145 B8:F8 E63:E85 E87:E107 M195:V199 L195 Z64 B1:AD7 N8:AD10 W169:XFD199 C11:AD12 AE200:XFD206 B192:B199 A169:A199 A207:XFD1048576 B138:D146 A156:A165 P19 Q18:Q19 O68:O75 X68:X86 I20:I32 I36:I48 A149:C155 D149:D152 O79:W85 S90:S95 Q90:Q95 U90:U95 O87:U87 T89:T96 X87:Y87 U96:W96 O86 R74:S74 X90:X121 O64 O15:O59 Y67:Y85 Z68:Z86 O90:O97 R96:S96 D42:E48 I64:I125 E109:E124 O101:W122 Z90:Z122 L64:L122 F63:F124 A1:A146 AA13:AD122 M13:N122 AE1:XFD122 D13:D19 B9:B20 Y13:Z59 S13:T59 L13:L17 V13:X15 U13:U18 C13:C18 C109:C122"/>
  </dataValidations>
  <hyperlinks>
    <hyperlink ref="C42:C47" location="CHP!A1" display="CHP1 Electricity"/>
    <hyperlink ref="B60" location="'conversion factors'!A1" display="If you need to convert from miles to km, go to the Conversions tab or click here"/>
    <hyperlink ref="C42" location="CHP!T4" display="CHP1 Electricity"/>
    <hyperlink ref="C43" location="CHP!T4" display="CHP1 Heat"/>
    <hyperlink ref="C44" location="CHP!T31" display="CHP2 Electricity"/>
    <hyperlink ref="C45" location="CHP!T31" display="CHP2 Heat"/>
    <hyperlink ref="C46" location="CHP!T58" display="CHP3 Electricity"/>
    <hyperlink ref="C47" location="CHP!T58" display="CHP3 Heat"/>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151ED"/>
  </sheetPr>
  <dimension ref="A1:AD208"/>
  <sheetViews>
    <sheetView topLeftCell="A142" zoomScaleNormal="100" workbookViewId="0">
      <selection activeCell="E164" sqref="E164"/>
    </sheetView>
  </sheetViews>
  <sheetFormatPr defaultColWidth="9.109375" defaultRowHeight="13.8" x14ac:dyDescent="0.3"/>
  <cols>
    <col min="1" max="1" width="10.33203125" style="1813" customWidth="1"/>
    <col min="2" max="2" width="12.6640625" style="1517" customWidth="1"/>
    <col min="3" max="3" width="44.109375" style="1517" bestFit="1" customWidth="1"/>
    <col min="4" max="4" width="16.33203125" style="1517" customWidth="1"/>
    <col min="5" max="8" width="14" style="1517" customWidth="1"/>
    <col min="9" max="9" width="13.109375" style="1517" customWidth="1"/>
    <col min="10" max="10" width="12.33203125" style="1814" customWidth="1"/>
    <col min="11" max="11" width="14.33203125" style="1815" customWidth="1"/>
    <col min="12" max="12" width="29.77734375" style="1517" customWidth="1"/>
    <col min="13" max="13" width="25.77734375" style="1517" customWidth="1"/>
    <col min="14" max="14" width="11.77734375" style="1517" customWidth="1"/>
    <col min="15" max="15" width="11" style="1517" customWidth="1"/>
    <col min="16" max="16" width="19.109375" style="1517" customWidth="1"/>
    <col min="17" max="17" width="11" style="1517" customWidth="1"/>
    <col min="18" max="18" width="14" style="1517" customWidth="1"/>
    <col min="19" max="20" width="9.109375" style="1517"/>
    <col min="21" max="21" width="9.109375" style="1517" customWidth="1"/>
    <col min="22" max="22" width="15.77734375" style="1517" customWidth="1"/>
    <col min="23" max="23" width="9.109375" style="1517" customWidth="1"/>
    <col min="24" max="24" width="13.77734375" style="1517" customWidth="1"/>
    <col min="25" max="25" width="9.109375" style="1517"/>
    <col min="26" max="26" width="22.77734375" style="1517" customWidth="1"/>
    <col min="27" max="16384" width="9.109375" style="1517"/>
  </cols>
  <sheetData>
    <row r="1" spans="1:30" ht="23.4" x14ac:dyDescent="0.45">
      <c r="A1" s="1512" t="s">
        <v>530</v>
      </c>
      <c r="B1" s="1513"/>
      <c r="C1" s="1514"/>
      <c r="D1" s="1514"/>
      <c r="E1" s="1514"/>
      <c r="F1" s="1514"/>
      <c r="G1" s="1514"/>
      <c r="H1" s="1514"/>
      <c r="I1" s="1514"/>
      <c r="J1" s="1515"/>
      <c r="K1" s="1516"/>
      <c r="L1" s="1514"/>
      <c r="M1" s="1514"/>
      <c r="N1" s="1514"/>
      <c r="O1" s="1514"/>
      <c r="P1" s="1514"/>
      <c r="Q1" s="1514"/>
      <c r="R1" s="1514"/>
      <c r="S1" s="1514"/>
      <c r="T1" s="1514"/>
      <c r="U1" s="1514"/>
      <c r="V1" s="1514"/>
      <c r="W1" s="1514"/>
      <c r="X1" s="1514"/>
      <c r="Y1" s="1514"/>
      <c r="Z1" s="1514"/>
      <c r="AA1" s="1514"/>
      <c r="AB1" s="1514"/>
      <c r="AC1" s="1514"/>
      <c r="AD1" s="1514"/>
    </row>
    <row r="2" spans="1:30" x14ac:dyDescent="0.3">
      <c r="A2" s="1518"/>
      <c r="B2" s="1519"/>
      <c r="C2" s="1519"/>
      <c r="D2" s="1519"/>
      <c r="E2" s="1519"/>
      <c r="F2" s="1519"/>
      <c r="G2" s="1519"/>
      <c r="H2" s="1519"/>
      <c r="I2" s="1519"/>
      <c r="J2" s="1520"/>
      <c r="K2" s="1521"/>
      <c r="L2" s="1521"/>
      <c r="M2" s="1521"/>
      <c r="N2" s="1521"/>
      <c r="O2" s="1519"/>
      <c r="P2" s="1519"/>
      <c r="Q2" s="1519"/>
      <c r="R2" s="1519"/>
      <c r="S2" s="1519"/>
      <c r="T2" s="1519"/>
      <c r="U2" s="1519"/>
      <c r="V2" s="1519"/>
      <c r="W2" s="1519"/>
      <c r="X2" s="1519"/>
      <c r="Y2" s="1519"/>
      <c r="Z2" s="1519"/>
      <c r="AA2" s="1519"/>
      <c r="AB2" s="1519"/>
      <c r="AC2" s="1519"/>
      <c r="AD2" s="1519"/>
    </row>
    <row r="3" spans="1:30" x14ac:dyDescent="0.3">
      <c r="A3" s="1522"/>
      <c r="B3" s="1514"/>
      <c r="C3" s="1514"/>
      <c r="D3" s="1514"/>
      <c r="E3" s="1514"/>
      <c r="F3" s="1514"/>
      <c r="G3" s="1514"/>
      <c r="H3" s="1514"/>
      <c r="I3" s="1514"/>
      <c r="J3" s="1515"/>
      <c r="K3" s="1523"/>
      <c r="L3" s="1514"/>
      <c r="M3" s="1514"/>
      <c r="N3" s="1514"/>
      <c r="O3" s="1514"/>
      <c r="P3" s="1514"/>
      <c r="Q3" s="1514"/>
      <c r="R3" s="1514"/>
      <c r="S3" s="1514"/>
      <c r="T3" s="1514"/>
      <c r="U3" s="1514"/>
      <c r="V3" s="1514"/>
      <c r="W3" s="1514"/>
      <c r="X3" s="1514"/>
      <c r="Y3" s="1514"/>
      <c r="Z3" s="1514"/>
      <c r="AA3" s="1514"/>
      <c r="AB3" s="1514"/>
      <c r="AC3" s="1514"/>
      <c r="AD3" s="1514"/>
    </row>
    <row r="4" spans="1:30" s="1526" customFormat="1" ht="21" x14ac:dyDescent="0.3">
      <c r="A4" s="1524" t="s">
        <v>20</v>
      </c>
      <c r="B4" s="1525" t="str">
        <f>+Performance!C2</f>
        <v>MINISTRY OF JUSTICE (MoJ)</v>
      </c>
      <c r="C4" s="1525"/>
      <c r="D4" s="1525"/>
      <c r="E4" s="1525"/>
      <c r="F4" s="1525"/>
      <c r="G4" s="1525"/>
      <c r="H4" s="1525"/>
      <c r="I4" s="1525"/>
      <c r="J4" s="1525"/>
      <c r="K4" s="1525"/>
      <c r="L4" s="1525"/>
      <c r="M4" s="1525"/>
      <c r="N4" s="1525"/>
      <c r="O4" s="1525"/>
      <c r="P4" s="1525"/>
      <c r="Q4" s="1525"/>
      <c r="R4" s="1525"/>
      <c r="S4" s="1525"/>
      <c r="T4" s="1525"/>
      <c r="U4" s="1525"/>
      <c r="V4" s="1525"/>
      <c r="W4" s="1525"/>
      <c r="X4" s="1525"/>
      <c r="Y4" s="1525"/>
      <c r="Z4" s="1525"/>
      <c r="AA4" s="1525"/>
      <c r="AB4" s="1525"/>
      <c r="AC4" s="1525"/>
      <c r="AD4" s="1525"/>
    </row>
    <row r="5" spans="1:30" ht="21" x14ac:dyDescent="0.3">
      <c r="A5" s="1522"/>
      <c r="B5" s="1527"/>
      <c r="C5" s="1527"/>
      <c r="D5" s="1527"/>
      <c r="E5" s="1527"/>
      <c r="F5" s="1527"/>
      <c r="G5" s="1527"/>
      <c r="H5" s="1527"/>
      <c r="I5" s="1527"/>
      <c r="J5" s="1527"/>
      <c r="K5" s="1528"/>
      <c r="L5" s="1528"/>
      <c r="M5" s="1528"/>
      <c r="N5" s="1528"/>
      <c r="O5" s="1514"/>
      <c r="P5" s="1514"/>
      <c r="Q5" s="1514"/>
      <c r="R5" s="1514"/>
      <c r="S5" s="1514"/>
      <c r="T5" s="1514"/>
      <c r="U5" s="1514"/>
      <c r="V5" s="1514"/>
      <c r="W5" s="1514"/>
      <c r="X5" s="1514"/>
      <c r="Y5" s="1514"/>
      <c r="Z5" s="1514"/>
      <c r="AA5" s="1514"/>
      <c r="AB5" s="1514"/>
      <c r="AC5" s="1514"/>
      <c r="AD5" s="1514"/>
    </row>
    <row r="6" spans="1:30" ht="23.4" x14ac:dyDescent="0.3">
      <c r="A6" s="1529">
        <v>1</v>
      </c>
      <c r="B6" s="1530" t="s">
        <v>476</v>
      </c>
      <c r="C6" s="1531"/>
      <c r="D6" s="2387" t="str">
        <f>+$A$1</f>
        <v>Quarter 2 - 2018-2019</v>
      </c>
      <c r="E6" s="2387"/>
      <c r="F6" s="2387"/>
      <c r="G6" s="2387"/>
      <c r="H6" s="2387"/>
      <c r="I6" s="2387"/>
      <c r="J6" s="2387"/>
      <c r="K6" s="1532"/>
      <c r="L6" s="1532"/>
      <c r="M6" s="1532"/>
      <c r="N6" s="1519"/>
      <c r="O6" s="1519"/>
      <c r="P6" s="1533"/>
      <c r="Q6" s="1533"/>
      <c r="R6" s="1519"/>
      <c r="S6" s="1519"/>
      <c r="T6" s="1519"/>
      <c r="U6" s="1519"/>
      <c r="V6" s="1519"/>
      <c r="W6" s="1519"/>
      <c r="X6" s="1519"/>
      <c r="Y6" s="1519"/>
      <c r="Z6" s="1519"/>
      <c r="AA6" s="1519"/>
      <c r="AB6" s="1519"/>
      <c r="AC6" s="1519"/>
      <c r="AD6" s="1519"/>
    </row>
    <row r="7" spans="1:30" ht="14.4" thickBot="1" x14ac:dyDescent="0.35">
      <c r="A7" s="1522"/>
      <c r="B7" s="1534"/>
      <c r="C7" s="1535"/>
      <c r="D7" s="1535"/>
      <c r="E7" s="1535"/>
      <c r="F7" s="1535"/>
      <c r="G7" s="1535"/>
      <c r="H7" s="1535"/>
      <c r="I7" s="1535"/>
      <c r="J7" s="1535"/>
      <c r="K7" s="1535"/>
      <c r="L7" s="1535"/>
      <c r="M7" s="1535"/>
      <c r="N7" s="1535"/>
      <c r="O7" s="1535"/>
      <c r="P7" s="1535"/>
      <c r="Q7" s="1535"/>
      <c r="R7" s="1535"/>
      <c r="S7" s="1535"/>
      <c r="T7" s="1535"/>
      <c r="U7" s="1535"/>
      <c r="V7" s="1535"/>
      <c r="W7" s="1535"/>
      <c r="X7" s="1535"/>
      <c r="Y7" s="1514"/>
      <c r="Z7" s="1514"/>
      <c r="AA7" s="1514"/>
      <c r="AB7" s="1514"/>
      <c r="AC7" s="1514"/>
      <c r="AD7" s="1514"/>
    </row>
    <row r="8" spans="1:30" ht="14.4" thickBot="1" x14ac:dyDescent="0.35">
      <c r="A8" s="1522"/>
      <c r="B8" s="1514"/>
      <c r="C8" s="1534"/>
      <c r="D8" s="1536" t="s">
        <v>23</v>
      </c>
      <c r="E8" s="1537" t="s">
        <v>144</v>
      </c>
      <c r="F8" s="2388" t="s">
        <v>24</v>
      </c>
      <c r="G8" s="2389"/>
      <c r="H8" s="2390"/>
      <c r="I8" s="2394" t="s">
        <v>461</v>
      </c>
      <c r="J8" s="2395"/>
      <c r="K8" s="1535"/>
      <c r="L8" s="1535"/>
      <c r="M8" s="1535"/>
      <c r="N8" s="1535"/>
      <c r="O8" s="1535"/>
      <c r="P8" s="1535"/>
      <c r="Q8" s="1535"/>
      <c r="R8" s="1535"/>
      <c r="S8" s="1535"/>
      <c r="T8" s="1535"/>
      <c r="U8" s="1535"/>
      <c r="V8" s="1535"/>
      <c r="W8" s="1535"/>
      <c r="X8" s="1535"/>
      <c r="Y8" s="1514"/>
      <c r="Z8" s="1514"/>
      <c r="AA8" s="1535"/>
      <c r="AB8" s="1535"/>
      <c r="AC8" s="1535"/>
      <c r="AD8" s="1535"/>
    </row>
    <row r="9" spans="1:30" ht="14.4" thickBot="1" x14ac:dyDescent="0.35">
      <c r="A9" s="1522"/>
      <c r="B9" s="1538"/>
      <c r="C9" s="1514"/>
      <c r="D9" s="1539" t="s">
        <v>477</v>
      </c>
      <c r="E9" s="1540" t="s">
        <v>477</v>
      </c>
      <c r="F9" s="2391"/>
      <c r="G9" s="2392"/>
      <c r="H9" s="2393"/>
      <c r="I9" s="2396"/>
      <c r="J9" s="2397"/>
      <c r="K9" s="1535"/>
      <c r="L9" s="1535"/>
      <c r="M9" s="1535"/>
      <c r="N9" s="1535"/>
      <c r="O9" s="1535"/>
      <c r="P9" s="1535"/>
      <c r="Q9" s="1535"/>
      <c r="R9" s="1535"/>
      <c r="S9" s="1535"/>
      <c r="T9" s="1535"/>
      <c r="U9" s="1535"/>
      <c r="V9" s="1535"/>
      <c r="W9" s="1535"/>
      <c r="X9" s="1535"/>
      <c r="Y9" s="1514"/>
      <c r="Z9" s="1514"/>
      <c r="AA9" s="1535"/>
      <c r="AB9" s="1535"/>
      <c r="AC9" s="1535"/>
      <c r="AD9" s="1535"/>
    </row>
    <row r="10" spans="1:30" ht="14.4" thickBot="1" x14ac:dyDescent="0.35">
      <c r="A10" s="1522"/>
      <c r="B10" s="2398" t="s">
        <v>478</v>
      </c>
      <c r="C10" s="2399"/>
      <c r="D10" s="1541"/>
      <c r="E10" s="1542"/>
      <c r="F10" s="2400"/>
      <c r="G10" s="2401"/>
      <c r="H10" s="2402"/>
      <c r="I10" s="2403" t="str">
        <f>IF(OR(D10&lt;0,E10&lt;0),"Error - Negative number",IF(E10&gt;D10,"Offices only&gt;Total Estate",""))</f>
        <v/>
      </c>
      <c r="J10" s="2404"/>
      <c r="K10" s="1535"/>
      <c r="L10" s="1535"/>
      <c r="M10" s="1535"/>
      <c r="N10" s="1535"/>
      <c r="O10" s="1535"/>
      <c r="P10" s="1535"/>
      <c r="Q10" s="1535"/>
      <c r="R10" s="1535"/>
      <c r="S10" s="1535"/>
      <c r="T10" s="1535"/>
      <c r="U10" s="1535"/>
      <c r="V10" s="1535"/>
      <c r="W10" s="1535"/>
      <c r="X10" s="1535"/>
      <c r="Y10" s="1514"/>
      <c r="Z10" s="1514"/>
      <c r="AA10" s="1535"/>
      <c r="AB10" s="1535"/>
      <c r="AC10" s="1535"/>
      <c r="AD10" s="1535"/>
    </row>
    <row r="11" spans="1:30" x14ac:dyDescent="0.3">
      <c r="A11" s="1522"/>
      <c r="B11" s="1535"/>
      <c r="C11" s="1535"/>
      <c r="D11" s="1535"/>
      <c r="E11" s="1535"/>
      <c r="F11" s="1535"/>
      <c r="G11" s="1535"/>
      <c r="H11" s="1535"/>
      <c r="I11" s="1535"/>
      <c r="J11" s="1543"/>
      <c r="K11" s="1544"/>
      <c r="L11" s="1535"/>
      <c r="M11" s="1535"/>
      <c r="N11" s="1514"/>
      <c r="O11" s="1514"/>
      <c r="P11" s="1514"/>
      <c r="Q11" s="1514"/>
      <c r="R11" s="1514"/>
      <c r="S11" s="1514"/>
      <c r="T11" s="1514"/>
      <c r="U11" s="1514"/>
      <c r="V11" s="1514"/>
      <c r="W11" s="1514"/>
      <c r="X11" s="1514"/>
      <c r="Y11" s="1514"/>
      <c r="Z11" s="1514"/>
      <c r="AA11" s="1514"/>
      <c r="AB11" s="1514"/>
      <c r="AC11" s="1514"/>
      <c r="AD11" s="1514"/>
    </row>
    <row r="12" spans="1:30" x14ac:dyDescent="0.3">
      <c r="A12" s="1522"/>
      <c r="B12" s="1535"/>
      <c r="C12" s="1535"/>
      <c r="D12" s="1535"/>
      <c r="E12" s="1535"/>
      <c r="F12" s="1535"/>
      <c r="G12" s="1535"/>
      <c r="H12" s="1535"/>
      <c r="I12" s="1535"/>
      <c r="J12" s="1543"/>
      <c r="K12" s="1544"/>
      <c r="L12" s="1535"/>
      <c r="M12" s="1535"/>
      <c r="N12" s="1514"/>
      <c r="O12" s="1514"/>
      <c r="P12" s="1514"/>
      <c r="Q12" s="1514"/>
      <c r="R12" s="1514"/>
      <c r="S12" s="1514"/>
      <c r="T12" s="1514"/>
      <c r="U12" s="1514"/>
      <c r="V12" s="1514"/>
      <c r="W12" s="1514"/>
      <c r="X12" s="1514"/>
      <c r="Y12" s="1514"/>
      <c r="Z12" s="1514"/>
      <c r="AA12" s="1514"/>
      <c r="AB12" s="1514"/>
      <c r="AC12" s="1514"/>
      <c r="AD12" s="1514"/>
    </row>
    <row r="13" spans="1:30" ht="27.75" customHeight="1" x14ac:dyDescent="0.3">
      <c r="A13" s="1529">
        <v>2</v>
      </c>
      <c r="B13" s="1530" t="s">
        <v>21</v>
      </c>
      <c r="C13" s="1531"/>
      <c r="D13" s="2387" t="str">
        <f>+$A$1</f>
        <v>Quarter 2 - 2018-2019</v>
      </c>
      <c r="E13" s="2387"/>
      <c r="F13" s="2387"/>
      <c r="G13" s="2387"/>
      <c r="H13" s="2387"/>
      <c r="I13" s="2387"/>
      <c r="J13" s="2387"/>
      <c r="K13" s="1532"/>
      <c r="L13" s="1532"/>
      <c r="M13" s="1532"/>
      <c r="N13" s="1532"/>
      <c r="O13" s="1519"/>
      <c r="P13" s="1533"/>
      <c r="Q13" s="1533"/>
      <c r="R13" s="1519"/>
      <c r="S13" s="1519"/>
      <c r="T13" s="1519"/>
      <c r="U13" s="1519"/>
      <c r="V13" s="1519"/>
      <c r="W13" s="1519"/>
      <c r="X13" s="1519"/>
      <c r="Y13" s="1519"/>
      <c r="Z13" s="1519"/>
      <c r="AA13" s="1519"/>
      <c r="AB13" s="1519"/>
      <c r="AC13" s="1519"/>
      <c r="AD13" s="1519"/>
    </row>
    <row r="14" spans="1:30" s="1550" customFormat="1" ht="23.4" x14ac:dyDescent="0.3">
      <c r="A14" s="1545" t="s">
        <v>505</v>
      </c>
      <c r="B14" s="1546" t="s">
        <v>22</v>
      </c>
      <c r="C14" s="1547"/>
      <c r="D14" s="2387"/>
      <c r="E14" s="2387"/>
      <c r="F14" s="2387"/>
      <c r="G14" s="2387"/>
      <c r="H14" s="2387"/>
      <c r="I14" s="2387"/>
      <c r="J14" s="2387"/>
      <c r="K14" s="1548"/>
      <c r="L14" s="1548"/>
      <c r="M14" s="1548"/>
      <c r="N14" s="1548"/>
      <c r="O14" s="1548"/>
      <c r="P14" s="1548"/>
      <c r="Q14" s="1548"/>
      <c r="R14" s="1548"/>
      <c r="S14" s="1548"/>
      <c r="T14" s="1548"/>
      <c r="U14" s="1548"/>
      <c r="V14" s="1548"/>
      <c r="W14" s="1548"/>
      <c r="X14" s="1548"/>
      <c r="Y14" s="1549"/>
      <c r="Z14" s="1549"/>
      <c r="AA14" s="1549"/>
      <c r="AB14" s="1549"/>
      <c r="AC14" s="1549"/>
      <c r="AD14" s="1549"/>
    </row>
    <row r="15" spans="1:30" ht="15.75" customHeight="1" thickBot="1" x14ac:dyDescent="0.35">
      <c r="A15" s="1522"/>
      <c r="B15" s="1534"/>
      <c r="C15" s="30"/>
      <c r="D15" s="1534"/>
      <c r="E15" s="1551"/>
      <c r="F15" s="1551"/>
      <c r="G15" s="1551"/>
      <c r="H15" s="1551"/>
      <c r="I15" s="1551"/>
      <c r="J15" s="1551"/>
      <c r="K15" s="1551"/>
      <c r="L15" s="1514"/>
      <c r="M15" s="1514"/>
      <c r="N15" s="1514"/>
      <c r="O15" s="1514"/>
      <c r="P15" s="1514"/>
      <c r="Q15" s="1514"/>
      <c r="R15" s="1514"/>
      <c r="S15" s="1514"/>
      <c r="T15" s="1514"/>
      <c r="U15" s="1514"/>
      <c r="V15" s="1514"/>
      <c r="W15" s="1514"/>
      <c r="X15" s="1514"/>
      <c r="Y15" s="1514"/>
      <c r="Z15" s="1514"/>
      <c r="AA15" s="1514"/>
      <c r="AB15" s="1514"/>
      <c r="AC15" s="1514"/>
      <c r="AD15" s="1514"/>
    </row>
    <row r="16" spans="1:30" ht="15.75" customHeight="1" thickBot="1" x14ac:dyDescent="0.35">
      <c r="A16" s="1522"/>
      <c r="B16" s="1535"/>
      <c r="C16" s="1535"/>
      <c r="D16" s="1535"/>
      <c r="E16" s="1535"/>
      <c r="F16" s="1535"/>
      <c r="G16" s="1535"/>
      <c r="H16" s="1535"/>
      <c r="I16" s="1535"/>
      <c r="J16" s="1535"/>
      <c r="K16" s="1535"/>
      <c r="L16" s="1514"/>
      <c r="M16" s="1514"/>
      <c r="N16" s="1514"/>
      <c r="O16" s="2405" t="s">
        <v>23</v>
      </c>
      <c r="P16" s="2406"/>
      <c r="Q16" s="2406"/>
      <c r="R16" s="2407"/>
      <c r="S16" s="1514"/>
      <c r="T16" s="1514"/>
      <c r="U16" s="2408" t="s">
        <v>144</v>
      </c>
      <c r="V16" s="2409"/>
      <c r="W16" s="2409"/>
      <c r="X16" s="2410"/>
      <c r="Y16" s="1514"/>
      <c r="Z16" s="1514"/>
      <c r="AA16" s="1514"/>
      <c r="AB16" s="1514"/>
      <c r="AC16" s="1514"/>
      <c r="AD16" s="1514"/>
    </row>
    <row r="17" spans="1:30" ht="28.2" customHeight="1" thickBot="1" x14ac:dyDescent="0.35">
      <c r="A17" s="1522"/>
      <c r="B17" s="1535"/>
      <c r="C17" s="1535"/>
      <c r="D17" s="2411" t="s">
        <v>23</v>
      </c>
      <c r="E17" s="2412"/>
      <c r="F17" s="2413"/>
      <c r="G17" s="2414" t="s">
        <v>144</v>
      </c>
      <c r="H17" s="2415"/>
      <c r="I17" s="2388" t="s">
        <v>24</v>
      </c>
      <c r="J17" s="2389"/>
      <c r="K17" s="2390"/>
      <c r="L17" s="2419" t="s">
        <v>461</v>
      </c>
      <c r="M17" s="1514"/>
      <c r="N17" s="1514"/>
      <c r="O17" s="2405" t="s">
        <v>25</v>
      </c>
      <c r="P17" s="2406"/>
      <c r="Q17" s="2406"/>
      <c r="R17" s="2407"/>
      <c r="S17" s="1514"/>
      <c r="T17" s="1514"/>
      <c r="U17" s="2408" t="s">
        <v>25</v>
      </c>
      <c r="V17" s="2409"/>
      <c r="W17" s="2409"/>
      <c r="X17" s="2410"/>
      <c r="Y17" s="1514"/>
      <c r="Z17" s="1514"/>
      <c r="AA17" s="1514"/>
      <c r="AB17" s="1514"/>
      <c r="AC17" s="1514"/>
      <c r="AD17" s="1514"/>
    </row>
    <row r="18" spans="1:30" ht="15.75" customHeight="1" thickBot="1" x14ac:dyDescent="0.35">
      <c r="A18" s="1522"/>
      <c r="B18" s="1535"/>
      <c r="C18" s="1535"/>
      <c r="D18" s="1552" t="s">
        <v>26</v>
      </c>
      <c r="E18" s="1553" t="s">
        <v>27</v>
      </c>
      <c r="F18" s="1554" t="s">
        <v>28</v>
      </c>
      <c r="G18" s="1555" t="s">
        <v>29</v>
      </c>
      <c r="H18" s="1555" t="s">
        <v>28</v>
      </c>
      <c r="I18" s="2391"/>
      <c r="J18" s="2392"/>
      <c r="K18" s="2393"/>
      <c r="L18" s="2420"/>
      <c r="M18" s="1514"/>
      <c r="N18" s="1514"/>
      <c r="O18" s="2421" t="s">
        <v>30</v>
      </c>
      <c r="P18" s="2422"/>
      <c r="Q18" s="2421" t="s">
        <v>31</v>
      </c>
      <c r="R18" s="2422"/>
      <c r="S18" s="1514"/>
      <c r="T18" s="1514"/>
      <c r="U18" s="2414" t="s">
        <v>30</v>
      </c>
      <c r="V18" s="2415"/>
      <c r="W18" s="2414" t="s">
        <v>31</v>
      </c>
      <c r="X18" s="2415"/>
      <c r="Y18" s="1514"/>
      <c r="Z18" s="1514"/>
      <c r="AA18" s="1514"/>
      <c r="AB18" s="1514"/>
      <c r="AC18" s="1514"/>
      <c r="AD18" s="1514"/>
    </row>
    <row r="19" spans="1:30" ht="28.95" customHeight="1" thickBot="1" x14ac:dyDescent="0.35">
      <c r="A19" s="1522"/>
      <c r="B19" s="2423" t="s">
        <v>32</v>
      </c>
      <c r="C19" s="2424"/>
      <c r="D19" s="1556">
        <f>SUM(D20:D47)</f>
        <v>201349605.94132331</v>
      </c>
      <c r="E19" s="1557">
        <f>IF(D19&lt;&gt;0,F19*1000/D19,"")</f>
        <v>0.25154360396313591</v>
      </c>
      <c r="F19" s="1558">
        <f>SUM(F20:F47)</f>
        <v>50648.205535037705</v>
      </c>
      <c r="G19" s="1559">
        <f>SUM(G20:G47)</f>
        <v>7074443.3866157532</v>
      </c>
      <c r="H19" s="1559">
        <f>SUM(H20:H47)</f>
        <v>2114.1008818818336</v>
      </c>
      <c r="I19" s="2416"/>
      <c r="J19" s="2417"/>
      <c r="K19" s="2418"/>
      <c r="L19" s="1560" t="str">
        <f>IF(OR(D19&lt;0,G19&lt;0),"Error - negative number",IF(G19&gt;D19,"Offices only &gt; Total Estate",IF(AND(D19&gt;0,E19=""),"Please enter CO2e factor","")))</f>
        <v/>
      </c>
      <c r="M19" s="1514"/>
      <c r="N19" s="1514"/>
      <c r="O19" s="1561" t="s">
        <v>33</v>
      </c>
      <c r="P19" s="1562" t="s">
        <v>34</v>
      </c>
      <c r="Q19" s="1561" t="s">
        <v>35</v>
      </c>
      <c r="R19" s="1562" t="s">
        <v>34</v>
      </c>
      <c r="S19" s="1563"/>
      <c r="T19" s="1514"/>
      <c r="U19" s="1564" t="s">
        <v>33</v>
      </c>
      <c r="V19" s="1565" t="s">
        <v>34</v>
      </c>
      <c r="W19" s="1564" t="s">
        <v>35</v>
      </c>
      <c r="X19" s="1565" t="s">
        <v>34</v>
      </c>
      <c r="Y19" s="1514"/>
      <c r="Z19" s="1514"/>
      <c r="AA19" s="1514"/>
      <c r="AB19" s="1514"/>
      <c r="AC19" s="1514"/>
      <c r="AD19" s="1514"/>
    </row>
    <row r="20" spans="1:30" ht="15" customHeight="1" thickBot="1" x14ac:dyDescent="0.35">
      <c r="A20" s="1522" t="s">
        <v>372</v>
      </c>
      <c r="B20" s="2425" t="s">
        <v>36</v>
      </c>
      <c r="C20" s="1566" t="s">
        <v>37</v>
      </c>
      <c r="D20" s="1567">
        <v>85861433.726936594</v>
      </c>
      <c r="E20" s="1568">
        <f>+O20+Q20</f>
        <v>0.30719999999999997</v>
      </c>
      <c r="F20" s="1569">
        <f>P20+R20</f>
        <v>26376.632440914917</v>
      </c>
      <c r="G20" s="1570">
        <v>2117787</v>
      </c>
      <c r="H20" s="1571">
        <f>IF(Performance!$L$2="y",F20,E20*G20/1000)</f>
        <v>650.58416639999996</v>
      </c>
      <c r="I20" s="2428" t="s">
        <v>553</v>
      </c>
      <c r="J20" s="2429"/>
      <c r="K20" s="2430"/>
      <c r="L20" s="1572" t="str">
        <f t="shared" ref="L20:L47" si="0">IF(OR(D20&lt;0,G20&lt;0),"Error - negative number",IF(G20&gt;D20,"Offices only &gt; Total Estate",IF(AND(D20&gt;0,E20=""),"Please enter CO2e factor","")))</f>
        <v/>
      </c>
      <c r="M20" s="1514"/>
      <c r="N20" s="1514"/>
      <c r="O20" s="1573">
        <f>+'Emission Factors'!J7</f>
        <v>0.28306999999999999</v>
      </c>
      <c r="P20" s="1574">
        <f>(D20*O20)/1000</f>
        <v>24304.796045083938</v>
      </c>
      <c r="Q20" s="1575">
        <f>+'Emission Factors'!J8</f>
        <v>2.4129999999999999E-2</v>
      </c>
      <c r="R20" s="1574">
        <f>(D20*Q20)/1000</f>
        <v>2071.8363958309797</v>
      </c>
      <c r="S20" s="1563"/>
      <c r="T20" s="1514"/>
      <c r="U20" s="1576">
        <f>+O20</f>
        <v>0.28306999999999999</v>
      </c>
      <c r="V20" s="1577">
        <f>IF(Performance!$L$2="y",P20,$G20*U20/1000)</f>
        <v>599.48196609000001</v>
      </c>
      <c r="W20" s="1576">
        <f>+Q20</f>
        <v>2.4129999999999999E-2</v>
      </c>
      <c r="X20" s="1578">
        <f>IF(Performance!$L$2="y",R20,$G20*W20/1000)</f>
        <v>51.102200310000001</v>
      </c>
      <c r="Y20" s="1514"/>
      <c r="Z20" s="1514"/>
      <c r="AA20" s="1514"/>
      <c r="AB20" s="1514"/>
      <c r="AC20" s="1514"/>
      <c r="AD20" s="1514"/>
    </row>
    <row r="21" spans="1:30" ht="15" customHeight="1" x14ac:dyDescent="0.3">
      <c r="A21" s="1522" t="s">
        <v>372</v>
      </c>
      <c r="B21" s="2426"/>
      <c r="C21" s="1566" t="s">
        <v>38</v>
      </c>
      <c r="D21" s="1567">
        <v>21526220</v>
      </c>
      <c r="E21" s="1579">
        <f>+O21+Q21</f>
        <v>0.30719999999999997</v>
      </c>
      <c r="F21" s="1569">
        <f>P21+R21</f>
        <v>6612.8547840000001</v>
      </c>
      <c r="G21" s="1570">
        <v>4459287</v>
      </c>
      <c r="H21" s="1580">
        <f>IF(Performance!$L$2="y",F21,E21*G21/1000)</f>
        <v>1369.8929663999998</v>
      </c>
      <c r="I21" s="2428" t="s">
        <v>553</v>
      </c>
      <c r="J21" s="2429"/>
      <c r="K21" s="2430"/>
      <c r="L21" s="1581" t="str">
        <f t="shared" si="0"/>
        <v/>
      </c>
      <c r="M21" s="1514"/>
      <c r="N21" s="1514"/>
      <c r="O21" s="1573">
        <f>+O20</f>
        <v>0.28306999999999999</v>
      </c>
      <c r="P21" s="1574">
        <f>(D21*O21)/1000</f>
        <v>6093.4270954000003</v>
      </c>
      <c r="Q21" s="1575">
        <f>+Q20</f>
        <v>2.4129999999999999E-2</v>
      </c>
      <c r="R21" s="1574">
        <f>(D21*Q21)/1000</f>
        <v>519.42768860000001</v>
      </c>
      <c r="S21" s="1563"/>
      <c r="T21" s="1514"/>
      <c r="U21" s="1582">
        <f>+O21</f>
        <v>0.28306999999999999</v>
      </c>
      <c r="V21" s="1583">
        <f>IF(Performance!$L$2="y",P21,$G21*U21/1000)</f>
        <v>1262.29037109</v>
      </c>
      <c r="W21" s="1582">
        <f>+Q21</f>
        <v>2.4129999999999999E-2</v>
      </c>
      <c r="X21" s="1584">
        <f>IF(Performance!$L$2="y",R21,$G21*W21/1000)</f>
        <v>107.60259530999998</v>
      </c>
      <c r="Y21" s="1514"/>
      <c r="Z21" s="1514"/>
      <c r="AA21" s="1514"/>
      <c r="AB21" s="1514"/>
      <c r="AC21" s="1514"/>
      <c r="AD21" s="1514"/>
    </row>
    <row r="22" spans="1:30" ht="17.25" customHeight="1" x14ac:dyDescent="0.3">
      <c r="A22" s="1522" t="s">
        <v>372</v>
      </c>
      <c r="B22" s="2426"/>
      <c r="C22" s="1566" t="s">
        <v>39</v>
      </c>
      <c r="D22" s="1567"/>
      <c r="E22" s="1579">
        <f>+O22+Q22</f>
        <v>0.30719999999999997</v>
      </c>
      <c r="F22" s="1569">
        <f>P22+R22</f>
        <v>0</v>
      </c>
      <c r="G22" s="1570"/>
      <c r="H22" s="1580">
        <f>IF(Performance!$L$2="y",F22,E22*G22/1000)</f>
        <v>0</v>
      </c>
      <c r="I22" s="2431"/>
      <c r="J22" s="2432"/>
      <c r="K22" s="2433"/>
      <c r="L22" s="1581" t="str">
        <f t="shared" si="0"/>
        <v/>
      </c>
      <c r="M22" s="1514"/>
      <c r="N22" s="1514"/>
      <c r="O22" s="1573">
        <f>+O21</f>
        <v>0.28306999999999999</v>
      </c>
      <c r="P22" s="1574">
        <f>(D22*O22)/1000</f>
        <v>0</v>
      </c>
      <c r="Q22" s="1575">
        <f>+Q21</f>
        <v>2.4129999999999999E-2</v>
      </c>
      <c r="R22" s="1574">
        <f>(D22*Q22)/1000</f>
        <v>0</v>
      </c>
      <c r="S22" s="1563"/>
      <c r="T22" s="1514"/>
      <c r="U22" s="1582">
        <f>+O22</f>
        <v>0.28306999999999999</v>
      </c>
      <c r="V22" s="1583">
        <f>IF(Performance!$L$2="y",P22,$G22*U22/1000)</f>
        <v>0</v>
      </c>
      <c r="W22" s="1582">
        <f>+Q22</f>
        <v>2.4129999999999999E-2</v>
      </c>
      <c r="X22" s="1584">
        <f>IF(Performance!$L$2="y",R22,$G22*W22/1000)</f>
        <v>0</v>
      </c>
      <c r="Y22" s="1514"/>
      <c r="Z22" s="1514"/>
      <c r="AA22" s="1514"/>
      <c r="AB22" s="1514"/>
      <c r="AC22" s="1514"/>
      <c r="AD22" s="1514"/>
    </row>
    <row r="23" spans="1:30" ht="17.25" customHeight="1" thickBot="1" x14ac:dyDescent="0.35">
      <c r="A23" s="1522" t="s">
        <v>372</v>
      </c>
      <c r="B23" s="2426"/>
      <c r="C23" s="1566" t="s">
        <v>40</v>
      </c>
      <c r="D23" s="1567"/>
      <c r="E23" s="1579">
        <f>+O23+Q23</f>
        <v>0.30719999999999997</v>
      </c>
      <c r="F23" s="1569">
        <f>P23+R23</f>
        <v>0</v>
      </c>
      <c r="G23" s="1570"/>
      <c r="H23" s="1580">
        <f>IF(Performance!$L$2="y",F23,E23*G23/1000)</f>
        <v>0</v>
      </c>
      <c r="I23" s="2431"/>
      <c r="J23" s="2432"/>
      <c r="K23" s="2433"/>
      <c r="L23" s="1581" t="str">
        <f t="shared" si="0"/>
        <v/>
      </c>
      <c r="M23" s="1514"/>
      <c r="N23" s="1514"/>
      <c r="O23" s="1585">
        <f>+O22</f>
        <v>0.28306999999999999</v>
      </c>
      <c r="P23" s="1586">
        <f>(D23*O23)/1000</f>
        <v>0</v>
      </c>
      <c r="Q23" s="1587">
        <f>+Q22</f>
        <v>2.4129999999999999E-2</v>
      </c>
      <c r="R23" s="1586">
        <f>(D23*Q23)/1000</f>
        <v>0</v>
      </c>
      <c r="S23" s="1563"/>
      <c r="T23" s="1514"/>
      <c r="U23" s="1588">
        <f>+O23</f>
        <v>0.28306999999999999</v>
      </c>
      <c r="V23" s="1589">
        <f>IF(Performance!$L$2="y",P23,$G23*U23/1000)</f>
        <v>0</v>
      </c>
      <c r="W23" s="1588">
        <f>+Q23</f>
        <v>2.4129999999999999E-2</v>
      </c>
      <c r="X23" s="1590">
        <f>IF(Performance!$L$2="y",R23,$G23*W23/1000)</f>
        <v>0</v>
      </c>
      <c r="Y23" s="1514"/>
      <c r="Z23" s="1514"/>
      <c r="AA23" s="1514"/>
      <c r="AB23" s="1514"/>
      <c r="AC23" s="1514"/>
      <c r="AD23" s="1514"/>
    </row>
    <row r="24" spans="1:30" ht="15.75" customHeight="1" thickBot="1" x14ac:dyDescent="0.35">
      <c r="A24" s="1522" t="s">
        <v>370</v>
      </c>
      <c r="B24" s="2426"/>
      <c r="C24" s="1591" t="s">
        <v>41</v>
      </c>
      <c r="D24" s="1567">
        <v>89118810.354325995</v>
      </c>
      <c r="E24" s="1592">
        <f>+'Emission Factors'!J11</f>
        <v>0.18396000000000001</v>
      </c>
      <c r="F24" s="1569">
        <f>(D24*E24)/1000</f>
        <v>16394.29635278181</v>
      </c>
      <c r="G24" s="1570">
        <v>474382.38661575317</v>
      </c>
      <c r="H24" s="1580">
        <f>IF(Performance!$L$2="y",F24,E24*G24/1000)</f>
        <v>87.267383841833961</v>
      </c>
      <c r="I24" s="2428" t="s">
        <v>553</v>
      </c>
      <c r="J24" s="2429"/>
      <c r="K24" s="2430"/>
      <c r="L24" s="1581" t="str">
        <f t="shared" si="0"/>
        <v/>
      </c>
      <c r="M24" s="1514"/>
      <c r="N24" s="1514"/>
      <c r="O24" s="2434" t="s">
        <v>23</v>
      </c>
      <c r="P24" s="2435"/>
      <c r="Q24" s="2435"/>
      <c r="R24" s="2436"/>
      <c r="S24" s="1514"/>
      <c r="T24" s="1514"/>
      <c r="U24" s="2437" t="s">
        <v>144</v>
      </c>
      <c r="V24" s="2438"/>
      <c r="W24" s="2438"/>
      <c r="X24" s="2439"/>
      <c r="Y24" s="1514"/>
      <c r="Z24" s="1514"/>
      <c r="AA24" s="1514"/>
      <c r="AB24" s="1514"/>
      <c r="AC24" s="1514"/>
      <c r="AD24" s="1514"/>
    </row>
    <row r="25" spans="1:30" ht="15.75" customHeight="1" thickBot="1" x14ac:dyDescent="0.35">
      <c r="A25" s="1522" t="s">
        <v>370</v>
      </c>
      <c r="B25" s="2426"/>
      <c r="C25" s="1591" t="s">
        <v>42</v>
      </c>
      <c r="D25" s="1567">
        <v>4400716.0260086497</v>
      </c>
      <c r="E25" s="1592">
        <f>+'Emission Factors'!J12</f>
        <v>0.27651999999999999</v>
      </c>
      <c r="F25" s="1569">
        <f t="shared" ref="F25:F47" si="1">(D25*E25)/1000</f>
        <v>1216.8859955119119</v>
      </c>
      <c r="G25" s="1570">
        <v>22987</v>
      </c>
      <c r="H25" s="1580">
        <f>IF(Performance!$L$2="y",F25,E25*G25/1000)</f>
        <v>6.3563652399999997</v>
      </c>
      <c r="I25" s="2431"/>
      <c r="J25" s="2432"/>
      <c r="K25" s="2433"/>
      <c r="L25" s="1581" t="str">
        <f t="shared" si="0"/>
        <v/>
      </c>
      <c r="M25" s="1514"/>
      <c r="N25" s="1514"/>
      <c r="O25" s="1514"/>
      <c r="P25" s="1514"/>
      <c r="Q25" s="1514"/>
      <c r="R25" s="1514"/>
      <c r="S25" s="1514"/>
      <c r="T25" s="1514"/>
      <c r="U25" s="1514"/>
      <c r="V25" s="1514"/>
      <c r="W25" s="1514"/>
      <c r="X25" s="1514"/>
      <c r="Y25" s="1514"/>
      <c r="Z25" s="1514"/>
      <c r="AA25" s="1514"/>
      <c r="AB25" s="1514"/>
      <c r="AC25" s="1514"/>
      <c r="AD25" s="1514"/>
    </row>
    <row r="26" spans="1:30" ht="13.5" customHeight="1" thickBot="1" x14ac:dyDescent="0.35">
      <c r="A26" s="1522" t="s">
        <v>370</v>
      </c>
      <c r="B26" s="2426"/>
      <c r="C26" s="1591" t="s">
        <v>43</v>
      </c>
      <c r="D26" s="1567">
        <v>195375.41015625</v>
      </c>
      <c r="E26" s="1592">
        <f>+'Emission Factors'!J13</f>
        <v>0.21448</v>
      </c>
      <c r="F26" s="1569">
        <f t="shared" si="1"/>
        <v>41.904117970312498</v>
      </c>
      <c r="G26" s="1570"/>
      <c r="H26" s="1580">
        <f>IF(Performance!$L$2="y",F26,E26*G26/1000)</f>
        <v>0</v>
      </c>
      <c r="I26" s="2431"/>
      <c r="J26" s="2432"/>
      <c r="K26" s="2433"/>
      <c r="L26" s="1581" t="str">
        <f t="shared" si="0"/>
        <v/>
      </c>
      <c r="M26" s="1514"/>
      <c r="N26" s="1514"/>
      <c r="O26" s="2421" t="s">
        <v>44</v>
      </c>
      <c r="P26" s="2422"/>
      <c r="Q26" s="2421" t="s">
        <v>45</v>
      </c>
      <c r="R26" s="2422"/>
      <c r="S26" s="1514"/>
      <c r="T26" s="1514"/>
      <c r="U26" s="2414" t="s">
        <v>44</v>
      </c>
      <c r="V26" s="2415"/>
      <c r="W26" s="2414" t="s">
        <v>45</v>
      </c>
      <c r="X26" s="2415"/>
      <c r="Y26" s="1514"/>
      <c r="Z26" s="1514"/>
      <c r="AA26" s="1514"/>
      <c r="AB26" s="1514"/>
      <c r="AC26" s="1514"/>
      <c r="AD26" s="1514"/>
    </row>
    <row r="27" spans="1:30" ht="15.75" customHeight="1" x14ac:dyDescent="0.3">
      <c r="A27" s="1522" t="s">
        <v>370</v>
      </c>
      <c r="B27" s="2426"/>
      <c r="C27" s="1591" t="s">
        <v>46</v>
      </c>
      <c r="D27" s="1567"/>
      <c r="E27" s="1592">
        <f>+'Emission Factors'!J14</f>
        <v>0.34472999999999998</v>
      </c>
      <c r="F27" s="1569">
        <f t="shared" si="1"/>
        <v>0</v>
      </c>
      <c r="G27" s="1570"/>
      <c r="H27" s="1580">
        <f>IF(Performance!$L$2="y",F27,E27*G27/1000)</f>
        <v>0</v>
      </c>
      <c r="I27" s="2431"/>
      <c r="J27" s="2432"/>
      <c r="K27" s="2433"/>
      <c r="L27" s="1581" t="str">
        <f t="shared" si="0"/>
        <v/>
      </c>
      <c r="M27" s="1514"/>
      <c r="N27" s="1514"/>
      <c r="O27" s="2444" t="s">
        <v>33</v>
      </c>
      <c r="P27" s="2446" t="s">
        <v>34</v>
      </c>
      <c r="Q27" s="2444" t="s">
        <v>35</v>
      </c>
      <c r="R27" s="2446" t="s">
        <v>34</v>
      </c>
      <c r="S27" s="1514"/>
      <c r="T27" s="1514"/>
      <c r="U27" s="2442" t="s">
        <v>33</v>
      </c>
      <c r="V27" s="2440" t="s">
        <v>34</v>
      </c>
      <c r="W27" s="2442" t="s">
        <v>35</v>
      </c>
      <c r="X27" s="2440" t="s">
        <v>34</v>
      </c>
      <c r="Y27" s="1514"/>
      <c r="Z27" s="1514"/>
      <c r="AA27" s="1514"/>
      <c r="AB27" s="1514"/>
      <c r="AC27" s="1514"/>
      <c r="AD27" s="1514"/>
    </row>
    <row r="28" spans="1:30" ht="15.75" customHeight="1" thickBot="1" x14ac:dyDescent="0.35">
      <c r="A28" s="1522" t="s">
        <v>370</v>
      </c>
      <c r="B28" s="2426"/>
      <c r="C28" s="1591" t="s">
        <v>47</v>
      </c>
      <c r="D28" s="1567">
        <v>227032.25806451601</v>
      </c>
      <c r="E28" s="1592">
        <f>+'Emission Factors'!J15</f>
        <v>1.506E-2</v>
      </c>
      <c r="F28" s="1569">
        <f t="shared" si="1"/>
        <v>3.4191058064516109</v>
      </c>
      <c r="G28" s="1570"/>
      <c r="H28" s="1580">
        <f>IF(Performance!$L$2="y",F28,E28*G28/1000)</f>
        <v>0</v>
      </c>
      <c r="I28" s="2431"/>
      <c r="J28" s="2432"/>
      <c r="K28" s="2433"/>
      <c r="L28" s="1581" t="str">
        <f t="shared" si="0"/>
        <v/>
      </c>
      <c r="M28" s="1514"/>
      <c r="N28" s="1514"/>
      <c r="O28" s="2445"/>
      <c r="P28" s="2447"/>
      <c r="Q28" s="2445"/>
      <c r="R28" s="2447"/>
      <c r="S28" s="1514"/>
      <c r="T28" s="1514"/>
      <c r="U28" s="2443"/>
      <c r="V28" s="2441"/>
      <c r="W28" s="2443"/>
      <c r="X28" s="2441"/>
      <c r="Y28" s="1514"/>
      <c r="Z28" s="1514"/>
      <c r="AA28" s="1514"/>
      <c r="AB28" s="1514"/>
      <c r="AC28" s="1514"/>
      <c r="AD28" s="1514"/>
    </row>
    <row r="29" spans="1:30" ht="15.75" customHeight="1" thickBot="1" x14ac:dyDescent="0.35">
      <c r="A29" s="1522" t="s">
        <v>372</v>
      </c>
      <c r="B29" s="2426"/>
      <c r="C29" s="1566" t="s">
        <v>48</v>
      </c>
      <c r="D29" s="1567"/>
      <c r="E29" s="1592">
        <f>+O29+Q29</f>
        <v>0.19732631578947368</v>
      </c>
      <c r="F29" s="1569">
        <f>P29+R29</f>
        <v>0</v>
      </c>
      <c r="G29" s="1570"/>
      <c r="H29" s="1580">
        <f>IF(Performance!$L$2="y",F29,E29*G29/1000)</f>
        <v>0</v>
      </c>
      <c r="I29" s="2431"/>
      <c r="J29" s="2432"/>
      <c r="K29" s="2433"/>
      <c r="L29" s="1581" t="str">
        <f t="shared" si="0"/>
        <v/>
      </c>
      <c r="M29" s="1514"/>
      <c r="N29" s="1514"/>
      <c r="O29" s="1593">
        <f>+'Emission Factors'!J33</f>
        <v>0.18745999999999999</v>
      </c>
      <c r="P29" s="1594">
        <f>(D29*O29)/1000</f>
        <v>0</v>
      </c>
      <c r="Q29" s="1595">
        <f>+'Emission Factors'!J34</f>
        <v>9.8663157894736953E-3</v>
      </c>
      <c r="R29" s="1594">
        <f>(D29*Q29)/1000</f>
        <v>0</v>
      </c>
      <c r="S29" s="1514"/>
      <c r="T29" s="1514"/>
      <c r="U29" s="1596">
        <f>+O29</f>
        <v>0.18745999999999999</v>
      </c>
      <c r="V29" s="1597">
        <f>IF(Performance!$L$2="y",P29,$G29*U29/1000)</f>
        <v>0</v>
      </c>
      <c r="W29" s="1598">
        <f>+Q29</f>
        <v>9.8663157894736953E-3</v>
      </c>
      <c r="X29" s="1597">
        <f>IF(Performance!$L$2="y",R29,$G29*W29/1000)</f>
        <v>0</v>
      </c>
      <c r="Y29" s="1514"/>
      <c r="Z29" s="1514"/>
      <c r="AA29" s="1514"/>
      <c r="AB29" s="1514"/>
      <c r="AC29" s="1514"/>
      <c r="AD29" s="1514"/>
    </row>
    <row r="30" spans="1:30" ht="15.75" customHeight="1" thickBot="1" x14ac:dyDescent="0.35">
      <c r="A30" s="1522" t="s">
        <v>372</v>
      </c>
      <c r="B30" s="2426"/>
      <c r="C30" s="1591" t="s">
        <v>49</v>
      </c>
      <c r="D30" s="1567"/>
      <c r="E30" s="1592">
        <f>+'Emission Factors'!J17</f>
        <v>0</v>
      </c>
      <c r="F30" s="1569">
        <f>(D30*E30)/1000</f>
        <v>0</v>
      </c>
      <c r="G30" s="1570"/>
      <c r="H30" s="1580">
        <f>IF(Performance!$L$2="y",F30,E30*G30/1000)</f>
        <v>0</v>
      </c>
      <c r="I30" s="2431"/>
      <c r="J30" s="2432"/>
      <c r="K30" s="2433"/>
      <c r="L30" s="1581" t="str">
        <f t="shared" si="0"/>
        <v/>
      </c>
      <c r="M30" s="1514"/>
      <c r="N30" s="1514"/>
      <c r="O30" s="1514"/>
      <c r="P30" s="1514"/>
      <c r="Q30" s="1514"/>
      <c r="R30" s="1514"/>
      <c r="S30" s="1514"/>
      <c r="T30" s="1514"/>
      <c r="U30" s="1514"/>
      <c r="V30" s="1514"/>
      <c r="W30" s="1514"/>
      <c r="X30" s="1514"/>
      <c r="Y30" s="1514"/>
      <c r="Z30" s="1514"/>
      <c r="AA30" s="1514"/>
      <c r="AB30" s="1514"/>
      <c r="AC30" s="1514"/>
      <c r="AD30" s="1514"/>
    </row>
    <row r="31" spans="1:30" ht="23.25" customHeight="1" thickBot="1" x14ac:dyDescent="0.35">
      <c r="A31" s="1522" t="s">
        <v>372</v>
      </c>
      <c r="B31" s="2426"/>
      <c r="C31" s="1591" t="s">
        <v>50</v>
      </c>
      <c r="D31" s="1567"/>
      <c r="E31" s="1599"/>
      <c r="F31" s="1569">
        <f t="shared" si="1"/>
        <v>0</v>
      </c>
      <c r="G31" s="1570"/>
      <c r="H31" s="1580">
        <f>IF(Performance!$L$2="y",F31,E31*G31/1000)</f>
        <v>0</v>
      </c>
      <c r="I31" s="2431"/>
      <c r="J31" s="2432"/>
      <c r="K31" s="2433"/>
      <c r="L31" s="1581" t="str">
        <f>IF(OR(D31&lt;0,G31&lt;0),"Error - negative number",IF(G31&gt;D31,"Offices only &gt; Total Estate",IF(AND(D31&gt;0,E31=""),"Please enter CO2e factor","")))</f>
        <v/>
      </c>
      <c r="M31" s="1514"/>
      <c r="N31" s="1514"/>
      <c r="O31" s="2421" t="s">
        <v>511</v>
      </c>
      <c r="P31" s="2422"/>
      <c r="Q31" s="2421" t="s">
        <v>512</v>
      </c>
      <c r="R31" s="2422"/>
      <c r="S31" s="1514"/>
      <c r="T31" s="1514"/>
      <c r="U31" s="2414" t="s">
        <v>511</v>
      </c>
      <c r="V31" s="2415"/>
      <c r="W31" s="2414" t="s">
        <v>512</v>
      </c>
      <c r="X31" s="2415"/>
      <c r="Y31" s="1514"/>
      <c r="Z31" s="1514"/>
      <c r="AA31" s="1514"/>
      <c r="AB31" s="1514"/>
      <c r="AC31" s="1514"/>
      <c r="AD31" s="1514"/>
    </row>
    <row r="32" spans="1:30" ht="15" customHeight="1" thickBot="1" x14ac:dyDescent="0.35">
      <c r="A32" s="1522" t="s">
        <v>372</v>
      </c>
      <c r="B32" s="2426"/>
      <c r="C32" s="1591" t="s">
        <v>369</v>
      </c>
      <c r="D32" s="1567"/>
      <c r="E32" s="1592">
        <f>+O32+Q32</f>
        <v>0.26563604119443424</v>
      </c>
      <c r="F32" s="1569">
        <f>P32+R32</f>
        <v>0</v>
      </c>
      <c r="G32" s="1570"/>
      <c r="H32" s="1580">
        <f>IF(Performance!$L$2="y",F32,E32*G32/1000)</f>
        <v>0</v>
      </c>
      <c r="I32" s="2431"/>
      <c r="J32" s="2432"/>
      <c r="K32" s="2433"/>
      <c r="L32" s="1581" t="str">
        <f t="shared" si="0"/>
        <v/>
      </c>
      <c r="M32" s="1514"/>
      <c r="N32" s="1514"/>
      <c r="O32" s="1593">
        <f>+'Emission Factors'!J31</f>
        <v>0.26563604119443424</v>
      </c>
      <c r="P32" s="1594">
        <f>(D32*O32)/1000</f>
        <v>0</v>
      </c>
      <c r="Q32" s="1595">
        <f>+'Emission Factors'!J32</f>
        <v>0</v>
      </c>
      <c r="R32" s="1594">
        <f>(D32*Q32)/1000</f>
        <v>0</v>
      </c>
      <c r="S32" s="1514"/>
      <c r="T32" s="1514"/>
      <c r="U32" s="1596">
        <f>+O32</f>
        <v>0.26563604119443424</v>
      </c>
      <c r="V32" s="1597">
        <f>IF(Performance!$L$2="y",P32,$G32*U32/1000)</f>
        <v>0</v>
      </c>
      <c r="W32" s="1598">
        <f>+Q32</f>
        <v>0</v>
      </c>
      <c r="X32" s="1597">
        <f>IF(Performance!$L$2="y",R32,$G32*W32/1000)</f>
        <v>0</v>
      </c>
      <c r="Y32" s="1514"/>
      <c r="Z32" s="1514"/>
      <c r="AA32" s="1514"/>
      <c r="AB32" s="1514"/>
      <c r="AC32" s="1514"/>
      <c r="AD32" s="1514"/>
    </row>
    <row r="33" spans="1:30" ht="15.75" customHeight="1" x14ac:dyDescent="0.3">
      <c r="A33" s="1522" t="s">
        <v>370</v>
      </c>
      <c r="B33" s="2426"/>
      <c r="C33" s="1591" t="s">
        <v>514</v>
      </c>
      <c r="D33" s="1567"/>
      <c r="E33" s="1567"/>
      <c r="F33" s="1569">
        <f>(D33*E33)/1000</f>
        <v>0</v>
      </c>
      <c r="G33" s="1570"/>
      <c r="H33" s="1580">
        <f>IF(Performance!$L$2="y",F33,E33*G33/1000)</f>
        <v>0</v>
      </c>
      <c r="I33" s="1600"/>
      <c r="J33" s="2451"/>
      <c r="K33" s="2452"/>
      <c r="L33" s="1581" t="str">
        <f t="shared" si="0"/>
        <v/>
      </c>
      <c r="M33" s="1514"/>
      <c r="N33" s="1514"/>
      <c r="O33" s="1514"/>
      <c r="P33" s="1514"/>
      <c r="Q33" s="1514"/>
      <c r="R33" s="1514"/>
      <c r="S33" s="1514"/>
      <c r="T33" s="1514"/>
      <c r="U33" s="1514"/>
      <c r="V33" s="1514"/>
      <c r="W33" s="1514"/>
      <c r="X33" s="1514"/>
      <c r="Y33" s="1514"/>
      <c r="Z33" s="1514"/>
      <c r="AA33" s="1514"/>
      <c r="AB33" s="1514"/>
      <c r="AC33" s="1514"/>
      <c r="AD33" s="1514"/>
    </row>
    <row r="34" spans="1:30" ht="15.75" customHeight="1" x14ac:dyDescent="0.3">
      <c r="A34" s="1522"/>
      <c r="B34" s="2426"/>
      <c r="C34" s="1591" t="s">
        <v>515</v>
      </c>
      <c r="D34" s="1567"/>
      <c r="E34" s="1567"/>
      <c r="F34" s="1569">
        <f t="shared" ref="F34:F35" si="2">(D34*E34)/1000</f>
        <v>0</v>
      </c>
      <c r="G34" s="1570"/>
      <c r="H34" s="1580">
        <f>IF(Performance!$L$2="y",F34,E34*G34/1000)</f>
        <v>0</v>
      </c>
      <c r="I34" s="1600"/>
      <c r="J34" s="2453"/>
      <c r="K34" s="2452"/>
      <c r="L34" s="1581" t="str">
        <f t="shared" si="0"/>
        <v/>
      </c>
      <c r="M34" s="1514"/>
      <c r="N34" s="1514"/>
      <c r="O34" s="1514"/>
      <c r="P34" s="1514"/>
      <c r="Q34" s="1514"/>
      <c r="R34" s="1514"/>
      <c r="S34" s="1514"/>
      <c r="T34" s="1514"/>
      <c r="U34" s="1514"/>
      <c r="V34" s="1514"/>
      <c r="W34" s="1514"/>
      <c r="X34" s="1514"/>
      <c r="Y34" s="1514"/>
      <c r="Z34" s="1514"/>
      <c r="AA34" s="1514"/>
      <c r="AB34" s="1514"/>
      <c r="AC34" s="1514"/>
      <c r="AD34" s="1514"/>
    </row>
    <row r="35" spans="1:30" ht="15.75" customHeight="1" thickBot="1" x14ac:dyDescent="0.35">
      <c r="A35" s="1522"/>
      <c r="B35" s="2427"/>
      <c r="C35" s="1566" t="s">
        <v>516</v>
      </c>
      <c r="D35" s="1567">
        <v>8971.1658313367625</v>
      </c>
      <c r="E35" s="1567">
        <v>0.24665000000000001</v>
      </c>
      <c r="F35" s="1569">
        <f t="shared" si="2"/>
        <v>2.2127380522992124</v>
      </c>
      <c r="G35" s="1570"/>
      <c r="H35" s="1580">
        <f>IF(Performance!$L$2="y",F35,E35*G35/1000)</f>
        <v>0</v>
      </c>
      <c r="I35" s="1601" t="s">
        <v>139</v>
      </c>
      <c r="J35" s="2454" t="s">
        <v>541</v>
      </c>
      <c r="K35" s="2455"/>
      <c r="L35" s="1581" t="str">
        <f t="shared" si="0"/>
        <v/>
      </c>
      <c r="M35" s="1514"/>
      <c r="N35" s="1514"/>
      <c r="O35" s="1514"/>
      <c r="P35" s="1514"/>
      <c r="Q35" s="1514"/>
      <c r="R35" s="1514"/>
      <c r="S35" s="1514"/>
      <c r="T35" s="1514"/>
      <c r="U35" s="1514"/>
      <c r="V35" s="1514"/>
      <c r="W35" s="1514"/>
      <c r="X35" s="1514"/>
      <c r="Y35" s="1514"/>
      <c r="Z35" s="1514"/>
      <c r="AA35" s="1514"/>
      <c r="AB35" s="1514"/>
      <c r="AC35" s="1514"/>
      <c r="AD35" s="1514"/>
    </row>
    <row r="36" spans="1:30" ht="15" customHeight="1" x14ac:dyDescent="0.3">
      <c r="A36" s="1522" t="s">
        <v>370</v>
      </c>
      <c r="B36" s="2425" t="s">
        <v>53</v>
      </c>
      <c r="C36" s="1602" t="s">
        <v>54</v>
      </c>
      <c r="D36" s="1603">
        <v>11047</v>
      </c>
      <c r="E36" s="1568">
        <f>+'Emission Factors'!J21</f>
        <v>0</v>
      </c>
      <c r="F36" s="1604">
        <f t="shared" si="1"/>
        <v>0</v>
      </c>
      <c r="G36" s="1605"/>
      <c r="H36" s="1571">
        <f>IF(Performance!$L$2="y",F36,E36*G36/1000)</f>
        <v>0</v>
      </c>
      <c r="I36" s="2428"/>
      <c r="J36" s="2429"/>
      <c r="K36" s="2430"/>
      <c r="L36" s="1606" t="str">
        <f t="shared" si="0"/>
        <v/>
      </c>
      <c r="M36" s="1514"/>
      <c r="N36" s="1514"/>
      <c r="O36" s="1514"/>
      <c r="P36" s="1514"/>
      <c r="Q36" s="1514"/>
      <c r="R36" s="1514"/>
      <c r="S36" s="1514"/>
      <c r="T36" s="1514"/>
      <c r="U36" s="1514"/>
      <c r="V36" s="1514"/>
      <c r="W36" s="1514"/>
      <c r="X36" s="1514"/>
      <c r="Y36" s="1514"/>
      <c r="Z36" s="1514"/>
      <c r="AA36" s="1514"/>
      <c r="AB36" s="1514"/>
      <c r="AC36" s="1514"/>
      <c r="AD36" s="1514"/>
    </row>
    <row r="37" spans="1:30" ht="15" customHeight="1" x14ac:dyDescent="0.3">
      <c r="A37" s="1522" t="s">
        <v>370</v>
      </c>
      <c r="B37" s="2426"/>
      <c r="C37" s="1591" t="s">
        <v>55</v>
      </c>
      <c r="D37" s="1607"/>
      <c r="E37" s="1592">
        <f>+'Emission Factors'!J22</f>
        <v>0</v>
      </c>
      <c r="F37" s="1608">
        <f t="shared" si="1"/>
        <v>0</v>
      </c>
      <c r="G37" s="1609"/>
      <c r="H37" s="1580">
        <f>IF(Performance!$L$2="y",F37,E37*G37/1000)</f>
        <v>0</v>
      </c>
      <c r="I37" s="2431"/>
      <c r="J37" s="2432"/>
      <c r="K37" s="2433"/>
      <c r="L37" s="1581" t="str">
        <f t="shared" si="0"/>
        <v/>
      </c>
      <c r="M37" s="1514"/>
      <c r="N37" s="1514"/>
      <c r="O37" s="1514"/>
      <c r="P37" s="1514"/>
      <c r="Q37" s="1514"/>
      <c r="R37" s="1514"/>
      <c r="S37" s="1514"/>
      <c r="T37" s="1514"/>
      <c r="U37" s="1514"/>
      <c r="V37" s="1514"/>
      <c r="W37" s="1514"/>
      <c r="X37" s="1514"/>
      <c r="Y37" s="1514"/>
      <c r="Z37" s="1514"/>
      <c r="AA37" s="1514"/>
      <c r="AB37" s="1514"/>
      <c r="AC37" s="1514"/>
      <c r="AD37" s="1514"/>
    </row>
    <row r="38" spans="1:30" ht="15" customHeight="1" x14ac:dyDescent="0.3">
      <c r="A38" s="1522" t="s">
        <v>370</v>
      </c>
      <c r="B38" s="2426"/>
      <c r="C38" s="1591" t="s">
        <v>56</v>
      </c>
      <c r="D38" s="1607"/>
      <c r="E38" s="1592">
        <f>+'Emission Factors'!J23</f>
        <v>0</v>
      </c>
      <c r="F38" s="1608">
        <f t="shared" si="1"/>
        <v>0</v>
      </c>
      <c r="G38" s="1609"/>
      <c r="H38" s="1580">
        <f>IF(Performance!$L$2="y",F38,E38*G38/1000)</f>
        <v>0</v>
      </c>
      <c r="I38" s="2431"/>
      <c r="J38" s="2432"/>
      <c r="K38" s="2433"/>
      <c r="L38" s="1581" t="str">
        <f t="shared" si="0"/>
        <v/>
      </c>
      <c r="M38" s="1514"/>
      <c r="N38" s="1514"/>
      <c r="O38" s="1514"/>
      <c r="P38" s="1514"/>
      <c r="Q38" s="1514"/>
      <c r="R38" s="1514"/>
      <c r="S38" s="1514"/>
      <c r="T38" s="1514"/>
      <c r="U38" s="1514"/>
      <c r="V38" s="1514"/>
      <c r="W38" s="1514"/>
      <c r="X38" s="1514"/>
      <c r="Y38" s="1514"/>
      <c r="Z38" s="1514"/>
      <c r="AA38" s="1514"/>
      <c r="AB38" s="1514"/>
      <c r="AC38" s="1514"/>
      <c r="AD38" s="1514"/>
    </row>
    <row r="39" spans="1:30" ht="15" customHeight="1" x14ac:dyDescent="0.3">
      <c r="A39" s="1522" t="s">
        <v>370</v>
      </c>
      <c r="B39" s="2426"/>
      <c r="C39" s="1591" t="s">
        <v>410</v>
      </c>
      <c r="D39" s="1607"/>
      <c r="E39" s="1610"/>
      <c r="F39" s="1608">
        <f t="shared" si="1"/>
        <v>0</v>
      </c>
      <c r="G39" s="1609"/>
      <c r="H39" s="1580">
        <f>IF(Performance!$L$2="y",F39,E39*G39/1000)</f>
        <v>0</v>
      </c>
      <c r="I39" s="2431"/>
      <c r="J39" s="2432"/>
      <c r="K39" s="2433"/>
      <c r="L39" s="1581" t="str">
        <f t="shared" si="0"/>
        <v/>
      </c>
      <c r="M39" s="1514"/>
      <c r="N39" s="1514"/>
      <c r="O39" s="1514"/>
      <c r="P39" s="1514"/>
      <c r="Q39" s="1514"/>
      <c r="R39" s="1514"/>
      <c r="S39" s="1514"/>
      <c r="T39" s="1514"/>
      <c r="U39" s="1514"/>
      <c r="V39" s="1514"/>
      <c r="W39" s="1514"/>
      <c r="X39" s="1514"/>
      <c r="Y39" s="1514"/>
      <c r="Z39" s="1514"/>
      <c r="AA39" s="1514"/>
      <c r="AB39" s="1514"/>
      <c r="AC39" s="1514"/>
      <c r="AD39" s="1514"/>
    </row>
    <row r="40" spans="1:30" ht="15" customHeight="1" x14ac:dyDescent="0.3">
      <c r="A40" s="1522"/>
      <c r="B40" s="2426"/>
      <c r="C40" s="1591" t="s">
        <v>411</v>
      </c>
      <c r="D40" s="1607"/>
      <c r="E40" s="1610"/>
      <c r="F40" s="1608">
        <f t="shared" si="1"/>
        <v>0</v>
      </c>
      <c r="G40" s="1609"/>
      <c r="H40" s="1580">
        <f>IF(Performance!$L$2="y",F40,E40*G40/1000)</f>
        <v>0</v>
      </c>
      <c r="I40" s="2431"/>
      <c r="J40" s="2432"/>
      <c r="K40" s="2433"/>
      <c r="L40" s="1581"/>
      <c r="M40" s="1514"/>
      <c r="N40" s="1514"/>
      <c r="O40" s="1514"/>
      <c r="P40" s="1514"/>
      <c r="Q40" s="1514"/>
      <c r="R40" s="1514"/>
      <c r="S40" s="1514"/>
      <c r="T40" s="1514"/>
      <c r="U40" s="1514"/>
      <c r="V40" s="1514"/>
      <c r="W40" s="1514"/>
      <c r="X40" s="1514"/>
      <c r="Y40" s="1514"/>
      <c r="Z40" s="1514"/>
      <c r="AA40" s="1514"/>
      <c r="AB40" s="1514"/>
      <c r="AC40" s="1514"/>
      <c r="AD40" s="1514"/>
    </row>
    <row r="41" spans="1:30" ht="15" customHeight="1" x14ac:dyDescent="0.3">
      <c r="A41" s="1522"/>
      <c r="B41" s="2426"/>
      <c r="C41" s="1591" t="s">
        <v>412</v>
      </c>
      <c r="D41" s="1607"/>
      <c r="E41" s="1610"/>
      <c r="F41" s="1608">
        <f t="shared" si="1"/>
        <v>0</v>
      </c>
      <c r="G41" s="1609"/>
      <c r="H41" s="1580">
        <f>IF(Performance!$L$2="y",F41,E41*G41/1000)</f>
        <v>0</v>
      </c>
      <c r="I41" s="2431"/>
      <c r="J41" s="2432"/>
      <c r="K41" s="2433"/>
      <c r="L41" s="1581"/>
      <c r="M41" s="1514"/>
      <c r="N41" s="1514"/>
      <c r="O41" s="1514"/>
      <c r="P41" s="1514"/>
      <c r="Q41" s="1514"/>
      <c r="R41" s="1514"/>
      <c r="S41" s="1514"/>
      <c r="T41" s="1514"/>
      <c r="U41" s="1514"/>
      <c r="V41" s="1514"/>
      <c r="W41" s="1514"/>
      <c r="X41" s="1514"/>
      <c r="Y41" s="1514"/>
      <c r="Z41" s="1514"/>
      <c r="AA41" s="1514"/>
      <c r="AB41" s="1514"/>
      <c r="AC41" s="1514"/>
      <c r="AD41" s="1514"/>
    </row>
    <row r="42" spans="1:30" ht="15" customHeight="1" x14ac:dyDescent="0.3">
      <c r="A42" s="1522" t="s">
        <v>370</v>
      </c>
      <c r="B42" s="2426"/>
      <c r="C42" s="357" t="s">
        <v>57</v>
      </c>
      <c r="D42" s="1611">
        <f>+CHP!BV22</f>
        <v>0</v>
      </c>
      <c r="E42" s="1592">
        <f>+CHP!AG17</f>
        <v>0</v>
      </c>
      <c r="F42" s="1608">
        <f>(D42*E42)/1000</f>
        <v>0</v>
      </c>
      <c r="G42" s="1609"/>
      <c r="H42" s="1612">
        <f>IF(Performance!$L$2="y",F42,E42*G42/1000)</f>
        <v>0</v>
      </c>
      <c r="I42" s="2431"/>
      <c r="J42" s="2432"/>
      <c r="K42" s="2433"/>
      <c r="L42" s="1581" t="str">
        <f t="shared" si="0"/>
        <v/>
      </c>
      <c r="M42" s="1514"/>
      <c r="N42" s="1514"/>
      <c r="O42" s="1514"/>
      <c r="P42" s="1514"/>
      <c r="Q42" s="1514"/>
      <c r="R42" s="1514"/>
      <c r="S42" s="1514"/>
      <c r="T42" s="1514"/>
      <c r="U42" s="1514"/>
      <c r="V42" s="1514"/>
      <c r="W42" s="1514"/>
      <c r="X42" s="1514"/>
      <c r="Y42" s="1514"/>
      <c r="Z42" s="1514"/>
      <c r="AA42" s="1514"/>
      <c r="AB42" s="1514"/>
      <c r="AC42" s="1514"/>
      <c r="AD42" s="1514"/>
    </row>
    <row r="43" spans="1:30" ht="15" customHeight="1" x14ac:dyDescent="0.3">
      <c r="A43" s="1522" t="s">
        <v>370</v>
      </c>
      <c r="B43" s="2426"/>
      <c r="C43" s="357" t="s">
        <v>58</v>
      </c>
      <c r="D43" s="1611">
        <f>+CHP!BV23</f>
        <v>0</v>
      </c>
      <c r="E43" s="1592">
        <f>+CHP!AG18</f>
        <v>0</v>
      </c>
      <c r="F43" s="1608">
        <f t="shared" si="1"/>
        <v>0</v>
      </c>
      <c r="G43" s="1609"/>
      <c r="H43" s="1612">
        <f>IF(Performance!$L$2="y",F43,E43*G43/1000)</f>
        <v>0</v>
      </c>
      <c r="I43" s="2431"/>
      <c r="J43" s="2432"/>
      <c r="K43" s="2433"/>
      <c r="L43" s="1581" t="str">
        <f t="shared" si="0"/>
        <v/>
      </c>
      <c r="M43" s="1514"/>
      <c r="N43" s="1514"/>
      <c r="O43" s="1514"/>
      <c r="P43" s="1514"/>
      <c r="Q43" s="1514"/>
      <c r="R43" s="1514"/>
      <c r="S43" s="1514"/>
      <c r="T43" s="1514"/>
      <c r="U43" s="1514"/>
      <c r="V43" s="1514"/>
      <c r="W43" s="1514"/>
      <c r="X43" s="1514"/>
      <c r="Y43" s="1514"/>
      <c r="Z43" s="1514"/>
      <c r="AA43" s="1514"/>
      <c r="AB43" s="1514"/>
      <c r="AC43" s="1514"/>
      <c r="AD43" s="1514"/>
    </row>
    <row r="44" spans="1:30" ht="15" customHeight="1" x14ac:dyDescent="0.3">
      <c r="A44" s="1522" t="s">
        <v>370</v>
      </c>
      <c r="B44" s="2426"/>
      <c r="C44" s="357" t="s">
        <v>59</v>
      </c>
      <c r="D44" s="1611">
        <f>+CHP!BV49</f>
        <v>0</v>
      </c>
      <c r="E44" s="1592">
        <f>+CHP!AG44</f>
        <v>0</v>
      </c>
      <c r="F44" s="1608">
        <f t="shared" si="1"/>
        <v>0</v>
      </c>
      <c r="G44" s="1609"/>
      <c r="H44" s="1612">
        <f>IF(Performance!$L$2="y",F44,E44*G44/1000)</f>
        <v>0</v>
      </c>
      <c r="I44" s="2431"/>
      <c r="J44" s="2432"/>
      <c r="K44" s="2433"/>
      <c r="L44" s="1581" t="str">
        <f t="shared" si="0"/>
        <v/>
      </c>
      <c r="M44" s="1514"/>
      <c r="N44" s="1514"/>
      <c r="O44" s="1514"/>
      <c r="P44" s="1514"/>
      <c r="Q44" s="1514"/>
      <c r="R44" s="1514"/>
      <c r="S44" s="1514"/>
      <c r="T44" s="1514"/>
      <c r="U44" s="1514"/>
      <c r="V44" s="1514"/>
      <c r="W44" s="1514"/>
      <c r="X44" s="1514"/>
      <c r="Y44" s="1514"/>
      <c r="Z44" s="1514"/>
      <c r="AA44" s="1514"/>
      <c r="AB44" s="1514"/>
      <c r="AC44" s="1514"/>
      <c r="AD44" s="1514"/>
    </row>
    <row r="45" spans="1:30" ht="15" customHeight="1" x14ac:dyDescent="0.3">
      <c r="A45" s="1522" t="s">
        <v>370</v>
      </c>
      <c r="B45" s="2426"/>
      <c r="C45" s="357" t="s">
        <v>60</v>
      </c>
      <c r="D45" s="1611">
        <f>+CHP!BV50</f>
        <v>0</v>
      </c>
      <c r="E45" s="1592">
        <f>+CHP!AG45</f>
        <v>0</v>
      </c>
      <c r="F45" s="1608">
        <f t="shared" si="1"/>
        <v>0</v>
      </c>
      <c r="G45" s="1609"/>
      <c r="H45" s="1612">
        <f>IF(Performance!$L$2="y",F45,E45*G45/1000)</f>
        <v>0</v>
      </c>
      <c r="I45" s="2431"/>
      <c r="J45" s="2432"/>
      <c r="K45" s="2433"/>
      <c r="L45" s="1581" t="str">
        <f t="shared" si="0"/>
        <v/>
      </c>
      <c r="M45" s="1514"/>
      <c r="N45" s="1514"/>
      <c r="O45" s="1514"/>
      <c r="P45" s="1514"/>
      <c r="Q45" s="1514"/>
      <c r="R45" s="1514"/>
      <c r="S45" s="1514"/>
      <c r="T45" s="1514"/>
      <c r="U45" s="1514"/>
      <c r="V45" s="1514"/>
      <c r="W45" s="1514"/>
      <c r="X45" s="1514"/>
      <c r="Y45" s="1514"/>
      <c r="Z45" s="1514"/>
      <c r="AA45" s="1514"/>
      <c r="AB45" s="1514"/>
      <c r="AC45" s="1514"/>
      <c r="AD45" s="1514"/>
    </row>
    <row r="46" spans="1:30" ht="15" customHeight="1" x14ac:dyDescent="0.3">
      <c r="A46" s="1522" t="s">
        <v>370</v>
      </c>
      <c r="B46" s="2426"/>
      <c r="C46" s="357" t="s">
        <v>61</v>
      </c>
      <c r="D46" s="1611">
        <f>+CHP!BV76</f>
        <v>0</v>
      </c>
      <c r="E46" s="1592">
        <f>+CHP!AG71</f>
        <v>0</v>
      </c>
      <c r="F46" s="1608">
        <f t="shared" si="1"/>
        <v>0</v>
      </c>
      <c r="G46" s="1609"/>
      <c r="H46" s="1612">
        <f>IF(Performance!$L$2="y",F46,E46*G46/1000)</f>
        <v>0</v>
      </c>
      <c r="I46" s="2431"/>
      <c r="J46" s="2432"/>
      <c r="K46" s="2433"/>
      <c r="L46" s="1581" t="str">
        <f t="shared" si="0"/>
        <v/>
      </c>
      <c r="M46" s="1514"/>
      <c r="N46" s="1514"/>
      <c r="O46" s="1514"/>
      <c r="P46" s="1514"/>
      <c r="Q46" s="1514"/>
      <c r="R46" s="1514"/>
      <c r="S46" s="1514"/>
      <c r="T46" s="1514"/>
      <c r="U46" s="1514"/>
      <c r="V46" s="1514"/>
      <c r="W46" s="1514"/>
      <c r="X46" s="1514"/>
      <c r="Y46" s="1514"/>
      <c r="Z46" s="1514"/>
      <c r="AA46" s="1514"/>
      <c r="AB46" s="1514"/>
      <c r="AC46" s="1514"/>
      <c r="AD46" s="1514"/>
    </row>
    <row r="47" spans="1:30" ht="15.75" customHeight="1" thickBot="1" x14ac:dyDescent="0.35">
      <c r="A47" s="1522" t="s">
        <v>370</v>
      </c>
      <c r="B47" s="2427"/>
      <c r="C47" s="358" t="s">
        <v>62</v>
      </c>
      <c r="D47" s="1613">
        <f>+CHP!BV77</f>
        <v>0</v>
      </c>
      <c r="E47" s="1614">
        <f>+CHP!AG72</f>
        <v>0</v>
      </c>
      <c r="F47" s="1615">
        <f t="shared" si="1"/>
        <v>0</v>
      </c>
      <c r="G47" s="1616"/>
      <c r="H47" s="1617">
        <f>IF(Performance!$L$2="y",F47,E47*G47/1000)</f>
        <v>0</v>
      </c>
      <c r="I47" s="2448"/>
      <c r="J47" s="2449"/>
      <c r="K47" s="2450"/>
      <c r="L47" s="1618" t="str">
        <f t="shared" si="0"/>
        <v/>
      </c>
      <c r="M47" s="1514"/>
      <c r="N47" s="1514"/>
      <c r="O47" s="1514"/>
      <c r="P47" s="1514"/>
      <c r="Q47" s="1514"/>
      <c r="R47" s="1514"/>
      <c r="S47" s="1514"/>
      <c r="T47" s="1514"/>
      <c r="U47" s="1514"/>
      <c r="V47" s="1514"/>
      <c r="W47" s="1514"/>
      <c r="X47" s="1514"/>
      <c r="Y47" s="1514"/>
      <c r="Z47" s="1514"/>
      <c r="AA47" s="1514"/>
      <c r="AB47" s="1514"/>
      <c r="AC47" s="1514"/>
      <c r="AD47" s="1514"/>
    </row>
    <row r="48" spans="1:30" x14ac:dyDescent="0.3">
      <c r="A48" s="1522"/>
      <c r="B48" s="1514" t="s">
        <v>63</v>
      </c>
      <c r="C48" s="1535"/>
      <c r="D48" s="1535"/>
      <c r="E48" s="1535"/>
      <c r="F48" s="1535"/>
      <c r="G48" s="1535"/>
      <c r="H48" s="1535"/>
      <c r="I48" s="1535"/>
      <c r="J48" s="1535"/>
      <c r="K48" s="1535"/>
      <c r="L48" s="1514"/>
      <c r="M48" s="1514"/>
      <c r="N48" s="1514"/>
      <c r="O48" s="1514"/>
      <c r="P48" s="1514"/>
      <c r="Q48" s="1514"/>
      <c r="R48" s="1514"/>
      <c r="S48" s="1514"/>
      <c r="T48" s="1514"/>
      <c r="U48" s="1514"/>
      <c r="V48" s="1514"/>
      <c r="W48" s="1514"/>
      <c r="X48" s="1514"/>
      <c r="Y48" s="1514"/>
      <c r="Z48" s="1514"/>
      <c r="AA48" s="1514"/>
      <c r="AB48" s="1514"/>
      <c r="AC48" s="1514"/>
      <c r="AD48" s="1514"/>
    </row>
    <row r="49" spans="1:30" s="1550" customFormat="1" ht="23.4" x14ac:dyDescent="0.3">
      <c r="A49" s="1545" t="s">
        <v>506</v>
      </c>
      <c r="B49" s="1546" t="s">
        <v>65</v>
      </c>
      <c r="C49" s="1547"/>
      <c r="D49" s="2387" t="str">
        <f>+$A$1</f>
        <v>Quarter 2 - 2018-2019</v>
      </c>
      <c r="E49" s="2387"/>
      <c r="F49" s="2387"/>
      <c r="G49" s="2387"/>
      <c r="H49" s="2387"/>
      <c r="I49" s="2387"/>
      <c r="J49" s="2387"/>
      <c r="K49" s="1548"/>
      <c r="L49" s="1548"/>
      <c r="M49" s="1548"/>
      <c r="N49" s="1548"/>
      <c r="O49" s="1548"/>
      <c r="P49" s="1548"/>
      <c r="Q49" s="1548"/>
      <c r="R49" s="1548"/>
      <c r="S49" s="1548"/>
      <c r="T49" s="1548"/>
      <c r="U49" s="1548"/>
      <c r="V49" s="1548"/>
      <c r="W49" s="1548"/>
      <c r="X49" s="1548"/>
      <c r="Y49" s="1549"/>
      <c r="Z49" s="1549"/>
      <c r="AA49" s="1549"/>
      <c r="AB49" s="1549"/>
      <c r="AC49" s="1549"/>
      <c r="AD49" s="1549"/>
    </row>
    <row r="50" spans="1:30" ht="14.4" thickBot="1" x14ac:dyDescent="0.35">
      <c r="A50" s="1522"/>
      <c r="B50" s="1534" t="s">
        <v>66</v>
      </c>
      <c r="C50" s="1538"/>
      <c r="D50" s="1535"/>
      <c r="E50" s="1535"/>
      <c r="F50" s="1535"/>
      <c r="G50" s="1535"/>
      <c r="H50" s="1535"/>
      <c r="I50" s="1535"/>
      <c r="J50" s="1535"/>
      <c r="K50" s="1535"/>
      <c r="L50" s="1514"/>
      <c r="M50" s="1514"/>
      <c r="N50" s="1514"/>
      <c r="O50" s="1514"/>
      <c r="P50" s="1514"/>
      <c r="Q50" s="1514"/>
      <c r="R50" s="1514"/>
      <c r="S50" s="1514"/>
      <c r="T50" s="1514"/>
      <c r="U50" s="1514"/>
      <c r="V50" s="1514"/>
      <c r="W50" s="1514"/>
      <c r="X50" s="1514"/>
      <c r="Y50" s="1514"/>
      <c r="Z50" s="1514"/>
      <c r="AA50" s="1514"/>
      <c r="AB50" s="1514"/>
      <c r="AC50" s="1514"/>
      <c r="AD50" s="1514"/>
    </row>
    <row r="51" spans="1:30" ht="30" customHeight="1" thickBot="1" x14ac:dyDescent="0.35">
      <c r="A51" s="1522"/>
      <c r="B51" s="1514"/>
      <c r="C51" s="1514"/>
      <c r="D51" s="2468" t="s">
        <v>23</v>
      </c>
      <c r="E51" s="2469"/>
      <c r="F51" s="2470"/>
      <c r="G51" s="2471" t="s">
        <v>144</v>
      </c>
      <c r="H51" s="2472"/>
      <c r="I51" s="2473" t="s">
        <v>24</v>
      </c>
      <c r="J51" s="2474"/>
      <c r="K51" s="2475"/>
      <c r="L51" s="2419" t="s">
        <v>461</v>
      </c>
      <c r="M51" s="1514"/>
      <c r="N51" s="1514"/>
      <c r="O51" s="1514"/>
      <c r="P51" s="1514"/>
      <c r="Q51" s="1514"/>
      <c r="R51" s="1514"/>
      <c r="S51" s="1514"/>
      <c r="T51" s="1514"/>
      <c r="U51" s="1514"/>
      <c r="V51" s="1514"/>
      <c r="W51" s="1514"/>
      <c r="X51" s="1514"/>
      <c r="Y51" s="1514"/>
      <c r="Z51" s="1514"/>
      <c r="AA51" s="1514"/>
      <c r="AB51" s="1514"/>
      <c r="AC51" s="1514"/>
      <c r="AD51" s="1514"/>
    </row>
    <row r="52" spans="1:30" ht="39" customHeight="1" thickBot="1" x14ac:dyDescent="0.35">
      <c r="A52" s="1522"/>
      <c r="B52" s="1619"/>
      <c r="C52" s="1538"/>
      <c r="D52" s="1620" t="s">
        <v>67</v>
      </c>
      <c r="E52" s="1621" t="s">
        <v>68</v>
      </c>
      <c r="F52" s="1622" t="s">
        <v>28</v>
      </c>
      <c r="G52" s="1555" t="s">
        <v>67</v>
      </c>
      <c r="H52" s="1555" t="s">
        <v>28</v>
      </c>
      <c r="I52" s="2476"/>
      <c r="J52" s="2477"/>
      <c r="K52" s="2478"/>
      <c r="L52" s="2420"/>
      <c r="M52" s="1514"/>
      <c r="N52" s="1514"/>
      <c r="O52" s="1514"/>
      <c r="P52" s="1514"/>
      <c r="Q52" s="1514"/>
      <c r="R52" s="1514"/>
      <c r="S52" s="1514"/>
      <c r="T52" s="1514"/>
      <c r="U52" s="1514"/>
      <c r="V52" s="1514"/>
      <c r="W52" s="1514"/>
      <c r="X52" s="1514"/>
      <c r="Y52" s="1514"/>
      <c r="Z52" s="1514"/>
      <c r="AA52" s="1514"/>
      <c r="AB52" s="1514"/>
      <c r="AC52" s="1514"/>
      <c r="AD52" s="1514"/>
    </row>
    <row r="53" spans="1:30" ht="13.5" customHeight="1" thickBot="1" x14ac:dyDescent="0.35">
      <c r="A53" s="1522" t="s">
        <v>370</v>
      </c>
      <c r="B53" s="2479" t="s">
        <v>69</v>
      </c>
      <c r="C53" s="2480"/>
      <c r="D53" s="1623"/>
      <c r="E53" s="1624"/>
      <c r="F53" s="1625">
        <f>D53/1000</f>
        <v>0</v>
      </c>
      <c r="G53" s="1626"/>
      <c r="H53" s="1627">
        <f>IF(Performance!L2="y",F53,G53/1000)</f>
        <v>0</v>
      </c>
      <c r="I53" s="2481"/>
      <c r="J53" s="2482"/>
      <c r="K53" s="2483"/>
      <c r="L53" s="1560" t="str">
        <f>IF(OR(D53&lt;0,G53&lt;0),"Error - negative number",IF(G53&gt;D53,"Offices only &gt; Total Estate",IF(AND(D53&gt;0,E53=""),"Please enter method used","")))</f>
        <v/>
      </c>
      <c r="M53" s="1514"/>
      <c r="N53" s="1514"/>
      <c r="O53" s="1514"/>
      <c r="P53" s="1514"/>
      <c r="Q53" s="1514"/>
      <c r="R53" s="1514"/>
      <c r="S53" s="1514"/>
      <c r="T53" s="1514"/>
      <c r="U53" s="1514"/>
      <c r="V53" s="1514"/>
      <c r="W53" s="1514"/>
      <c r="X53" s="1514"/>
      <c r="Y53" s="1514"/>
      <c r="Z53" s="1514"/>
      <c r="AA53" s="1514"/>
      <c r="AB53" s="1514"/>
      <c r="AC53" s="1514"/>
      <c r="AD53" s="1514"/>
    </row>
    <row r="54" spans="1:30" x14ac:dyDescent="0.3">
      <c r="A54" s="1628"/>
      <c r="B54" s="1535"/>
      <c r="C54" s="1535"/>
      <c r="D54" s="1535"/>
      <c r="E54" s="1535"/>
      <c r="F54" s="1629"/>
      <c r="G54" s="1535"/>
      <c r="H54" s="1535"/>
      <c r="I54" s="1535"/>
      <c r="J54" s="1535"/>
      <c r="K54" s="1535"/>
      <c r="L54" s="1514"/>
      <c r="M54" s="1514"/>
      <c r="N54" s="1514"/>
      <c r="O54" s="1514"/>
      <c r="P54" s="1514"/>
      <c r="Q54" s="1514"/>
      <c r="R54" s="1514"/>
      <c r="S54" s="1514"/>
      <c r="T54" s="1514"/>
      <c r="U54" s="1514"/>
      <c r="V54" s="1514"/>
      <c r="W54" s="1514"/>
      <c r="X54" s="1514"/>
      <c r="Y54" s="1514"/>
      <c r="Z54" s="1514"/>
      <c r="AA54" s="1514"/>
      <c r="AB54" s="1514"/>
      <c r="AC54" s="1514"/>
      <c r="AD54" s="1514"/>
    </row>
    <row r="55" spans="1:30" s="1550" customFormat="1" ht="23.4" x14ac:dyDescent="0.3">
      <c r="A55" s="1545" t="s">
        <v>507</v>
      </c>
      <c r="B55" s="1546" t="s">
        <v>71</v>
      </c>
      <c r="C55" s="1547"/>
      <c r="D55" s="2387" t="str">
        <f>+$A$1</f>
        <v>Quarter 2 - 2018-2019</v>
      </c>
      <c r="E55" s="2387"/>
      <c r="F55" s="2387"/>
      <c r="G55" s="2387"/>
      <c r="H55" s="2387"/>
      <c r="I55" s="2387"/>
      <c r="J55" s="2387"/>
      <c r="K55" s="1548"/>
      <c r="L55" s="1548"/>
      <c r="M55" s="1548"/>
      <c r="N55" s="1548"/>
      <c r="O55" s="1548"/>
      <c r="P55" s="1548"/>
      <c r="Q55" s="1548"/>
      <c r="R55" s="1548"/>
      <c r="S55" s="1548"/>
      <c r="T55" s="1548"/>
      <c r="U55" s="1548"/>
      <c r="V55" s="1548"/>
      <c r="W55" s="1548"/>
      <c r="X55" s="1548"/>
      <c r="Y55" s="1549"/>
      <c r="Z55" s="1549"/>
      <c r="AA55" s="1549"/>
      <c r="AB55" s="1549"/>
      <c r="AC55" s="1549"/>
      <c r="AD55" s="1549"/>
    </row>
    <row r="56" spans="1:30" x14ac:dyDescent="0.3">
      <c r="A56" s="1522"/>
      <c r="B56" s="1534" t="s">
        <v>72</v>
      </c>
      <c r="C56" s="1538"/>
      <c r="D56" s="1535"/>
      <c r="E56" s="1535"/>
      <c r="F56" s="1535"/>
      <c r="G56" s="1535"/>
      <c r="H56" s="1535"/>
      <c r="I56" s="1535"/>
      <c r="J56" s="1535"/>
      <c r="K56" s="1535"/>
      <c r="L56" s="1514"/>
      <c r="M56" s="1514"/>
      <c r="N56" s="1514"/>
      <c r="O56" s="1514"/>
      <c r="P56" s="1514"/>
      <c r="Q56" s="1514"/>
      <c r="R56" s="1514"/>
      <c r="S56" s="1514"/>
      <c r="T56" s="1514"/>
      <c r="U56" s="1514"/>
      <c r="V56" s="1514"/>
      <c r="W56" s="1514"/>
      <c r="X56" s="1514"/>
      <c r="Y56" s="1514"/>
      <c r="Z56" s="1514"/>
      <c r="AA56" s="1514"/>
      <c r="AB56" s="1514"/>
      <c r="AC56" s="1514"/>
      <c r="AD56" s="1514"/>
    </row>
    <row r="57" spans="1:30" x14ac:dyDescent="0.3">
      <c r="A57" s="1522"/>
      <c r="B57" s="1534" t="s">
        <v>73</v>
      </c>
      <c r="C57" s="1538"/>
      <c r="D57" s="1535"/>
      <c r="E57" s="1535"/>
      <c r="F57" s="1535"/>
      <c r="G57" s="1535"/>
      <c r="H57" s="1535"/>
      <c r="I57" s="1535"/>
      <c r="J57" s="1535"/>
      <c r="K57" s="1535"/>
      <c r="L57" s="1514"/>
      <c r="M57" s="1514"/>
      <c r="N57" s="1514"/>
      <c r="O57" s="1514"/>
      <c r="P57" s="1514"/>
      <c r="Q57" s="1514"/>
      <c r="R57" s="1514"/>
      <c r="S57" s="1514"/>
      <c r="T57" s="1514"/>
      <c r="U57" s="1514"/>
      <c r="V57" s="1514"/>
      <c r="W57" s="1514"/>
      <c r="X57" s="1514"/>
      <c r="Y57" s="1514"/>
      <c r="Z57" s="1514"/>
      <c r="AA57" s="1514"/>
      <c r="AB57" s="1514"/>
      <c r="AC57" s="1514"/>
      <c r="AD57" s="1514"/>
    </row>
    <row r="58" spans="1:30" x14ac:dyDescent="0.3">
      <c r="A58" s="1522"/>
      <c r="B58" s="1534" t="s">
        <v>528</v>
      </c>
      <c r="C58" s="1538"/>
      <c r="D58" s="1535"/>
      <c r="E58" s="1535"/>
      <c r="F58" s="1535"/>
      <c r="G58" s="1535"/>
      <c r="H58" s="1535"/>
      <c r="I58" s="1535"/>
      <c r="J58" s="1535"/>
      <c r="K58" s="1535"/>
      <c r="L58" s="1514"/>
      <c r="M58" s="1514"/>
      <c r="N58" s="1514"/>
      <c r="O58" s="1514"/>
      <c r="P58" s="1514"/>
      <c r="Q58" s="1514"/>
      <c r="R58" s="1514"/>
      <c r="S58" s="1514"/>
      <c r="T58" s="1514"/>
      <c r="U58" s="1514"/>
      <c r="V58" s="1514"/>
      <c r="W58" s="1514"/>
      <c r="X58" s="1514"/>
      <c r="Y58" s="1514"/>
      <c r="Z58" s="1514"/>
      <c r="AA58" s="1514"/>
      <c r="AB58" s="1514"/>
      <c r="AC58" s="1514"/>
      <c r="AD58" s="1514"/>
    </row>
    <row r="59" spans="1:30" x14ac:dyDescent="0.3">
      <c r="A59" s="1522"/>
      <c r="B59" s="1534" t="s">
        <v>76</v>
      </c>
      <c r="C59" s="1538"/>
      <c r="D59" s="1535"/>
      <c r="E59" s="1535"/>
      <c r="F59" s="1535"/>
      <c r="G59" s="1535"/>
      <c r="H59" s="1535"/>
      <c r="I59" s="1535"/>
      <c r="J59" s="1535"/>
      <c r="K59" s="1535"/>
      <c r="L59" s="1514"/>
      <c r="M59" s="1514"/>
      <c r="N59" s="1514"/>
      <c r="O59" s="1514"/>
      <c r="P59" s="1514"/>
      <c r="Q59" s="1514"/>
      <c r="R59" s="1514"/>
      <c r="S59" s="1514"/>
      <c r="T59" s="1514"/>
      <c r="U59" s="1514"/>
      <c r="V59" s="1514"/>
      <c r="W59" s="1514"/>
      <c r="X59" s="1514"/>
      <c r="Y59" s="1514"/>
      <c r="Z59" s="1514"/>
      <c r="AA59" s="1514"/>
      <c r="AB59" s="1514"/>
      <c r="AC59" s="1514"/>
      <c r="AD59" s="1514"/>
    </row>
    <row r="60" spans="1:30" ht="13.5" customHeight="1" x14ac:dyDescent="0.3">
      <c r="A60" s="1522"/>
      <c r="B60" s="143" t="s">
        <v>363</v>
      </c>
      <c r="C60" s="1538"/>
      <c r="D60" s="1535"/>
      <c r="E60" s="1535"/>
      <c r="F60" s="1535"/>
      <c r="G60" s="1535"/>
      <c r="H60" s="1535"/>
      <c r="I60" s="1535"/>
      <c r="J60" s="1535"/>
      <c r="K60" s="1535"/>
      <c r="L60" s="1514"/>
      <c r="M60" s="1514"/>
      <c r="N60" s="1514"/>
      <c r="O60" s="1514"/>
      <c r="P60" s="1514"/>
      <c r="Q60" s="1514"/>
      <c r="R60" s="1514"/>
      <c r="S60" s="1514"/>
      <c r="T60" s="1514"/>
      <c r="U60" s="1514"/>
      <c r="V60" s="1514"/>
      <c r="W60" s="1514"/>
      <c r="X60" s="1514"/>
      <c r="Y60" s="1514"/>
      <c r="Z60" s="1514"/>
      <c r="AA60" s="1514"/>
      <c r="AB60" s="1514"/>
      <c r="AC60" s="1514"/>
      <c r="AD60" s="1514"/>
    </row>
    <row r="61" spans="1:30" ht="15.75" customHeight="1" thickBot="1" x14ac:dyDescent="0.35">
      <c r="A61" s="1522" t="s">
        <v>370</v>
      </c>
      <c r="B61" s="1534"/>
      <c r="C61" s="1538"/>
      <c r="D61" s="1535"/>
      <c r="E61" s="1535"/>
      <c r="F61" s="1630"/>
      <c r="G61" s="1535"/>
      <c r="H61" s="1535"/>
      <c r="I61" s="1535"/>
      <c r="J61" s="1535"/>
      <c r="K61" s="1514"/>
      <c r="L61" s="1514"/>
      <c r="M61" s="1514"/>
      <c r="N61" s="1514"/>
      <c r="O61" s="1514"/>
      <c r="P61" s="1514"/>
      <c r="Q61" s="1514"/>
      <c r="R61" s="1514"/>
      <c r="S61" s="1514"/>
      <c r="T61" s="1514"/>
      <c r="U61" s="1514"/>
      <c r="V61" s="1514"/>
      <c r="W61" s="1514"/>
      <c r="X61" s="1514"/>
      <c r="Y61" s="1514"/>
      <c r="Z61" s="1514"/>
      <c r="AA61" s="1514"/>
      <c r="AB61" s="1514"/>
      <c r="AC61" s="1514"/>
      <c r="AD61" s="1514"/>
    </row>
    <row r="62" spans="1:30" ht="26.25" customHeight="1" thickBot="1" x14ac:dyDescent="0.35">
      <c r="A62" s="1522"/>
      <c r="B62" s="2456" t="s">
        <v>79</v>
      </c>
      <c r="C62" s="2457"/>
      <c r="D62" s="2460" t="s">
        <v>23</v>
      </c>
      <c r="E62" s="2461"/>
      <c r="F62" s="2462"/>
      <c r="G62" s="1631"/>
      <c r="H62" s="1631"/>
      <c r="I62" s="2388" t="s">
        <v>24</v>
      </c>
      <c r="J62" s="2389"/>
      <c r="K62" s="2390"/>
      <c r="L62" s="2419" t="s">
        <v>461</v>
      </c>
      <c r="M62" s="1514"/>
      <c r="N62" s="1514"/>
      <c r="O62" s="1514"/>
      <c r="P62" s="1514"/>
      <c r="Q62" s="1514"/>
      <c r="R62" s="1514"/>
      <c r="S62" s="1514"/>
      <c r="T62" s="1514"/>
      <c r="U62" s="1514"/>
      <c r="V62" s="1514"/>
      <c r="W62" s="1514"/>
      <c r="X62" s="1514"/>
      <c r="Y62" s="1514"/>
      <c r="Z62" s="1514"/>
      <c r="AA62" s="1514"/>
      <c r="AB62" s="1514"/>
      <c r="AC62" s="1514"/>
      <c r="AD62" s="1514"/>
    </row>
    <row r="63" spans="1:30" ht="15.75" customHeight="1" thickBot="1" x14ac:dyDescent="0.35">
      <c r="A63" s="1522"/>
      <c r="B63" s="2458"/>
      <c r="C63" s="2459"/>
      <c r="D63" s="1632" t="s">
        <v>81</v>
      </c>
      <c r="E63" s="1633" t="s">
        <v>27</v>
      </c>
      <c r="F63" s="1634" t="s">
        <v>28</v>
      </c>
      <c r="G63" s="1631"/>
      <c r="H63" s="1631"/>
      <c r="I63" s="2391"/>
      <c r="J63" s="2392"/>
      <c r="K63" s="2393"/>
      <c r="L63" s="2420"/>
      <c r="M63" s="1514"/>
      <c r="N63" s="1514"/>
      <c r="O63" s="1514"/>
      <c r="P63" s="1514"/>
      <c r="Q63" s="1514"/>
      <c r="R63" s="1514"/>
      <c r="S63" s="1514"/>
      <c r="T63" s="1514"/>
      <c r="U63" s="1514"/>
      <c r="V63" s="1514"/>
      <c r="W63" s="1514"/>
      <c r="X63" s="1514"/>
      <c r="Y63" s="1514"/>
      <c r="Z63" s="1514"/>
      <c r="AA63" s="1514"/>
      <c r="AB63" s="1514"/>
      <c r="AC63" s="1514"/>
      <c r="AD63" s="1514"/>
    </row>
    <row r="64" spans="1:30" ht="31.5" customHeight="1" thickBot="1" x14ac:dyDescent="0.35">
      <c r="A64" s="1522"/>
      <c r="B64" s="2463" t="s">
        <v>77</v>
      </c>
      <c r="C64" s="2464"/>
      <c r="D64" s="1635">
        <f>SUM(D65:D85)</f>
        <v>4734057</v>
      </c>
      <c r="E64" s="1557">
        <f>IF(D64&lt;&gt;0,F64*1000/D64,"")</f>
        <v>0.58012847070916129</v>
      </c>
      <c r="F64" s="1636">
        <f>SUM(F65:F85)</f>
        <v>2746.3612476599997</v>
      </c>
      <c r="G64" s="1631"/>
      <c r="H64" s="1631"/>
      <c r="I64" s="2465"/>
      <c r="J64" s="2466"/>
      <c r="K64" s="2467"/>
      <c r="L64" s="1560" t="str">
        <f t="shared" ref="L64:L122" si="3">IF(OR(D64&lt;0,G64&lt;0),"Error - negative number",IF(G64&gt;D64,"Offices only &gt; Total Estate",IF(AND(D64&gt;0,E64=""),"Please enter CO2e factor","")))</f>
        <v/>
      </c>
      <c r="M64" s="1514"/>
      <c r="N64" s="1514"/>
      <c r="O64" s="2484" t="str">
        <f>B64</f>
        <v>TOTAL DOMESTIC FROM FLEET (i.e. vehicles owned or leased by the department) (Scope 1)</v>
      </c>
      <c r="P64" s="2485"/>
      <c r="Q64" s="2485"/>
      <c r="R64" s="2485"/>
      <c r="S64" s="2485"/>
      <c r="T64" s="2485"/>
      <c r="U64" s="2485"/>
      <c r="V64" s="2485"/>
      <c r="W64" s="2486"/>
      <c r="X64" s="2405" t="s">
        <v>381</v>
      </c>
      <c r="Y64" s="2407"/>
      <c r="Z64" s="2419" t="s">
        <v>461</v>
      </c>
      <c r="AA64" s="1514"/>
      <c r="AB64" s="1514"/>
      <c r="AC64" s="1514"/>
      <c r="AD64" s="1514"/>
    </row>
    <row r="65" spans="1:30" ht="15" customHeight="1" x14ac:dyDescent="0.3">
      <c r="A65" s="1522" t="s">
        <v>370</v>
      </c>
      <c r="B65" s="2488" t="s">
        <v>84</v>
      </c>
      <c r="C65" s="1637" t="s">
        <v>85</v>
      </c>
      <c r="D65" s="1567">
        <v>8312</v>
      </c>
      <c r="E65" s="1638">
        <f>+'Emission Factors'!J48</f>
        <v>0.15565000000000001</v>
      </c>
      <c r="F65" s="1604">
        <f>(D65*E65)/1000</f>
        <v>1.2937628000000001</v>
      </c>
      <c r="G65" s="1631"/>
      <c r="H65" s="1631"/>
      <c r="I65" s="2491"/>
      <c r="J65" s="2492"/>
      <c r="K65" s="2493"/>
      <c r="L65" s="1572" t="str">
        <f t="shared" si="3"/>
        <v/>
      </c>
      <c r="M65" s="1514"/>
      <c r="N65" s="1514"/>
      <c r="O65" s="1639"/>
      <c r="P65" s="1640"/>
      <c r="Q65" s="2494" t="s">
        <v>78</v>
      </c>
      <c r="R65" s="2494" t="s">
        <v>80</v>
      </c>
      <c r="S65" s="2497" t="s">
        <v>27</v>
      </c>
      <c r="T65" s="2500" t="s">
        <v>374</v>
      </c>
      <c r="U65" s="2502" t="s">
        <v>24</v>
      </c>
      <c r="V65" s="2503"/>
      <c r="W65" s="2504"/>
      <c r="X65" s="2523" t="s">
        <v>27</v>
      </c>
      <c r="Y65" s="2526" t="s">
        <v>374</v>
      </c>
      <c r="Z65" s="2487"/>
      <c r="AA65" s="1514"/>
      <c r="AB65" s="1514"/>
      <c r="AC65" s="1514"/>
      <c r="AD65" s="1514"/>
    </row>
    <row r="66" spans="1:30" ht="15" customHeight="1" thickBot="1" x14ac:dyDescent="0.35">
      <c r="A66" s="1522" t="s">
        <v>370</v>
      </c>
      <c r="B66" s="2489"/>
      <c r="C66" s="1641" t="s">
        <v>87</v>
      </c>
      <c r="D66" s="1567"/>
      <c r="E66" s="1638">
        <f>+'Emission Factors'!J49</f>
        <v>0.19386</v>
      </c>
      <c r="F66" s="1608">
        <f t="shared" ref="F66:F85" si="4">(D66*E66)/1000</f>
        <v>0</v>
      </c>
      <c r="G66" s="1631"/>
      <c r="H66" s="1631"/>
      <c r="I66" s="2511"/>
      <c r="J66" s="2512"/>
      <c r="K66" s="2513"/>
      <c r="L66" s="1581" t="str">
        <f t="shared" si="3"/>
        <v/>
      </c>
      <c r="M66" s="1514"/>
      <c r="N66" s="1514"/>
      <c r="O66" s="1642"/>
      <c r="P66" s="1643"/>
      <c r="Q66" s="2495"/>
      <c r="R66" s="2495"/>
      <c r="S66" s="2498"/>
      <c r="T66" s="2501"/>
      <c r="U66" s="2505"/>
      <c r="V66" s="2506"/>
      <c r="W66" s="2507"/>
      <c r="X66" s="2524"/>
      <c r="Y66" s="2527"/>
      <c r="Z66" s="2487"/>
      <c r="AA66" s="1514"/>
      <c r="AB66" s="1514"/>
      <c r="AC66" s="1514"/>
      <c r="AD66" s="1514"/>
    </row>
    <row r="67" spans="1:30" ht="15" customHeight="1" thickBot="1" x14ac:dyDescent="0.35">
      <c r="A67" s="1522" t="s">
        <v>370</v>
      </c>
      <c r="B67" s="2489"/>
      <c r="C67" s="1641" t="s">
        <v>89</v>
      </c>
      <c r="D67" s="1567"/>
      <c r="E67" s="1638">
        <f>+'Emission Factors'!J50</f>
        <v>0.28410999999999997</v>
      </c>
      <c r="F67" s="1608">
        <f t="shared" si="4"/>
        <v>0</v>
      </c>
      <c r="G67" s="1631"/>
      <c r="H67" s="1631"/>
      <c r="I67" s="2511"/>
      <c r="J67" s="2512"/>
      <c r="K67" s="2513"/>
      <c r="L67" s="1581" t="str">
        <f t="shared" si="3"/>
        <v/>
      </c>
      <c r="M67" s="1514"/>
      <c r="N67" s="1514"/>
      <c r="O67" s="1644"/>
      <c r="P67" s="1645"/>
      <c r="Q67" s="2496"/>
      <c r="R67" s="2496"/>
      <c r="S67" s="2499"/>
      <c r="T67" s="1636">
        <f>SUM(T68:T74)</f>
        <v>443.91987392999999</v>
      </c>
      <c r="U67" s="2508"/>
      <c r="V67" s="2509"/>
      <c r="W67" s="2510"/>
      <c r="X67" s="2525"/>
      <c r="Y67" s="1636">
        <f>SUM(Y68:Y74)</f>
        <v>9888.3492000000006</v>
      </c>
      <c r="Z67" s="2420"/>
      <c r="AA67" s="1514"/>
      <c r="AB67" s="1514"/>
      <c r="AC67" s="1514"/>
      <c r="AD67" s="1514"/>
    </row>
    <row r="68" spans="1:30" ht="15" customHeight="1" x14ac:dyDescent="0.3">
      <c r="A68" s="1522" t="s">
        <v>370</v>
      </c>
      <c r="B68" s="2489"/>
      <c r="C68" s="1641" t="s">
        <v>91</v>
      </c>
      <c r="D68" s="1567"/>
      <c r="E68" s="1638">
        <f>+'Emission Factors'!J51</f>
        <v>0.18368000000000001</v>
      </c>
      <c r="F68" s="1608">
        <f t="shared" si="4"/>
        <v>0</v>
      </c>
      <c r="G68" s="1631"/>
      <c r="H68" s="1631"/>
      <c r="I68" s="2511"/>
      <c r="J68" s="2512"/>
      <c r="K68" s="2513"/>
      <c r="L68" s="1581" t="str">
        <f t="shared" si="3"/>
        <v/>
      </c>
      <c r="M68" s="1514"/>
      <c r="N68" s="1514"/>
      <c r="O68" s="1646" t="s">
        <v>82</v>
      </c>
      <c r="P68" s="1647"/>
      <c r="Q68" s="1648" t="s">
        <v>83</v>
      </c>
      <c r="R68" s="1649">
        <v>11097</v>
      </c>
      <c r="S68" s="1650">
        <f>+'Emission Factors'!J36</f>
        <v>2.2030699999999999</v>
      </c>
      <c r="T68" s="1651">
        <f t="shared" ref="T68:T74" si="5">(R68*S68)/1000</f>
        <v>24.447467789999997</v>
      </c>
      <c r="U68" s="2528"/>
      <c r="V68" s="2529"/>
      <c r="W68" s="2530"/>
      <c r="X68" s="1652">
        <f>+'Emission Factors'!J42</f>
        <v>6.8000000000000005E-2</v>
      </c>
      <c r="Y68" s="1653">
        <f t="shared" ref="Y68:Y74" si="6">+X68*R68</f>
        <v>754.596</v>
      </c>
      <c r="Z68" s="1606" t="str">
        <f t="shared" ref="Z68:Z74" si="7">IF(R68&lt;0,"Error - negative number","")</f>
        <v/>
      </c>
      <c r="AA68" s="1514"/>
      <c r="AB68" s="1514"/>
      <c r="AC68" s="1514"/>
      <c r="AD68" s="1514"/>
    </row>
    <row r="69" spans="1:30" ht="15" customHeight="1" x14ac:dyDescent="0.3">
      <c r="A69" s="1522" t="s">
        <v>370</v>
      </c>
      <c r="B69" s="2489"/>
      <c r="C69" s="1641" t="s">
        <v>94</v>
      </c>
      <c r="D69" s="1567">
        <v>1235894</v>
      </c>
      <c r="E69" s="1638">
        <f>+'Emission Factors'!J52</f>
        <v>0.14532999999999999</v>
      </c>
      <c r="F69" s="1608">
        <f t="shared" si="4"/>
        <v>179.61247501999998</v>
      </c>
      <c r="G69" s="1631"/>
      <c r="H69" s="1631"/>
      <c r="I69" s="2511"/>
      <c r="J69" s="2512"/>
      <c r="K69" s="2513"/>
      <c r="L69" s="1581" t="str">
        <f t="shared" si="3"/>
        <v/>
      </c>
      <c r="M69" s="1514"/>
      <c r="N69" s="1514"/>
      <c r="O69" s="1654" t="s">
        <v>86</v>
      </c>
      <c r="P69" s="1655"/>
      <c r="Q69" s="1656" t="s">
        <v>83</v>
      </c>
      <c r="R69" s="1657"/>
      <c r="S69" s="1658">
        <f>+'Emission Factors'!J37</f>
        <v>2.30531</v>
      </c>
      <c r="T69" s="1659">
        <f t="shared" si="5"/>
        <v>0</v>
      </c>
      <c r="U69" s="2520"/>
      <c r="V69" s="2521"/>
      <c r="W69" s="2522"/>
      <c r="X69" s="1658">
        <f>+'Emission Factors'!J43</f>
        <v>0</v>
      </c>
      <c r="Y69" s="1660">
        <f t="shared" si="6"/>
        <v>0</v>
      </c>
      <c r="Z69" s="1581" t="str">
        <f t="shared" si="7"/>
        <v/>
      </c>
      <c r="AA69" s="1514"/>
      <c r="AB69" s="1514"/>
      <c r="AC69" s="1514"/>
      <c r="AD69" s="1514"/>
    </row>
    <row r="70" spans="1:30" ht="15" customHeight="1" x14ac:dyDescent="0.3">
      <c r="A70" s="1522" t="s">
        <v>370</v>
      </c>
      <c r="B70" s="2489"/>
      <c r="C70" s="1641" t="s">
        <v>96</v>
      </c>
      <c r="D70" s="1567">
        <v>267216</v>
      </c>
      <c r="E70" s="1638">
        <f>+'Emission Factors'!J53</f>
        <v>0.17352999999999999</v>
      </c>
      <c r="F70" s="1608">
        <f t="shared" si="4"/>
        <v>46.369992480000001</v>
      </c>
      <c r="G70" s="1631"/>
      <c r="H70" s="1631"/>
      <c r="I70" s="2511"/>
      <c r="J70" s="2512"/>
      <c r="K70" s="2513"/>
      <c r="L70" s="1581" t="str">
        <f t="shared" si="3"/>
        <v/>
      </c>
      <c r="M70" s="1514"/>
      <c r="N70" s="1514"/>
      <c r="O70" s="1654" t="s">
        <v>88</v>
      </c>
      <c r="P70" s="1655"/>
      <c r="Q70" s="1656" t="s">
        <v>83</v>
      </c>
      <c r="R70" s="1657">
        <v>159681</v>
      </c>
      <c r="S70" s="1658">
        <f>+'Emission Factors'!J38</f>
        <v>2.6269399999999998</v>
      </c>
      <c r="T70" s="1659">
        <f t="shared" si="5"/>
        <v>419.47240613999998</v>
      </c>
      <c r="U70" s="2520"/>
      <c r="V70" s="2521"/>
      <c r="W70" s="2522"/>
      <c r="X70" s="1658">
        <f>+'Emission Factors'!J44</f>
        <v>5.7200000000000001E-2</v>
      </c>
      <c r="Y70" s="1660">
        <f t="shared" si="6"/>
        <v>9133.753200000001</v>
      </c>
      <c r="Z70" s="1581" t="str">
        <f t="shared" si="7"/>
        <v/>
      </c>
      <c r="AA70" s="1514"/>
      <c r="AB70" s="1514"/>
      <c r="AC70" s="1514"/>
      <c r="AD70" s="1514"/>
    </row>
    <row r="71" spans="1:30" ht="15" customHeight="1" x14ac:dyDescent="0.3">
      <c r="A71" s="1522" t="s">
        <v>370</v>
      </c>
      <c r="B71" s="2489"/>
      <c r="C71" s="1641" t="s">
        <v>97</v>
      </c>
      <c r="D71" s="1567">
        <v>8029</v>
      </c>
      <c r="E71" s="1638">
        <f>+'Emission Factors'!J54</f>
        <v>0.2152</v>
      </c>
      <c r="F71" s="1608">
        <f t="shared" si="4"/>
        <v>1.7278407999999998</v>
      </c>
      <c r="G71" s="1631"/>
      <c r="H71" s="1631"/>
      <c r="I71" s="2511"/>
      <c r="J71" s="2512"/>
      <c r="K71" s="2513"/>
      <c r="L71" s="1581" t="str">
        <f t="shared" si="3"/>
        <v/>
      </c>
      <c r="M71" s="1514"/>
      <c r="N71" s="1514"/>
      <c r="O71" s="1654" t="s">
        <v>90</v>
      </c>
      <c r="P71" s="1655"/>
      <c r="Q71" s="1656" t="s">
        <v>83</v>
      </c>
      <c r="R71" s="1657"/>
      <c r="S71" s="1658">
        <f>+'Emission Factors'!J39</f>
        <v>2.6877900000000001</v>
      </c>
      <c r="T71" s="1659">
        <f t="shared" si="5"/>
        <v>0</v>
      </c>
      <c r="U71" s="2520"/>
      <c r="V71" s="2521"/>
      <c r="W71" s="2522"/>
      <c r="X71" s="1658">
        <f>+'Emission Factors'!J45</f>
        <v>0</v>
      </c>
      <c r="Y71" s="1660">
        <f t="shared" si="6"/>
        <v>0</v>
      </c>
      <c r="Z71" s="1581" t="str">
        <f t="shared" si="7"/>
        <v/>
      </c>
      <c r="AA71" s="1514"/>
      <c r="AB71" s="1514"/>
      <c r="AC71" s="1514"/>
      <c r="AD71" s="1514"/>
    </row>
    <row r="72" spans="1:30" ht="15" customHeight="1" x14ac:dyDescent="0.3">
      <c r="A72" s="1522" t="s">
        <v>370</v>
      </c>
      <c r="B72" s="2489"/>
      <c r="C72" s="1641" t="s">
        <v>98</v>
      </c>
      <c r="D72" s="1567"/>
      <c r="E72" s="1638">
        <f>+'Emission Factors'!J55</f>
        <v>0.17752999999999999</v>
      </c>
      <c r="F72" s="1608">
        <f t="shared" si="4"/>
        <v>0</v>
      </c>
      <c r="G72" s="1631"/>
      <c r="H72" s="1631"/>
      <c r="I72" s="2511"/>
      <c r="J72" s="2512"/>
      <c r="K72" s="2513"/>
      <c r="L72" s="1581" t="str">
        <f t="shared" si="3"/>
        <v/>
      </c>
      <c r="M72" s="1514"/>
      <c r="N72" s="1514"/>
      <c r="O72" s="1654" t="s">
        <v>92</v>
      </c>
      <c r="P72" s="1655"/>
      <c r="Q72" s="1656" t="s">
        <v>93</v>
      </c>
      <c r="R72" s="1657"/>
      <c r="S72" s="1658">
        <f>+'Emission Factors'!J40</f>
        <v>2.7466300000000001</v>
      </c>
      <c r="T72" s="1659">
        <f t="shared" si="5"/>
        <v>0</v>
      </c>
      <c r="U72" s="2520"/>
      <c r="V72" s="2521"/>
      <c r="W72" s="2522"/>
      <c r="X72" s="1658">
        <f>+'Emission Factors'!J46</f>
        <v>0</v>
      </c>
      <c r="Y72" s="1660">
        <f t="shared" si="6"/>
        <v>0</v>
      </c>
      <c r="Z72" s="1581" t="str">
        <f t="shared" si="7"/>
        <v/>
      </c>
      <c r="AA72" s="1514"/>
      <c r="AB72" s="1514"/>
      <c r="AC72" s="1514"/>
      <c r="AD72" s="1514"/>
    </row>
    <row r="73" spans="1:30" ht="15" customHeight="1" x14ac:dyDescent="0.3">
      <c r="A73" s="1522" t="s">
        <v>370</v>
      </c>
      <c r="B73" s="2489"/>
      <c r="C73" s="1641" t="s">
        <v>99</v>
      </c>
      <c r="D73" s="1567">
        <v>52212</v>
      </c>
      <c r="E73" s="1638">
        <f>+'Emission Factors'!J56</f>
        <v>0.11538000000000001</v>
      </c>
      <c r="F73" s="1608">
        <f t="shared" si="4"/>
        <v>6.0242205600000007</v>
      </c>
      <c r="G73" s="1631"/>
      <c r="H73" s="1631"/>
      <c r="I73" s="2511"/>
      <c r="J73" s="2512"/>
      <c r="K73" s="2513"/>
      <c r="L73" s="1581" t="str">
        <f t="shared" si="3"/>
        <v/>
      </c>
      <c r="M73" s="1514"/>
      <c r="N73" s="1514"/>
      <c r="O73" s="1654" t="s">
        <v>95</v>
      </c>
      <c r="P73" s="1655"/>
      <c r="Q73" s="1656" t="s">
        <v>83</v>
      </c>
      <c r="R73" s="1657"/>
      <c r="S73" s="1658">
        <f>+'Emission Factors'!J41</f>
        <v>1.5190600000000001</v>
      </c>
      <c r="T73" s="1659">
        <f t="shared" si="5"/>
        <v>0</v>
      </c>
      <c r="U73" s="2520"/>
      <c r="V73" s="2521"/>
      <c r="W73" s="2522"/>
      <c r="X73" s="1658">
        <f>+'Emission Factors'!J47</f>
        <v>0</v>
      </c>
      <c r="Y73" s="1660">
        <f t="shared" si="6"/>
        <v>0</v>
      </c>
      <c r="Z73" s="1581" t="str">
        <f t="shared" si="7"/>
        <v/>
      </c>
      <c r="AA73" s="1514"/>
      <c r="AB73" s="1514"/>
      <c r="AC73" s="1514"/>
      <c r="AD73" s="1514"/>
    </row>
    <row r="74" spans="1:30" ht="15" customHeight="1" thickBot="1" x14ac:dyDescent="0.35">
      <c r="A74" s="1522" t="s">
        <v>370</v>
      </c>
      <c r="B74" s="2489"/>
      <c r="C74" s="1641" t="s">
        <v>100</v>
      </c>
      <c r="D74" s="1567"/>
      <c r="E74" s="1638">
        <f>+'Emission Factors'!J57</f>
        <v>0.16133999999999998</v>
      </c>
      <c r="F74" s="1608">
        <f t="shared" si="4"/>
        <v>0</v>
      </c>
      <c r="G74" s="1631"/>
      <c r="H74" s="1631"/>
      <c r="I74" s="2511"/>
      <c r="J74" s="2512"/>
      <c r="K74" s="2513"/>
      <c r="L74" s="1581" t="str">
        <f t="shared" si="3"/>
        <v/>
      </c>
      <c r="M74" s="1514"/>
      <c r="N74" s="1514"/>
      <c r="O74" s="1661" t="s">
        <v>409</v>
      </c>
      <c r="P74" s="1662"/>
      <c r="Q74" s="1663"/>
      <c r="R74" s="1664"/>
      <c r="S74" s="1665"/>
      <c r="T74" s="1666">
        <f t="shared" si="5"/>
        <v>0</v>
      </c>
      <c r="U74" s="2533"/>
      <c r="V74" s="2534"/>
      <c r="W74" s="2535"/>
      <c r="X74" s="1665"/>
      <c r="Y74" s="1667">
        <f t="shared" si="6"/>
        <v>0</v>
      </c>
      <c r="Z74" s="1618" t="str">
        <f t="shared" si="7"/>
        <v/>
      </c>
      <c r="AA74" s="1514"/>
      <c r="AB74" s="1514"/>
      <c r="AC74" s="1514"/>
      <c r="AD74" s="1514"/>
    </row>
    <row r="75" spans="1:30" ht="15" customHeight="1" x14ac:dyDescent="0.3">
      <c r="A75" s="1522" t="s">
        <v>370</v>
      </c>
      <c r="B75" s="2489"/>
      <c r="C75" s="1641" t="s">
        <v>529</v>
      </c>
      <c r="D75" s="1567"/>
      <c r="E75" s="1638">
        <f>+'Emission Factors'!J58</f>
        <v>0.20021999999999998</v>
      </c>
      <c r="F75" s="1608">
        <f t="shared" si="4"/>
        <v>0</v>
      </c>
      <c r="G75" s="1631"/>
      <c r="H75" s="1631"/>
      <c r="I75" s="2511"/>
      <c r="J75" s="2512"/>
      <c r="K75" s="2513"/>
      <c r="L75" s="1581" t="str">
        <f t="shared" si="3"/>
        <v/>
      </c>
      <c r="M75" s="1514"/>
      <c r="N75" s="1514"/>
      <c r="O75" s="2531" t="s">
        <v>367</v>
      </c>
      <c r="P75" s="2531"/>
      <c r="Q75" s="2531"/>
      <c r="R75" s="2531"/>
      <c r="S75" s="2531"/>
      <c r="T75" s="2531"/>
      <c r="U75" s="2531"/>
      <c r="V75" s="2531"/>
      <c r="W75" s="2531"/>
      <c r="X75" s="1514"/>
      <c r="Y75" s="1514"/>
      <c r="Z75" s="1514"/>
      <c r="AA75" s="1514"/>
      <c r="AB75" s="1514"/>
      <c r="AC75" s="1514"/>
      <c r="AD75" s="1514"/>
    </row>
    <row r="76" spans="1:30" ht="15" customHeight="1" x14ac:dyDescent="0.3">
      <c r="A76" s="1522" t="s">
        <v>370</v>
      </c>
      <c r="B76" s="2489"/>
      <c r="C76" s="1641" t="s">
        <v>102</v>
      </c>
      <c r="D76" s="1567">
        <v>67282</v>
      </c>
      <c r="E76" s="1638">
        <f>+'Emission Factors'!J59</f>
        <v>0.18064</v>
      </c>
      <c r="F76" s="1608">
        <f t="shared" si="4"/>
        <v>12.15382048</v>
      </c>
      <c r="G76" s="1631"/>
      <c r="H76" s="1631"/>
      <c r="I76" s="2511"/>
      <c r="J76" s="2512"/>
      <c r="K76" s="2513"/>
      <c r="L76" s="1581" t="str">
        <f t="shared" si="3"/>
        <v/>
      </c>
      <c r="M76" s="1514"/>
      <c r="N76" s="1514"/>
      <c r="O76" s="2532"/>
      <c r="P76" s="2532"/>
      <c r="Q76" s="2532"/>
      <c r="R76" s="2532"/>
      <c r="S76" s="2532"/>
      <c r="T76" s="2532"/>
      <c r="U76" s="2532"/>
      <c r="V76" s="2532"/>
      <c r="W76" s="2532"/>
      <c r="X76" s="1514"/>
      <c r="Y76" s="1514"/>
      <c r="Z76" s="1514"/>
      <c r="AA76" s="1514"/>
      <c r="AB76" s="1514"/>
      <c r="AC76" s="1514"/>
      <c r="AD76" s="1514"/>
    </row>
    <row r="77" spans="1:30" ht="15" customHeight="1" x14ac:dyDescent="0.3">
      <c r="A77" s="1522" t="s">
        <v>370</v>
      </c>
      <c r="B77" s="2489"/>
      <c r="C77" s="1641" t="s">
        <v>103</v>
      </c>
      <c r="D77" s="1567"/>
      <c r="E77" s="1638">
        <f>+'Emission Factors'!J60</f>
        <v>8.4629999999999997E-2</v>
      </c>
      <c r="F77" s="1608">
        <f t="shared" si="4"/>
        <v>0</v>
      </c>
      <c r="G77" s="1631"/>
      <c r="H77" s="1631"/>
      <c r="I77" s="2511"/>
      <c r="J77" s="2512"/>
      <c r="K77" s="2513"/>
      <c r="L77" s="1581" t="str">
        <f t="shared" si="3"/>
        <v/>
      </c>
      <c r="M77" s="1514"/>
      <c r="N77" s="1514"/>
      <c r="O77" s="2532"/>
      <c r="P77" s="2532"/>
      <c r="Q77" s="2532"/>
      <c r="R77" s="2532"/>
      <c r="S77" s="2532"/>
      <c r="T77" s="2532"/>
      <c r="U77" s="2532"/>
      <c r="V77" s="2532"/>
      <c r="W77" s="2532"/>
      <c r="X77" s="1514"/>
      <c r="Y77" s="1514"/>
      <c r="Z77" s="1514"/>
      <c r="AA77" s="1514"/>
      <c r="AB77" s="1514"/>
      <c r="AC77" s="1514"/>
      <c r="AD77" s="1514"/>
    </row>
    <row r="78" spans="1:30" ht="15" customHeight="1" x14ac:dyDescent="0.3">
      <c r="A78" s="1522" t="s">
        <v>370</v>
      </c>
      <c r="B78" s="2489"/>
      <c r="C78" s="1641" t="s">
        <v>104</v>
      </c>
      <c r="D78" s="1567"/>
      <c r="E78" s="1638">
        <f>+'Emission Factors'!J61</f>
        <v>0.10310000000000001</v>
      </c>
      <c r="F78" s="1608">
        <f t="shared" si="4"/>
        <v>0</v>
      </c>
      <c r="G78" s="1631"/>
      <c r="H78" s="1631"/>
      <c r="I78" s="2511"/>
      <c r="J78" s="2512"/>
      <c r="K78" s="2513"/>
      <c r="L78" s="1581" t="str">
        <f t="shared" si="3"/>
        <v/>
      </c>
      <c r="M78" s="1514"/>
      <c r="N78" s="1514"/>
      <c r="O78" s="2532"/>
      <c r="P78" s="2532"/>
      <c r="Q78" s="2532"/>
      <c r="R78" s="2532"/>
      <c r="S78" s="2532"/>
      <c r="T78" s="2532"/>
      <c r="U78" s="2532"/>
      <c r="V78" s="2532"/>
      <c r="W78" s="2532"/>
      <c r="X78" s="1514"/>
      <c r="Y78" s="1514"/>
      <c r="Z78" s="1514"/>
      <c r="AA78" s="1514"/>
      <c r="AB78" s="1514"/>
      <c r="AC78" s="1514"/>
      <c r="AD78" s="1514"/>
    </row>
    <row r="79" spans="1:30" ht="15" customHeight="1" x14ac:dyDescent="0.3">
      <c r="A79" s="1522" t="s">
        <v>370</v>
      </c>
      <c r="B79" s="2489"/>
      <c r="C79" s="1641" t="s">
        <v>105</v>
      </c>
      <c r="D79" s="1567"/>
      <c r="E79" s="1638">
        <f>+'Emission Factors'!J62</f>
        <v>0.13528000000000001</v>
      </c>
      <c r="F79" s="1608">
        <f t="shared" si="4"/>
        <v>0</v>
      </c>
      <c r="G79" s="1631"/>
      <c r="H79" s="1631"/>
      <c r="I79" s="2511"/>
      <c r="J79" s="2512"/>
      <c r="K79" s="2513"/>
      <c r="L79" s="1581" t="str">
        <f t="shared" si="3"/>
        <v/>
      </c>
      <c r="M79" s="1514"/>
      <c r="N79" s="1514"/>
      <c r="O79" s="1514"/>
      <c r="P79" s="1514"/>
      <c r="Q79" s="1514"/>
      <c r="R79" s="1514"/>
      <c r="S79" s="1514"/>
      <c r="T79" s="1514"/>
      <c r="U79" s="1514"/>
      <c r="V79" s="1514"/>
      <c r="W79" s="1514"/>
      <c r="X79" s="1514"/>
      <c r="Y79" s="1514"/>
      <c r="Z79" s="1514"/>
      <c r="AA79" s="1514"/>
      <c r="AB79" s="1514"/>
      <c r="AC79" s="1514"/>
      <c r="AD79" s="1514"/>
    </row>
    <row r="80" spans="1:30" ht="15" customHeight="1" x14ac:dyDescent="0.3">
      <c r="A80" s="1522" t="s">
        <v>370</v>
      </c>
      <c r="B80" s="2489"/>
      <c r="C80" s="1641" t="s">
        <v>106</v>
      </c>
      <c r="D80" s="1567"/>
      <c r="E80" s="1638">
        <f>+'Emission Factors'!J63</f>
        <v>0.11528999999999999</v>
      </c>
      <c r="F80" s="1608">
        <f t="shared" si="4"/>
        <v>0</v>
      </c>
      <c r="G80" s="1631"/>
      <c r="H80" s="1631"/>
      <c r="I80" s="2511"/>
      <c r="J80" s="2512"/>
      <c r="K80" s="2513"/>
      <c r="L80" s="1581" t="str">
        <f t="shared" si="3"/>
        <v/>
      </c>
      <c r="M80" s="1514"/>
      <c r="N80" s="1514"/>
      <c r="O80" s="1514"/>
      <c r="P80" s="1514"/>
      <c r="Q80" s="1514"/>
      <c r="R80" s="1514"/>
      <c r="S80" s="1514"/>
      <c r="T80" s="1514"/>
      <c r="U80" s="1514"/>
      <c r="V80" s="1514"/>
      <c r="W80" s="1514"/>
      <c r="X80" s="1514"/>
      <c r="Y80" s="1514"/>
      <c r="Z80" s="1514"/>
      <c r="AA80" s="1514"/>
      <c r="AB80" s="1514"/>
      <c r="AC80" s="1514"/>
      <c r="AD80" s="1514"/>
    </row>
    <row r="81" spans="1:30" ht="15" customHeight="1" x14ac:dyDescent="0.3">
      <c r="A81" s="1522" t="s">
        <v>370</v>
      </c>
      <c r="B81" s="2489"/>
      <c r="C81" s="1566" t="s">
        <v>410</v>
      </c>
      <c r="D81" s="1567">
        <v>2703211</v>
      </c>
      <c r="E81" s="1668">
        <v>0.80745999999999996</v>
      </c>
      <c r="F81" s="1608">
        <f t="shared" si="4"/>
        <v>2182.7347540599999</v>
      </c>
      <c r="G81" s="1631"/>
      <c r="H81" s="1631"/>
      <c r="I81" s="2511" t="s">
        <v>534</v>
      </c>
      <c r="J81" s="2512"/>
      <c r="K81" s="2513"/>
      <c r="L81" s="1581" t="str">
        <f t="shared" si="3"/>
        <v/>
      </c>
      <c r="M81" s="1514"/>
      <c r="N81" s="1514"/>
      <c r="O81" s="1514"/>
      <c r="P81" s="1514"/>
      <c r="Q81" s="1514"/>
      <c r="R81" s="1514"/>
      <c r="S81" s="1514"/>
      <c r="T81" s="1514"/>
      <c r="U81" s="1514"/>
      <c r="V81" s="1514"/>
      <c r="W81" s="1514"/>
      <c r="X81" s="1514"/>
      <c r="Y81" s="1514"/>
      <c r="Z81" s="1514"/>
      <c r="AA81" s="1514"/>
      <c r="AB81" s="1514"/>
      <c r="AC81" s="1514"/>
      <c r="AD81" s="1514"/>
    </row>
    <row r="82" spans="1:30" ht="15" customHeight="1" x14ac:dyDescent="0.3">
      <c r="A82" s="1522" t="s">
        <v>370</v>
      </c>
      <c r="B82" s="2489"/>
      <c r="C82" s="1566" t="s">
        <v>411</v>
      </c>
      <c r="D82" s="1567">
        <v>391901</v>
      </c>
      <c r="E82" s="1668">
        <v>0.80745999999999996</v>
      </c>
      <c r="F82" s="1608">
        <f t="shared" si="4"/>
        <v>316.44438145999999</v>
      </c>
      <c r="G82" s="1631"/>
      <c r="H82" s="1631"/>
      <c r="I82" s="2511" t="s">
        <v>535</v>
      </c>
      <c r="J82" s="2512"/>
      <c r="K82" s="2513"/>
      <c r="L82" s="1581" t="str">
        <f t="shared" si="3"/>
        <v/>
      </c>
      <c r="M82" s="1514"/>
      <c r="N82" s="1514"/>
      <c r="O82" s="1514"/>
      <c r="P82" s="1514"/>
      <c r="Q82" s="1514"/>
      <c r="R82" s="1514"/>
      <c r="S82" s="1514"/>
      <c r="T82" s="1514"/>
      <c r="U82" s="1514"/>
      <c r="V82" s="1514"/>
      <c r="W82" s="1514"/>
      <c r="X82" s="1514"/>
      <c r="Y82" s="1514"/>
      <c r="Z82" s="1514"/>
      <c r="AA82" s="1514"/>
      <c r="AB82" s="1514"/>
      <c r="AC82" s="1514"/>
      <c r="AD82" s="1514"/>
    </row>
    <row r="83" spans="1:30" ht="15" customHeight="1" x14ac:dyDescent="0.3">
      <c r="A83" s="1522" t="s">
        <v>370</v>
      </c>
      <c r="B83" s="2489"/>
      <c r="C83" s="1566" t="s">
        <v>412</v>
      </c>
      <c r="D83" s="1567"/>
      <c r="E83" s="1668"/>
      <c r="F83" s="1608">
        <f t="shared" si="4"/>
        <v>0</v>
      </c>
      <c r="G83" s="1631"/>
      <c r="H83" s="1631"/>
      <c r="I83" s="2511"/>
      <c r="J83" s="2512"/>
      <c r="K83" s="2513"/>
      <c r="L83" s="1581" t="str">
        <f t="shared" si="3"/>
        <v/>
      </c>
      <c r="M83" s="1514"/>
      <c r="N83" s="1514"/>
      <c r="O83" s="1514"/>
      <c r="P83" s="1514"/>
      <c r="Q83" s="1514"/>
      <c r="R83" s="1514"/>
      <c r="S83" s="1514"/>
      <c r="T83" s="1514"/>
      <c r="U83" s="1514"/>
      <c r="V83" s="1514"/>
      <c r="W83" s="1514"/>
      <c r="X83" s="1514"/>
      <c r="Y83" s="1514"/>
      <c r="Z83" s="1514"/>
      <c r="AA83" s="1514"/>
      <c r="AB83" s="1514"/>
      <c r="AC83" s="1514"/>
      <c r="AD83" s="1514"/>
    </row>
    <row r="84" spans="1:30" ht="15" customHeight="1" x14ac:dyDescent="0.3">
      <c r="A84" s="1522"/>
      <c r="B84" s="2489"/>
      <c r="C84" s="1566" t="s">
        <v>509</v>
      </c>
      <c r="D84" s="1567"/>
      <c r="E84" s="1668"/>
      <c r="F84" s="1608">
        <f t="shared" si="4"/>
        <v>0</v>
      </c>
      <c r="G84" s="1631"/>
      <c r="H84" s="1631"/>
      <c r="I84" s="2511"/>
      <c r="J84" s="2512"/>
      <c r="K84" s="2513"/>
      <c r="L84" s="1581" t="str">
        <f t="shared" si="3"/>
        <v/>
      </c>
      <c r="M84" s="1514"/>
      <c r="N84" s="1514"/>
      <c r="O84" s="1514"/>
      <c r="P84" s="1514"/>
      <c r="Q84" s="1514"/>
      <c r="R84" s="1514"/>
      <c r="S84" s="1514"/>
      <c r="T84" s="1514"/>
      <c r="U84" s="1514"/>
      <c r="V84" s="1514"/>
      <c r="W84" s="1514"/>
      <c r="X84" s="1514"/>
      <c r="Y84" s="1514"/>
      <c r="Z84" s="1514"/>
      <c r="AA84" s="1514"/>
      <c r="AB84" s="1514"/>
      <c r="AC84" s="1514"/>
      <c r="AD84" s="1514"/>
    </row>
    <row r="85" spans="1:30" ht="15" customHeight="1" thickBot="1" x14ac:dyDescent="0.35">
      <c r="A85" s="1522"/>
      <c r="B85" s="2490"/>
      <c r="C85" s="1566" t="s">
        <v>510</v>
      </c>
      <c r="D85" s="1567"/>
      <c r="E85" s="1669"/>
      <c r="F85" s="1608">
        <f t="shared" si="4"/>
        <v>0</v>
      </c>
      <c r="G85" s="1631"/>
      <c r="H85" s="1631"/>
      <c r="I85" s="2511"/>
      <c r="J85" s="2512"/>
      <c r="K85" s="2513"/>
      <c r="L85" s="1581" t="str">
        <f t="shared" si="3"/>
        <v/>
      </c>
      <c r="M85" s="1514"/>
      <c r="N85" s="1514"/>
      <c r="O85" s="1514"/>
      <c r="P85" s="1514"/>
      <c r="Q85" s="1514"/>
      <c r="R85" s="1514"/>
      <c r="S85" s="1514"/>
      <c r="T85" s="1514"/>
      <c r="U85" s="1514"/>
      <c r="V85" s="1514"/>
      <c r="W85" s="1514"/>
      <c r="X85" s="1514"/>
      <c r="Y85" s="1514"/>
      <c r="Z85" s="1514"/>
      <c r="AA85" s="1514"/>
      <c r="AB85" s="1514"/>
      <c r="AC85" s="1514"/>
      <c r="AD85" s="1514"/>
    </row>
    <row r="86" spans="1:30" ht="29.25" customHeight="1" thickBot="1" x14ac:dyDescent="0.35">
      <c r="A86" s="1522"/>
      <c r="B86" s="2463" t="s">
        <v>110</v>
      </c>
      <c r="C86" s="2464"/>
      <c r="D86" s="1635">
        <f>SUM(D87:D107)</f>
        <v>9681339</v>
      </c>
      <c r="E86" s="1670">
        <f>IF(D86&lt;&gt;0,F86*1000/D86,"")</f>
        <v>0.18064</v>
      </c>
      <c r="F86" s="1636">
        <f>SUM(F87:F107)</f>
        <v>1748.8370769599999</v>
      </c>
      <c r="G86" s="1631"/>
      <c r="H86" s="1631"/>
      <c r="I86" s="2465"/>
      <c r="J86" s="2466"/>
      <c r="K86" s="2467"/>
      <c r="L86" s="1560" t="str">
        <f t="shared" si="3"/>
        <v/>
      </c>
      <c r="M86" s="1514"/>
      <c r="N86" s="1514"/>
      <c r="O86" s="2484" t="str">
        <f>B86</f>
        <v>TOTAL DOMESTIC FROM GREY FLEET/HIRE (i.e. employee owned or hire vehicles) (Scope 3)</v>
      </c>
      <c r="P86" s="2485"/>
      <c r="Q86" s="2485"/>
      <c r="R86" s="2485"/>
      <c r="S86" s="2485"/>
      <c r="T86" s="2485"/>
      <c r="U86" s="2485"/>
      <c r="V86" s="2485"/>
      <c r="W86" s="2486"/>
      <c r="X86" s="2405" t="s">
        <v>381</v>
      </c>
      <c r="Y86" s="2407"/>
      <c r="Z86" s="2419" t="s">
        <v>461</v>
      </c>
      <c r="AA86" s="1514"/>
      <c r="AB86" s="1514"/>
      <c r="AC86" s="1514"/>
      <c r="AD86" s="1514"/>
    </row>
    <row r="87" spans="1:30" ht="15" customHeight="1" x14ac:dyDescent="0.3">
      <c r="A87" s="1522" t="s">
        <v>371</v>
      </c>
      <c r="B87" s="2488" t="s">
        <v>111</v>
      </c>
      <c r="C87" s="1637" t="s">
        <v>85</v>
      </c>
      <c r="D87" s="1567"/>
      <c r="E87" s="1638">
        <f t="shared" ref="E87:E102" si="8">+E65</f>
        <v>0.15565000000000001</v>
      </c>
      <c r="F87" s="1604">
        <f>(D87*E87)/1000</f>
        <v>0</v>
      </c>
      <c r="G87" s="1631"/>
      <c r="H87" s="1631"/>
      <c r="I87" s="2491"/>
      <c r="J87" s="2492"/>
      <c r="K87" s="2493"/>
      <c r="L87" s="1572" t="str">
        <f t="shared" si="3"/>
        <v/>
      </c>
      <c r="M87" s="1514"/>
      <c r="N87" s="1514"/>
      <c r="O87" s="1639"/>
      <c r="P87" s="1640"/>
      <c r="Q87" s="2494" t="s">
        <v>78</v>
      </c>
      <c r="R87" s="2494" t="s">
        <v>80</v>
      </c>
      <c r="S87" s="2497" t="s">
        <v>27</v>
      </c>
      <c r="T87" s="2500" t="s">
        <v>374</v>
      </c>
      <c r="U87" s="2502" t="s">
        <v>24</v>
      </c>
      <c r="V87" s="2503"/>
      <c r="W87" s="2504"/>
      <c r="X87" s="2523" t="s">
        <v>27</v>
      </c>
      <c r="Y87" s="2536" t="s">
        <v>374</v>
      </c>
      <c r="Z87" s="2487"/>
      <c r="AA87" s="1514"/>
      <c r="AB87" s="1514"/>
      <c r="AC87" s="1514"/>
      <c r="AD87" s="1514"/>
    </row>
    <row r="88" spans="1:30" ht="15" customHeight="1" thickBot="1" x14ac:dyDescent="0.35">
      <c r="A88" s="1522" t="s">
        <v>371</v>
      </c>
      <c r="B88" s="2489"/>
      <c r="C88" s="1641" t="s">
        <v>87</v>
      </c>
      <c r="D88" s="1567"/>
      <c r="E88" s="1638">
        <f t="shared" si="8"/>
        <v>0.19386</v>
      </c>
      <c r="F88" s="1608">
        <f t="shared" ref="F88:F107" si="9">(D88*E88)/1000</f>
        <v>0</v>
      </c>
      <c r="G88" s="1631"/>
      <c r="H88" s="1631"/>
      <c r="I88" s="2511"/>
      <c r="J88" s="2512"/>
      <c r="K88" s="2513"/>
      <c r="L88" s="1581" t="str">
        <f t="shared" si="3"/>
        <v/>
      </c>
      <c r="M88" s="1514"/>
      <c r="N88" s="1514"/>
      <c r="O88" s="1642"/>
      <c r="P88" s="1643"/>
      <c r="Q88" s="2495"/>
      <c r="R88" s="2495"/>
      <c r="S88" s="2498"/>
      <c r="T88" s="2501"/>
      <c r="U88" s="2505"/>
      <c r="V88" s="2506"/>
      <c r="W88" s="2507"/>
      <c r="X88" s="2524"/>
      <c r="Y88" s="2537"/>
      <c r="Z88" s="2487"/>
      <c r="AA88" s="1514"/>
      <c r="AB88" s="1514"/>
      <c r="AC88" s="1514"/>
      <c r="AD88" s="1514"/>
    </row>
    <row r="89" spans="1:30" ht="15" customHeight="1" thickBot="1" x14ac:dyDescent="0.35">
      <c r="A89" s="1522" t="s">
        <v>371</v>
      </c>
      <c r="B89" s="2489"/>
      <c r="C89" s="1641" t="s">
        <v>89</v>
      </c>
      <c r="D89" s="1567"/>
      <c r="E89" s="1638">
        <f t="shared" si="8"/>
        <v>0.28410999999999997</v>
      </c>
      <c r="F89" s="1608">
        <f t="shared" si="9"/>
        <v>0</v>
      </c>
      <c r="G89" s="1631"/>
      <c r="H89" s="1631"/>
      <c r="I89" s="2511"/>
      <c r="J89" s="2512"/>
      <c r="K89" s="2513"/>
      <c r="L89" s="1581" t="str">
        <f t="shared" si="3"/>
        <v/>
      </c>
      <c r="M89" s="1514"/>
      <c r="N89" s="1514"/>
      <c r="O89" s="1644"/>
      <c r="P89" s="1645"/>
      <c r="Q89" s="2496"/>
      <c r="R89" s="2496"/>
      <c r="S89" s="2499"/>
      <c r="T89" s="1636">
        <f>SUM(T90:T96)</f>
        <v>0</v>
      </c>
      <c r="U89" s="2508"/>
      <c r="V89" s="2509"/>
      <c r="W89" s="2510"/>
      <c r="X89" s="2525"/>
      <c r="Y89" s="1636">
        <f>SUM(Y90:Y96)</f>
        <v>0</v>
      </c>
      <c r="Z89" s="2420"/>
      <c r="AA89" s="1514"/>
      <c r="AB89" s="1514"/>
      <c r="AC89" s="1514"/>
      <c r="AD89" s="1514"/>
    </row>
    <row r="90" spans="1:30" ht="15" customHeight="1" x14ac:dyDescent="0.3">
      <c r="A90" s="1522" t="s">
        <v>371</v>
      </c>
      <c r="B90" s="2489"/>
      <c r="C90" s="1641" t="s">
        <v>91</v>
      </c>
      <c r="D90" s="1567"/>
      <c r="E90" s="1638">
        <f t="shared" si="8"/>
        <v>0.18368000000000001</v>
      </c>
      <c r="F90" s="1608">
        <f t="shared" si="9"/>
        <v>0</v>
      </c>
      <c r="G90" s="1631"/>
      <c r="H90" s="1631"/>
      <c r="I90" s="2511"/>
      <c r="J90" s="2512"/>
      <c r="K90" s="2513"/>
      <c r="L90" s="1581" t="str">
        <f t="shared" si="3"/>
        <v/>
      </c>
      <c r="M90" s="1514"/>
      <c r="N90" s="1514"/>
      <c r="O90" s="1646" t="s">
        <v>82</v>
      </c>
      <c r="P90" s="1647"/>
      <c r="Q90" s="1648" t="s">
        <v>83</v>
      </c>
      <c r="R90" s="1649"/>
      <c r="S90" s="1650">
        <f>+'Emission Factors'!J36</f>
        <v>2.2030699999999999</v>
      </c>
      <c r="T90" s="1651">
        <f t="shared" ref="T90:T96" si="10">(R90*S90)/1000</f>
        <v>0</v>
      </c>
      <c r="U90" s="2528"/>
      <c r="V90" s="2529"/>
      <c r="W90" s="2530"/>
      <c r="X90" s="1652">
        <f>+'Emission Factors'!J42</f>
        <v>6.8000000000000005E-2</v>
      </c>
      <c r="Y90" s="1653">
        <f t="shared" ref="Y90:Y96" si="11">+X90*R90</f>
        <v>0</v>
      </c>
      <c r="Z90" s="1606" t="str">
        <f t="shared" ref="Z90:Z96" si="12">IF(R90&lt;0,"Error - negative number","")</f>
        <v/>
      </c>
      <c r="AA90" s="1514"/>
      <c r="AB90" s="1514"/>
      <c r="AC90" s="1514"/>
      <c r="AD90" s="1514"/>
    </row>
    <row r="91" spans="1:30" ht="15" customHeight="1" x14ac:dyDescent="0.3">
      <c r="A91" s="1522" t="s">
        <v>371</v>
      </c>
      <c r="B91" s="2489"/>
      <c r="C91" s="1641" t="s">
        <v>94</v>
      </c>
      <c r="D91" s="1567"/>
      <c r="E91" s="1638">
        <f t="shared" si="8"/>
        <v>0.14532999999999999</v>
      </c>
      <c r="F91" s="1608">
        <f t="shared" si="9"/>
        <v>0</v>
      </c>
      <c r="G91" s="1631"/>
      <c r="H91" s="1631"/>
      <c r="I91" s="2511"/>
      <c r="J91" s="2512"/>
      <c r="K91" s="2513"/>
      <c r="L91" s="1581" t="str">
        <f t="shared" si="3"/>
        <v/>
      </c>
      <c r="M91" s="1514"/>
      <c r="N91" s="1514"/>
      <c r="O91" s="1654" t="s">
        <v>86</v>
      </c>
      <c r="P91" s="1655"/>
      <c r="Q91" s="1656" t="s">
        <v>83</v>
      </c>
      <c r="R91" s="1657"/>
      <c r="S91" s="1658">
        <f>+'Emission Factors'!J37</f>
        <v>2.30531</v>
      </c>
      <c r="T91" s="1659">
        <f t="shared" si="10"/>
        <v>0</v>
      </c>
      <c r="U91" s="2520"/>
      <c r="V91" s="2521"/>
      <c r="W91" s="2522"/>
      <c r="X91" s="1652">
        <f>+'Emission Factors'!J43</f>
        <v>0</v>
      </c>
      <c r="Y91" s="1660">
        <f t="shared" si="11"/>
        <v>0</v>
      </c>
      <c r="Z91" s="1581" t="str">
        <f t="shared" si="12"/>
        <v/>
      </c>
      <c r="AA91" s="1514"/>
      <c r="AB91" s="1514"/>
      <c r="AC91" s="1514"/>
      <c r="AD91" s="1514"/>
    </row>
    <row r="92" spans="1:30" ht="15" customHeight="1" x14ac:dyDescent="0.3">
      <c r="A92" s="1522" t="s">
        <v>371</v>
      </c>
      <c r="B92" s="2489"/>
      <c r="C92" s="1641" t="s">
        <v>96</v>
      </c>
      <c r="D92" s="1567"/>
      <c r="E92" s="1638">
        <f t="shared" si="8"/>
        <v>0.17352999999999999</v>
      </c>
      <c r="F92" s="1608">
        <f t="shared" si="9"/>
        <v>0</v>
      </c>
      <c r="G92" s="1631"/>
      <c r="H92" s="1631"/>
      <c r="I92" s="2511"/>
      <c r="J92" s="2512"/>
      <c r="K92" s="2513"/>
      <c r="L92" s="1581" t="str">
        <f t="shared" si="3"/>
        <v/>
      </c>
      <c r="M92" s="1514"/>
      <c r="N92" s="1514"/>
      <c r="O92" s="1654" t="s">
        <v>88</v>
      </c>
      <c r="P92" s="1655"/>
      <c r="Q92" s="1656" t="s">
        <v>83</v>
      </c>
      <c r="R92" s="1657"/>
      <c r="S92" s="1658">
        <f>+'Emission Factors'!J38</f>
        <v>2.6269399999999998</v>
      </c>
      <c r="T92" s="1659">
        <f t="shared" si="10"/>
        <v>0</v>
      </c>
      <c r="U92" s="2520"/>
      <c r="V92" s="2521"/>
      <c r="W92" s="2522"/>
      <c r="X92" s="1652">
        <f>+'Emission Factors'!J44</f>
        <v>5.7200000000000001E-2</v>
      </c>
      <c r="Y92" s="1660">
        <f t="shared" si="11"/>
        <v>0</v>
      </c>
      <c r="Z92" s="1581" t="str">
        <f t="shared" si="12"/>
        <v/>
      </c>
      <c r="AA92" s="1514"/>
      <c r="AB92" s="1514"/>
      <c r="AC92" s="1514"/>
      <c r="AD92" s="1514"/>
    </row>
    <row r="93" spans="1:30" ht="15" customHeight="1" x14ac:dyDescent="0.3">
      <c r="A93" s="1522" t="s">
        <v>371</v>
      </c>
      <c r="B93" s="2489"/>
      <c r="C93" s="1641" t="s">
        <v>97</v>
      </c>
      <c r="D93" s="1567"/>
      <c r="E93" s="1638">
        <f t="shared" si="8"/>
        <v>0.2152</v>
      </c>
      <c r="F93" s="1608">
        <f t="shared" si="9"/>
        <v>0</v>
      </c>
      <c r="G93" s="1631"/>
      <c r="H93" s="1631"/>
      <c r="I93" s="2511"/>
      <c r="J93" s="2512"/>
      <c r="K93" s="2513"/>
      <c r="L93" s="1581" t="str">
        <f t="shared" si="3"/>
        <v/>
      </c>
      <c r="M93" s="1514"/>
      <c r="N93" s="1514"/>
      <c r="O93" s="1654" t="s">
        <v>90</v>
      </c>
      <c r="P93" s="1655"/>
      <c r="Q93" s="1656" t="s">
        <v>83</v>
      </c>
      <c r="R93" s="1657"/>
      <c r="S93" s="1658">
        <f>+'Emission Factors'!J39</f>
        <v>2.6877900000000001</v>
      </c>
      <c r="T93" s="1659">
        <f t="shared" si="10"/>
        <v>0</v>
      </c>
      <c r="U93" s="2520"/>
      <c r="V93" s="2521"/>
      <c r="W93" s="2522"/>
      <c r="X93" s="1652">
        <f>+'Emission Factors'!J45</f>
        <v>0</v>
      </c>
      <c r="Y93" s="1660">
        <f t="shared" si="11"/>
        <v>0</v>
      </c>
      <c r="Z93" s="1581" t="str">
        <f t="shared" si="12"/>
        <v/>
      </c>
      <c r="AA93" s="1514"/>
      <c r="AB93" s="1514"/>
      <c r="AC93" s="1514"/>
      <c r="AD93" s="1514"/>
    </row>
    <row r="94" spans="1:30" ht="15" customHeight="1" x14ac:dyDescent="0.3">
      <c r="A94" s="1522" t="s">
        <v>371</v>
      </c>
      <c r="B94" s="2489"/>
      <c r="C94" s="1641" t="s">
        <v>98</v>
      </c>
      <c r="D94" s="1567"/>
      <c r="E94" s="1638">
        <f t="shared" si="8"/>
        <v>0.17752999999999999</v>
      </c>
      <c r="F94" s="1608">
        <f t="shared" si="9"/>
        <v>0</v>
      </c>
      <c r="G94" s="1631"/>
      <c r="H94" s="1631"/>
      <c r="I94" s="2511"/>
      <c r="J94" s="2512"/>
      <c r="K94" s="2513"/>
      <c r="L94" s="1581" t="str">
        <f t="shared" si="3"/>
        <v/>
      </c>
      <c r="M94" s="1514"/>
      <c r="N94" s="1514"/>
      <c r="O94" s="1654" t="s">
        <v>92</v>
      </c>
      <c r="P94" s="1655"/>
      <c r="Q94" s="1656" t="s">
        <v>93</v>
      </c>
      <c r="R94" s="1657"/>
      <c r="S94" s="1658">
        <f>+'Emission Factors'!J40</f>
        <v>2.7466300000000001</v>
      </c>
      <c r="T94" s="1659">
        <f t="shared" si="10"/>
        <v>0</v>
      </c>
      <c r="U94" s="2520"/>
      <c r="V94" s="2521"/>
      <c r="W94" s="2522"/>
      <c r="X94" s="1652">
        <f>+'Emission Factors'!J46</f>
        <v>0</v>
      </c>
      <c r="Y94" s="1660">
        <f t="shared" si="11"/>
        <v>0</v>
      </c>
      <c r="Z94" s="1581" t="str">
        <f t="shared" si="12"/>
        <v/>
      </c>
      <c r="AA94" s="1514"/>
      <c r="AB94" s="1514"/>
      <c r="AC94" s="1514"/>
      <c r="AD94" s="1514"/>
    </row>
    <row r="95" spans="1:30" ht="15" customHeight="1" x14ac:dyDescent="0.3">
      <c r="A95" s="1522" t="s">
        <v>371</v>
      </c>
      <c r="B95" s="2489"/>
      <c r="C95" s="1641" t="s">
        <v>99</v>
      </c>
      <c r="D95" s="1567"/>
      <c r="E95" s="1638">
        <f t="shared" si="8"/>
        <v>0.11538000000000001</v>
      </c>
      <c r="F95" s="1608">
        <f t="shared" si="9"/>
        <v>0</v>
      </c>
      <c r="G95" s="1631"/>
      <c r="H95" s="1631"/>
      <c r="I95" s="2511"/>
      <c r="J95" s="2512"/>
      <c r="K95" s="2513"/>
      <c r="L95" s="1581" t="str">
        <f t="shared" si="3"/>
        <v/>
      </c>
      <c r="M95" s="1514"/>
      <c r="N95" s="1514"/>
      <c r="O95" s="1654" t="s">
        <v>95</v>
      </c>
      <c r="P95" s="1655"/>
      <c r="Q95" s="1656" t="s">
        <v>83</v>
      </c>
      <c r="R95" s="1657"/>
      <c r="S95" s="1658">
        <f>+'Emission Factors'!J41</f>
        <v>1.5190600000000001</v>
      </c>
      <c r="T95" s="1659">
        <f t="shared" si="10"/>
        <v>0</v>
      </c>
      <c r="U95" s="2520"/>
      <c r="V95" s="2521"/>
      <c r="W95" s="2522"/>
      <c r="X95" s="1652">
        <f>+'Emission Factors'!J47</f>
        <v>0</v>
      </c>
      <c r="Y95" s="1660">
        <f t="shared" si="11"/>
        <v>0</v>
      </c>
      <c r="Z95" s="1581" t="str">
        <f t="shared" si="12"/>
        <v/>
      </c>
      <c r="AA95" s="1514"/>
      <c r="AB95" s="1514"/>
      <c r="AC95" s="1514"/>
      <c r="AD95" s="1514"/>
    </row>
    <row r="96" spans="1:30" ht="15" customHeight="1" thickBot="1" x14ac:dyDescent="0.35">
      <c r="A96" s="1522" t="s">
        <v>371</v>
      </c>
      <c r="B96" s="2489"/>
      <c r="C96" s="1641" t="s">
        <v>100</v>
      </c>
      <c r="D96" s="1567"/>
      <c r="E96" s="1638">
        <f t="shared" si="8"/>
        <v>0.16133999999999998</v>
      </c>
      <c r="F96" s="1608">
        <f t="shared" si="9"/>
        <v>0</v>
      </c>
      <c r="G96" s="1631"/>
      <c r="H96" s="1631"/>
      <c r="I96" s="2511"/>
      <c r="J96" s="2512"/>
      <c r="K96" s="2513"/>
      <c r="L96" s="1581" t="str">
        <f t="shared" si="3"/>
        <v/>
      </c>
      <c r="M96" s="1514"/>
      <c r="N96" s="1514"/>
      <c r="O96" s="1661" t="s">
        <v>409</v>
      </c>
      <c r="P96" s="1662"/>
      <c r="Q96" s="1663"/>
      <c r="R96" s="1664"/>
      <c r="S96" s="1665"/>
      <c r="T96" s="1666">
        <f t="shared" si="10"/>
        <v>0</v>
      </c>
      <c r="U96" s="2533"/>
      <c r="V96" s="2534"/>
      <c r="W96" s="2535"/>
      <c r="X96" s="1665"/>
      <c r="Y96" s="1667">
        <f t="shared" si="11"/>
        <v>0</v>
      </c>
      <c r="Z96" s="1618" t="str">
        <f t="shared" si="12"/>
        <v/>
      </c>
      <c r="AA96" s="1514"/>
      <c r="AB96" s="1514"/>
      <c r="AC96" s="1514"/>
      <c r="AD96" s="1514"/>
    </row>
    <row r="97" spans="1:30" ht="15" customHeight="1" x14ac:dyDescent="0.3">
      <c r="A97" s="1522" t="s">
        <v>371</v>
      </c>
      <c r="B97" s="2489"/>
      <c r="C97" s="1641" t="s">
        <v>529</v>
      </c>
      <c r="D97" s="1567"/>
      <c r="E97" s="1638">
        <f t="shared" si="8"/>
        <v>0.20021999999999998</v>
      </c>
      <c r="F97" s="1608">
        <f t="shared" si="9"/>
        <v>0</v>
      </c>
      <c r="G97" s="1631"/>
      <c r="H97" s="1631"/>
      <c r="I97" s="2511"/>
      <c r="J97" s="2512"/>
      <c r="K97" s="2513"/>
      <c r="L97" s="1581" t="str">
        <f t="shared" si="3"/>
        <v/>
      </c>
      <c r="M97" s="1514"/>
      <c r="N97" s="1514"/>
      <c r="O97" s="2531" t="s">
        <v>367</v>
      </c>
      <c r="P97" s="2531"/>
      <c r="Q97" s="2531"/>
      <c r="R97" s="2531"/>
      <c r="S97" s="2531"/>
      <c r="T97" s="2531"/>
      <c r="U97" s="2531"/>
      <c r="V97" s="2531"/>
      <c r="W97" s="2531"/>
      <c r="X97" s="1514"/>
      <c r="Y97" s="1514"/>
      <c r="Z97" s="1514"/>
      <c r="AA97" s="1514"/>
      <c r="AB97" s="1514"/>
      <c r="AC97" s="1514"/>
      <c r="AD97" s="1514"/>
    </row>
    <row r="98" spans="1:30" ht="15" customHeight="1" x14ac:dyDescent="0.3">
      <c r="A98" s="1522" t="s">
        <v>371</v>
      </c>
      <c r="B98" s="2489"/>
      <c r="C98" s="1641" t="s">
        <v>102</v>
      </c>
      <c r="D98" s="1567">
        <v>9681339</v>
      </c>
      <c r="E98" s="1638">
        <f t="shared" si="8"/>
        <v>0.18064</v>
      </c>
      <c r="F98" s="1608">
        <f t="shared" si="9"/>
        <v>1748.8370769599999</v>
      </c>
      <c r="G98" s="1631"/>
      <c r="H98" s="1631"/>
      <c r="I98" s="2511"/>
      <c r="J98" s="2512"/>
      <c r="K98" s="2513"/>
      <c r="L98" s="1581" t="str">
        <f t="shared" si="3"/>
        <v/>
      </c>
      <c r="M98" s="1514"/>
      <c r="N98" s="1514"/>
      <c r="O98" s="2532"/>
      <c r="P98" s="2532"/>
      <c r="Q98" s="2532"/>
      <c r="R98" s="2532"/>
      <c r="S98" s="2532"/>
      <c r="T98" s="2532"/>
      <c r="U98" s="2532"/>
      <c r="V98" s="2532"/>
      <c r="W98" s="2532"/>
      <c r="X98" s="1514"/>
      <c r="Y98" s="1514"/>
      <c r="Z98" s="1514"/>
      <c r="AA98" s="1514"/>
      <c r="AB98" s="1514"/>
      <c r="AC98" s="1514"/>
      <c r="AD98" s="1514"/>
    </row>
    <row r="99" spans="1:30" ht="15" customHeight="1" x14ac:dyDescent="0.3">
      <c r="A99" s="1522" t="s">
        <v>371</v>
      </c>
      <c r="B99" s="2489"/>
      <c r="C99" s="1641" t="s">
        <v>103</v>
      </c>
      <c r="D99" s="1567"/>
      <c r="E99" s="1638">
        <f t="shared" si="8"/>
        <v>8.4629999999999997E-2</v>
      </c>
      <c r="F99" s="1608">
        <f t="shared" si="9"/>
        <v>0</v>
      </c>
      <c r="G99" s="1631"/>
      <c r="H99" s="1631"/>
      <c r="I99" s="2511"/>
      <c r="J99" s="2512"/>
      <c r="K99" s="2513"/>
      <c r="L99" s="1581" t="str">
        <f t="shared" si="3"/>
        <v/>
      </c>
      <c r="M99" s="1514"/>
      <c r="N99" s="1514"/>
      <c r="O99" s="2532"/>
      <c r="P99" s="2532"/>
      <c r="Q99" s="2532"/>
      <c r="R99" s="2532"/>
      <c r="S99" s="2532"/>
      <c r="T99" s="2532"/>
      <c r="U99" s="2532"/>
      <c r="V99" s="2532"/>
      <c r="W99" s="2532"/>
      <c r="X99" s="1514"/>
      <c r="Y99" s="1514"/>
      <c r="Z99" s="1514"/>
      <c r="AA99" s="1514"/>
      <c r="AB99" s="1514"/>
      <c r="AC99" s="1514"/>
      <c r="AD99" s="1514"/>
    </row>
    <row r="100" spans="1:30" ht="15" customHeight="1" x14ac:dyDescent="0.3">
      <c r="A100" s="1522" t="s">
        <v>371</v>
      </c>
      <c r="B100" s="2489"/>
      <c r="C100" s="1641" t="s">
        <v>104</v>
      </c>
      <c r="D100" s="1567"/>
      <c r="E100" s="1638">
        <f t="shared" si="8"/>
        <v>0.10310000000000001</v>
      </c>
      <c r="F100" s="1608">
        <f t="shared" si="9"/>
        <v>0</v>
      </c>
      <c r="G100" s="1631"/>
      <c r="H100" s="1631"/>
      <c r="I100" s="2511"/>
      <c r="J100" s="2512"/>
      <c r="K100" s="2513"/>
      <c r="L100" s="1581" t="str">
        <f t="shared" si="3"/>
        <v/>
      </c>
      <c r="M100" s="1514"/>
      <c r="N100" s="1514"/>
      <c r="O100" s="2532"/>
      <c r="P100" s="2532"/>
      <c r="Q100" s="2532"/>
      <c r="R100" s="2532"/>
      <c r="S100" s="2532"/>
      <c r="T100" s="2532"/>
      <c r="U100" s="2532"/>
      <c r="V100" s="2532"/>
      <c r="W100" s="2532"/>
      <c r="X100" s="1514"/>
      <c r="Y100" s="1514"/>
      <c r="Z100" s="1514"/>
      <c r="AA100" s="1514"/>
      <c r="AB100" s="1514"/>
      <c r="AC100" s="1514"/>
      <c r="AD100" s="1514"/>
    </row>
    <row r="101" spans="1:30" ht="15" customHeight="1" x14ac:dyDescent="0.3">
      <c r="A101" s="1522" t="s">
        <v>371</v>
      </c>
      <c r="B101" s="2489"/>
      <c r="C101" s="1641" t="s">
        <v>105</v>
      </c>
      <c r="D101" s="1567"/>
      <c r="E101" s="1638">
        <f t="shared" si="8"/>
        <v>0.13528000000000001</v>
      </c>
      <c r="F101" s="1608">
        <f t="shared" si="9"/>
        <v>0</v>
      </c>
      <c r="G101" s="1631"/>
      <c r="H101" s="1631"/>
      <c r="I101" s="2511"/>
      <c r="J101" s="2512"/>
      <c r="K101" s="2513"/>
      <c r="L101" s="1581" t="str">
        <f t="shared" si="3"/>
        <v/>
      </c>
      <c r="M101" s="1514"/>
      <c r="N101" s="1514"/>
      <c r="O101" s="1514"/>
      <c r="P101" s="1514"/>
      <c r="Q101" s="1514"/>
      <c r="R101" s="1514"/>
      <c r="S101" s="1514"/>
      <c r="T101" s="1514"/>
      <c r="U101" s="1514"/>
      <c r="V101" s="1514"/>
      <c r="W101" s="1514"/>
      <c r="X101" s="1514"/>
      <c r="Y101" s="1514"/>
      <c r="Z101" s="1514"/>
      <c r="AA101" s="1514"/>
      <c r="AB101" s="1514"/>
      <c r="AC101" s="1514"/>
      <c r="AD101" s="1514"/>
    </row>
    <row r="102" spans="1:30" ht="15" customHeight="1" x14ac:dyDescent="0.3">
      <c r="A102" s="1522" t="s">
        <v>371</v>
      </c>
      <c r="B102" s="2489"/>
      <c r="C102" s="1641" t="s">
        <v>106</v>
      </c>
      <c r="D102" s="1567"/>
      <c r="E102" s="1638">
        <f t="shared" si="8"/>
        <v>0.11528999999999999</v>
      </c>
      <c r="F102" s="1608">
        <f t="shared" si="9"/>
        <v>0</v>
      </c>
      <c r="G102" s="1631"/>
      <c r="H102" s="1631"/>
      <c r="I102" s="2511"/>
      <c r="J102" s="2512"/>
      <c r="K102" s="2513"/>
      <c r="L102" s="1581" t="str">
        <f t="shared" si="3"/>
        <v/>
      </c>
      <c r="M102" s="1514"/>
      <c r="N102" s="1514"/>
      <c r="O102" s="1514"/>
      <c r="P102" s="1514"/>
      <c r="Q102" s="1514"/>
      <c r="R102" s="1514"/>
      <c r="S102" s="1514"/>
      <c r="T102" s="1514"/>
      <c r="U102" s="1514"/>
      <c r="V102" s="1514"/>
      <c r="W102" s="1514"/>
      <c r="X102" s="1514"/>
      <c r="Y102" s="1514"/>
      <c r="Z102" s="1514"/>
      <c r="AA102" s="1514"/>
      <c r="AB102" s="1514"/>
      <c r="AC102" s="1514"/>
      <c r="AD102" s="1514"/>
    </row>
    <row r="103" spans="1:30" ht="15" customHeight="1" x14ac:dyDescent="0.3">
      <c r="A103" s="1522" t="s">
        <v>371</v>
      </c>
      <c r="B103" s="2489"/>
      <c r="C103" s="1566" t="s">
        <v>410</v>
      </c>
      <c r="D103" s="1567"/>
      <c r="E103" s="1668"/>
      <c r="F103" s="1608">
        <f t="shared" si="9"/>
        <v>0</v>
      </c>
      <c r="G103" s="1631"/>
      <c r="H103" s="1631"/>
      <c r="I103" s="2511"/>
      <c r="J103" s="2512"/>
      <c r="K103" s="2513"/>
      <c r="L103" s="1581" t="str">
        <f t="shared" si="3"/>
        <v/>
      </c>
      <c r="M103" s="1514"/>
      <c r="N103" s="1514"/>
      <c r="O103" s="1514"/>
      <c r="P103" s="1514"/>
      <c r="Q103" s="1514"/>
      <c r="R103" s="1514"/>
      <c r="S103" s="1514"/>
      <c r="T103" s="1514"/>
      <c r="U103" s="1514"/>
      <c r="V103" s="1514"/>
      <c r="W103" s="1514"/>
      <c r="X103" s="1514"/>
      <c r="Y103" s="1514"/>
      <c r="Z103" s="1514"/>
      <c r="AA103" s="1514"/>
      <c r="AB103" s="1514"/>
      <c r="AC103" s="1514"/>
      <c r="AD103" s="1514"/>
    </row>
    <row r="104" spans="1:30" ht="15" customHeight="1" x14ac:dyDescent="0.3">
      <c r="A104" s="1522" t="s">
        <v>371</v>
      </c>
      <c r="B104" s="2489"/>
      <c r="C104" s="1566" t="s">
        <v>411</v>
      </c>
      <c r="D104" s="1567"/>
      <c r="E104" s="1668"/>
      <c r="F104" s="1608">
        <f t="shared" si="9"/>
        <v>0</v>
      </c>
      <c r="G104" s="1631"/>
      <c r="H104" s="1631"/>
      <c r="I104" s="2511"/>
      <c r="J104" s="2512"/>
      <c r="K104" s="2513"/>
      <c r="L104" s="1581" t="str">
        <f t="shared" si="3"/>
        <v/>
      </c>
      <c r="M104" s="1514"/>
      <c r="N104" s="1514"/>
      <c r="O104" s="1514"/>
      <c r="P104" s="1514"/>
      <c r="Q104" s="1514"/>
      <c r="R104" s="1514"/>
      <c r="S104" s="1514"/>
      <c r="T104" s="1514"/>
      <c r="U104" s="1514"/>
      <c r="V104" s="1514"/>
      <c r="W104" s="1514"/>
      <c r="X104" s="1514"/>
      <c r="Y104" s="1514"/>
      <c r="Z104" s="1514"/>
      <c r="AA104" s="1514"/>
      <c r="AB104" s="1514"/>
      <c r="AC104" s="1514"/>
      <c r="AD104" s="1514"/>
    </row>
    <row r="105" spans="1:30" ht="15" customHeight="1" x14ac:dyDescent="0.3">
      <c r="A105" s="1522" t="s">
        <v>371</v>
      </c>
      <c r="B105" s="2489"/>
      <c r="C105" s="1566" t="s">
        <v>412</v>
      </c>
      <c r="D105" s="1567"/>
      <c r="E105" s="1668"/>
      <c r="F105" s="1608">
        <f t="shared" si="9"/>
        <v>0</v>
      </c>
      <c r="G105" s="1631"/>
      <c r="H105" s="1631"/>
      <c r="I105" s="2511"/>
      <c r="J105" s="2512"/>
      <c r="K105" s="2513"/>
      <c r="L105" s="1581" t="str">
        <f t="shared" si="3"/>
        <v/>
      </c>
      <c r="M105" s="1514"/>
      <c r="N105" s="1514"/>
      <c r="O105" s="1514"/>
      <c r="P105" s="1514"/>
      <c r="Q105" s="1514"/>
      <c r="R105" s="1514"/>
      <c r="S105" s="1514"/>
      <c r="T105" s="1514"/>
      <c r="U105" s="1514"/>
      <c r="V105" s="1514"/>
      <c r="W105" s="1514"/>
      <c r="X105" s="1514"/>
      <c r="Y105" s="1514"/>
      <c r="Z105" s="1514"/>
      <c r="AA105" s="1514"/>
      <c r="AB105" s="1514"/>
      <c r="AC105" s="1514"/>
      <c r="AD105" s="1514"/>
    </row>
    <row r="106" spans="1:30" ht="15" customHeight="1" x14ac:dyDescent="0.3">
      <c r="A106" s="1522"/>
      <c r="B106" s="2489"/>
      <c r="C106" s="1566" t="s">
        <v>509</v>
      </c>
      <c r="D106" s="1567"/>
      <c r="E106" s="1668"/>
      <c r="F106" s="1608">
        <f t="shared" si="9"/>
        <v>0</v>
      </c>
      <c r="G106" s="1631"/>
      <c r="H106" s="1631"/>
      <c r="I106" s="2511"/>
      <c r="J106" s="2512"/>
      <c r="K106" s="2513"/>
      <c r="L106" s="1581" t="str">
        <f t="shared" si="3"/>
        <v/>
      </c>
      <c r="M106" s="1514"/>
      <c r="N106" s="1514"/>
      <c r="O106" s="1514"/>
      <c r="P106" s="1514"/>
      <c r="Q106" s="1514"/>
      <c r="R106" s="1514"/>
      <c r="S106" s="1514"/>
      <c r="T106" s="1514"/>
      <c r="U106" s="1514"/>
      <c r="V106" s="1514"/>
      <c r="W106" s="1514"/>
      <c r="X106" s="1514"/>
      <c r="Y106" s="1514"/>
      <c r="Z106" s="1514"/>
      <c r="AA106" s="1514"/>
      <c r="AB106" s="1514"/>
      <c r="AC106" s="1514"/>
      <c r="AD106" s="1514"/>
    </row>
    <row r="107" spans="1:30" ht="15" customHeight="1" thickBot="1" x14ac:dyDescent="0.35">
      <c r="A107" s="1522"/>
      <c r="B107" s="2490"/>
      <c r="C107" s="1566" t="s">
        <v>510</v>
      </c>
      <c r="D107" s="1567"/>
      <c r="E107" s="1669"/>
      <c r="F107" s="1608">
        <f t="shared" si="9"/>
        <v>0</v>
      </c>
      <c r="G107" s="1631"/>
      <c r="H107" s="1631"/>
      <c r="I107" s="2538"/>
      <c r="J107" s="2539"/>
      <c r="K107" s="2540"/>
      <c r="L107" s="1581" t="str">
        <f t="shared" si="3"/>
        <v/>
      </c>
      <c r="M107" s="1514"/>
      <c r="N107" s="1514"/>
      <c r="O107" s="1514"/>
      <c r="P107" s="1514"/>
      <c r="Q107" s="1514"/>
      <c r="R107" s="1514"/>
      <c r="S107" s="1514"/>
      <c r="T107" s="1514"/>
      <c r="U107" s="1514"/>
      <c r="V107" s="1514"/>
      <c r="W107" s="1514"/>
      <c r="X107" s="1514"/>
      <c r="Y107" s="1514"/>
      <c r="Z107" s="1514"/>
      <c r="AA107" s="1514"/>
      <c r="AB107" s="1514"/>
      <c r="AC107" s="1514"/>
      <c r="AD107" s="1514"/>
    </row>
    <row r="108" spans="1:30" ht="15.75" customHeight="1" thickBot="1" x14ac:dyDescent="0.35">
      <c r="A108" s="1522"/>
      <c r="B108" s="2463" t="s">
        <v>112</v>
      </c>
      <c r="C108" s="2464"/>
      <c r="D108" s="1635">
        <f>SUM(D109:D121)</f>
        <v>12963126.112548828</v>
      </c>
      <c r="E108" s="1671">
        <f>IF(D108&lt;&gt;0,F108*1000/D108,"")</f>
        <v>4.8070694749441284E-2</v>
      </c>
      <c r="F108" s="1636">
        <f>SUM(F109:F121)</f>
        <v>623.14647835484618</v>
      </c>
      <c r="G108" s="1631"/>
      <c r="H108" s="1631"/>
      <c r="I108" s="2541"/>
      <c r="J108" s="2542"/>
      <c r="K108" s="2543"/>
      <c r="L108" s="1560" t="str">
        <f t="shared" si="3"/>
        <v/>
      </c>
      <c r="M108" s="1514"/>
      <c r="N108" s="1514"/>
      <c r="O108" s="1514"/>
      <c r="P108" s="1514"/>
      <c r="Q108" s="1514"/>
      <c r="R108" s="1514"/>
      <c r="S108" s="1514"/>
      <c r="T108" s="1514"/>
      <c r="U108" s="1514"/>
      <c r="V108" s="1514"/>
      <c r="W108" s="1514"/>
      <c r="X108" s="1514"/>
      <c r="Y108" s="1514"/>
      <c r="Z108" s="1514"/>
      <c r="AA108" s="1514"/>
      <c r="AB108" s="1514"/>
      <c r="AC108" s="1514"/>
      <c r="AD108" s="1514"/>
    </row>
    <row r="109" spans="1:30" ht="15" customHeight="1" x14ac:dyDescent="0.3">
      <c r="A109" s="1522" t="s">
        <v>371</v>
      </c>
      <c r="B109" s="2425" t="s">
        <v>113</v>
      </c>
      <c r="C109" s="1637" t="s">
        <v>114</v>
      </c>
      <c r="D109" s="1603">
        <v>436211.67211914063</v>
      </c>
      <c r="E109" s="1672">
        <f>+'Emission Factors'!J88</f>
        <v>0.15777000000000002</v>
      </c>
      <c r="F109" s="1673">
        <f t="shared" ref="F109:F121" si="13">(D109*E109)/1000</f>
        <v>68.821115510236822</v>
      </c>
      <c r="G109" s="1631"/>
      <c r="H109" s="1631"/>
      <c r="I109" s="2491"/>
      <c r="J109" s="2492"/>
      <c r="K109" s="2493"/>
      <c r="L109" s="1572" t="str">
        <f t="shared" si="3"/>
        <v/>
      </c>
      <c r="M109" s="1514"/>
      <c r="N109" s="1514"/>
      <c r="O109" s="1514"/>
      <c r="P109" s="1514"/>
      <c r="Q109" s="1514"/>
      <c r="R109" s="1514"/>
      <c r="S109" s="1514"/>
      <c r="T109" s="1514"/>
      <c r="U109" s="1514"/>
      <c r="V109" s="1514"/>
      <c r="W109" s="1514"/>
      <c r="X109" s="1514"/>
      <c r="Y109" s="1514"/>
      <c r="Z109" s="1514"/>
      <c r="AA109" s="1514"/>
      <c r="AB109" s="1514"/>
      <c r="AC109" s="1514"/>
      <c r="AD109" s="1514"/>
    </row>
    <row r="110" spans="1:30" ht="15" customHeight="1" x14ac:dyDescent="0.3">
      <c r="A110" s="1522" t="s">
        <v>371</v>
      </c>
      <c r="B110" s="2426"/>
      <c r="C110" s="1641" t="s">
        <v>115</v>
      </c>
      <c r="D110" s="1607">
        <v>12521236.440429688</v>
      </c>
      <c r="E110" s="1638">
        <f>+'Emission Factors'!J89</f>
        <v>4.4239999999999995E-2</v>
      </c>
      <c r="F110" s="1673">
        <f t="shared" si="13"/>
        <v>553.93950012460937</v>
      </c>
      <c r="G110" s="1631"/>
      <c r="H110" s="1631"/>
      <c r="I110" s="2511"/>
      <c r="J110" s="2512"/>
      <c r="K110" s="2513"/>
      <c r="L110" s="1581" t="str">
        <f t="shared" si="3"/>
        <v/>
      </c>
      <c r="M110" s="1514"/>
      <c r="N110" s="1514"/>
      <c r="O110" s="1514"/>
      <c r="P110" s="1514"/>
      <c r="Q110" s="1514"/>
      <c r="R110" s="1514"/>
      <c r="S110" s="1514"/>
      <c r="T110" s="1514"/>
      <c r="U110" s="1514"/>
      <c r="V110" s="1514"/>
      <c r="W110" s="1514"/>
      <c r="X110" s="1514"/>
      <c r="Y110" s="1514"/>
      <c r="Z110" s="1514"/>
      <c r="AA110" s="1514"/>
      <c r="AB110" s="1514"/>
      <c r="AC110" s="1514"/>
      <c r="AD110" s="1514"/>
    </row>
    <row r="111" spans="1:30" ht="15" customHeight="1" x14ac:dyDescent="0.3">
      <c r="A111" s="1522" t="s">
        <v>371</v>
      </c>
      <c r="B111" s="2426"/>
      <c r="C111" s="1641" t="s">
        <v>116</v>
      </c>
      <c r="D111" s="1607"/>
      <c r="E111" s="1638">
        <f>+'Emission Factors'!J90</f>
        <v>3.9670000000000004E-2</v>
      </c>
      <c r="F111" s="1673">
        <f t="shared" si="13"/>
        <v>0</v>
      </c>
      <c r="G111" s="1631"/>
      <c r="H111" s="1631"/>
      <c r="I111" s="2511"/>
      <c r="J111" s="2512"/>
      <c r="K111" s="2513"/>
      <c r="L111" s="1581" t="str">
        <f t="shared" si="3"/>
        <v/>
      </c>
      <c r="M111" s="1514"/>
      <c r="N111" s="1514"/>
      <c r="O111" s="1514"/>
      <c r="P111" s="1514"/>
      <c r="Q111" s="1514"/>
      <c r="R111" s="1514"/>
      <c r="S111" s="1514"/>
      <c r="T111" s="1514"/>
      <c r="U111" s="1514"/>
      <c r="V111" s="1514"/>
      <c r="W111" s="1514"/>
      <c r="X111" s="1514"/>
      <c r="Y111" s="1514"/>
      <c r="Z111" s="1514"/>
      <c r="AA111" s="1514"/>
      <c r="AB111" s="1514"/>
      <c r="AC111" s="1514"/>
      <c r="AD111" s="1514"/>
    </row>
    <row r="112" spans="1:30" ht="15" customHeight="1" x14ac:dyDescent="0.3">
      <c r="A112" s="1522" t="s">
        <v>371</v>
      </c>
      <c r="B112" s="2426"/>
      <c r="C112" s="1641" t="s">
        <v>117</v>
      </c>
      <c r="D112" s="1607">
        <v>4190</v>
      </c>
      <c r="E112" s="1638">
        <f>+'Emission Factors'!J91</f>
        <v>3.7600000000000001E-2</v>
      </c>
      <c r="F112" s="1673">
        <f t="shared" si="13"/>
        <v>0.15754400000000002</v>
      </c>
      <c r="G112" s="1631"/>
      <c r="H112" s="1631"/>
      <c r="I112" s="2511"/>
      <c r="J112" s="2512"/>
      <c r="K112" s="2513"/>
      <c r="L112" s="1581" t="str">
        <f t="shared" si="3"/>
        <v/>
      </c>
      <c r="M112" s="1514"/>
      <c r="N112" s="1514"/>
      <c r="O112" s="1514"/>
      <c r="P112" s="1514"/>
      <c r="Q112" s="1514"/>
      <c r="R112" s="1514"/>
      <c r="S112" s="1514"/>
      <c r="T112" s="1514"/>
      <c r="U112" s="1514"/>
      <c r="V112" s="1514"/>
      <c r="W112" s="1514"/>
      <c r="X112" s="1514"/>
      <c r="Y112" s="1514"/>
      <c r="Z112" s="1514"/>
      <c r="AA112" s="1514"/>
      <c r="AB112" s="1514"/>
      <c r="AC112" s="1514"/>
      <c r="AD112" s="1514"/>
    </row>
    <row r="113" spans="1:30" ht="15" customHeight="1" x14ac:dyDescent="0.3">
      <c r="A113" s="1522" t="s">
        <v>371</v>
      </c>
      <c r="B113" s="2426"/>
      <c r="C113" s="1641" t="s">
        <v>118</v>
      </c>
      <c r="D113" s="1607">
        <v>1488</v>
      </c>
      <c r="E113" s="1638">
        <f>+'Emission Factors'!J92</f>
        <v>0.15343999999999999</v>
      </c>
      <c r="F113" s="1673">
        <f t="shared" si="13"/>
        <v>0.22831871999999998</v>
      </c>
      <c r="G113" s="1631"/>
      <c r="H113" s="1631"/>
      <c r="I113" s="2511"/>
      <c r="J113" s="2512"/>
      <c r="K113" s="2513"/>
      <c r="L113" s="1581" t="str">
        <f t="shared" si="3"/>
        <v/>
      </c>
      <c r="M113" s="1514"/>
      <c r="N113" s="1514"/>
      <c r="O113" s="1514"/>
      <c r="P113" s="1514"/>
      <c r="Q113" s="1514"/>
      <c r="R113" s="1514"/>
      <c r="S113" s="1514"/>
      <c r="T113" s="1514"/>
      <c r="U113" s="1514"/>
      <c r="V113" s="1514"/>
      <c r="W113" s="1514"/>
      <c r="X113" s="1514"/>
      <c r="Y113" s="1514"/>
      <c r="Z113" s="1514"/>
      <c r="AA113" s="1514"/>
      <c r="AB113" s="1514"/>
      <c r="AC113" s="1514"/>
      <c r="AD113" s="1514"/>
    </row>
    <row r="114" spans="1:30" ht="15" customHeight="1" x14ac:dyDescent="0.3">
      <c r="A114" s="1522" t="s">
        <v>371</v>
      </c>
      <c r="B114" s="2426"/>
      <c r="C114" s="1641" t="s">
        <v>119</v>
      </c>
      <c r="D114" s="1607"/>
      <c r="E114" s="1638">
        <f>+'Emission Factors'!J93</f>
        <v>0.2142</v>
      </c>
      <c r="F114" s="1673">
        <f t="shared" si="13"/>
        <v>0</v>
      </c>
      <c r="G114" s="1631"/>
      <c r="H114" s="1631"/>
      <c r="I114" s="2511"/>
      <c r="J114" s="2512"/>
      <c r="K114" s="2513"/>
      <c r="L114" s="1581" t="str">
        <f t="shared" si="3"/>
        <v/>
      </c>
      <c r="M114" s="1514"/>
      <c r="N114" s="1514"/>
      <c r="O114" s="1514"/>
      <c r="P114" s="1514"/>
      <c r="Q114" s="1514"/>
      <c r="R114" s="1514"/>
      <c r="S114" s="1514"/>
      <c r="T114" s="1514"/>
      <c r="U114" s="1514"/>
      <c r="V114" s="1514"/>
      <c r="W114" s="1514"/>
      <c r="X114" s="1514"/>
      <c r="Y114" s="1514"/>
      <c r="Z114" s="1514"/>
      <c r="AA114" s="1514"/>
      <c r="AB114" s="1514"/>
      <c r="AC114" s="1514"/>
      <c r="AD114" s="1514"/>
    </row>
    <row r="115" spans="1:30" ht="15" customHeight="1" x14ac:dyDescent="0.3">
      <c r="A115" s="1522" t="s">
        <v>371</v>
      </c>
      <c r="B115" s="2426"/>
      <c r="C115" s="1641" t="s">
        <v>120</v>
      </c>
      <c r="D115" s="1607"/>
      <c r="E115" s="1638">
        <f>+'Emission Factors'!J94</f>
        <v>0.12007</v>
      </c>
      <c r="F115" s="1673">
        <f t="shared" si="13"/>
        <v>0</v>
      </c>
      <c r="G115" s="1631"/>
      <c r="H115" s="1631"/>
      <c r="I115" s="2511"/>
      <c r="J115" s="2512"/>
      <c r="K115" s="2513"/>
      <c r="L115" s="1581" t="str">
        <f t="shared" si="3"/>
        <v/>
      </c>
      <c r="M115" s="1514"/>
      <c r="N115" s="1514"/>
      <c r="O115" s="1514"/>
      <c r="P115" s="1514"/>
      <c r="Q115" s="1514"/>
      <c r="R115" s="1514"/>
      <c r="S115" s="1514"/>
      <c r="T115" s="1514"/>
      <c r="U115" s="1514"/>
      <c r="V115" s="1514"/>
      <c r="W115" s="1514"/>
      <c r="X115" s="1514"/>
      <c r="Y115" s="1514"/>
      <c r="Z115" s="1514"/>
      <c r="AA115" s="1514"/>
      <c r="AB115" s="1514"/>
      <c r="AC115" s="1514"/>
      <c r="AD115" s="1514"/>
    </row>
    <row r="116" spans="1:30" ht="15" customHeight="1" x14ac:dyDescent="0.3">
      <c r="A116" s="1522" t="s">
        <v>371</v>
      </c>
      <c r="B116" s="2426"/>
      <c r="C116" s="1641" t="s">
        <v>121</v>
      </c>
      <c r="D116" s="1607"/>
      <c r="E116" s="1638">
        <f>+'Emission Factors'!J95</f>
        <v>7.2110000000000007E-2</v>
      </c>
      <c r="F116" s="1673">
        <f t="shared" si="13"/>
        <v>0</v>
      </c>
      <c r="G116" s="1631"/>
      <c r="H116" s="1631"/>
      <c r="I116" s="2511"/>
      <c r="J116" s="2512"/>
      <c r="K116" s="2513"/>
      <c r="L116" s="1581" t="str">
        <f t="shared" si="3"/>
        <v/>
      </c>
      <c r="M116" s="1514"/>
      <c r="N116" s="1514"/>
      <c r="O116" s="1514"/>
      <c r="P116" s="1514"/>
      <c r="Q116" s="1514"/>
      <c r="R116" s="1514"/>
      <c r="S116" s="1514"/>
      <c r="T116" s="1514"/>
      <c r="U116" s="1514"/>
      <c r="V116" s="1514"/>
      <c r="W116" s="1514"/>
      <c r="X116" s="1514"/>
      <c r="Y116" s="1514"/>
      <c r="Z116" s="1514"/>
      <c r="AA116" s="1514"/>
      <c r="AB116" s="1514"/>
      <c r="AC116" s="1514"/>
      <c r="AD116" s="1514"/>
    </row>
    <row r="117" spans="1:30" ht="15" customHeight="1" x14ac:dyDescent="0.3">
      <c r="A117" s="1522" t="s">
        <v>371</v>
      </c>
      <c r="B117" s="2426"/>
      <c r="C117" s="1641" t="s">
        <v>122</v>
      </c>
      <c r="D117" s="1607"/>
      <c r="E117" s="1638">
        <f>+'Emission Factors'!J96</f>
        <v>0.10097</v>
      </c>
      <c r="F117" s="1673">
        <f t="shared" si="13"/>
        <v>0</v>
      </c>
      <c r="G117" s="1631"/>
      <c r="H117" s="1631"/>
      <c r="I117" s="2511"/>
      <c r="J117" s="2512"/>
      <c r="K117" s="2513"/>
      <c r="L117" s="1581" t="str">
        <f t="shared" si="3"/>
        <v/>
      </c>
      <c r="M117" s="1514"/>
      <c r="N117" s="1514"/>
      <c r="O117" s="1514"/>
      <c r="P117" s="1514"/>
      <c r="Q117" s="1514"/>
      <c r="R117" s="1514"/>
      <c r="S117" s="1514"/>
      <c r="T117" s="1514"/>
      <c r="U117" s="1514"/>
      <c r="V117" s="1514"/>
      <c r="W117" s="1514"/>
      <c r="X117" s="1514"/>
      <c r="Y117" s="1514"/>
      <c r="Z117" s="1514"/>
      <c r="AA117" s="1514"/>
      <c r="AB117" s="1514"/>
      <c r="AC117" s="1514"/>
      <c r="AD117" s="1514"/>
    </row>
    <row r="118" spans="1:30" ht="15" customHeight="1" x14ac:dyDescent="0.3">
      <c r="A118" s="1522" t="s">
        <v>371</v>
      </c>
      <c r="B118" s="2426"/>
      <c r="C118" s="1641" t="s">
        <v>123</v>
      </c>
      <c r="D118" s="1607"/>
      <c r="E118" s="1638">
        <f>+'Emission Factors'!J97</f>
        <v>2.801E-2</v>
      </c>
      <c r="F118" s="1673">
        <f t="shared" si="13"/>
        <v>0</v>
      </c>
      <c r="G118" s="1631"/>
      <c r="H118" s="1631"/>
      <c r="I118" s="2511"/>
      <c r="J118" s="2512"/>
      <c r="K118" s="2513"/>
      <c r="L118" s="1581" t="str">
        <f t="shared" si="3"/>
        <v/>
      </c>
      <c r="M118" s="1514"/>
      <c r="N118" s="1514"/>
      <c r="O118" s="1514"/>
      <c r="P118" s="1514"/>
      <c r="Q118" s="1514"/>
      <c r="R118" s="1514"/>
      <c r="S118" s="1514"/>
      <c r="T118" s="1514"/>
      <c r="U118" s="1514"/>
      <c r="V118" s="1514"/>
      <c r="W118" s="1514"/>
      <c r="X118" s="1514"/>
      <c r="Y118" s="1514"/>
      <c r="Z118" s="1514"/>
      <c r="AA118" s="1514"/>
      <c r="AB118" s="1514"/>
      <c r="AC118" s="1514"/>
      <c r="AD118" s="1514"/>
    </row>
    <row r="119" spans="1:30" ht="15" customHeight="1" x14ac:dyDescent="0.3">
      <c r="A119" s="1522" t="s">
        <v>371</v>
      </c>
      <c r="B119" s="2426"/>
      <c r="C119" s="1566" t="s">
        <v>410</v>
      </c>
      <c r="D119" s="1607"/>
      <c r="E119" s="1668"/>
      <c r="F119" s="1673">
        <f t="shared" si="13"/>
        <v>0</v>
      </c>
      <c r="G119" s="1631"/>
      <c r="H119" s="1631"/>
      <c r="I119" s="2511"/>
      <c r="J119" s="2512"/>
      <c r="K119" s="2513"/>
      <c r="L119" s="1581" t="str">
        <f t="shared" si="3"/>
        <v/>
      </c>
      <c r="M119" s="1514"/>
      <c r="N119" s="1514"/>
      <c r="O119" s="1514"/>
      <c r="P119" s="1514"/>
      <c r="Q119" s="1514"/>
      <c r="R119" s="1514"/>
      <c r="S119" s="1514"/>
      <c r="T119" s="1514"/>
      <c r="U119" s="1514"/>
      <c r="V119" s="1514"/>
      <c r="W119" s="1514"/>
      <c r="X119" s="1514"/>
      <c r="Y119" s="1514"/>
      <c r="Z119" s="1514"/>
      <c r="AA119" s="1514"/>
      <c r="AB119" s="1514"/>
      <c r="AC119" s="1514"/>
      <c r="AD119" s="1514"/>
    </row>
    <row r="120" spans="1:30" ht="15" customHeight="1" x14ac:dyDescent="0.3">
      <c r="A120" s="1522" t="s">
        <v>371</v>
      </c>
      <c r="B120" s="2426"/>
      <c r="C120" s="1566" t="s">
        <v>411</v>
      </c>
      <c r="D120" s="1607"/>
      <c r="E120" s="1668"/>
      <c r="F120" s="1673">
        <f t="shared" si="13"/>
        <v>0</v>
      </c>
      <c r="G120" s="1631"/>
      <c r="H120" s="1631"/>
      <c r="I120" s="2511"/>
      <c r="J120" s="2512"/>
      <c r="K120" s="2513"/>
      <c r="L120" s="1581" t="str">
        <f t="shared" si="3"/>
        <v/>
      </c>
      <c r="M120" s="1514"/>
      <c r="N120" s="1514"/>
      <c r="O120" s="1514"/>
      <c r="P120" s="1514"/>
      <c r="Q120" s="1514"/>
      <c r="R120" s="1514"/>
      <c r="S120" s="1514"/>
      <c r="T120" s="1514"/>
      <c r="U120" s="1514"/>
      <c r="V120" s="1514"/>
      <c r="W120" s="1514"/>
      <c r="X120" s="1514"/>
      <c r="Y120" s="1514"/>
      <c r="Z120" s="1514"/>
      <c r="AA120" s="1514"/>
      <c r="AB120" s="1514"/>
      <c r="AC120" s="1514"/>
      <c r="AD120" s="1514"/>
    </row>
    <row r="121" spans="1:30" ht="15" customHeight="1" thickBot="1" x14ac:dyDescent="0.35">
      <c r="A121" s="1522" t="s">
        <v>371</v>
      </c>
      <c r="B121" s="2426"/>
      <c r="C121" s="1566" t="s">
        <v>412</v>
      </c>
      <c r="D121" s="1567"/>
      <c r="E121" s="1668"/>
      <c r="F121" s="1608">
        <f t="shared" si="13"/>
        <v>0</v>
      </c>
      <c r="G121" s="1631"/>
      <c r="H121" s="1631"/>
      <c r="I121" s="2511"/>
      <c r="J121" s="2512"/>
      <c r="K121" s="2513"/>
      <c r="L121" s="1581" t="str">
        <f t="shared" si="3"/>
        <v/>
      </c>
      <c r="M121" s="1514"/>
      <c r="N121" s="1514"/>
      <c r="O121" s="1514"/>
      <c r="P121" s="1514"/>
      <c r="Q121" s="1514"/>
      <c r="R121" s="1514"/>
      <c r="S121" s="1514"/>
      <c r="T121" s="1514"/>
      <c r="U121" s="1514"/>
      <c r="V121" s="1514"/>
      <c r="W121" s="1514"/>
      <c r="X121" s="1514"/>
      <c r="Y121" s="1514"/>
      <c r="Z121" s="1514"/>
      <c r="AA121" s="1514"/>
      <c r="AB121" s="1514"/>
      <c r="AC121" s="1514"/>
      <c r="AD121" s="1514"/>
    </row>
    <row r="122" spans="1:30" ht="14.4" thickBot="1" x14ac:dyDescent="0.35">
      <c r="A122" s="1522"/>
      <c r="B122" s="1674" t="s">
        <v>406</v>
      </c>
      <c r="C122" s="1675" t="s">
        <v>405</v>
      </c>
      <c r="D122" s="1623"/>
      <c r="E122" s="1676">
        <v>0</v>
      </c>
      <c r="F122" s="1676"/>
      <c r="G122" s="1677"/>
      <c r="H122" s="1678"/>
      <c r="I122" s="2547"/>
      <c r="J122" s="2548"/>
      <c r="K122" s="2549"/>
      <c r="L122" s="1560" t="str">
        <f t="shared" si="3"/>
        <v/>
      </c>
      <c r="M122" s="1514"/>
      <c r="N122" s="1514"/>
      <c r="O122" s="1514"/>
      <c r="P122" s="1514"/>
      <c r="Q122" s="1514"/>
      <c r="R122" s="1514"/>
      <c r="S122" s="1514"/>
      <c r="T122" s="1514"/>
      <c r="U122" s="1514"/>
      <c r="V122" s="1514"/>
      <c r="W122" s="1514"/>
      <c r="X122" s="1514"/>
      <c r="Y122" s="1514"/>
      <c r="Z122" s="1514"/>
      <c r="AA122" s="1514"/>
      <c r="AB122" s="1514"/>
      <c r="AC122" s="1514"/>
      <c r="AD122" s="1514"/>
    </row>
    <row r="123" spans="1:30" ht="13.5" customHeight="1" thickBot="1" x14ac:dyDescent="0.35">
      <c r="A123" s="1522"/>
      <c r="B123" s="1679" t="s">
        <v>124</v>
      </c>
      <c r="C123" s="1680"/>
      <c r="D123" s="1681"/>
      <c r="E123" s="1670"/>
      <c r="F123" s="1682">
        <f>+F19+F53+F64+T67+F86+T89+F108</f>
        <v>56210.470211942549</v>
      </c>
      <c r="G123" s="1514"/>
      <c r="H123" s="1514"/>
      <c r="I123" s="1514"/>
      <c r="J123" s="1514"/>
      <c r="K123" s="1514"/>
      <c r="L123" s="1514"/>
      <c r="M123" s="1514"/>
      <c r="N123" s="1514"/>
      <c r="O123" s="1514"/>
      <c r="P123" s="1514"/>
      <c r="Q123" s="1514"/>
      <c r="R123" s="1514"/>
      <c r="S123" s="1514"/>
      <c r="T123" s="1514"/>
      <c r="U123" s="1514"/>
      <c r="V123" s="1514"/>
      <c r="W123" s="1514"/>
      <c r="X123" s="1514"/>
      <c r="Y123" s="1514"/>
      <c r="Z123" s="1514"/>
      <c r="AA123" s="1514"/>
      <c r="AB123" s="1514"/>
      <c r="AC123" s="1514"/>
      <c r="AD123" s="1514"/>
    </row>
    <row r="124" spans="1:30" s="1689" customFormat="1" ht="15" thickBot="1" x14ac:dyDescent="0.35">
      <c r="A124" s="1683"/>
      <c r="B124" s="1684" t="s">
        <v>125</v>
      </c>
      <c r="C124" s="1685"/>
      <c r="D124" s="1685"/>
      <c r="E124" s="1685"/>
      <c r="F124" s="1685"/>
      <c r="G124" s="1685"/>
      <c r="H124" s="1686"/>
      <c r="I124" s="1687"/>
      <c r="J124" s="1688"/>
      <c r="K124" s="1688"/>
      <c r="L124" s="1688"/>
      <c r="M124" s="1688"/>
      <c r="N124" s="1688"/>
      <c r="O124" s="1688"/>
      <c r="P124" s="1688"/>
      <c r="Q124" s="1688"/>
      <c r="R124" s="1688"/>
      <c r="S124" s="1688"/>
      <c r="T124" s="1688"/>
      <c r="U124" s="1688"/>
      <c r="V124" s="1688"/>
      <c r="W124" s="1688"/>
      <c r="X124" s="1688"/>
      <c r="Y124" s="1688"/>
      <c r="Z124" s="1688"/>
      <c r="AA124" s="1688"/>
      <c r="AB124" s="1688"/>
      <c r="AC124" s="1688"/>
      <c r="AD124" s="1688"/>
    </row>
    <row r="125" spans="1:30" ht="15.75" customHeight="1" thickBot="1" x14ac:dyDescent="0.35">
      <c r="A125" s="1522"/>
      <c r="B125" s="1690"/>
      <c r="C125" s="1691"/>
      <c r="D125" s="2550" t="s">
        <v>23</v>
      </c>
      <c r="E125" s="2551"/>
      <c r="F125" s="2552"/>
      <c r="G125" s="1692"/>
      <c r="H125" s="1692"/>
      <c r="I125" s="2553" t="s">
        <v>24</v>
      </c>
      <c r="J125" s="2554"/>
      <c r="K125" s="2555"/>
      <c r="L125" s="1622" t="s">
        <v>408</v>
      </c>
      <c r="M125" s="2419" t="s">
        <v>461</v>
      </c>
      <c r="N125" s="1514"/>
      <c r="O125" s="1514"/>
      <c r="P125" s="1514"/>
      <c r="Q125" s="1514"/>
      <c r="R125" s="1514"/>
      <c r="S125" s="1514"/>
      <c r="T125" s="1514"/>
      <c r="U125" s="1514"/>
      <c r="V125" s="1514"/>
      <c r="W125" s="1514"/>
      <c r="X125" s="1514"/>
      <c r="Y125" s="1514"/>
      <c r="Z125" s="1514"/>
      <c r="AA125" s="1514"/>
      <c r="AB125" s="1514"/>
      <c r="AC125" s="1514"/>
      <c r="AD125" s="1514"/>
    </row>
    <row r="126" spans="1:30" ht="15.75" customHeight="1" thickBot="1" x14ac:dyDescent="0.35">
      <c r="A126" s="1522"/>
      <c r="B126" s="1690"/>
      <c r="C126" s="1691"/>
      <c r="D126" s="1693" t="s">
        <v>81</v>
      </c>
      <c r="E126" s="1694" t="s">
        <v>171</v>
      </c>
      <c r="F126" s="1695" t="s">
        <v>174</v>
      </c>
      <c r="G126" s="1631"/>
      <c r="H126" s="1631"/>
      <c r="I126" s="2556"/>
      <c r="J126" s="2557"/>
      <c r="K126" s="2558"/>
      <c r="L126" s="1696" t="s">
        <v>28</v>
      </c>
      <c r="M126" s="2420"/>
      <c r="N126" s="1514"/>
      <c r="O126" s="1514"/>
      <c r="P126" s="1514"/>
      <c r="Q126" s="1514"/>
      <c r="R126" s="1514"/>
      <c r="S126" s="1514"/>
      <c r="T126" s="1514"/>
      <c r="U126" s="1514"/>
      <c r="V126" s="1514"/>
      <c r="W126" s="1514"/>
      <c r="X126" s="1514"/>
      <c r="Y126" s="1514"/>
      <c r="Z126" s="1514"/>
      <c r="AA126" s="1514"/>
      <c r="AB126" s="1514"/>
      <c r="AC126" s="1514"/>
      <c r="AD126" s="1514"/>
    </row>
    <row r="127" spans="1:30" ht="13.5" customHeight="1" thickBot="1" x14ac:dyDescent="0.35">
      <c r="A127" s="1522"/>
      <c r="B127" s="1697" t="s">
        <v>126</v>
      </c>
      <c r="C127" s="1698"/>
      <c r="D127" s="1699">
        <f>SUM(D128:D136)</f>
        <v>836494.39422607422</v>
      </c>
      <c r="E127" s="1700"/>
      <c r="F127" s="1701">
        <f>SUM(F128:F136)</f>
        <v>87.692974670006706</v>
      </c>
      <c r="G127" s="1631"/>
      <c r="H127" s="1631"/>
      <c r="I127" s="2556"/>
      <c r="J127" s="2557"/>
      <c r="K127" s="2558"/>
      <c r="L127" s="1702">
        <f>SUM(L128:L136)</f>
        <v>183.03643682169226</v>
      </c>
      <c r="M127" s="1560" t="str">
        <f>IF(D127&lt;0,"Error - Negative number","")</f>
        <v/>
      </c>
      <c r="N127" s="1514"/>
      <c r="O127" s="1514"/>
      <c r="P127" s="1514"/>
      <c r="Q127" s="1514"/>
      <c r="R127" s="1514"/>
      <c r="S127" s="1514"/>
      <c r="T127" s="1514"/>
      <c r="U127" s="1514"/>
      <c r="V127" s="1514"/>
      <c r="W127" s="1514"/>
      <c r="X127" s="1514"/>
      <c r="Y127" s="1514"/>
      <c r="Z127" s="1514"/>
      <c r="AA127" s="1514"/>
      <c r="AB127" s="1514"/>
      <c r="AC127" s="1514"/>
      <c r="AD127" s="1514"/>
    </row>
    <row r="128" spans="1:30" ht="15" customHeight="1" x14ac:dyDescent="0.3">
      <c r="A128" s="1522" t="s">
        <v>373</v>
      </c>
      <c r="B128" s="1703" t="s">
        <v>127</v>
      </c>
      <c r="C128" s="1704"/>
      <c r="D128" s="1705"/>
      <c r="E128" s="1672">
        <f>+'Emission Factors'!J107</f>
        <v>8.5839999999999986E-2</v>
      </c>
      <c r="F128" s="1706">
        <f>(D128*E128)/1000</f>
        <v>0</v>
      </c>
      <c r="G128" s="1631"/>
      <c r="H128" s="1631"/>
      <c r="I128" s="2559"/>
      <c r="J128" s="2560"/>
      <c r="K128" s="2561"/>
      <c r="L128" s="1707">
        <f>+F128*2.09</f>
        <v>0</v>
      </c>
      <c r="M128" s="1572" t="str">
        <f t="shared" ref="M128:M136" si="14">IF(D128&lt;0,"Error - Negative number","")</f>
        <v/>
      </c>
      <c r="N128" s="1514"/>
      <c r="O128" s="1514"/>
      <c r="P128" s="1514"/>
      <c r="Q128" s="1514"/>
      <c r="R128" s="1514"/>
      <c r="S128" s="1514"/>
      <c r="T128" s="1514"/>
      <c r="U128" s="1514"/>
      <c r="V128" s="1514"/>
      <c r="W128" s="1514"/>
      <c r="X128" s="1514"/>
      <c r="Y128" s="1514"/>
      <c r="Z128" s="1514"/>
      <c r="AA128" s="1514"/>
      <c r="AB128" s="1514"/>
      <c r="AC128" s="1514"/>
      <c r="AD128" s="1514"/>
    </row>
    <row r="129" spans="1:30" ht="15.75" customHeight="1" x14ac:dyDescent="0.3">
      <c r="A129" s="1522" t="s">
        <v>373</v>
      </c>
      <c r="B129" s="1708" t="s">
        <v>128</v>
      </c>
      <c r="C129" s="1709"/>
      <c r="D129" s="1710">
        <v>250779.96710205078</v>
      </c>
      <c r="E129" s="1638">
        <f>+'Emission Factors'!J108</f>
        <v>8.4429999999999991E-2</v>
      </c>
      <c r="F129" s="1711">
        <f t="shared" ref="F129:F136" si="15">(D129*E129)/1000</f>
        <v>21.173352622426144</v>
      </c>
      <c r="G129" s="1631"/>
      <c r="H129" s="1631"/>
      <c r="I129" s="2562"/>
      <c r="J129" s="2563"/>
      <c r="K129" s="2564"/>
      <c r="L129" s="1712">
        <f t="shared" ref="L129:L135" si="16">+F129*2.09</f>
        <v>44.252306980870635</v>
      </c>
      <c r="M129" s="1581" t="str">
        <f t="shared" si="14"/>
        <v/>
      </c>
      <c r="N129" s="1514"/>
      <c r="O129" s="1514"/>
      <c r="P129" s="1514"/>
      <c r="Q129" s="1514"/>
      <c r="R129" s="1514"/>
      <c r="S129" s="1514"/>
      <c r="T129" s="1514"/>
      <c r="U129" s="1514"/>
      <c r="V129" s="1514"/>
      <c r="W129" s="1514"/>
      <c r="X129" s="1514"/>
      <c r="Y129" s="1514"/>
      <c r="Z129" s="1514"/>
      <c r="AA129" s="1514"/>
      <c r="AB129" s="1514"/>
      <c r="AC129" s="1514"/>
      <c r="AD129" s="1514"/>
    </row>
    <row r="130" spans="1:30" ht="15" customHeight="1" x14ac:dyDescent="0.3">
      <c r="A130" s="1522" t="s">
        <v>373</v>
      </c>
      <c r="B130" s="1708" t="s">
        <v>129</v>
      </c>
      <c r="C130" s="1709"/>
      <c r="D130" s="1710">
        <v>6894.56494140625</v>
      </c>
      <c r="E130" s="1638">
        <f>+'Emission Factors'!J109</f>
        <v>0.12665000000000001</v>
      </c>
      <c r="F130" s="1711">
        <f t="shared" si="15"/>
        <v>0.87319664982910161</v>
      </c>
      <c r="G130" s="1631"/>
      <c r="H130" s="1631"/>
      <c r="I130" s="2562"/>
      <c r="J130" s="2563"/>
      <c r="K130" s="2564"/>
      <c r="L130" s="1712">
        <f t="shared" si="16"/>
        <v>1.8249809981428222</v>
      </c>
      <c r="M130" s="1581" t="str">
        <f t="shared" si="14"/>
        <v/>
      </c>
      <c r="N130" s="1514"/>
      <c r="O130" s="1514"/>
      <c r="P130" s="1514"/>
      <c r="Q130" s="1514"/>
      <c r="R130" s="1514"/>
      <c r="S130" s="1514"/>
      <c r="T130" s="1514"/>
      <c r="U130" s="1514"/>
      <c r="V130" s="1514"/>
      <c r="W130" s="1514"/>
      <c r="X130" s="1514"/>
      <c r="Y130" s="1514"/>
      <c r="Z130" s="1514"/>
      <c r="AA130" s="1514"/>
      <c r="AB130" s="1514"/>
      <c r="AC130" s="1514"/>
      <c r="AD130" s="1514"/>
    </row>
    <row r="131" spans="1:30" ht="15.75" customHeight="1" x14ac:dyDescent="0.3">
      <c r="A131" s="1522" t="s">
        <v>373</v>
      </c>
      <c r="B131" s="1708" t="s">
        <v>130</v>
      </c>
      <c r="C131" s="1709"/>
      <c r="D131" s="1710"/>
      <c r="E131" s="1638">
        <f>+'Emission Factors'!J110</f>
        <v>0.11237</v>
      </c>
      <c r="F131" s="1711">
        <f t="shared" si="15"/>
        <v>0</v>
      </c>
      <c r="G131" s="1631"/>
      <c r="H131" s="1631"/>
      <c r="I131" s="2562"/>
      <c r="J131" s="2563"/>
      <c r="K131" s="2564"/>
      <c r="L131" s="1712">
        <f t="shared" si="16"/>
        <v>0</v>
      </c>
      <c r="M131" s="1581" t="str">
        <f t="shared" si="14"/>
        <v/>
      </c>
      <c r="N131" s="1514"/>
      <c r="O131" s="1514"/>
      <c r="P131" s="1514"/>
      <c r="Q131" s="1514"/>
      <c r="R131" s="1514"/>
      <c r="S131" s="1514"/>
      <c r="T131" s="1514"/>
      <c r="U131" s="1514"/>
      <c r="V131" s="1514"/>
      <c r="W131" s="1514"/>
      <c r="X131" s="1514"/>
      <c r="Y131" s="1514"/>
      <c r="Z131" s="1514"/>
      <c r="AA131" s="1514"/>
      <c r="AB131" s="1514"/>
      <c r="AC131" s="1514"/>
      <c r="AD131" s="1514"/>
    </row>
    <row r="132" spans="1:30" ht="15" customHeight="1" x14ac:dyDescent="0.3">
      <c r="A132" s="1522" t="s">
        <v>373</v>
      </c>
      <c r="B132" s="1708" t="s">
        <v>131</v>
      </c>
      <c r="C132" s="1709"/>
      <c r="D132" s="1710">
        <v>321671.2822265625</v>
      </c>
      <c r="E132" s="1638">
        <f>+'Emission Factors'!J111</f>
        <v>8.6070000000000008E-2</v>
      </c>
      <c r="F132" s="1711">
        <f t="shared" si="15"/>
        <v>27.686247261240236</v>
      </c>
      <c r="G132" s="1631"/>
      <c r="H132" s="1631"/>
      <c r="I132" s="2562"/>
      <c r="J132" s="2563"/>
      <c r="K132" s="2564"/>
      <c r="L132" s="1712">
        <f t="shared" si="16"/>
        <v>57.864256775992089</v>
      </c>
      <c r="M132" s="1581" t="str">
        <f t="shared" si="14"/>
        <v/>
      </c>
      <c r="N132" s="1514"/>
      <c r="O132" s="1514"/>
      <c r="P132" s="1514"/>
      <c r="Q132" s="1514"/>
      <c r="R132" s="1514"/>
      <c r="S132" s="1514"/>
      <c r="T132" s="1514"/>
      <c r="U132" s="1514"/>
      <c r="V132" s="1514"/>
      <c r="W132" s="1514"/>
      <c r="X132" s="1514"/>
      <c r="Y132" s="1514"/>
      <c r="Z132" s="1514"/>
      <c r="AA132" s="1514"/>
      <c r="AB132" s="1514"/>
      <c r="AC132" s="1514"/>
      <c r="AD132" s="1514"/>
    </row>
    <row r="133" spans="1:30" ht="15.75" customHeight="1" x14ac:dyDescent="0.3">
      <c r="A133" s="1522" t="s">
        <v>373</v>
      </c>
      <c r="B133" s="1708" t="s">
        <v>132</v>
      </c>
      <c r="C133" s="1709"/>
      <c r="D133" s="1710">
        <v>214325.23046875</v>
      </c>
      <c r="E133" s="1638">
        <f>+'Emission Factors'!J112</f>
        <v>0.13770000000000002</v>
      </c>
      <c r="F133" s="1711">
        <f t="shared" si="15"/>
        <v>29.512584235546878</v>
      </c>
      <c r="G133" s="1631"/>
      <c r="H133" s="1631"/>
      <c r="I133" s="2562"/>
      <c r="J133" s="2563"/>
      <c r="K133" s="2564"/>
      <c r="L133" s="1712">
        <f t="shared" si="16"/>
        <v>61.681301052292973</v>
      </c>
      <c r="M133" s="1581" t="str">
        <f t="shared" si="14"/>
        <v/>
      </c>
      <c r="N133" s="1514"/>
      <c r="O133" s="1514"/>
      <c r="P133" s="1514"/>
      <c r="Q133" s="1514"/>
      <c r="R133" s="1514"/>
      <c r="S133" s="1514"/>
      <c r="T133" s="1514"/>
      <c r="U133" s="1514"/>
      <c r="V133" s="1514"/>
      <c r="W133" s="1514"/>
      <c r="X133" s="1514"/>
      <c r="Y133" s="1514"/>
      <c r="Z133" s="1514"/>
      <c r="AA133" s="1514"/>
      <c r="AB133" s="1514"/>
      <c r="AC133" s="1514"/>
      <c r="AD133" s="1514"/>
    </row>
    <row r="134" spans="1:30" ht="15" customHeight="1" x14ac:dyDescent="0.3">
      <c r="A134" s="1522" t="s">
        <v>373</v>
      </c>
      <c r="B134" s="1708" t="s">
        <v>133</v>
      </c>
      <c r="C134" s="1709"/>
      <c r="D134" s="1710">
        <v>33383.53125</v>
      </c>
      <c r="E134" s="1638">
        <f>+'Emission Factors'!J113</f>
        <v>0.24958</v>
      </c>
      <c r="F134" s="1711">
        <f t="shared" si="15"/>
        <v>8.3318617293749995</v>
      </c>
      <c r="G134" s="1631"/>
      <c r="H134" s="1631"/>
      <c r="I134" s="2562"/>
      <c r="J134" s="2563"/>
      <c r="K134" s="2564"/>
      <c r="L134" s="1712">
        <f t="shared" si="16"/>
        <v>17.413591014393749</v>
      </c>
      <c r="M134" s="1581" t="str">
        <f t="shared" si="14"/>
        <v/>
      </c>
      <c r="N134" s="1514"/>
      <c r="O134" s="1514"/>
      <c r="P134" s="1514"/>
      <c r="Q134" s="1514"/>
      <c r="R134" s="1514"/>
      <c r="S134" s="1514"/>
      <c r="T134" s="1514"/>
      <c r="U134" s="1514"/>
      <c r="V134" s="1514"/>
      <c r="W134" s="1514"/>
      <c r="X134" s="1514"/>
      <c r="Y134" s="1514"/>
      <c r="Z134" s="1514"/>
      <c r="AA134" s="1514"/>
      <c r="AB134" s="1514"/>
      <c r="AC134" s="1514"/>
      <c r="AD134" s="1514"/>
    </row>
    <row r="135" spans="1:30" ht="15.75" customHeight="1" thickBot="1" x14ac:dyDescent="0.35">
      <c r="A135" s="1522" t="s">
        <v>373</v>
      </c>
      <c r="B135" s="1708" t="s">
        <v>134</v>
      </c>
      <c r="C135" s="1709"/>
      <c r="D135" s="1710"/>
      <c r="E135" s="1638">
        <f>+'Emission Factors'!J114</f>
        <v>0.34425000000000006</v>
      </c>
      <c r="F135" s="1711">
        <f>(D135*E135)/1000</f>
        <v>0</v>
      </c>
      <c r="G135" s="1631"/>
      <c r="H135" s="1631"/>
      <c r="I135" s="2562"/>
      <c r="J135" s="2563"/>
      <c r="K135" s="2564"/>
      <c r="L135" s="1713">
        <f t="shared" si="16"/>
        <v>0</v>
      </c>
      <c r="M135" s="1581" t="str">
        <f t="shared" si="14"/>
        <v/>
      </c>
      <c r="N135" s="1514"/>
      <c r="O135" s="1514"/>
      <c r="P135" s="1514"/>
      <c r="Q135" s="1514"/>
      <c r="R135" s="1514"/>
      <c r="S135" s="1514"/>
      <c r="T135" s="1514"/>
      <c r="U135" s="1514"/>
      <c r="V135" s="1514"/>
      <c r="W135" s="1514"/>
      <c r="X135" s="1514"/>
      <c r="Y135" s="1514"/>
      <c r="Z135" s="1514"/>
      <c r="AA135" s="1514"/>
      <c r="AB135" s="1514"/>
      <c r="AC135" s="1514"/>
      <c r="AD135" s="1514"/>
    </row>
    <row r="136" spans="1:30" ht="15" customHeight="1" thickBot="1" x14ac:dyDescent="0.35">
      <c r="A136" s="1522" t="s">
        <v>373</v>
      </c>
      <c r="B136" s="1714" t="s">
        <v>135</v>
      </c>
      <c r="C136" s="1715"/>
      <c r="D136" s="1716">
        <v>9439.8182373046875</v>
      </c>
      <c r="E136" s="1717">
        <f>+'Emission Factors'!J115</f>
        <v>1.2260000000000002E-2</v>
      </c>
      <c r="F136" s="1718">
        <f t="shared" si="15"/>
        <v>0.11573217158935549</v>
      </c>
      <c r="G136" s="1719"/>
      <c r="H136" s="1719"/>
      <c r="I136" s="2565"/>
      <c r="J136" s="2566"/>
      <c r="K136" s="2567"/>
      <c r="L136" s="1514"/>
      <c r="M136" s="1618" t="str">
        <f t="shared" si="14"/>
        <v/>
      </c>
      <c r="N136" s="1514"/>
      <c r="O136" s="1514"/>
      <c r="P136" s="1514"/>
      <c r="Q136" s="1514"/>
      <c r="R136" s="1514"/>
      <c r="S136" s="1514"/>
      <c r="T136" s="1514"/>
      <c r="U136" s="1514"/>
      <c r="V136" s="1514"/>
      <c r="W136" s="1514"/>
      <c r="X136" s="1514"/>
      <c r="Y136" s="1514"/>
      <c r="Z136" s="1514"/>
      <c r="AA136" s="1514"/>
      <c r="AB136" s="1514"/>
      <c r="AC136" s="1514"/>
      <c r="AD136" s="1514"/>
    </row>
    <row r="137" spans="1:30" ht="15" customHeight="1" x14ac:dyDescent="0.3">
      <c r="A137" s="1514"/>
      <c r="B137" s="1720" t="s">
        <v>407</v>
      </c>
      <c r="C137" s="1721"/>
      <c r="D137" s="1722"/>
      <c r="E137" s="1723"/>
      <c r="F137" s="1724"/>
      <c r="G137" s="1724"/>
      <c r="H137" s="1724"/>
      <c r="I137" s="1725"/>
      <c r="J137" s="1725"/>
      <c r="K137" s="1725"/>
      <c r="L137" s="1726"/>
      <c r="M137" s="1727"/>
      <c r="N137" s="1514"/>
      <c r="O137" s="1514"/>
      <c r="P137" s="1514"/>
      <c r="Q137" s="1514"/>
      <c r="R137" s="1514"/>
      <c r="S137" s="1514"/>
      <c r="T137" s="1514"/>
      <c r="U137" s="1514"/>
      <c r="V137" s="1514"/>
      <c r="W137" s="1514"/>
      <c r="X137" s="1514"/>
      <c r="Y137" s="1514"/>
      <c r="Z137" s="1514"/>
      <c r="AA137" s="1514"/>
      <c r="AB137" s="1514"/>
      <c r="AC137" s="1514"/>
      <c r="AD137" s="1514"/>
    </row>
    <row r="138" spans="1:30" s="1550" customFormat="1" ht="23.4" x14ac:dyDescent="0.3">
      <c r="A138" s="1529"/>
      <c r="B138" s="1530" t="s">
        <v>136</v>
      </c>
      <c r="C138" s="1547"/>
      <c r="D138" s="2387" t="str">
        <f>+$A$1</f>
        <v>Quarter 2 - 2018-2019</v>
      </c>
      <c r="E138" s="2387"/>
      <c r="F138" s="2387"/>
      <c r="G138" s="2387"/>
      <c r="H138" s="2387"/>
      <c r="I138" s="2387"/>
      <c r="J138" s="2387"/>
      <c r="K138" s="1548"/>
      <c r="L138" s="1548"/>
      <c r="M138" s="1548"/>
      <c r="N138" s="1548"/>
      <c r="O138" s="1548"/>
      <c r="P138" s="1548"/>
      <c r="Q138" s="1548"/>
      <c r="R138" s="1548"/>
      <c r="S138" s="1548"/>
      <c r="T138" s="1548"/>
      <c r="U138" s="1548"/>
      <c r="V138" s="1548"/>
      <c r="W138" s="1548"/>
      <c r="X138" s="1548"/>
      <c r="Y138" s="1549"/>
      <c r="Z138" s="1549"/>
      <c r="AA138" s="1549"/>
      <c r="AB138" s="1549"/>
      <c r="AC138" s="1549"/>
      <c r="AD138" s="1549"/>
    </row>
    <row r="139" spans="1:30" ht="15" customHeight="1" thickBot="1" x14ac:dyDescent="0.35">
      <c r="A139" s="1522"/>
      <c r="B139" s="1534" t="s">
        <v>137</v>
      </c>
      <c r="C139" s="1721"/>
      <c r="D139" s="1722"/>
      <c r="E139" s="1723"/>
      <c r="F139" s="1724"/>
      <c r="G139" s="1724"/>
      <c r="H139" s="1724"/>
      <c r="I139" s="1725"/>
      <c r="J139" s="1725"/>
      <c r="K139" s="1725"/>
      <c r="L139" s="1514"/>
      <c r="M139" s="1514"/>
      <c r="N139" s="1514"/>
      <c r="O139" s="1514"/>
      <c r="P139" s="1514"/>
      <c r="Q139" s="1514"/>
      <c r="R139" s="1514"/>
      <c r="S139" s="1514"/>
      <c r="T139" s="1514"/>
      <c r="U139" s="1514"/>
      <c r="V139" s="1514"/>
      <c r="W139" s="1514"/>
      <c r="X139" s="1514"/>
      <c r="Y139" s="1514"/>
      <c r="Z139" s="1514"/>
      <c r="AA139" s="1514"/>
      <c r="AB139" s="1514"/>
      <c r="AC139" s="1514"/>
      <c r="AD139" s="1514"/>
    </row>
    <row r="140" spans="1:30" ht="30.75" customHeight="1" thickBot="1" x14ac:dyDescent="0.35">
      <c r="A140" s="1522"/>
      <c r="B140" s="1514"/>
      <c r="C140" s="1514"/>
      <c r="D140" s="1728"/>
      <c r="E140" s="1721"/>
      <c r="F140" s="1729" t="s">
        <v>23</v>
      </c>
      <c r="G140" s="1730"/>
      <c r="H140" s="1731" t="s">
        <v>144</v>
      </c>
      <c r="I140" s="2568" t="s">
        <v>24</v>
      </c>
      <c r="J140" s="2569"/>
      <c r="K140" s="2570"/>
      <c r="L140" s="1514"/>
      <c r="M140" s="1514"/>
      <c r="N140" s="1514"/>
      <c r="O140" s="1725"/>
      <c r="P140" s="1514"/>
      <c r="Q140" s="1514"/>
      <c r="R140" s="1514"/>
      <c r="S140" s="1514"/>
      <c r="T140" s="1514"/>
      <c r="U140" s="1514"/>
      <c r="V140" s="1514"/>
      <c r="W140" s="1514"/>
      <c r="X140" s="1514"/>
      <c r="Y140" s="1514"/>
      <c r="Z140" s="1514"/>
      <c r="AA140" s="1514"/>
      <c r="AB140" s="1514"/>
      <c r="AC140" s="1514"/>
      <c r="AD140" s="1514"/>
    </row>
    <row r="141" spans="1:30" ht="15" customHeight="1" thickBot="1" x14ac:dyDescent="0.35">
      <c r="A141" s="1522"/>
      <c r="B141" s="1514"/>
      <c r="C141" s="1514"/>
      <c r="D141" s="1534" t="str">
        <f>IF(D33&gt;0,"Please add F7 to relevant to total for relevant scope","")</f>
        <v/>
      </c>
      <c r="E141" s="1721"/>
      <c r="F141" s="1620" t="s">
        <v>28</v>
      </c>
      <c r="G141" s="1730"/>
      <c r="H141" s="1555" t="s">
        <v>28</v>
      </c>
      <c r="I141" s="2571"/>
      <c r="J141" s="2572"/>
      <c r="K141" s="2573"/>
      <c r="L141" s="1514"/>
      <c r="M141" s="1514"/>
      <c r="N141" s="1514"/>
      <c r="O141" s="1725"/>
      <c r="P141" s="1514"/>
      <c r="Q141" s="1514"/>
      <c r="R141" s="1514"/>
      <c r="S141" s="1514"/>
      <c r="T141" s="1514"/>
      <c r="U141" s="1514"/>
      <c r="V141" s="1514"/>
      <c r="W141" s="1514"/>
      <c r="X141" s="1514"/>
      <c r="Y141" s="1514"/>
      <c r="Z141" s="1514"/>
      <c r="AA141" s="1514"/>
      <c r="AB141" s="1514"/>
      <c r="AC141" s="1514"/>
      <c r="AD141" s="1514"/>
    </row>
    <row r="142" spans="1:30" ht="15" customHeight="1" thickBot="1" x14ac:dyDescent="0.35">
      <c r="A142" s="1727"/>
      <c r="B142" s="1514"/>
      <c r="C142" s="1732"/>
      <c r="D142" s="2398" t="s">
        <v>513</v>
      </c>
      <c r="E142" s="2399"/>
      <c r="F142" s="1625">
        <f>F143+F144+F145</f>
        <v>56210.470211942549</v>
      </c>
      <c r="G142" s="1730"/>
      <c r="H142" s="1627">
        <f>H143+H144+H145</f>
        <v>2114.1008818818341</v>
      </c>
      <c r="I142" s="2574"/>
      <c r="J142" s="2575"/>
      <c r="K142" s="2576"/>
      <c r="L142" s="1733"/>
      <c r="M142" s="1727"/>
      <c r="N142" s="1514"/>
      <c r="O142" s="1725"/>
      <c r="P142" s="1514"/>
      <c r="Q142" s="1514"/>
      <c r="R142" s="1514"/>
      <c r="S142" s="1514"/>
      <c r="T142" s="1514"/>
      <c r="U142" s="1514"/>
      <c r="V142" s="1514"/>
      <c r="W142" s="1514"/>
      <c r="X142" s="1514"/>
      <c r="Y142" s="1514"/>
      <c r="Z142" s="1514"/>
      <c r="AA142" s="1514"/>
      <c r="AB142" s="1514"/>
      <c r="AC142" s="1514"/>
      <c r="AD142" s="1514"/>
    </row>
    <row r="143" spans="1:30" ht="15" customHeight="1" x14ac:dyDescent="0.3">
      <c r="A143" s="1727"/>
      <c r="B143" s="1727"/>
      <c r="C143" s="1734"/>
      <c r="D143" s="2582" t="s">
        <v>139</v>
      </c>
      <c r="E143" s="2583"/>
      <c r="F143" s="1735">
        <f>F24+F25+F26+F27+F28+IF(I33="Scope 1",F33,0)+IF(I34="Scope 1",F34,0)+IF(I35="Scope 1",F35,0)+F36+F37+F38+F39+F40+F41+F42+F43+F44+F45+F46+F47+F53+T67+F64</f>
        <v>20848.999431712782</v>
      </c>
      <c r="G143" s="1736"/>
      <c r="H143" s="1612">
        <f>H24+H25+H26+H27+H28+IF(I33="Scope 1",H33,0)+IF(I34="Scope 1",H34,0)+IF(I35="Scope 1",H35,0)+H36+H37+H38+H39+H40+H41+H42+H43+H44+H45+H46+H47+H53</f>
        <v>93.623749081833964</v>
      </c>
      <c r="I143" s="2584"/>
      <c r="J143" s="2585"/>
      <c r="K143" s="2586"/>
      <c r="L143" s="1727"/>
      <c r="M143" s="1727"/>
      <c r="N143" s="1514"/>
      <c r="O143" s="1725"/>
      <c r="P143" s="1514"/>
      <c r="Q143" s="1514"/>
      <c r="R143" s="1514"/>
      <c r="S143" s="1514"/>
      <c r="T143" s="1514"/>
      <c r="U143" s="1514"/>
      <c r="V143" s="1514"/>
      <c r="W143" s="1514"/>
      <c r="X143" s="1514"/>
      <c r="Y143" s="1514"/>
      <c r="Z143" s="1514"/>
      <c r="AA143" s="1514"/>
      <c r="AB143" s="1514"/>
      <c r="AC143" s="1514"/>
      <c r="AD143" s="1514"/>
    </row>
    <row r="144" spans="1:30" ht="15" customHeight="1" x14ac:dyDescent="0.3">
      <c r="A144" s="1727"/>
      <c r="B144" s="1727"/>
      <c r="C144" s="1737"/>
      <c r="D144" s="2587" t="s">
        <v>140</v>
      </c>
      <c r="E144" s="2588"/>
      <c r="F144" s="1735">
        <f>+P20+P21+P22+P23+P29+F30+F31+P32+IF(I33="Scope 2",F33,0)+IF(I34="Scope 2",F34,0)+IF(I35="Scope 2",F35,0)</f>
        <v>30398.22314048394</v>
      </c>
      <c r="G144" s="1738"/>
      <c r="H144" s="1612">
        <f>+V20+V21+V22+V23+V29+H30+H31+V32+IF(I33="Scope 2",H33,0)+IF(I34="Scope 2",H34,0)+IF(I35="Scope 2",H35,0)</f>
        <v>1861.77233718</v>
      </c>
      <c r="I144" s="2589"/>
      <c r="J144" s="2590"/>
      <c r="K144" s="2591"/>
      <c r="L144" s="1737"/>
      <c r="M144" s="1727"/>
      <c r="N144" s="1514"/>
      <c r="O144" s="1725"/>
      <c r="P144" s="1514"/>
      <c r="Q144" s="1514"/>
      <c r="R144" s="1514"/>
      <c r="S144" s="1514"/>
      <c r="T144" s="1514"/>
      <c r="U144" s="1514"/>
      <c r="V144" s="1514"/>
      <c r="W144" s="1514"/>
      <c r="X144" s="1514"/>
      <c r="Y144" s="1514"/>
      <c r="Z144" s="1514"/>
      <c r="AA144" s="1514"/>
      <c r="AB144" s="1514"/>
      <c r="AC144" s="1514"/>
      <c r="AD144" s="1514"/>
    </row>
    <row r="145" spans="1:30" ht="15" customHeight="1" thickBot="1" x14ac:dyDescent="0.35">
      <c r="A145" s="1727"/>
      <c r="B145" s="1727"/>
      <c r="C145" s="1737"/>
      <c r="D145" s="2592" t="s">
        <v>141</v>
      </c>
      <c r="E145" s="2593"/>
      <c r="F145" s="1739">
        <f>+R20+R21+R22+R23+R29+R32+IF(I33="Scope 3",F33,0)+IF(I34="Scope 3",F34,0)+IF(I35="Scope 3",F35,0)+F86+T89+F108</f>
        <v>4963.2476397458258</v>
      </c>
      <c r="G145" s="1740"/>
      <c r="H145" s="1741">
        <f>+X20+X21+X22+X23+X29+X32+IF(I33="Scope 3",H33,0)+IF(I34="Scope 3",H34,0)+IF(I35="Scope 3",H35,0)</f>
        <v>158.70479561999997</v>
      </c>
      <c r="I145" s="2594"/>
      <c r="J145" s="2595"/>
      <c r="K145" s="2596"/>
      <c r="L145" s="1737"/>
      <c r="M145" s="1727"/>
      <c r="N145" s="1514"/>
      <c r="O145" s="1725"/>
      <c r="P145" s="1514"/>
      <c r="Q145" s="1514"/>
      <c r="R145" s="1514"/>
      <c r="S145" s="1514"/>
      <c r="T145" s="1514"/>
      <c r="U145" s="1514"/>
      <c r="V145" s="1514"/>
      <c r="W145" s="1514"/>
      <c r="X145" s="1514"/>
      <c r="Y145" s="1514"/>
      <c r="Z145" s="1514"/>
      <c r="AA145" s="1514"/>
      <c r="AB145" s="1514"/>
      <c r="AC145" s="1514"/>
      <c r="AD145" s="1514"/>
    </row>
    <row r="146" spans="1:30" ht="15" customHeight="1" thickBot="1" x14ac:dyDescent="0.35">
      <c r="A146" s="1727"/>
      <c r="B146" s="1727"/>
      <c r="C146" s="1726"/>
      <c r="D146" s="2577" t="s">
        <v>172</v>
      </c>
      <c r="E146" s="2578"/>
      <c r="F146" s="1742">
        <f>+Y67+Y89+F127</f>
        <v>9976.0421746700067</v>
      </c>
      <c r="G146" s="1743"/>
      <c r="H146" s="1626"/>
      <c r="I146" s="1744"/>
      <c r="J146" s="1745"/>
      <c r="K146" s="1746"/>
      <c r="L146" s="1514"/>
      <c r="M146" s="1727"/>
      <c r="N146" s="1514"/>
      <c r="O146" s="1725"/>
      <c r="P146" s="1514"/>
      <c r="Q146" s="1514"/>
      <c r="R146" s="1514"/>
      <c r="S146" s="1514"/>
      <c r="T146" s="1514"/>
      <c r="U146" s="1514"/>
      <c r="V146" s="1514"/>
      <c r="W146" s="1514"/>
      <c r="X146" s="1514"/>
      <c r="Y146" s="1514"/>
      <c r="Z146" s="1514"/>
      <c r="AA146" s="1514"/>
      <c r="AB146" s="1514"/>
      <c r="AC146" s="1514"/>
      <c r="AD146" s="1514"/>
    </row>
    <row r="147" spans="1:30" ht="27.75" customHeight="1" x14ac:dyDescent="0.3">
      <c r="A147" s="1522"/>
      <c r="B147" s="2579" t="s">
        <v>142</v>
      </c>
      <c r="C147" s="2579"/>
      <c r="D147" s="2579"/>
      <c r="E147" s="2579"/>
      <c r="F147" s="2579"/>
      <c r="G147" s="2579"/>
      <c r="H147" s="2579"/>
      <c r="I147" s="2579"/>
      <c r="J147" s="2579"/>
      <c r="K147" s="2579"/>
      <c r="L147" s="2579"/>
      <c r="M147" s="1514"/>
      <c r="N147" s="1514"/>
      <c r="O147" s="1514"/>
      <c r="P147" s="1514"/>
      <c r="Q147" s="1514"/>
      <c r="R147" s="1514"/>
      <c r="S147" s="1514"/>
      <c r="T147" s="1514"/>
      <c r="U147" s="1514"/>
      <c r="V147" s="1514"/>
      <c r="W147" s="1514"/>
      <c r="X147" s="1514"/>
      <c r="Y147" s="1514"/>
      <c r="Z147" s="1514"/>
      <c r="AA147" s="1514"/>
      <c r="AB147" s="1514"/>
      <c r="AC147" s="1514"/>
      <c r="AD147" s="1514"/>
    </row>
    <row r="148" spans="1:30" ht="27.75" customHeight="1" x14ac:dyDescent="0.3">
      <c r="A148" s="1522"/>
      <c r="B148" s="1747"/>
      <c r="C148" s="1747"/>
      <c r="D148" s="1747"/>
      <c r="E148" s="1747"/>
      <c r="F148" s="1747"/>
      <c r="G148" s="1747"/>
      <c r="H148" s="1747"/>
      <c r="I148" s="1747"/>
      <c r="J148" s="1747"/>
      <c r="K148" s="1747"/>
      <c r="L148" s="1747"/>
      <c r="M148" s="1514"/>
      <c r="N148" s="1514"/>
      <c r="O148" s="1514"/>
      <c r="P148" s="1514"/>
      <c r="Q148" s="1514"/>
      <c r="R148" s="1514"/>
      <c r="S148" s="1514"/>
      <c r="T148" s="1514"/>
      <c r="U148" s="1514"/>
      <c r="V148" s="1514"/>
      <c r="W148" s="1514"/>
      <c r="X148" s="1514"/>
      <c r="Y148" s="1514"/>
      <c r="Z148" s="1514"/>
      <c r="AA148" s="1514"/>
      <c r="AB148" s="1514"/>
      <c r="AC148" s="1514"/>
      <c r="AD148" s="1514"/>
    </row>
    <row r="149" spans="1:30" s="1550" customFormat="1" ht="23.4" x14ac:dyDescent="0.3">
      <c r="A149" s="1529"/>
      <c r="B149" s="1530" t="s">
        <v>462</v>
      </c>
      <c r="C149" s="1547"/>
      <c r="D149" s="2387" t="str">
        <f>+$A$1</f>
        <v>Quarter 2 - 2018-2019</v>
      </c>
      <c r="E149" s="2387"/>
      <c r="F149" s="2387"/>
      <c r="G149" s="2387"/>
      <c r="H149" s="2387"/>
      <c r="I149" s="2387"/>
      <c r="J149" s="2387"/>
      <c r="K149" s="1548"/>
      <c r="L149" s="1548"/>
      <c r="M149" s="1548"/>
      <c r="N149" s="1548"/>
      <c r="O149" s="1548"/>
      <c r="P149" s="1548"/>
      <c r="Q149" s="1548"/>
      <c r="R149" s="1548"/>
      <c r="S149" s="1548"/>
      <c r="T149" s="1548"/>
      <c r="U149" s="1548"/>
      <c r="V149" s="1548"/>
      <c r="W149" s="1548"/>
      <c r="X149" s="1548"/>
      <c r="Y149" s="1549"/>
      <c r="Z149" s="1549"/>
      <c r="AA149" s="1549"/>
      <c r="AB149" s="1549"/>
      <c r="AC149" s="1549"/>
      <c r="AD149" s="1549"/>
    </row>
    <row r="150" spans="1:30" ht="15" customHeight="1" x14ac:dyDescent="0.3">
      <c r="A150" s="1522"/>
      <c r="B150" s="1534" t="s">
        <v>480</v>
      </c>
      <c r="C150" s="1721"/>
      <c r="D150" s="1722"/>
      <c r="E150" s="1723"/>
      <c r="F150" s="1724"/>
      <c r="G150" s="1724"/>
      <c r="H150" s="1724"/>
      <c r="I150" s="1725"/>
      <c r="J150" s="1725"/>
      <c r="K150" s="1725"/>
      <c r="L150" s="1514"/>
      <c r="M150" s="1514"/>
      <c r="N150" s="1514"/>
      <c r="O150" s="1514"/>
      <c r="P150" s="1514"/>
      <c r="Q150" s="1514"/>
      <c r="R150" s="1514"/>
      <c r="S150" s="1514"/>
      <c r="T150" s="1514"/>
      <c r="U150" s="1514"/>
      <c r="V150" s="1514"/>
      <c r="W150" s="1514"/>
      <c r="X150" s="1514"/>
      <c r="Y150" s="1514"/>
      <c r="Z150" s="1514"/>
      <c r="AA150" s="1514"/>
      <c r="AB150" s="1514"/>
      <c r="AC150" s="1514"/>
      <c r="AD150" s="1514"/>
    </row>
    <row r="151" spans="1:30" ht="15" customHeight="1" thickBot="1" x14ac:dyDescent="0.35">
      <c r="A151" s="1522"/>
      <c r="B151" s="1514"/>
      <c r="C151" s="1514"/>
      <c r="D151" s="1728"/>
      <c r="E151" s="1721"/>
      <c r="F151" s="1721"/>
      <c r="G151" s="1721"/>
      <c r="H151" s="1721"/>
      <c r="I151" s="1721"/>
      <c r="J151" s="1721"/>
      <c r="K151" s="1721"/>
      <c r="L151" s="1514"/>
      <c r="M151" s="1514"/>
      <c r="N151" s="1514"/>
      <c r="O151" s="1725"/>
      <c r="P151" s="1514"/>
      <c r="Q151" s="1514"/>
      <c r="R151" s="1514"/>
      <c r="S151" s="1514"/>
      <c r="T151" s="1514"/>
      <c r="U151" s="1514"/>
      <c r="V151" s="1514"/>
      <c r="W151" s="1514"/>
      <c r="X151" s="1514"/>
      <c r="Y151" s="1514"/>
      <c r="Z151" s="1514"/>
      <c r="AA151" s="1514"/>
      <c r="AB151" s="1514"/>
      <c r="AC151" s="1514"/>
      <c r="AD151" s="1514"/>
    </row>
    <row r="152" spans="1:30" ht="15" customHeight="1" thickBot="1" x14ac:dyDescent="0.35">
      <c r="A152" s="1522"/>
      <c r="B152" s="1514"/>
      <c r="C152" s="1514"/>
      <c r="D152" s="2434" t="s">
        <v>23</v>
      </c>
      <c r="E152" s="2435"/>
      <c r="F152" s="2436"/>
      <c r="G152" s="2434" t="s">
        <v>24</v>
      </c>
      <c r="H152" s="2435"/>
      <c r="I152" s="2436"/>
      <c r="J152" s="1721"/>
      <c r="K152" s="1721"/>
      <c r="L152" s="1514"/>
      <c r="M152" s="1514"/>
      <c r="N152" s="1514"/>
      <c r="O152" s="1725"/>
      <c r="P152" s="1514"/>
      <c r="Q152" s="1514"/>
      <c r="R152" s="1514"/>
      <c r="S152" s="1514"/>
      <c r="T152" s="1514"/>
      <c r="U152" s="1514"/>
      <c r="V152" s="1514"/>
      <c r="W152" s="1514"/>
      <c r="X152" s="1514"/>
      <c r="Y152" s="1514"/>
      <c r="Z152" s="1514"/>
      <c r="AA152" s="1514"/>
      <c r="AB152" s="1514"/>
      <c r="AC152" s="1514"/>
      <c r="AD152" s="1514"/>
    </row>
    <row r="153" spans="1:30" ht="15" customHeight="1" thickBot="1" x14ac:dyDescent="0.35">
      <c r="A153" s="1522"/>
      <c r="B153" s="2580" t="s">
        <v>463</v>
      </c>
      <c r="C153" s="2581"/>
      <c r="D153" s="2465"/>
      <c r="E153" s="2466"/>
      <c r="F153" s="2467"/>
      <c r="G153" s="2428"/>
      <c r="H153" s="2429"/>
      <c r="I153" s="2430"/>
      <c r="J153" s="1721"/>
      <c r="K153" s="1721"/>
      <c r="L153" s="1733"/>
      <c r="M153" s="1727"/>
      <c r="N153" s="1514"/>
      <c r="O153" s="1725"/>
      <c r="P153" s="1514"/>
      <c r="Q153" s="1514"/>
      <c r="R153" s="1514"/>
      <c r="S153" s="1514"/>
      <c r="T153" s="1514"/>
      <c r="U153" s="1514"/>
      <c r="V153" s="1514"/>
      <c r="W153" s="1514"/>
      <c r="X153" s="1514"/>
      <c r="Y153" s="1514"/>
      <c r="Z153" s="1514"/>
      <c r="AA153" s="1514"/>
      <c r="AB153" s="1514"/>
      <c r="AC153" s="1514"/>
      <c r="AD153" s="1514"/>
    </row>
    <row r="154" spans="1:30" ht="15" customHeight="1" thickBot="1" x14ac:dyDescent="0.35">
      <c r="A154" s="1522"/>
      <c r="B154" s="2580" t="s">
        <v>464</v>
      </c>
      <c r="C154" s="2581"/>
      <c r="D154" s="1748" t="s">
        <v>466</v>
      </c>
      <c r="E154" s="2600"/>
      <c r="F154" s="2601"/>
      <c r="G154" s="2428"/>
      <c r="H154" s="2429"/>
      <c r="I154" s="2430"/>
      <c r="J154" s="1721"/>
      <c r="K154" s="1721"/>
      <c r="L154" s="1727"/>
      <c r="M154" s="1727"/>
      <c r="N154" s="1514"/>
      <c r="O154" s="1725"/>
      <c r="P154" s="1514"/>
      <c r="Q154" s="1514"/>
      <c r="R154" s="1514"/>
      <c r="S154" s="1514"/>
      <c r="T154" s="1514"/>
      <c r="U154" s="1514"/>
      <c r="V154" s="1514"/>
      <c r="W154" s="1514"/>
      <c r="X154" s="1514"/>
      <c r="Y154" s="1514"/>
      <c r="Z154" s="1514"/>
      <c r="AA154" s="1514"/>
      <c r="AB154" s="1514"/>
      <c r="AC154" s="1514"/>
      <c r="AD154" s="1514"/>
    </row>
    <row r="155" spans="1:30" ht="45" customHeight="1" thickBot="1" x14ac:dyDescent="0.35">
      <c r="A155" s="1522"/>
      <c r="B155" s="2580" t="s">
        <v>465</v>
      </c>
      <c r="C155" s="2581"/>
      <c r="D155" s="2547"/>
      <c r="E155" s="2548"/>
      <c r="F155" s="2549"/>
      <c r="G155" s="2400"/>
      <c r="H155" s="2401"/>
      <c r="I155" s="2402"/>
      <c r="J155" s="1721"/>
      <c r="K155" s="1721"/>
      <c r="L155" s="1737"/>
      <c r="M155" s="1727"/>
      <c r="N155" s="1514"/>
      <c r="O155" s="1725"/>
      <c r="P155" s="1514"/>
      <c r="Q155" s="1514"/>
      <c r="R155" s="1514"/>
      <c r="S155" s="1514"/>
      <c r="T155" s="1514"/>
      <c r="U155" s="1514"/>
      <c r="V155" s="1514"/>
      <c r="W155" s="1514"/>
      <c r="X155" s="1514"/>
      <c r="Y155" s="1514"/>
      <c r="Z155" s="1514"/>
      <c r="AA155" s="1514"/>
      <c r="AB155" s="1514"/>
      <c r="AC155" s="1514"/>
      <c r="AD155" s="1514"/>
    </row>
    <row r="156" spans="1:30" ht="15" customHeight="1" x14ac:dyDescent="0.3">
      <c r="A156" s="1522"/>
      <c r="B156" s="1747"/>
      <c r="C156" s="1747"/>
      <c r="D156" s="1747"/>
      <c r="E156" s="1747"/>
      <c r="F156" s="1747"/>
      <c r="G156" s="1747"/>
      <c r="H156" s="1747"/>
      <c r="I156" s="1747"/>
      <c r="J156" s="1747"/>
      <c r="K156" s="1747"/>
      <c r="L156" s="1747"/>
      <c r="M156" s="1514"/>
      <c r="N156" s="1514"/>
      <c r="O156" s="1514"/>
      <c r="P156" s="1514"/>
      <c r="Q156" s="1514"/>
      <c r="R156" s="1514"/>
      <c r="S156" s="1514"/>
      <c r="T156" s="1514"/>
      <c r="U156" s="1514"/>
      <c r="V156" s="1514"/>
      <c r="W156" s="1514"/>
      <c r="X156" s="1514"/>
      <c r="Y156" s="1514"/>
      <c r="Z156" s="1514"/>
      <c r="AA156" s="1514"/>
      <c r="AB156" s="1514"/>
      <c r="AC156" s="1514"/>
      <c r="AD156" s="1514"/>
    </row>
    <row r="157" spans="1:30" ht="27.75" customHeight="1" x14ac:dyDescent="0.3">
      <c r="A157" s="1529">
        <v>3</v>
      </c>
      <c r="B157" s="1530" t="s">
        <v>143</v>
      </c>
      <c r="C157" s="1531"/>
      <c r="D157" s="2387" t="str">
        <f>+$A$1</f>
        <v>Quarter 2 - 2018-2019</v>
      </c>
      <c r="E157" s="2387"/>
      <c r="F157" s="2387"/>
      <c r="G157" s="2387"/>
      <c r="H157" s="2387"/>
      <c r="I157" s="2387"/>
      <c r="J157" s="2387"/>
      <c r="K157" s="1532"/>
      <c r="L157" s="1532"/>
      <c r="M157" s="1532"/>
      <c r="N157" s="1519"/>
      <c r="O157" s="1519"/>
      <c r="P157" s="1533"/>
      <c r="Q157" s="1533"/>
      <c r="R157" s="1519"/>
      <c r="S157" s="1519"/>
      <c r="T157" s="1519"/>
      <c r="U157" s="1519"/>
      <c r="V157" s="1519"/>
      <c r="W157" s="1519"/>
      <c r="X157" s="1519"/>
      <c r="Y157" s="1519"/>
      <c r="Z157" s="1519"/>
      <c r="AA157" s="1519"/>
      <c r="AB157" s="1519"/>
      <c r="AC157" s="1519"/>
      <c r="AD157" s="1519"/>
    </row>
    <row r="158" spans="1:30" x14ac:dyDescent="0.3">
      <c r="A158" s="1522"/>
      <c r="B158" s="1514"/>
      <c r="C158" s="1514"/>
      <c r="D158" s="1551"/>
      <c r="E158" s="1535"/>
      <c r="F158" s="1535"/>
      <c r="G158" s="1535"/>
      <c r="H158" s="1535"/>
      <c r="I158" s="1535"/>
      <c r="J158" s="1543"/>
      <c r="K158" s="1749"/>
      <c r="L158" s="1535"/>
      <c r="M158" s="1535"/>
      <c r="N158" s="1514"/>
      <c r="O158" s="1514"/>
      <c r="P158" s="1514"/>
      <c r="Q158" s="1514"/>
      <c r="R158" s="1514"/>
      <c r="S158" s="1514"/>
      <c r="T158" s="1514"/>
      <c r="U158" s="1514"/>
      <c r="V158" s="1514"/>
      <c r="W158" s="1514"/>
      <c r="X158" s="1514"/>
      <c r="Y158" s="1514"/>
      <c r="Z158" s="1514"/>
      <c r="AA158" s="1514"/>
      <c r="AB158" s="1514"/>
      <c r="AC158" s="1514"/>
      <c r="AD158" s="1514"/>
    </row>
    <row r="159" spans="1:30" x14ac:dyDescent="0.3">
      <c r="A159" s="1522"/>
      <c r="B159" s="1514"/>
      <c r="C159" s="1514"/>
      <c r="D159" s="1551"/>
      <c r="E159" s="1725"/>
      <c r="F159" s="1725"/>
      <c r="G159" s="1725"/>
      <c r="H159" s="1725"/>
      <c r="I159" s="1725"/>
      <c r="J159" s="1725"/>
      <c r="K159" s="1725"/>
      <c r="L159" s="1535"/>
      <c r="M159" s="1535"/>
      <c r="N159" s="1514"/>
      <c r="O159" s="1514"/>
      <c r="P159" s="1514"/>
      <c r="Q159" s="1514"/>
      <c r="R159" s="1514"/>
      <c r="S159" s="1514"/>
      <c r="T159" s="1514"/>
      <c r="U159" s="1514"/>
      <c r="V159" s="1514"/>
      <c r="W159" s="1514"/>
      <c r="X159" s="1514"/>
      <c r="Y159" s="1514"/>
      <c r="Z159" s="1514"/>
      <c r="AA159" s="1514"/>
      <c r="AB159" s="1514"/>
      <c r="AC159" s="1514"/>
      <c r="AD159" s="1514"/>
    </row>
    <row r="160" spans="1:30" ht="18.75" customHeight="1" x14ac:dyDescent="0.3">
      <c r="A160" s="1522"/>
      <c r="B160" s="1534"/>
      <c r="C160" s="30"/>
      <c r="D160" s="1534"/>
      <c r="E160" s="1725"/>
      <c r="F160" s="1725"/>
      <c r="G160" s="1725"/>
      <c r="H160" s="1725"/>
      <c r="I160" s="1725"/>
      <c r="J160" s="1725"/>
      <c r="K160" s="1725"/>
      <c r="L160" s="1725"/>
      <c r="M160" s="1725"/>
      <c r="N160" s="1725"/>
      <c r="O160" s="1725"/>
      <c r="P160" s="1725"/>
      <c r="Q160" s="1725"/>
      <c r="R160" s="1725"/>
      <c r="S160" s="1725"/>
      <c r="T160" s="1725"/>
      <c r="U160" s="1725"/>
      <c r="V160" s="1725"/>
      <c r="W160" s="1725"/>
      <c r="X160" s="1725"/>
      <c r="Y160" s="1725"/>
      <c r="Z160" s="1725"/>
      <c r="AA160" s="1725"/>
      <c r="AB160" s="1725"/>
      <c r="AC160" s="1725"/>
      <c r="AD160" s="1725"/>
    </row>
    <row r="161" spans="1:30" ht="15.75" customHeight="1" thickBot="1" x14ac:dyDescent="0.35">
      <c r="A161" s="1522"/>
      <c r="B161" s="1514"/>
      <c r="C161" s="1514"/>
      <c r="D161" s="1534"/>
      <c r="E161" s="1514"/>
      <c r="F161" s="1551"/>
      <c r="G161" s="1551"/>
      <c r="H161" s="1551"/>
      <c r="I161" s="1725"/>
      <c r="J161" s="1725"/>
      <c r="K161" s="1725"/>
      <c r="L161" s="1725"/>
      <c r="M161" s="1725"/>
      <c r="N161" s="1725"/>
      <c r="O161" s="1725"/>
      <c r="P161" s="1725"/>
      <c r="Q161" s="1725"/>
      <c r="R161" s="1725"/>
      <c r="S161" s="1725"/>
      <c r="T161" s="1725"/>
      <c r="U161" s="1725"/>
      <c r="V161" s="1725"/>
      <c r="W161" s="1725"/>
      <c r="X161" s="1725"/>
      <c r="Y161" s="1725"/>
      <c r="Z161" s="1725"/>
      <c r="AA161" s="1725"/>
      <c r="AB161" s="1725"/>
      <c r="AC161" s="1725"/>
      <c r="AD161" s="1725"/>
    </row>
    <row r="162" spans="1:30" ht="15.75" customHeight="1" thickBot="1" x14ac:dyDescent="0.35">
      <c r="A162" s="1522"/>
      <c r="B162" s="1514"/>
      <c r="C162" s="1534"/>
      <c r="D162" s="1536" t="s">
        <v>23</v>
      </c>
      <c r="E162" s="2597" t="s">
        <v>144</v>
      </c>
      <c r="F162" s="2598"/>
      <c r="G162" s="2598"/>
      <c r="H162" s="2599"/>
      <c r="I162" s="2388" t="s">
        <v>24</v>
      </c>
      <c r="J162" s="2389"/>
      <c r="K162" s="2390"/>
      <c r="L162" s="2419" t="s">
        <v>461</v>
      </c>
      <c r="M162" s="1725"/>
      <c r="N162" s="1725"/>
      <c r="O162" s="1725"/>
      <c r="P162" s="1725"/>
      <c r="Q162" s="1725"/>
      <c r="R162" s="1725"/>
      <c r="S162" s="1725"/>
      <c r="T162" s="1725"/>
      <c r="U162" s="1725"/>
      <c r="V162" s="1725"/>
      <c r="W162" s="1725"/>
      <c r="X162" s="1725"/>
      <c r="Y162" s="1725"/>
      <c r="Z162" s="1725"/>
      <c r="AA162" s="1725"/>
      <c r="AB162" s="1725"/>
      <c r="AC162" s="1725"/>
      <c r="AD162" s="1725"/>
    </row>
    <row r="163" spans="1:30" ht="39.75" customHeight="1" thickBot="1" x14ac:dyDescent="0.35">
      <c r="A163" s="1522"/>
      <c r="B163" s="1538"/>
      <c r="C163" s="1514"/>
      <c r="D163" s="1539" t="s">
        <v>145</v>
      </c>
      <c r="E163" s="1540" t="s">
        <v>173</v>
      </c>
      <c r="F163" s="1540" t="s">
        <v>376</v>
      </c>
      <c r="G163" s="1555" t="s">
        <v>145</v>
      </c>
      <c r="H163" s="1540" t="s">
        <v>469</v>
      </c>
      <c r="I163" s="2391"/>
      <c r="J163" s="2392"/>
      <c r="K163" s="2393"/>
      <c r="L163" s="2420"/>
      <c r="M163" s="1725"/>
      <c r="N163" s="1725"/>
      <c r="O163" s="1725"/>
      <c r="P163" s="1725"/>
      <c r="Q163" s="1725"/>
      <c r="R163" s="1725"/>
      <c r="S163" s="1725"/>
      <c r="T163" s="1725"/>
      <c r="U163" s="1725"/>
      <c r="V163" s="1725"/>
      <c r="W163" s="1725"/>
      <c r="X163" s="1725"/>
      <c r="Y163" s="1725"/>
      <c r="Z163" s="1725"/>
      <c r="AA163" s="1725"/>
      <c r="AB163" s="1725"/>
      <c r="AC163" s="1725"/>
      <c r="AD163" s="1725"/>
    </row>
    <row r="164" spans="1:30" ht="15.75" customHeight="1" thickBot="1" x14ac:dyDescent="0.35">
      <c r="A164" s="1522"/>
      <c r="B164" s="2398" t="s">
        <v>146</v>
      </c>
      <c r="C164" s="2399"/>
      <c r="D164" s="1541">
        <v>2131140.24478989</v>
      </c>
      <c r="E164" s="1541">
        <v>3304</v>
      </c>
      <c r="F164" s="1542">
        <v>10224.409996032715</v>
      </c>
      <c r="G164" s="1750">
        <f>IF(Performance!$L$2="Y",D164,F164)</f>
        <v>10224.409996032715</v>
      </c>
      <c r="H164" s="1751">
        <f>IF(AND(E164&lt;&gt;0,E164&lt;&gt;""),G164/E164,"")</f>
        <v>3.0945550835450106</v>
      </c>
      <c r="I164" s="2400" t="s">
        <v>553</v>
      </c>
      <c r="J164" s="2401"/>
      <c r="K164" s="2402"/>
      <c r="L164" s="1560" t="str">
        <f>IF(OR(D164&lt;0,E164&lt;0,F164&lt;0),"Error - negative number",IF(F164&gt;D164,"Offices only &gt; Total Estate",IF(AND(H164&lt;'QA config'!D2,H164&lt;&gt;""),CONCATENATE("&lt; ",'QA config'!D2," m3/FTE"),IF(AND(H164&gt;'QA config'!C2,H164&lt;&gt;""),CONCATENATE("&gt; ",'QA config'!C2," m3/FTE"),""))))</f>
        <v/>
      </c>
      <c r="M164" s="1725"/>
      <c r="N164" s="1725"/>
      <c r="O164" s="1725"/>
      <c r="P164" s="1725"/>
      <c r="Q164" s="1725"/>
      <c r="R164" s="1725"/>
      <c r="S164" s="1725"/>
      <c r="T164" s="1725"/>
      <c r="U164" s="1725"/>
      <c r="V164" s="1725"/>
      <c r="W164" s="1725"/>
      <c r="X164" s="1725"/>
      <c r="Y164" s="1725"/>
      <c r="Z164" s="1725"/>
      <c r="AA164" s="1725"/>
      <c r="AB164" s="1725"/>
      <c r="AC164" s="1725"/>
      <c r="AD164" s="1725"/>
    </row>
    <row r="165" spans="1:30" ht="13.5" customHeight="1" x14ac:dyDescent="0.3">
      <c r="A165" s="1522"/>
      <c r="B165" s="1514" t="s">
        <v>175</v>
      </c>
      <c r="C165" s="1514"/>
      <c r="D165" s="1514"/>
      <c r="E165" s="1514"/>
      <c r="F165" s="1514"/>
      <c r="G165" s="1514"/>
      <c r="H165" s="1514"/>
      <c r="I165" s="1725"/>
      <c r="J165" s="1725"/>
      <c r="K165" s="1725"/>
      <c r="L165" s="1725"/>
      <c r="M165" s="1725"/>
      <c r="N165" s="1725"/>
      <c r="O165" s="1725"/>
      <c r="P165" s="1725"/>
      <c r="Q165" s="1725"/>
      <c r="R165" s="1725"/>
      <c r="S165" s="1725"/>
      <c r="T165" s="1725"/>
      <c r="U165" s="1725"/>
      <c r="V165" s="1725"/>
      <c r="W165" s="1725"/>
      <c r="X165" s="1725"/>
      <c r="Y165" s="1725"/>
      <c r="Z165" s="1725"/>
      <c r="AA165" s="1725"/>
      <c r="AB165" s="1725"/>
      <c r="AC165" s="1725"/>
      <c r="AD165" s="1725"/>
    </row>
    <row r="166" spans="1:30" x14ac:dyDescent="0.3">
      <c r="A166" s="1522"/>
      <c r="B166" s="1514"/>
      <c r="C166" s="1514"/>
      <c r="D166" s="1619"/>
      <c r="E166" s="1535"/>
      <c r="F166" s="1535"/>
      <c r="G166" s="1535"/>
      <c r="H166" s="1535"/>
      <c r="I166" s="1535"/>
      <c r="J166" s="1725"/>
      <c r="K166" s="1725"/>
      <c r="L166" s="1535"/>
      <c r="M166" s="1535"/>
      <c r="N166" s="1752"/>
      <c r="O166" s="1535"/>
      <c r="P166" s="1514"/>
      <c r="Q166" s="1514"/>
      <c r="R166" s="1522"/>
      <c r="S166" s="1514"/>
      <c r="T166" s="1514"/>
      <c r="U166" s="1514"/>
      <c r="V166" s="1514"/>
      <c r="W166" s="1514"/>
      <c r="X166" s="1514"/>
      <c r="Y166" s="1514"/>
      <c r="Z166" s="1514"/>
      <c r="AA166" s="1514"/>
      <c r="AB166" s="1514"/>
      <c r="AC166" s="1514"/>
      <c r="AD166" s="1514"/>
    </row>
    <row r="167" spans="1:30" ht="27.75" customHeight="1" x14ac:dyDescent="0.3">
      <c r="A167" s="1529">
        <v>4</v>
      </c>
      <c r="B167" s="1530" t="s">
        <v>147</v>
      </c>
      <c r="C167" s="1531"/>
      <c r="D167" s="2387" t="str">
        <f>+$A$1</f>
        <v>Quarter 2 - 2018-2019</v>
      </c>
      <c r="E167" s="2387"/>
      <c r="F167" s="2387"/>
      <c r="G167" s="2387"/>
      <c r="H167" s="2387"/>
      <c r="I167" s="2387"/>
      <c r="J167" s="2387"/>
      <c r="K167" s="1532"/>
      <c r="L167" s="1532"/>
      <c r="M167" s="1519"/>
      <c r="N167" s="1519"/>
      <c r="O167" s="1519"/>
      <c r="P167" s="1533"/>
      <c r="Q167" s="1519"/>
      <c r="R167" s="1519"/>
      <c r="S167" s="1519"/>
      <c r="T167" s="1519"/>
      <c r="U167" s="1519"/>
      <c r="V167" s="1519"/>
      <c r="W167" s="1519"/>
      <c r="X167" s="1519"/>
      <c r="Y167" s="1519"/>
      <c r="Z167" s="1519"/>
      <c r="AA167" s="1519"/>
      <c r="AB167" s="1519"/>
      <c r="AC167" s="1519"/>
      <c r="AD167" s="1519"/>
    </row>
    <row r="168" spans="1:30" ht="15.75" customHeight="1" thickBot="1" x14ac:dyDescent="0.35">
      <c r="A168" s="1522"/>
      <c r="B168" s="1514"/>
      <c r="C168" s="1514"/>
      <c r="D168" s="1551"/>
      <c r="E168" s="1551"/>
      <c r="F168" s="1551"/>
      <c r="G168" s="1551"/>
      <c r="H168" s="1551"/>
      <c r="I168" s="1551"/>
      <c r="J168" s="1551"/>
      <c r="K168" s="1551"/>
      <c r="L168" s="1514"/>
      <c r="M168" s="1514"/>
      <c r="N168" s="1514"/>
      <c r="O168" s="1514"/>
      <c r="P168" s="1514"/>
      <c r="Q168" s="1514"/>
      <c r="R168" s="1514"/>
      <c r="S168" s="1514"/>
      <c r="T168" s="1514"/>
      <c r="U168" s="1514"/>
      <c r="V168" s="1514"/>
      <c r="W168" s="1514"/>
      <c r="X168" s="1514"/>
      <c r="Y168" s="1514"/>
      <c r="Z168" s="1514"/>
      <c r="AA168" s="1514"/>
      <c r="AB168" s="1514"/>
      <c r="AC168" s="1514"/>
      <c r="AD168" s="1514"/>
    </row>
    <row r="169" spans="1:30" ht="13.5" customHeight="1" thickBot="1" x14ac:dyDescent="0.35">
      <c r="A169" s="1522"/>
      <c r="B169" s="1514"/>
      <c r="C169" s="1534"/>
      <c r="D169" s="1535"/>
      <c r="E169" s="2602" t="s">
        <v>23</v>
      </c>
      <c r="F169" s="2603"/>
      <c r="G169" s="2604" t="s">
        <v>144</v>
      </c>
      <c r="H169" s="2605"/>
      <c r="I169" s="2388" t="s">
        <v>24</v>
      </c>
      <c r="J169" s="2389"/>
      <c r="K169" s="2390"/>
      <c r="L169" s="2419" t="s">
        <v>461</v>
      </c>
      <c r="M169" s="1514"/>
      <c r="N169" s="1514"/>
      <c r="O169" s="1514"/>
      <c r="P169" s="1514"/>
      <c r="Q169" s="1514"/>
      <c r="R169" s="1514"/>
      <c r="S169" s="1514"/>
      <c r="T169" s="1514"/>
      <c r="U169" s="1514"/>
      <c r="V169" s="1514"/>
      <c r="W169" s="1514"/>
      <c r="X169" s="1514"/>
      <c r="Y169" s="1514"/>
      <c r="Z169" s="1514"/>
      <c r="AA169" s="1514"/>
      <c r="AB169" s="1514"/>
      <c r="AC169" s="1514"/>
      <c r="AD169" s="1514"/>
    </row>
    <row r="170" spans="1:30" ht="16.5" customHeight="1" thickBot="1" x14ac:dyDescent="0.35">
      <c r="A170" s="1522"/>
      <c r="B170" s="1514"/>
      <c r="C170" s="1538"/>
      <c r="D170" s="1514"/>
      <c r="E170" s="1753" t="s">
        <v>148</v>
      </c>
      <c r="F170" s="1754" t="s">
        <v>149</v>
      </c>
      <c r="G170" s="1555" t="s">
        <v>148</v>
      </c>
      <c r="H170" s="1555" t="s">
        <v>149</v>
      </c>
      <c r="I170" s="2391"/>
      <c r="J170" s="2392"/>
      <c r="K170" s="2393"/>
      <c r="L170" s="2420"/>
      <c r="M170" s="1514"/>
      <c r="N170" s="1514"/>
      <c r="O170" s="1514"/>
      <c r="P170" s="1514"/>
      <c r="Q170" s="1514"/>
      <c r="R170" s="1514"/>
      <c r="S170" s="1514"/>
      <c r="T170" s="1514"/>
      <c r="U170" s="1514"/>
      <c r="V170" s="1514"/>
      <c r="W170" s="1514"/>
      <c r="X170" s="1514"/>
      <c r="Y170" s="1514"/>
      <c r="Z170" s="1514"/>
      <c r="AA170" s="1514"/>
      <c r="AB170" s="1514"/>
      <c r="AC170" s="1514"/>
      <c r="AD170" s="1514"/>
    </row>
    <row r="171" spans="1:30" ht="15.75" customHeight="1" x14ac:dyDescent="0.3">
      <c r="A171" s="1522"/>
      <c r="B171" s="1755" t="s">
        <v>150</v>
      </c>
      <c r="C171" s="1756"/>
      <c r="D171" s="1757"/>
      <c r="E171" s="1758">
        <v>9670.8344962840893</v>
      </c>
      <c r="F171" s="1759">
        <f>IF($E$184&gt;0,E171/$E$184,"")</f>
        <v>0.79648023361486886</v>
      </c>
      <c r="G171" s="1570">
        <v>381.30271709442098</v>
      </c>
      <c r="H171" s="1760">
        <f>IF($G$184&gt;0,G171/$G$184,"")</f>
        <v>0.82795073902247351</v>
      </c>
      <c r="I171" s="2428" t="s">
        <v>553</v>
      </c>
      <c r="J171" s="2429"/>
      <c r="K171" s="2430"/>
      <c r="L171" s="1606" t="str">
        <f>IF(OR(E171&lt;0,G171&lt;0),"Error - negative number",IF(G171&gt;E171,"Offices only &gt; Total Estate",""))</f>
        <v/>
      </c>
      <c r="M171" s="1514"/>
      <c r="N171" s="1514"/>
      <c r="O171" s="1514"/>
      <c r="P171" s="1514"/>
      <c r="Q171" s="1514"/>
      <c r="R171" s="1514"/>
      <c r="S171" s="1514"/>
      <c r="T171" s="1514"/>
      <c r="U171" s="1514"/>
      <c r="V171" s="1514"/>
      <c r="W171" s="1514"/>
      <c r="X171" s="1514"/>
      <c r="Y171" s="1514"/>
      <c r="Z171" s="1514"/>
      <c r="AA171" s="1514"/>
      <c r="AB171" s="1514"/>
      <c r="AC171" s="1514"/>
      <c r="AD171" s="1514"/>
    </row>
    <row r="172" spans="1:30" ht="15.75" customHeight="1" x14ac:dyDescent="0.3">
      <c r="A172" s="1522"/>
      <c r="B172" s="1761" t="s">
        <v>365</v>
      </c>
      <c r="C172" s="1762"/>
      <c r="D172" s="1763"/>
      <c r="E172" s="1758">
        <v>294.07336717082563</v>
      </c>
      <c r="F172" s="1764"/>
      <c r="G172" s="1570"/>
      <c r="H172" s="1765"/>
      <c r="I172" s="2431"/>
      <c r="J172" s="2432"/>
      <c r="K172" s="2433"/>
      <c r="L172" s="1581" t="str">
        <f t="shared" ref="L172:L185" si="17">IF(OR(E172&lt;0,G172&lt;0),"Error - negative number",IF(G172&gt;E172,"Offices only &gt; Total Estate",""))</f>
        <v/>
      </c>
      <c r="M172" s="1514"/>
      <c r="N172" s="1514"/>
      <c r="O172" s="1514"/>
      <c r="P172" s="1514"/>
      <c r="Q172" s="1514"/>
      <c r="R172" s="1514"/>
      <c r="S172" s="1514"/>
      <c r="T172" s="1514"/>
      <c r="U172" s="1514"/>
      <c r="V172" s="1514"/>
      <c r="W172" s="1514"/>
      <c r="X172" s="1514"/>
      <c r="Y172" s="1514"/>
      <c r="Z172" s="1514"/>
      <c r="AA172" s="1514"/>
      <c r="AB172" s="1514"/>
      <c r="AC172" s="1514"/>
      <c r="AD172" s="1514"/>
    </row>
    <row r="173" spans="1:30" ht="15.75" customHeight="1" x14ac:dyDescent="0.3">
      <c r="A173" s="1522"/>
      <c r="B173" s="1766" t="s">
        <v>151</v>
      </c>
      <c r="C173" s="1767"/>
      <c r="D173" s="1768"/>
      <c r="E173" s="1758">
        <v>0.84170000076293938</v>
      </c>
      <c r="F173" s="1769">
        <f>IF($E$184&gt;0,E173/$E$184,"")</f>
        <v>6.9321568216154869E-5</v>
      </c>
      <c r="G173" s="1570">
        <v>1.8700000762939498E-2</v>
      </c>
      <c r="H173" s="1770">
        <f>IF($G$184&gt;0,G173/$G$184,"")</f>
        <v>4.06046921705062E-5</v>
      </c>
      <c r="I173" s="2431"/>
      <c r="J173" s="2432"/>
      <c r="K173" s="2433"/>
      <c r="L173" s="1581" t="str">
        <f t="shared" si="17"/>
        <v/>
      </c>
      <c r="M173" s="1514"/>
      <c r="N173" s="1514"/>
      <c r="O173" s="1514"/>
      <c r="P173" s="1514"/>
      <c r="Q173" s="1514"/>
      <c r="R173" s="1514"/>
      <c r="S173" s="1514"/>
      <c r="T173" s="1514"/>
      <c r="U173" s="1514"/>
      <c r="V173" s="1514"/>
      <c r="W173" s="1514"/>
      <c r="X173" s="1514"/>
      <c r="Y173" s="1514"/>
      <c r="Z173" s="1514"/>
      <c r="AA173" s="1514"/>
      <c r="AB173" s="1514"/>
      <c r="AC173" s="1514"/>
      <c r="AD173" s="1514"/>
    </row>
    <row r="174" spans="1:30" ht="15.75" customHeight="1" x14ac:dyDescent="0.3">
      <c r="A174" s="1522"/>
      <c r="B174" s="1766" t="s">
        <v>185</v>
      </c>
      <c r="C174" s="1767"/>
      <c r="D174" s="1768"/>
      <c r="E174" s="1758"/>
      <c r="F174" s="1764"/>
      <c r="G174" s="1570"/>
      <c r="H174" s="1765"/>
      <c r="I174" s="2431"/>
      <c r="J174" s="2432"/>
      <c r="K174" s="2433"/>
      <c r="L174" s="1581" t="str">
        <f t="shared" si="17"/>
        <v/>
      </c>
      <c r="M174" s="1514"/>
      <c r="N174" s="1514"/>
      <c r="O174" s="1514"/>
      <c r="P174" s="1514"/>
      <c r="Q174" s="1514"/>
      <c r="R174" s="1514"/>
      <c r="S174" s="1514"/>
      <c r="T174" s="1514"/>
      <c r="U174" s="1514"/>
      <c r="V174" s="1514"/>
      <c r="W174" s="1514"/>
      <c r="X174" s="1514"/>
      <c r="Y174" s="1514"/>
      <c r="Z174" s="1514"/>
      <c r="AA174" s="1514"/>
      <c r="AB174" s="1514"/>
      <c r="AC174" s="1514"/>
      <c r="AD174" s="1514"/>
    </row>
    <row r="175" spans="1:30" ht="15.75" customHeight="1" x14ac:dyDescent="0.3">
      <c r="A175" s="1522"/>
      <c r="B175" s="1766" t="s">
        <v>152</v>
      </c>
      <c r="C175" s="1767"/>
      <c r="D175" s="1768"/>
      <c r="E175" s="1758"/>
      <c r="F175" s="1769">
        <f>IF($E$184&gt;0,E175/$E$184,"")</f>
        <v>0</v>
      </c>
      <c r="G175" s="1570"/>
      <c r="H175" s="1770">
        <f>IF($G$184&gt;0,G175/$G$184,"")</f>
        <v>0</v>
      </c>
      <c r="I175" s="2431"/>
      <c r="J175" s="2432"/>
      <c r="K175" s="2433"/>
      <c r="L175" s="1581" t="str">
        <f t="shared" si="17"/>
        <v/>
      </c>
      <c r="M175" s="1514"/>
      <c r="N175" s="1514"/>
      <c r="O175" s="1514"/>
      <c r="P175" s="1514"/>
      <c r="Q175" s="1514"/>
      <c r="R175" s="1514"/>
      <c r="S175" s="1514"/>
      <c r="T175" s="1514"/>
      <c r="U175" s="1514"/>
      <c r="V175" s="1514"/>
      <c r="W175" s="1514"/>
      <c r="X175" s="1514"/>
      <c r="Y175" s="1514"/>
      <c r="Z175" s="1514"/>
      <c r="AA175" s="1514"/>
      <c r="AB175" s="1514"/>
      <c r="AC175" s="1514"/>
      <c r="AD175" s="1514"/>
    </row>
    <row r="176" spans="1:30" ht="15.75" customHeight="1" x14ac:dyDescent="0.3">
      <c r="A176" s="1522"/>
      <c r="B176" s="1761" t="s">
        <v>153</v>
      </c>
      <c r="C176" s="1762"/>
      <c r="D176" s="1763"/>
      <c r="E176" s="1758">
        <v>666.94637499999988</v>
      </c>
      <c r="F176" s="1769">
        <f>IF($E$184&gt;0,E176/$E$184,"")</f>
        <v>5.4929034797638318E-2</v>
      </c>
      <c r="G176" s="1570">
        <v>19.524374999999999</v>
      </c>
      <c r="H176" s="1770">
        <f>IF($G$184&gt;0,G176/$G$184,"")</f>
        <v>4.2394716810263258E-2</v>
      </c>
      <c r="I176" s="2431"/>
      <c r="J176" s="2432"/>
      <c r="K176" s="2433"/>
      <c r="L176" s="1581" t="str">
        <f t="shared" si="17"/>
        <v/>
      </c>
      <c r="M176" s="1514"/>
      <c r="N176" s="1514"/>
      <c r="O176" s="1514"/>
      <c r="P176" s="1514"/>
      <c r="Q176" s="1514"/>
      <c r="R176" s="1514"/>
      <c r="S176" s="1514"/>
      <c r="T176" s="1514"/>
      <c r="U176" s="1514"/>
      <c r="V176" s="1514"/>
      <c r="W176" s="1514"/>
      <c r="X176" s="1514"/>
      <c r="Y176" s="1514"/>
      <c r="Z176" s="1514"/>
      <c r="AA176" s="1514"/>
      <c r="AB176" s="1514"/>
      <c r="AC176" s="1514"/>
      <c r="AD176" s="1514"/>
    </row>
    <row r="177" spans="1:30" ht="15.75" customHeight="1" x14ac:dyDescent="0.3">
      <c r="A177" s="1522"/>
      <c r="B177" s="1761" t="s">
        <v>154</v>
      </c>
      <c r="C177" s="1762"/>
      <c r="D177" s="1763"/>
      <c r="E177" s="1758">
        <v>1439.1987893349501</v>
      </c>
      <c r="F177" s="1769">
        <f>IF($E$184&gt;0,E177/$E$184,"")</f>
        <v>0.11853096942029025</v>
      </c>
      <c r="G177" s="1570"/>
      <c r="H177" s="1770">
        <f>IF($G$184&gt;0,G177/$G$184,"")</f>
        <v>0</v>
      </c>
      <c r="I177" s="2431"/>
      <c r="J177" s="2432"/>
      <c r="K177" s="2433"/>
      <c r="L177" s="1581" t="str">
        <f t="shared" si="17"/>
        <v/>
      </c>
      <c r="M177" s="1514"/>
      <c r="N177" s="1514"/>
      <c r="O177" s="1514"/>
      <c r="P177" s="1514"/>
      <c r="Q177" s="1514"/>
      <c r="R177" s="1514"/>
      <c r="S177" s="1514"/>
      <c r="T177" s="1514"/>
      <c r="U177" s="1514"/>
      <c r="V177" s="1514"/>
      <c r="W177" s="1514"/>
      <c r="X177" s="1514"/>
      <c r="Y177" s="1514"/>
      <c r="Z177" s="1514"/>
      <c r="AA177" s="1514"/>
      <c r="AB177" s="1514"/>
      <c r="AC177" s="1514"/>
      <c r="AD177" s="1514"/>
    </row>
    <row r="178" spans="1:30" ht="15.75" customHeight="1" thickBot="1" x14ac:dyDescent="0.35">
      <c r="A178" s="1522"/>
      <c r="B178" s="1771" t="s">
        <v>155</v>
      </c>
      <c r="C178" s="1772"/>
      <c r="D178" s="1773"/>
      <c r="E178" s="1774"/>
      <c r="F178" s="1775">
        <f>IF($E$184&gt;0,E178/$E$184,"")</f>
        <v>0</v>
      </c>
      <c r="G178" s="1776"/>
      <c r="H178" s="1777">
        <f>IF($G$184&gt;0,G178/$G$184,"")</f>
        <v>0</v>
      </c>
      <c r="I178" s="2611"/>
      <c r="J178" s="2612"/>
      <c r="K178" s="2613"/>
      <c r="L178" s="1778" t="str">
        <f t="shared" si="17"/>
        <v/>
      </c>
      <c r="M178" s="1514"/>
      <c r="N178" s="1514"/>
      <c r="O178" s="1514"/>
      <c r="P178" s="1514"/>
      <c r="Q178" s="1514"/>
      <c r="R178" s="1514"/>
      <c r="S178" s="1514"/>
      <c r="T178" s="1514"/>
      <c r="U178" s="1514"/>
      <c r="V178" s="1514"/>
      <c r="W178" s="1514"/>
      <c r="X178" s="1514"/>
      <c r="Y178" s="1514"/>
      <c r="Z178" s="1514"/>
      <c r="AA178" s="1514"/>
      <c r="AB178" s="1514"/>
      <c r="AC178" s="1514"/>
      <c r="AD178" s="1514"/>
    </row>
    <row r="179" spans="1:30" ht="15.75" customHeight="1" thickBot="1" x14ac:dyDescent="0.35">
      <c r="A179" s="1522"/>
      <c r="B179" s="1779" t="s">
        <v>156</v>
      </c>
      <c r="C179" s="1780"/>
      <c r="D179" s="1781"/>
      <c r="E179" s="1782"/>
      <c r="F179" s="1748"/>
      <c r="G179" s="1626"/>
      <c r="H179" s="1783"/>
      <c r="I179" s="2400"/>
      <c r="J179" s="2401"/>
      <c r="K179" s="2402"/>
      <c r="L179" s="1560" t="str">
        <f t="shared" si="17"/>
        <v/>
      </c>
      <c r="M179" s="1514"/>
      <c r="N179" s="1514"/>
      <c r="O179" s="1514"/>
      <c r="P179" s="1514"/>
      <c r="Q179" s="1514"/>
      <c r="R179" s="1514"/>
      <c r="S179" s="1514"/>
      <c r="T179" s="1514"/>
      <c r="U179" s="1514"/>
      <c r="V179" s="1514"/>
      <c r="W179" s="1514"/>
      <c r="X179" s="1514"/>
      <c r="Y179" s="1514"/>
      <c r="Z179" s="1514"/>
      <c r="AA179" s="1514"/>
      <c r="AB179" s="1514"/>
      <c r="AC179" s="1514"/>
      <c r="AD179" s="1514"/>
    </row>
    <row r="180" spans="1:30" ht="15.75" customHeight="1" thickBot="1" x14ac:dyDescent="0.35">
      <c r="A180" s="1522"/>
      <c r="B180" s="1784" t="s">
        <v>157</v>
      </c>
      <c r="C180" s="1785"/>
      <c r="D180" s="1786"/>
      <c r="E180" s="1787">
        <f>+E171+E173+E176</f>
        <v>10338.622571284852</v>
      </c>
      <c r="F180" s="1748">
        <f>IF(E184=0,"",+E180/E184)</f>
        <v>0.85147858998072323</v>
      </c>
      <c r="G180" s="1788">
        <f>IF(Performance!$L$2="y",E180,G171+G173+G176)</f>
        <v>400.84579209518392</v>
      </c>
      <c r="H180" s="1789">
        <f>IF(G184=0,"",+G180/G184)</f>
        <v>0.8703860605249073</v>
      </c>
      <c r="I180" s="2614"/>
      <c r="J180" s="2615"/>
      <c r="K180" s="2616"/>
      <c r="L180" s="1560" t="str">
        <f t="shared" si="17"/>
        <v/>
      </c>
      <c r="M180" s="1514"/>
      <c r="N180" s="1514"/>
      <c r="O180" s="1514"/>
      <c r="P180" s="1514"/>
      <c r="Q180" s="1514"/>
      <c r="R180" s="1514"/>
      <c r="S180" s="1514"/>
      <c r="T180" s="1514"/>
      <c r="U180" s="1514"/>
      <c r="V180" s="1514"/>
      <c r="W180" s="1514"/>
      <c r="X180" s="1514"/>
      <c r="Y180" s="1514"/>
      <c r="Z180" s="1514"/>
      <c r="AA180" s="1514"/>
      <c r="AB180" s="1514"/>
      <c r="AC180" s="1514"/>
      <c r="AD180" s="1514"/>
    </row>
    <row r="181" spans="1:30" ht="15.75" customHeight="1" thickBot="1" x14ac:dyDescent="0.35">
      <c r="A181" s="1522"/>
      <c r="B181" s="1790" t="s">
        <v>521</v>
      </c>
      <c r="C181" s="1791"/>
      <c r="D181" s="1792"/>
      <c r="E181" s="1793">
        <f>E173+E175</f>
        <v>0.84170000076293938</v>
      </c>
      <c r="F181" s="1794">
        <f>IF($E$184&gt;0,E181/$E$184,"")</f>
        <v>6.9321568216154869E-5</v>
      </c>
      <c r="G181" s="1795">
        <f>IF(Performance!$L$2="y",E181,G173+G175)</f>
        <v>1.8700000762939498E-2</v>
      </c>
      <c r="H181" s="1796">
        <f>IF($G$184&gt;0,G181/$G$184,"")</f>
        <v>4.06046921705062E-5</v>
      </c>
      <c r="I181" s="2400"/>
      <c r="J181" s="2401"/>
      <c r="K181" s="2402"/>
      <c r="L181" s="1560" t="str">
        <f t="shared" si="17"/>
        <v/>
      </c>
      <c r="M181" s="1514"/>
      <c r="N181" s="1514"/>
      <c r="O181" s="1514"/>
      <c r="P181" s="1514"/>
      <c r="Q181" s="1514"/>
      <c r="R181" s="1514"/>
      <c r="S181" s="1514"/>
      <c r="T181" s="1514"/>
      <c r="U181" s="1514"/>
      <c r="V181" s="1514"/>
      <c r="W181" s="1514"/>
      <c r="X181" s="1514"/>
      <c r="Y181" s="1514"/>
      <c r="Z181" s="1514"/>
      <c r="AA181" s="1514"/>
      <c r="AB181" s="1514"/>
      <c r="AC181" s="1514"/>
      <c r="AD181" s="1514"/>
    </row>
    <row r="182" spans="1:30" ht="15.75" customHeight="1" thickBot="1" x14ac:dyDescent="0.35">
      <c r="A182" s="1522"/>
      <c r="B182" s="1784" t="s">
        <v>522</v>
      </c>
      <c r="C182" s="1785"/>
      <c r="D182" s="1786"/>
      <c r="E182" s="1793">
        <f>SUM(E171:E178)-E172-E174</f>
        <v>11777.821360619802</v>
      </c>
      <c r="F182" s="1748">
        <f>IF($E$184&gt;0,E182/$E$184,"")</f>
        <v>0.97000955940101352</v>
      </c>
      <c r="G182" s="1795">
        <f>IF(Performance!$L$2="y",E182,SUM(G171:G178)-G172-G174)</f>
        <v>400.84579209518392</v>
      </c>
      <c r="H182" s="1783">
        <f>IF($G$184&gt;0,G182/$G$184,"")</f>
        <v>0.8703860605249073</v>
      </c>
      <c r="I182" s="2400"/>
      <c r="J182" s="2401"/>
      <c r="K182" s="2402"/>
      <c r="L182" s="1560" t="str">
        <f t="shared" si="17"/>
        <v/>
      </c>
      <c r="M182" s="1514"/>
      <c r="N182" s="1514"/>
      <c r="O182" s="1514"/>
      <c r="P182" s="1514"/>
      <c r="Q182" s="1514"/>
      <c r="R182" s="1514"/>
      <c r="S182" s="1514"/>
      <c r="T182" s="1514"/>
      <c r="U182" s="1514"/>
      <c r="V182" s="1514"/>
      <c r="W182" s="1514"/>
      <c r="X182" s="1514"/>
      <c r="Y182" s="1514"/>
      <c r="Z182" s="1514"/>
      <c r="AA182" s="1514"/>
      <c r="AB182" s="1514"/>
      <c r="AC182" s="1514"/>
      <c r="AD182" s="1514"/>
    </row>
    <row r="183" spans="1:30" ht="15.75" customHeight="1" thickBot="1" x14ac:dyDescent="0.35">
      <c r="A183" s="1522"/>
      <c r="B183" s="1790" t="s">
        <v>160</v>
      </c>
      <c r="C183" s="1791"/>
      <c r="D183" s="1792"/>
      <c r="E183" s="1758">
        <v>364.14285661190701</v>
      </c>
      <c r="F183" s="1748">
        <f>IF($E$184&gt;0,E183/$E$184,"")</f>
        <v>2.9990440598986486E-2</v>
      </c>
      <c r="G183" s="1570">
        <v>59.6921350097656</v>
      </c>
      <c r="H183" s="1783">
        <f>IF($G$184&gt;0,G183/$G$184,"")</f>
        <v>0.12961393947509275</v>
      </c>
      <c r="I183" s="2614"/>
      <c r="J183" s="2615"/>
      <c r="K183" s="2616"/>
      <c r="L183" s="1560" t="str">
        <f t="shared" si="17"/>
        <v/>
      </c>
      <c r="M183" s="1514"/>
      <c r="N183" s="1514"/>
      <c r="O183" s="1514"/>
      <c r="P183" s="1514"/>
      <c r="Q183" s="1514"/>
      <c r="R183" s="1514"/>
      <c r="S183" s="1514"/>
      <c r="T183" s="1514"/>
      <c r="U183" s="1514"/>
      <c r="V183" s="1514"/>
      <c r="W183" s="1514"/>
      <c r="X183" s="1514"/>
      <c r="Y183" s="1514"/>
      <c r="Z183" s="1514"/>
      <c r="AA183" s="1514"/>
      <c r="AB183" s="1514"/>
      <c r="AC183" s="1514"/>
      <c r="AD183" s="1514"/>
    </row>
    <row r="184" spans="1:30" ht="15.75" customHeight="1" thickBot="1" x14ac:dyDescent="0.35">
      <c r="A184" s="1522"/>
      <c r="B184" s="1797" t="s">
        <v>523</v>
      </c>
      <c r="C184" s="1798"/>
      <c r="D184" s="1799"/>
      <c r="E184" s="1793">
        <f>E183+E182</f>
        <v>12141.964217231709</v>
      </c>
      <c r="F184" s="1800"/>
      <c r="G184" s="1801">
        <f>IF(Performance!$L$2="y",E184,G183+G182)</f>
        <v>460.53792710494952</v>
      </c>
      <c r="H184" s="1802"/>
      <c r="I184" s="2400"/>
      <c r="J184" s="2401"/>
      <c r="K184" s="2402"/>
      <c r="L184" s="1560" t="str">
        <f t="shared" si="17"/>
        <v/>
      </c>
      <c r="M184" s="1514"/>
      <c r="N184" s="1514"/>
      <c r="O184" s="1514"/>
      <c r="P184" s="1514"/>
      <c r="Q184" s="1514"/>
      <c r="R184" s="1514"/>
      <c r="S184" s="1514"/>
      <c r="T184" s="1514"/>
      <c r="U184" s="1514"/>
      <c r="V184" s="1514"/>
      <c r="W184" s="1514"/>
      <c r="X184" s="1514"/>
      <c r="Y184" s="1514"/>
      <c r="Z184" s="1514"/>
      <c r="AA184" s="1514"/>
      <c r="AB184" s="1514"/>
      <c r="AC184" s="1514"/>
      <c r="AD184" s="1514"/>
    </row>
    <row r="185" spans="1:30" ht="17.25" customHeight="1" thickBot="1" x14ac:dyDescent="0.35">
      <c r="A185" s="1522"/>
      <c r="B185" s="1803" t="s">
        <v>162</v>
      </c>
      <c r="C185" s="1804"/>
      <c r="D185" s="1805"/>
      <c r="E185" s="1806"/>
      <c r="F185" s="1748">
        <f>IF($E$184&gt;0,E185/$E$184,"")</f>
        <v>0</v>
      </c>
      <c r="G185" s="1626"/>
      <c r="H185" s="1783">
        <f>IF($E$184&gt;0,G185/$E$184,"")</f>
        <v>0</v>
      </c>
      <c r="I185" s="2606"/>
      <c r="J185" s="2607"/>
      <c r="K185" s="2608"/>
      <c r="L185" s="1560" t="str">
        <f t="shared" si="17"/>
        <v/>
      </c>
      <c r="M185" s="1514"/>
      <c r="N185" s="1514"/>
      <c r="O185" s="1514"/>
      <c r="P185" s="1514"/>
      <c r="Q185" s="1514"/>
      <c r="R185" s="1514"/>
      <c r="S185" s="1514"/>
      <c r="T185" s="1514"/>
      <c r="U185" s="1514"/>
      <c r="V185" s="1514"/>
      <c r="W185" s="1514"/>
      <c r="X185" s="1514"/>
      <c r="Y185" s="1514"/>
      <c r="Z185" s="1514"/>
      <c r="AA185" s="1514"/>
      <c r="AB185" s="1514"/>
      <c r="AC185" s="1514"/>
      <c r="AD185" s="1514"/>
    </row>
    <row r="186" spans="1:30" ht="31.5" customHeight="1" x14ac:dyDescent="0.3">
      <c r="A186" s="1522"/>
      <c r="B186" s="1514"/>
      <c r="C186" s="2609" t="s">
        <v>163</v>
      </c>
      <c r="D186" s="2610"/>
      <c r="E186" s="2610"/>
      <c r="F186" s="2610"/>
      <c r="G186" s="2610"/>
      <c r="H186" s="2610"/>
      <c r="I186" s="2610"/>
      <c r="J186" s="2610"/>
      <c r="K186" s="1543"/>
      <c r="L186" s="1749"/>
      <c r="M186" s="1535"/>
      <c r="N186" s="1535"/>
      <c r="O186" s="1514"/>
      <c r="P186" s="1514"/>
      <c r="Q186" s="1514"/>
      <c r="R186" s="1514"/>
      <c r="S186" s="1514"/>
      <c r="T186" s="1514"/>
      <c r="U186" s="1514"/>
      <c r="V186" s="1514"/>
      <c r="W186" s="1514"/>
      <c r="X186" s="1514"/>
      <c r="Y186" s="1514"/>
      <c r="Z186" s="1514"/>
      <c r="AA186" s="1514"/>
      <c r="AB186" s="1514"/>
      <c r="AC186" s="1514"/>
      <c r="AD186" s="1514"/>
    </row>
    <row r="187" spans="1:30" ht="27.75" customHeight="1" x14ac:dyDescent="0.3">
      <c r="A187" s="1529">
        <v>5</v>
      </c>
      <c r="B187" s="1530" t="s">
        <v>164</v>
      </c>
      <c r="C187" s="1531"/>
      <c r="D187" s="2387" t="str">
        <f>+$A$1</f>
        <v>Quarter 2 - 2018-2019</v>
      </c>
      <c r="E187" s="2387"/>
      <c r="F187" s="2387"/>
      <c r="G187" s="2387"/>
      <c r="H187" s="2387"/>
      <c r="I187" s="2387"/>
      <c r="J187" s="2387"/>
      <c r="K187" s="1532"/>
      <c r="L187" s="1532"/>
      <c r="M187" s="1532"/>
      <c r="N187" s="1519"/>
      <c r="O187" s="1519"/>
      <c r="P187" s="1533"/>
      <c r="Q187" s="1533"/>
      <c r="R187" s="1519"/>
      <c r="S187" s="1519"/>
      <c r="T187" s="1519"/>
      <c r="U187" s="1519"/>
      <c r="V187" s="1519"/>
      <c r="W187" s="1519"/>
      <c r="X187" s="1519"/>
      <c r="Y187" s="1519"/>
      <c r="Z187" s="1519"/>
      <c r="AA187" s="1519"/>
      <c r="AB187" s="1519"/>
      <c r="AC187" s="1519"/>
      <c r="AD187" s="1519"/>
    </row>
    <row r="188" spans="1:30" ht="15.75" customHeight="1" thickBot="1" x14ac:dyDescent="0.35">
      <c r="A188" s="1522"/>
      <c r="B188" s="1534"/>
      <c r="C188" s="1514"/>
      <c r="D188" s="1551"/>
      <c r="E188" s="1551"/>
      <c r="F188" s="1551"/>
      <c r="G188" s="1551"/>
      <c r="H188" s="1551"/>
      <c r="I188" s="1551"/>
      <c r="J188" s="1551"/>
      <c r="K188" s="1551"/>
      <c r="L188" s="1514"/>
      <c r="M188" s="1514"/>
      <c r="N188" s="1514"/>
      <c r="O188" s="1514"/>
      <c r="P188" s="1514"/>
      <c r="Q188" s="1514"/>
      <c r="R188" s="1514"/>
      <c r="S188" s="1514"/>
      <c r="T188" s="1514"/>
      <c r="U188" s="1514"/>
      <c r="V188" s="1514"/>
      <c r="W188" s="1514"/>
      <c r="X188" s="1514"/>
      <c r="Y188" s="1514"/>
      <c r="Z188" s="1514"/>
      <c r="AA188" s="1514"/>
      <c r="AB188" s="1514"/>
      <c r="AC188" s="1514"/>
      <c r="AD188" s="1514"/>
    </row>
    <row r="189" spans="1:30" ht="15.75" customHeight="1" thickBot="1" x14ac:dyDescent="0.35">
      <c r="A189" s="1522"/>
      <c r="B189" s="2434" t="s">
        <v>23</v>
      </c>
      <c r="C189" s="2435"/>
      <c r="D189" s="2435"/>
      <c r="E189" s="2436"/>
      <c r="F189" s="2388" t="s">
        <v>24</v>
      </c>
      <c r="G189" s="2389"/>
      <c r="H189" s="2390"/>
      <c r="I189" s="2394" t="s">
        <v>461</v>
      </c>
      <c r="J189" s="2395"/>
      <c r="K189" s="1514"/>
      <c r="L189" s="1514"/>
      <c r="M189" s="1514"/>
      <c r="N189" s="1514"/>
      <c r="O189" s="1514"/>
      <c r="P189" s="1514"/>
      <c r="Q189" s="1514"/>
      <c r="R189" s="1514"/>
      <c r="S189" s="1514"/>
      <c r="T189" s="1514"/>
      <c r="U189" s="1514"/>
      <c r="V189" s="1514"/>
      <c r="W189" s="1514"/>
      <c r="X189" s="1514"/>
      <c r="Y189" s="1514"/>
      <c r="Z189" s="1514"/>
      <c r="AA189" s="1514"/>
      <c r="AB189" s="1514"/>
      <c r="AC189" s="1514"/>
      <c r="AD189" s="1514"/>
    </row>
    <row r="190" spans="1:30" ht="24.6" thickBot="1" x14ac:dyDescent="0.35">
      <c r="A190" s="1522"/>
      <c r="B190" s="1807" t="s">
        <v>165</v>
      </c>
      <c r="C190" s="1808" t="s">
        <v>166</v>
      </c>
      <c r="D190" s="1809" t="s">
        <v>167</v>
      </c>
      <c r="E190" s="1810" t="s">
        <v>168</v>
      </c>
      <c r="F190" s="2391"/>
      <c r="G190" s="2392"/>
      <c r="H190" s="2393"/>
      <c r="I190" s="2396"/>
      <c r="J190" s="2397"/>
      <c r="K190" s="1514"/>
      <c r="L190" s="1514"/>
      <c r="M190" s="1514"/>
      <c r="N190" s="1514"/>
      <c r="O190" s="1514"/>
      <c r="P190" s="1514"/>
      <c r="Q190" s="1514"/>
      <c r="R190" s="1514"/>
      <c r="S190" s="1514"/>
      <c r="T190" s="1514"/>
      <c r="U190" s="1514"/>
      <c r="V190" s="1514"/>
      <c r="W190" s="1514"/>
      <c r="X190" s="1514"/>
      <c r="Y190" s="1514"/>
      <c r="Z190" s="1514"/>
      <c r="AA190" s="1514"/>
      <c r="AB190" s="1514"/>
      <c r="AC190" s="1514"/>
      <c r="AD190" s="1514"/>
    </row>
    <row r="191" spans="1:30" ht="14.4" thickBot="1" x14ac:dyDescent="0.35">
      <c r="A191" s="1522"/>
      <c r="B191" s="1623">
        <v>254803</v>
      </c>
      <c r="C191" s="1623">
        <v>1573</v>
      </c>
      <c r="D191" s="1623">
        <v>421</v>
      </c>
      <c r="E191" s="1811">
        <f>B191+(C191*2)+(D191/2)</f>
        <v>258159.5</v>
      </c>
      <c r="F191" s="2400"/>
      <c r="G191" s="2401"/>
      <c r="H191" s="2402"/>
      <c r="I191" s="2403" t="str">
        <f>IF(OR(B191&lt;0,C191&lt;0,D191&lt;0),"Error - Negative number","")</f>
        <v/>
      </c>
      <c r="J191" s="2404"/>
      <c r="K191" s="1514"/>
      <c r="L191" s="1514"/>
      <c r="M191" s="1514"/>
      <c r="N191" s="1514"/>
      <c r="O191" s="1514"/>
      <c r="P191" s="1514"/>
      <c r="Q191" s="1514"/>
      <c r="R191" s="1514"/>
      <c r="S191" s="1514"/>
      <c r="T191" s="1514"/>
      <c r="U191" s="1514"/>
      <c r="V191" s="1514"/>
      <c r="W191" s="1514"/>
      <c r="X191" s="1514"/>
      <c r="Y191" s="1514"/>
      <c r="Z191" s="1514"/>
      <c r="AA191" s="1514"/>
      <c r="AB191" s="1514"/>
      <c r="AC191" s="1514"/>
      <c r="AD191" s="1514"/>
    </row>
    <row r="192" spans="1:30" x14ac:dyDescent="0.3">
      <c r="A192" s="1522"/>
      <c r="B192" s="1535"/>
      <c r="C192" s="1535"/>
      <c r="D192" s="1535"/>
      <c r="E192" s="1535"/>
      <c r="F192" s="1535"/>
      <c r="G192" s="1535"/>
      <c r="H192" s="1535"/>
      <c r="I192" s="1535"/>
      <c r="J192" s="1535"/>
      <c r="K192" s="1535"/>
      <c r="L192" s="1535"/>
      <c r="M192" s="1535"/>
      <c r="N192" s="1514"/>
      <c r="O192" s="1514"/>
      <c r="P192" s="1514"/>
      <c r="Q192" s="1514"/>
      <c r="R192" s="1514"/>
      <c r="S192" s="1514"/>
      <c r="T192" s="1514"/>
      <c r="U192" s="1514"/>
      <c r="V192" s="1514"/>
      <c r="W192" s="1514"/>
      <c r="X192" s="1514"/>
      <c r="Y192" s="1514"/>
      <c r="Z192" s="1514"/>
      <c r="AA192" s="1514"/>
      <c r="AB192" s="1514"/>
      <c r="AC192" s="1514"/>
      <c r="AD192" s="1514"/>
    </row>
    <row r="193" spans="1:30" ht="27.75" customHeight="1" x14ac:dyDescent="0.3">
      <c r="A193" s="1529">
        <v>6</v>
      </c>
      <c r="B193" s="1530" t="s">
        <v>169</v>
      </c>
      <c r="C193" s="1531"/>
      <c r="D193" s="2387" t="str">
        <f>+$A$1</f>
        <v>Quarter 2 - 2018-2019</v>
      </c>
      <c r="E193" s="2387"/>
      <c r="F193" s="2387"/>
      <c r="G193" s="2387"/>
      <c r="H193" s="2387"/>
      <c r="I193" s="2387"/>
      <c r="J193" s="2387"/>
      <c r="K193" s="1532"/>
      <c r="L193" s="1532"/>
      <c r="M193" s="1532"/>
      <c r="N193" s="1519"/>
      <c r="O193" s="1519"/>
      <c r="P193" s="1533"/>
      <c r="Q193" s="1533"/>
      <c r="R193" s="1519"/>
      <c r="S193" s="1519"/>
      <c r="T193" s="1519"/>
      <c r="U193" s="1519"/>
      <c r="V193" s="1519"/>
      <c r="W193" s="1519"/>
      <c r="X193" s="1519"/>
      <c r="Y193" s="1519"/>
      <c r="Z193" s="1519"/>
      <c r="AA193" s="1519"/>
      <c r="AB193" s="1519"/>
      <c r="AC193" s="1519"/>
      <c r="AD193" s="1519"/>
    </row>
    <row r="194" spans="1:30" ht="27.75" customHeight="1" x14ac:dyDescent="0.3">
      <c r="A194" s="1522"/>
      <c r="B194" s="1514"/>
      <c r="C194" s="1514"/>
      <c r="D194" s="1514"/>
      <c r="E194" s="1514"/>
      <c r="F194" s="1514"/>
      <c r="G194" s="1514"/>
      <c r="H194" s="1514"/>
      <c r="I194" s="1514"/>
      <c r="J194" s="1514"/>
      <c r="K194" s="1514"/>
      <c r="L194" s="1514"/>
      <c r="M194" s="1514"/>
      <c r="N194" s="1514"/>
      <c r="O194" s="1514"/>
      <c r="P194" s="1812"/>
      <c r="Q194" s="1812"/>
      <c r="R194" s="1514"/>
      <c r="S194" s="1514"/>
      <c r="T194" s="1514"/>
      <c r="U194" s="1514"/>
      <c r="V194" s="1514"/>
      <c r="W194" s="1514"/>
      <c r="X194" s="1514"/>
      <c r="Y194" s="1514"/>
      <c r="Z194" s="1514"/>
      <c r="AA194" s="1514"/>
      <c r="AB194" s="1514"/>
      <c r="AC194" s="1514"/>
      <c r="AD194" s="1514"/>
    </row>
    <row r="195" spans="1:30" ht="14.4" thickBot="1" x14ac:dyDescent="0.35">
      <c r="A195" s="1522"/>
      <c r="B195" s="1534"/>
      <c r="C195" s="1535"/>
      <c r="D195" s="1535"/>
      <c r="E195" s="1535"/>
      <c r="F195" s="1535"/>
      <c r="G195" s="1535"/>
      <c r="H195" s="1535"/>
      <c r="I195" s="1535"/>
      <c r="J195" s="1535"/>
      <c r="K195" s="1535"/>
      <c r="L195" s="1535"/>
      <c r="M195" s="1535"/>
      <c r="N195" s="1535"/>
      <c r="O195" s="1535"/>
      <c r="P195" s="1535"/>
      <c r="Q195" s="1535"/>
      <c r="R195" s="1535"/>
      <c r="S195" s="1535"/>
      <c r="T195" s="1535"/>
      <c r="U195" s="1535"/>
      <c r="V195" s="1535"/>
      <c r="W195" s="1535"/>
      <c r="X195" s="1535"/>
      <c r="Y195" s="1514"/>
      <c r="Z195" s="1514"/>
      <c r="AA195" s="1514"/>
      <c r="AB195" s="1514"/>
      <c r="AC195" s="1514"/>
      <c r="AD195" s="1514"/>
    </row>
    <row r="196" spans="1:30" ht="15.75" customHeight="1" thickBot="1" x14ac:dyDescent="0.35">
      <c r="A196" s="1522"/>
      <c r="B196" s="2434" t="s">
        <v>23</v>
      </c>
      <c r="C196" s="2435"/>
      <c r="D196" s="2436"/>
      <c r="E196" s="2434" t="s">
        <v>24</v>
      </c>
      <c r="F196" s="2435"/>
      <c r="G196" s="2436"/>
      <c r="H196" s="2423" t="s">
        <v>461</v>
      </c>
      <c r="I196" s="2621"/>
      <c r="J196" s="2424"/>
      <c r="K196" s="1535"/>
      <c r="L196" s="1535"/>
      <c r="M196" s="1535"/>
      <c r="N196" s="1535"/>
      <c r="O196" s="1535"/>
      <c r="P196" s="1535"/>
      <c r="Q196" s="1535"/>
      <c r="R196" s="1535"/>
      <c r="S196" s="1535"/>
      <c r="T196" s="1535"/>
      <c r="U196" s="1535"/>
      <c r="V196" s="1535"/>
      <c r="W196" s="1535"/>
      <c r="X196" s="1535"/>
      <c r="Y196" s="1514"/>
      <c r="Z196" s="1514"/>
      <c r="AA196" s="1514"/>
      <c r="AB196" s="1514"/>
      <c r="AC196" s="1514"/>
      <c r="AD196" s="1514"/>
    </row>
    <row r="197" spans="1:30" ht="13.5" customHeight="1" thickBot="1" x14ac:dyDescent="0.35">
      <c r="A197" s="1522"/>
      <c r="B197" s="2580" t="s">
        <v>170</v>
      </c>
      <c r="C197" s="2581"/>
      <c r="D197" s="1623">
        <v>978</v>
      </c>
      <c r="E197" s="2428"/>
      <c r="F197" s="2429"/>
      <c r="G197" s="2430"/>
      <c r="H197" s="2403" t="str">
        <f>IF(D197&lt;0,"Error - Negative number","")</f>
        <v/>
      </c>
      <c r="I197" s="2617"/>
      <c r="J197" s="2404"/>
      <c r="K197" s="1535"/>
      <c r="L197" s="1535"/>
      <c r="M197" s="1535"/>
      <c r="N197" s="1535"/>
      <c r="O197" s="1535"/>
      <c r="P197" s="1535"/>
      <c r="Q197" s="1535"/>
      <c r="R197" s="1535"/>
      <c r="S197" s="1535"/>
      <c r="T197" s="1535"/>
      <c r="U197" s="1535"/>
      <c r="V197" s="1535"/>
      <c r="W197" s="1535"/>
      <c r="X197" s="1535"/>
      <c r="Y197" s="1514"/>
      <c r="Z197" s="1514"/>
      <c r="AA197" s="1514"/>
      <c r="AB197" s="1514"/>
      <c r="AC197" s="1514"/>
      <c r="AD197" s="1514"/>
    </row>
    <row r="198" spans="1:30" ht="13.5" customHeight="1" thickBot="1" x14ac:dyDescent="0.35">
      <c r="A198" s="1522"/>
      <c r="B198" s="2580" t="s">
        <v>468</v>
      </c>
      <c r="C198" s="2581"/>
      <c r="D198" s="1811">
        <f>IF(D197=0,"",+D109/D197)</f>
        <v>446.02420462079817</v>
      </c>
      <c r="E198" s="2400"/>
      <c r="F198" s="2401"/>
      <c r="G198" s="2402"/>
      <c r="H198" s="2618" t="str">
        <f>IF(AND(D198&lt;'QA config'!D3,D198&lt;&gt;""),CONCATENATE("Average distance less than ",'QA config'!D3," km"),IF(AND(D198&gt;'QA config'!C3,D198&lt;&gt;""),CONCATENATE("Average distance more than ",'QA config'!C3," km"),""))</f>
        <v/>
      </c>
      <c r="I198" s="2619"/>
      <c r="J198" s="2620"/>
      <c r="K198" s="1535"/>
      <c r="L198" s="1535"/>
      <c r="M198" s="1535"/>
      <c r="N198" s="1535"/>
      <c r="O198" s="1535"/>
      <c r="P198" s="1535"/>
      <c r="Q198" s="1535"/>
      <c r="R198" s="1535"/>
      <c r="S198" s="1535"/>
      <c r="T198" s="1535"/>
      <c r="U198" s="1535"/>
      <c r="V198" s="1535"/>
      <c r="W198" s="1535"/>
      <c r="X198" s="1535"/>
      <c r="Y198" s="1514"/>
      <c r="Z198" s="1514"/>
      <c r="AA198" s="1514"/>
      <c r="AB198" s="1514"/>
      <c r="AC198" s="1514"/>
      <c r="AD198" s="1514"/>
    </row>
    <row r="199" spans="1:30" x14ac:dyDescent="0.3">
      <c r="A199" s="1522"/>
      <c r="B199" s="1535"/>
      <c r="C199" s="1535"/>
      <c r="D199" s="1535"/>
      <c r="E199" s="1535"/>
      <c r="F199" s="1535"/>
      <c r="G199" s="1535"/>
      <c r="H199" s="1535"/>
      <c r="I199" s="1535"/>
      <c r="J199" s="1543"/>
      <c r="K199" s="1544"/>
      <c r="L199" s="1535"/>
      <c r="M199" s="1535"/>
      <c r="N199" s="1514"/>
      <c r="O199" s="1514"/>
      <c r="P199" s="1514"/>
      <c r="Q199" s="1514"/>
      <c r="R199" s="1514"/>
      <c r="S199" s="1514"/>
      <c r="T199" s="1514"/>
      <c r="U199" s="1514"/>
      <c r="V199" s="1514"/>
      <c r="W199" s="1514"/>
      <c r="X199" s="1514"/>
      <c r="Y199" s="1514"/>
      <c r="Z199" s="1514"/>
      <c r="AA199" s="1514"/>
      <c r="AB199" s="1514"/>
      <c r="AC199" s="1514"/>
      <c r="AD199" s="1514"/>
    </row>
    <row r="200" spans="1:30" ht="27.75" customHeight="1" x14ac:dyDescent="0.3">
      <c r="A200" s="1517"/>
      <c r="J200" s="1517"/>
      <c r="K200" s="1517"/>
    </row>
    <row r="201" spans="1:30" x14ac:dyDescent="0.3">
      <c r="A201" s="1517"/>
      <c r="J201" s="1517"/>
      <c r="K201" s="1517"/>
    </row>
    <row r="202" spans="1:30" ht="15.75" customHeight="1" x14ac:dyDescent="0.3">
      <c r="A202" s="1517"/>
      <c r="J202" s="1517"/>
      <c r="K202" s="1517"/>
    </row>
    <row r="203" spans="1:30" ht="13.5" customHeight="1" x14ac:dyDescent="0.3">
      <c r="A203" s="1517"/>
      <c r="J203" s="1517"/>
      <c r="K203" s="1517"/>
    </row>
    <row r="204" spans="1:30" ht="13.5" customHeight="1" x14ac:dyDescent="0.3">
      <c r="A204" s="1517"/>
      <c r="J204" s="1517"/>
      <c r="K204" s="1517"/>
    </row>
    <row r="205" spans="1:30" x14ac:dyDescent="0.3">
      <c r="A205" s="1517"/>
      <c r="J205" s="1517"/>
      <c r="K205" s="1517"/>
    </row>
    <row r="206" spans="1:30" x14ac:dyDescent="0.3">
      <c r="A206" s="1517"/>
      <c r="J206" s="1517"/>
      <c r="K206" s="1517"/>
    </row>
    <row r="207" spans="1:30" x14ac:dyDescent="0.3">
      <c r="AA207" s="1514"/>
      <c r="AB207" s="1514"/>
      <c r="AC207" s="1514"/>
      <c r="AD207" s="1514"/>
    </row>
    <row r="208" spans="1:30" x14ac:dyDescent="0.3">
      <c r="AA208" s="1514"/>
      <c r="AB208" s="1514"/>
      <c r="AC208" s="1514"/>
      <c r="AD208" s="1514"/>
    </row>
  </sheetData>
  <sheetProtection algorithmName="SHA-512" hashValue="jKKSm0VnIzASE1OrFYLXH0WLB0A5QvvAhfWmGl46r47JiqVeW6Ml25BjWEtNVMPmqSsMRMfEFWCqOGDWIVpAcA==" saltValue="coh7Pr1PKutWbhZd17iTlA==" spinCount="100000" sheet="1" objects="1" scenarios="1"/>
  <mergeCells count="261">
    <mergeCell ref="B197:C197"/>
    <mergeCell ref="E197:G197"/>
    <mergeCell ref="H197:J197"/>
    <mergeCell ref="B198:C198"/>
    <mergeCell ref="E198:G198"/>
    <mergeCell ref="H198:J198"/>
    <mergeCell ref="F191:H191"/>
    <mergeCell ref="I191:J191"/>
    <mergeCell ref="D193:J193"/>
    <mergeCell ref="B196:D196"/>
    <mergeCell ref="E196:G196"/>
    <mergeCell ref="H196:J196"/>
    <mergeCell ref="I184:K184"/>
    <mergeCell ref="I185:K185"/>
    <mergeCell ref="C186:J186"/>
    <mergeCell ref="D187:J187"/>
    <mergeCell ref="B189:E189"/>
    <mergeCell ref="F189:H190"/>
    <mergeCell ref="I189:J190"/>
    <mergeCell ref="I178:K178"/>
    <mergeCell ref="I179:K179"/>
    <mergeCell ref="I180:K180"/>
    <mergeCell ref="I181:K181"/>
    <mergeCell ref="I182:K182"/>
    <mergeCell ref="I183:K183"/>
    <mergeCell ref="I172:K172"/>
    <mergeCell ref="I173:K173"/>
    <mergeCell ref="I174:K174"/>
    <mergeCell ref="I175:K175"/>
    <mergeCell ref="I176:K176"/>
    <mergeCell ref="I177:K177"/>
    <mergeCell ref="D167:J167"/>
    <mergeCell ref="E169:F169"/>
    <mergeCell ref="G169:H169"/>
    <mergeCell ref="I169:K170"/>
    <mergeCell ref="L169:L170"/>
    <mergeCell ref="I171:K171"/>
    <mergeCell ref="D157:J157"/>
    <mergeCell ref="E162:H162"/>
    <mergeCell ref="I162:K163"/>
    <mergeCell ref="L162:L163"/>
    <mergeCell ref="B164:C164"/>
    <mergeCell ref="I164:K164"/>
    <mergeCell ref="B154:C154"/>
    <mergeCell ref="E154:F154"/>
    <mergeCell ref="G154:I154"/>
    <mergeCell ref="B155:C155"/>
    <mergeCell ref="D155:F155"/>
    <mergeCell ref="G155:I155"/>
    <mergeCell ref="D146:E146"/>
    <mergeCell ref="B147:L147"/>
    <mergeCell ref="D149:J149"/>
    <mergeCell ref="D152:F152"/>
    <mergeCell ref="G152:I152"/>
    <mergeCell ref="B153:C153"/>
    <mergeCell ref="D153:F153"/>
    <mergeCell ref="G153:I153"/>
    <mergeCell ref="D143:E143"/>
    <mergeCell ref="I143:K143"/>
    <mergeCell ref="D144:E144"/>
    <mergeCell ref="I144:K144"/>
    <mergeCell ref="D145:E145"/>
    <mergeCell ref="I145:K145"/>
    <mergeCell ref="I135:K135"/>
    <mergeCell ref="I136:K136"/>
    <mergeCell ref="D138:J138"/>
    <mergeCell ref="I140:K141"/>
    <mergeCell ref="D142:E142"/>
    <mergeCell ref="I142:K142"/>
    <mergeCell ref="I129:K129"/>
    <mergeCell ref="I130:K130"/>
    <mergeCell ref="I131:K131"/>
    <mergeCell ref="I132:K132"/>
    <mergeCell ref="I133:K133"/>
    <mergeCell ref="I134:K134"/>
    <mergeCell ref="I122:K122"/>
    <mergeCell ref="D125:F125"/>
    <mergeCell ref="I125:K127"/>
    <mergeCell ref="M125:M126"/>
    <mergeCell ref="I128:K128"/>
    <mergeCell ref="I115:K115"/>
    <mergeCell ref="I116:K116"/>
    <mergeCell ref="I117:K117"/>
    <mergeCell ref="I118:K118"/>
    <mergeCell ref="I119:K119"/>
    <mergeCell ref="I120:K120"/>
    <mergeCell ref="I107:K107"/>
    <mergeCell ref="B108:C108"/>
    <mergeCell ref="I108:K108"/>
    <mergeCell ref="B109:B121"/>
    <mergeCell ref="I109:K109"/>
    <mergeCell ref="I110:K110"/>
    <mergeCell ref="I111:K111"/>
    <mergeCell ref="I112:K112"/>
    <mergeCell ref="I113:K113"/>
    <mergeCell ref="I114:K114"/>
    <mergeCell ref="I121:K121"/>
    <mergeCell ref="I101:K101"/>
    <mergeCell ref="I102:K102"/>
    <mergeCell ref="I103:K103"/>
    <mergeCell ref="I104:K104"/>
    <mergeCell ref="I105:K105"/>
    <mergeCell ref="I106:K106"/>
    <mergeCell ref="I96:K96"/>
    <mergeCell ref="U96:W96"/>
    <mergeCell ref="I97:K97"/>
    <mergeCell ref="O97:W100"/>
    <mergeCell ref="I98:K98"/>
    <mergeCell ref="I99:K99"/>
    <mergeCell ref="I100:K100"/>
    <mergeCell ref="I94:K94"/>
    <mergeCell ref="U94:W94"/>
    <mergeCell ref="I95:K95"/>
    <mergeCell ref="U95:W95"/>
    <mergeCell ref="I90:K90"/>
    <mergeCell ref="U90:W90"/>
    <mergeCell ref="I91:K91"/>
    <mergeCell ref="U91:W91"/>
    <mergeCell ref="I92:K92"/>
    <mergeCell ref="U92:W92"/>
    <mergeCell ref="Z86:Z89"/>
    <mergeCell ref="B87:B107"/>
    <mergeCell ref="I87:K87"/>
    <mergeCell ref="Q87:Q89"/>
    <mergeCell ref="R87:R89"/>
    <mergeCell ref="S87:S89"/>
    <mergeCell ref="I80:K80"/>
    <mergeCell ref="I81:K81"/>
    <mergeCell ref="I82:K82"/>
    <mergeCell ref="I83:K83"/>
    <mergeCell ref="I84:K84"/>
    <mergeCell ref="I85:K85"/>
    <mergeCell ref="T87:T88"/>
    <mergeCell ref="U87:W89"/>
    <mergeCell ref="X87:X89"/>
    <mergeCell ref="Y87:Y88"/>
    <mergeCell ref="I88:K88"/>
    <mergeCell ref="I89:K89"/>
    <mergeCell ref="B86:C86"/>
    <mergeCell ref="I86:K86"/>
    <mergeCell ref="O86:W86"/>
    <mergeCell ref="X86:Y86"/>
    <mergeCell ref="I93:K93"/>
    <mergeCell ref="U93:W93"/>
    <mergeCell ref="I76:K76"/>
    <mergeCell ref="I77:K77"/>
    <mergeCell ref="I78:K78"/>
    <mergeCell ref="I79:K79"/>
    <mergeCell ref="I72:K72"/>
    <mergeCell ref="U72:W72"/>
    <mergeCell ref="I73:K73"/>
    <mergeCell ref="U73:W73"/>
    <mergeCell ref="I74:K74"/>
    <mergeCell ref="U74:W74"/>
    <mergeCell ref="O64:W64"/>
    <mergeCell ref="X64:Y64"/>
    <mergeCell ref="Z64:Z67"/>
    <mergeCell ref="B65:B85"/>
    <mergeCell ref="I65:K65"/>
    <mergeCell ref="Q65:Q67"/>
    <mergeCell ref="R65:R67"/>
    <mergeCell ref="S65:S67"/>
    <mergeCell ref="T65:T66"/>
    <mergeCell ref="U65:W67"/>
    <mergeCell ref="I69:K69"/>
    <mergeCell ref="U69:W69"/>
    <mergeCell ref="I70:K70"/>
    <mergeCell ref="U70:W70"/>
    <mergeCell ref="I71:K71"/>
    <mergeCell ref="U71:W71"/>
    <mergeCell ref="X65:X67"/>
    <mergeCell ref="Y65:Y66"/>
    <mergeCell ref="I66:K66"/>
    <mergeCell ref="I67:K67"/>
    <mergeCell ref="I68:K68"/>
    <mergeCell ref="U68:W68"/>
    <mergeCell ref="I75:K75"/>
    <mergeCell ref="O75:W78"/>
    <mergeCell ref="J35:K35"/>
    <mergeCell ref="D55:J55"/>
    <mergeCell ref="B62:C63"/>
    <mergeCell ref="D62:F62"/>
    <mergeCell ref="I62:K63"/>
    <mergeCell ref="L62:L63"/>
    <mergeCell ref="B64:C64"/>
    <mergeCell ref="I64:K64"/>
    <mergeCell ref="D49:J49"/>
    <mergeCell ref="D51:F51"/>
    <mergeCell ref="G51:H51"/>
    <mergeCell ref="I51:K52"/>
    <mergeCell ref="L51:L52"/>
    <mergeCell ref="B53:C53"/>
    <mergeCell ref="I53:K53"/>
    <mergeCell ref="I30:K30"/>
    <mergeCell ref="I27:K27"/>
    <mergeCell ref="O27:O28"/>
    <mergeCell ref="P27:P28"/>
    <mergeCell ref="Q27:Q28"/>
    <mergeCell ref="R27:R28"/>
    <mergeCell ref="U27:U28"/>
    <mergeCell ref="B36:B47"/>
    <mergeCell ref="I36:K36"/>
    <mergeCell ref="I37:K37"/>
    <mergeCell ref="I38:K38"/>
    <mergeCell ref="I39:K39"/>
    <mergeCell ref="I40:K40"/>
    <mergeCell ref="I41:K41"/>
    <mergeCell ref="I31:K31"/>
    <mergeCell ref="O31:P31"/>
    <mergeCell ref="I42:K42"/>
    <mergeCell ref="I43:K43"/>
    <mergeCell ref="I44:K44"/>
    <mergeCell ref="I45:K45"/>
    <mergeCell ref="I46:K46"/>
    <mergeCell ref="I47:K47"/>
    <mergeCell ref="J33:K33"/>
    <mergeCell ref="J34:K34"/>
    <mergeCell ref="B19:C19"/>
    <mergeCell ref="B20:B35"/>
    <mergeCell ref="I20:K20"/>
    <mergeCell ref="I21:K21"/>
    <mergeCell ref="I22:K22"/>
    <mergeCell ref="I23:K23"/>
    <mergeCell ref="I24:K24"/>
    <mergeCell ref="O24:R24"/>
    <mergeCell ref="U24:X24"/>
    <mergeCell ref="I25:K25"/>
    <mergeCell ref="I26:K26"/>
    <mergeCell ref="O26:P26"/>
    <mergeCell ref="Q26:R26"/>
    <mergeCell ref="U26:V26"/>
    <mergeCell ref="W26:X26"/>
    <mergeCell ref="Q31:R31"/>
    <mergeCell ref="U31:V31"/>
    <mergeCell ref="W31:X31"/>
    <mergeCell ref="I32:K32"/>
    <mergeCell ref="V27:V28"/>
    <mergeCell ref="W27:W28"/>
    <mergeCell ref="X27:X28"/>
    <mergeCell ref="I28:K28"/>
    <mergeCell ref="I29:K29"/>
    <mergeCell ref="U16:X16"/>
    <mergeCell ref="D17:F17"/>
    <mergeCell ref="G17:H17"/>
    <mergeCell ref="I17:K19"/>
    <mergeCell ref="L17:L18"/>
    <mergeCell ref="O17:R17"/>
    <mergeCell ref="U17:X17"/>
    <mergeCell ref="O18:P18"/>
    <mergeCell ref="Q18:R18"/>
    <mergeCell ref="U18:V18"/>
    <mergeCell ref="W18:X18"/>
    <mergeCell ref="D6:J6"/>
    <mergeCell ref="F8:H9"/>
    <mergeCell ref="I8:J9"/>
    <mergeCell ref="B10:C10"/>
    <mergeCell ref="F10:H10"/>
    <mergeCell ref="I10:J10"/>
    <mergeCell ref="D13:J13"/>
    <mergeCell ref="D14:J14"/>
    <mergeCell ref="O16:R16"/>
  </mergeCells>
  <conditionalFormatting sqref="H17697">
    <cfRule type="expression" dxfId="50" priority="17">
      <formula>$H$197&lt;&gt;""</formula>
    </cfRule>
  </conditionalFormatting>
  <conditionalFormatting sqref="H198 L64:L121">
    <cfRule type="expression" dxfId="49" priority="16">
      <formula>H64&lt;&gt;""</formula>
    </cfRule>
  </conditionalFormatting>
  <conditionalFormatting sqref="H197">
    <cfRule type="expression" dxfId="48" priority="15">
      <formula>H197&lt;&gt;""</formula>
    </cfRule>
  </conditionalFormatting>
  <conditionalFormatting sqref="L171:L185">
    <cfRule type="expression" dxfId="47" priority="14">
      <formula>L171&lt;&gt;""</formula>
    </cfRule>
  </conditionalFormatting>
  <conditionalFormatting sqref="L19:L47">
    <cfRule type="expression" dxfId="46" priority="13">
      <formula>L19&lt;&gt;""</formula>
    </cfRule>
  </conditionalFormatting>
  <conditionalFormatting sqref="L164">
    <cfRule type="expression" dxfId="45" priority="12">
      <formula>L164&lt;&gt;""</formula>
    </cfRule>
  </conditionalFormatting>
  <conditionalFormatting sqref="I191">
    <cfRule type="expression" dxfId="44" priority="10">
      <formula>I191&lt;&gt;""</formula>
    </cfRule>
  </conditionalFormatting>
  <conditionalFormatting sqref="M127:M136">
    <cfRule type="expression" dxfId="43" priority="11">
      <formula>M127&lt;&gt;""</formula>
    </cfRule>
  </conditionalFormatting>
  <conditionalFormatting sqref="I10">
    <cfRule type="expression" dxfId="42" priority="9">
      <formula>I10&lt;&gt;""</formula>
    </cfRule>
  </conditionalFormatting>
  <conditionalFormatting sqref="Z68:Z72">
    <cfRule type="expression" dxfId="41" priority="8">
      <formula>Z68&lt;&gt;""</formula>
    </cfRule>
  </conditionalFormatting>
  <conditionalFormatting sqref="L53">
    <cfRule type="expression" dxfId="40" priority="7">
      <formula>L53&lt;&gt;""</formula>
    </cfRule>
  </conditionalFormatting>
  <conditionalFormatting sqref="Z95">
    <cfRule type="expression" dxfId="39" priority="2">
      <formula>Z95&lt;&gt;""</formula>
    </cfRule>
  </conditionalFormatting>
  <conditionalFormatting sqref="Z74">
    <cfRule type="expression" dxfId="38" priority="6">
      <formula>Z74&lt;&gt;""</formula>
    </cfRule>
  </conditionalFormatting>
  <conditionalFormatting sqref="Z73">
    <cfRule type="expression" dxfId="37" priority="5">
      <formula>Z73&lt;&gt;""</formula>
    </cfRule>
  </conditionalFormatting>
  <conditionalFormatting sqref="Z90:Z94">
    <cfRule type="expression" dxfId="36" priority="4">
      <formula>Z90&lt;&gt;""</formula>
    </cfRule>
  </conditionalFormatting>
  <conditionalFormatting sqref="Z96">
    <cfRule type="expression" dxfId="35" priority="3">
      <formula>Z96&lt;&gt;""</formula>
    </cfRule>
  </conditionalFormatting>
  <conditionalFormatting sqref="L122">
    <cfRule type="expression" dxfId="34" priority="1">
      <formula>L122&lt;&gt;""</formula>
    </cfRule>
  </conditionalFormatting>
  <dataValidations count="6">
    <dataValidation allowBlank="1" sqref="G50:G52 H50 D108:E108 G17:G19 N189:V189 I189 K190:V194 J50 E184 I50:I51 E50:F50 I17 E18:E19 R19 I139:I140 F191:F192 D187:J187 B169:E170 B186:E186 G188:J188 I142:I146 J139 C9:E9 F170:F186 W18 O13:R14 P15:R15 P20:R23 E138:J138 B86:B87 D123:D127 E49:J49 D86:E86 E139:H139 G184 G169:G170 G181:G182 B187:B190 C190:D190 K48:K50 J48 H170 G48 D49:D52 D54:D64 I53:I54 J54 H52:H54 K186:V188 G186:J186 C187:C188 D188:E188 F10 C192:D195 E190:E192 G192:J192 G194:J194 E193:J193 B171:B185 D137 E13:K16 H171:I185 E181:E182 X122:Y122 J124:K124 A147:K148 I62 E55:J60 K54:K60 E61:K61 Q68:Q73 B123:C137 U68:U74 I169 H164:I164 U19:X59 B108:B109 B64:B65 P25:R59 E54:G54 E52:F53 C109:C122 S68:S73 O65:U65 T67:T74 X65:Y65 X64 C64:C107 H18:H48 C20:C61 F18:F48 L19:L51 Y89:Y121 J123:XFD123 F140:G146 E194:F195 L53:L62 B122 I128:I137 K137:K139 G137:H137 J137 F188:F189 G195 E196:E198 M127:M155 M169:V185 L169 G152:G155 E149:J149 K149:K155 E150:I151 J150:J155 B156:XFD156 E140:E141 I191 K195:K198 E126:F137 I195:J195 A166:XFD168 L164:L165 F157:K161 C163:D163 B157:E162 B163:B164 B165:K165 I162 G163:H163 E163:F164 M157:XFD165 L157:L162 I199:L199 D154:D155 G123:H124 L124:L155 N124:XFD155 M124:M125 L171:L185 D199:G199 C197:C199 H195:H199 I8 I10 K8:K10 H140:H145 B8:F8 E63:E85 E87:E107 M195:V199 L195 Z64 B1:AD7 N8:AD10 W169:XFD199 C11:AD12 AE200:XFD206 B192:B199 A169:A199 A207:XFD1048576 B138:D146 A156:A165 P19 Q18:Q19 O68:O75 X68:X86 I20:I32 I36:I48 A149:C155 D149:D152 O79:W85 S90:S95 Q90:Q95 U90:U95 O87:U87 T89:T96 X87:Y87 U96:W96 O86 R74:S74 X90:X121 O64 O15:O59 Y67:Y85 Z68:Z86 O90:O97 R96:S96 D42:E48 I64:I125 E109:E124 O101:W122 Z90:Z122 L64:L122 F63:F124 A1:A146 AA13:AD122 M13:N122 AE1:XFD122 D13:D19 B9:B20 Y13:Z59 S13:T59 L13:L17 V13:X15 U13:U18 C13:C18 B36:B62"/>
    <dataValidation allowBlank="1" showInputMessage="1" sqref="L196:L198"/>
    <dataValidation type="decimal" operator="greaterThan" allowBlank="1" showInputMessage="1" showErrorMessage="1" error="Must be a positive number" sqref="D10:E10">
      <formula1>0</formula1>
    </dataValidation>
    <dataValidation type="list" allowBlank="1" showInputMessage="1" showErrorMessage="1" errorTitle="Invalid data" error="Please enter &quot;Scope 1&quot;, &quot;Scope 2&quot; or &quot;Scope 3&quot;." promptTitle="Reporting scope" prompt="Please enter the reporting scope of the data in this row." sqref="I33:I35">
      <formula1>"Scope 1,Scope 2,Scope 3"</formula1>
    </dataValidation>
    <dataValidation type="list" allowBlank="1" showErrorMessage="1" errorTitle="Invalid input" error="Please enter &quot;yes&quot; or &quot;no&quot;." sqref="D153:F153">
      <formula1>"yes,no"</formula1>
    </dataValidation>
    <dataValidation type="decimal" operator="greaterThan" allowBlank="1" showInputMessage="1" showErrorMessage="1" errorTitle="Invalid input" error="Must be a positive number" sqref="E154:F154">
      <formula1>0</formula1>
    </dataValidation>
  </dataValidations>
  <hyperlinks>
    <hyperlink ref="C42:C47" location="CHP!A1" display="CHP1 Electricity"/>
    <hyperlink ref="B60" location="'conversion factors'!A1" display="If you need to convert from miles to km, go to the Conversions tab or click here"/>
    <hyperlink ref="C42" location="CHP!T4" display="CHP1 Electricity"/>
    <hyperlink ref="C43" location="CHP!T4" display="CHP1 Heat"/>
    <hyperlink ref="C44" location="CHP!T31" display="CHP2 Electricity"/>
    <hyperlink ref="C45" location="CHP!T31" display="CHP2 Heat"/>
    <hyperlink ref="C46" location="CHP!T58" display="CHP3 Electricity"/>
    <hyperlink ref="C47" location="CHP!T58" display="CHP3 Heat"/>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5"/>
  </sheetPr>
  <dimension ref="A1:Z386"/>
  <sheetViews>
    <sheetView topLeftCell="A91" workbookViewId="0"/>
  </sheetViews>
  <sheetFormatPr defaultColWidth="9.109375" defaultRowHeight="13.8" x14ac:dyDescent="0.3"/>
  <cols>
    <col min="1" max="1" width="3.109375" style="587" customWidth="1"/>
    <col min="2" max="2" width="46.109375" style="587" customWidth="1"/>
    <col min="3" max="3" width="13.6640625" style="587" customWidth="1"/>
    <col min="4" max="4" width="12.6640625" style="587" customWidth="1"/>
    <col min="5" max="5" width="10.6640625" style="587" customWidth="1"/>
    <col min="6" max="6" width="11.21875" style="587" customWidth="1"/>
    <col min="7" max="7" width="12.77734375" style="587" customWidth="1"/>
    <col min="8" max="8" width="13.33203125" style="587" customWidth="1"/>
    <col min="9" max="9" width="14.21875" style="587" customWidth="1"/>
    <col min="10" max="12" width="16.21875" style="587" customWidth="1"/>
    <col min="13" max="16384" width="9.109375" style="587"/>
  </cols>
  <sheetData>
    <row r="1" spans="1:26" ht="21.6" thickBot="1" x14ac:dyDescent="0.45">
      <c r="A1" s="200"/>
      <c r="B1" s="569" t="s">
        <v>366</v>
      </c>
      <c r="C1" s="200"/>
      <c r="D1" s="200"/>
      <c r="E1" s="200"/>
      <c r="F1" s="200"/>
      <c r="G1" s="200"/>
      <c r="H1" s="200"/>
      <c r="I1" s="200"/>
      <c r="J1" s="200"/>
      <c r="K1" s="200"/>
      <c r="L1" s="200"/>
      <c r="M1" s="200"/>
      <c r="N1" s="200"/>
      <c r="O1" s="200"/>
      <c r="P1" s="200"/>
      <c r="Q1" s="200"/>
      <c r="R1"/>
      <c r="S1"/>
      <c r="T1"/>
      <c r="U1"/>
      <c r="V1"/>
      <c r="W1"/>
      <c r="X1"/>
      <c r="Y1"/>
      <c r="Z1"/>
    </row>
    <row r="2" spans="1:26" s="362" customFormat="1" ht="24" thickBot="1" x14ac:dyDescent="0.5">
      <c r="A2" s="200"/>
      <c r="B2" s="568" t="s">
        <v>386</v>
      </c>
      <c r="C2" s="1835" t="s">
        <v>536</v>
      </c>
      <c r="D2" s="1836"/>
      <c r="E2" s="1836"/>
      <c r="F2" s="1836"/>
      <c r="G2" s="1836"/>
      <c r="H2" s="1836"/>
      <c r="I2" s="1837"/>
      <c r="J2" s="567" t="s">
        <v>375</v>
      </c>
      <c r="K2" s="200"/>
      <c r="L2" s="308" t="s">
        <v>508</v>
      </c>
      <c r="M2" s="200"/>
      <c r="N2" s="200"/>
      <c r="O2" s="200"/>
      <c r="P2" s="200"/>
      <c r="Q2" s="200"/>
      <c r="R2"/>
      <c r="S2"/>
      <c r="T2"/>
      <c r="U2"/>
      <c r="V2"/>
      <c r="W2"/>
      <c r="X2"/>
      <c r="Y2"/>
      <c r="Z2"/>
    </row>
    <row r="3" spans="1:26" ht="15" thickBot="1" x14ac:dyDescent="0.35">
      <c r="A3" s="200"/>
      <c r="B3" s="200"/>
      <c r="C3" s="200"/>
      <c r="D3" s="200"/>
      <c r="E3" s="200"/>
      <c r="F3" s="200"/>
      <c r="G3" s="200"/>
      <c r="H3" s="200"/>
      <c r="I3" s="200"/>
      <c r="J3" s="200"/>
      <c r="K3" s="200"/>
      <c r="L3" s="200"/>
      <c r="M3" s="200"/>
      <c r="N3" s="200"/>
      <c r="O3" s="200"/>
      <c r="P3" s="200"/>
      <c r="Q3" s="200"/>
      <c r="R3"/>
      <c r="S3"/>
      <c r="T3"/>
      <c r="U3"/>
      <c r="V3"/>
      <c r="W3"/>
      <c r="X3"/>
      <c r="Y3"/>
      <c r="Z3"/>
    </row>
    <row r="4" spans="1:26" ht="15.75" customHeight="1" thickBot="1" x14ac:dyDescent="0.35">
      <c r="A4" s="200"/>
      <c r="B4" s="1838" t="s">
        <v>562</v>
      </c>
      <c r="C4" s="1841" t="s">
        <v>225</v>
      </c>
      <c r="D4" s="1829"/>
      <c r="E4" s="1829"/>
      <c r="F4" s="1829"/>
      <c r="G4" s="1829"/>
      <c r="H4" s="1829"/>
      <c r="I4" s="1830"/>
      <c r="J4" s="1831" t="s">
        <v>226</v>
      </c>
      <c r="K4" s="1832"/>
      <c r="L4" s="1833"/>
      <c r="M4" s="200"/>
      <c r="N4" s="200"/>
      <c r="O4" s="200"/>
      <c r="P4" s="200"/>
      <c r="Q4" s="200"/>
      <c r="R4"/>
      <c r="S4"/>
      <c r="T4"/>
      <c r="U4"/>
      <c r="V4"/>
      <c r="W4"/>
      <c r="X4"/>
      <c r="Y4"/>
      <c r="Z4"/>
    </row>
    <row r="5" spans="1:26" ht="31.8" thickBot="1" x14ac:dyDescent="0.35">
      <c r="A5" s="200"/>
      <c r="B5" s="1839"/>
      <c r="C5" s="203" t="s">
        <v>227</v>
      </c>
      <c r="D5" s="1842" t="s">
        <v>228</v>
      </c>
      <c r="E5" s="1843"/>
      <c r="F5" s="1843"/>
      <c r="G5" s="204" t="s">
        <v>229</v>
      </c>
      <c r="H5" s="205" t="s">
        <v>230</v>
      </c>
      <c r="I5" s="206" t="s">
        <v>169</v>
      </c>
      <c r="J5" s="203" t="s">
        <v>231</v>
      </c>
      <c r="K5" s="207" t="s">
        <v>232</v>
      </c>
      <c r="L5" s="208" t="s">
        <v>233</v>
      </c>
      <c r="M5" s="200"/>
      <c r="N5" s="200"/>
      <c r="O5" s="200"/>
      <c r="P5" s="200"/>
      <c r="Q5" s="200"/>
      <c r="R5"/>
      <c r="S5"/>
      <c r="T5"/>
      <c r="U5"/>
      <c r="V5"/>
      <c r="W5"/>
      <c r="X5"/>
      <c r="Y5"/>
      <c r="Z5"/>
    </row>
    <row r="6" spans="1:26" ht="42" customHeight="1" thickBot="1" x14ac:dyDescent="0.35">
      <c r="A6" s="200"/>
      <c r="B6" s="1840"/>
      <c r="C6" s="209" t="s">
        <v>234</v>
      </c>
      <c r="D6" s="210" t="s">
        <v>235</v>
      </c>
      <c r="E6" s="210" t="s">
        <v>236</v>
      </c>
      <c r="F6" s="210" t="s">
        <v>237</v>
      </c>
      <c r="G6" s="210" t="s">
        <v>238</v>
      </c>
      <c r="H6" s="210" t="s">
        <v>239</v>
      </c>
      <c r="I6" s="209" t="s">
        <v>240</v>
      </c>
      <c r="J6" s="209" t="s">
        <v>241</v>
      </c>
      <c r="K6" s="210" t="s">
        <v>242</v>
      </c>
      <c r="L6" s="210" t="s">
        <v>243</v>
      </c>
      <c r="M6" s="200"/>
      <c r="N6" s="200"/>
      <c r="O6" s="200"/>
      <c r="P6" s="200"/>
      <c r="Q6" s="200"/>
      <c r="R6"/>
      <c r="S6"/>
      <c r="T6"/>
      <c r="U6"/>
      <c r="V6"/>
      <c r="W6"/>
      <c r="X6"/>
      <c r="Y6"/>
      <c r="Z6"/>
    </row>
    <row r="7" spans="1:26" ht="15" customHeight="1" thickBot="1" x14ac:dyDescent="0.35">
      <c r="A7" s="200"/>
      <c r="B7" s="202" t="s">
        <v>563</v>
      </c>
      <c r="C7" s="212">
        <f>+C22</f>
        <v>127140.63081037506</v>
      </c>
      <c r="D7" s="212">
        <f>+'2019-2020'!$E$184</f>
        <v>26085.815522809138</v>
      </c>
      <c r="E7" s="631">
        <f>'2019-2020'!$F$183</f>
        <v>2.6819001282159406E-2</v>
      </c>
      <c r="F7" s="631">
        <f>'2019-2020'!$F$180</f>
        <v>0.82061583073912658</v>
      </c>
      <c r="G7" s="212">
        <f>+'2019-2020'!$D$164</f>
        <v>4457074.52624935</v>
      </c>
      <c r="H7" s="212">
        <f>+'2019-2020'!$E$191</f>
        <v>535513.5</v>
      </c>
      <c r="I7" s="213">
        <f>+'2019-2020'!$D$197</f>
        <v>1748</v>
      </c>
      <c r="J7" s="214">
        <f>IF(+'2019-2020'!$E$164=0,"",+('2019-2020'!$H$142)/'2019-2020'!$E$164*1000)</f>
        <v>1011.3236047186926</v>
      </c>
      <c r="K7" s="214">
        <f>IF(+'2019-2020'!$E$164=0,"",(+'2019-2020'!$G$184)/'2019-2020'!$E$164*1000)</f>
        <v>164.47769366395968</v>
      </c>
      <c r="L7" s="215">
        <f>'2019-2020'!H164</f>
        <v>7.2799904369358961</v>
      </c>
      <c r="M7" s="200"/>
      <c r="N7" s="200"/>
      <c r="O7" s="200"/>
      <c r="P7" s="200"/>
      <c r="Q7" s="200"/>
      <c r="R7"/>
      <c r="S7"/>
      <c r="T7"/>
      <c r="U7"/>
      <c r="V7"/>
      <c r="W7"/>
      <c r="X7"/>
      <c r="Y7"/>
      <c r="Z7"/>
    </row>
    <row r="8" spans="1:26" ht="15" customHeight="1" thickBot="1" x14ac:dyDescent="0.35">
      <c r="A8" s="200"/>
      <c r="B8" s="216" t="s">
        <v>10</v>
      </c>
      <c r="C8" s="212">
        <f>+Baseline!$F$130</f>
        <v>561575.76312077325</v>
      </c>
      <c r="D8" s="212">
        <f>+Baseline!$E$164</f>
        <v>70876</v>
      </c>
      <c r="E8" s="632">
        <f>Baseline!$F$163</f>
        <v>0.55794627236300021</v>
      </c>
      <c r="F8" s="631">
        <f>Baseline!$F$160</f>
        <v>0.43563406512782887</v>
      </c>
      <c r="G8" s="217">
        <f>+Baseline!$D$144</f>
        <v>9277165</v>
      </c>
      <c r="H8" s="217">
        <f>+Baseline!$E$171</f>
        <v>1552263</v>
      </c>
      <c r="I8" s="218">
        <f>+Baseline!$D$177</f>
        <v>4602</v>
      </c>
      <c r="J8" s="200"/>
      <c r="K8" s="200"/>
      <c r="L8" s="200"/>
      <c r="M8" s="200"/>
      <c r="N8" s="200"/>
      <c r="O8" s="200"/>
      <c r="P8" s="200"/>
      <c r="Q8" s="200"/>
      <c r="R8"/>
      <c r="S8"/>
      <c r="T8"/>
      <c r="U8"/>
      <c r="V8"/>
      <c r="W8"/>
      <c r="X8"/>
      <c r="Y8"/>
      <c r="Z8"/>
    </row>
    <row r="9" spans="1:26" ht="15" customHeight="1" thickBot="1" x14ac:dyDescent="0.35">
      <c r="A9" s="200"/>
      <c r="B9" s="216" t="s">
        <v>385</v>
      </c>
      <c r="C9" s="212">
        <f>IF(C22=0,0,(C8-(C7*4/C14)))</f>
        <v>307294.50150002312</v>
      </c>
      <c r="D9" s="211">
        <f>IF(D22=0,0,(D8-(D7*4/D14)))</f>
        <v>18704.368954381724</v>
      </c>
      <c r="E9" s="219"/>
      <c r="F9" s="219"/>
      <c r="G9" s="211">
        <f>IF(G22=0,0,(G8-(G7*4/G14)))</f>
        <v>363015.9475012999</v>
      </c>
      <c r="H9" s="211">
        <f>IF(H22=0,0,(H8-(H7*4/H14)))</f>
        <v>481236</v>
      </c>
      <c r="I9" s="211">
        <f>IF(I22=0,0,(I8-(I7*4/I14)))</f>
        <v>1106</v>
      </c>
      <c r="J9" s="200"/>
      <c r="K9" s="200"/>
      <c r="L9" s="200"/>
      <c r="M9" s="200"/>
      <c r="N9" s="200"/>
      <c r="O9" s="200"/>
      <c r="P9" s="200"/>
      <c r="Q9" s="200"/>
      <c r="R9"/>
      <c r="S9"/>
      <c r="T9"/>
      <c r="U9"/>
      <c r="V9"/>
      <c r="W9"/>
      <c r="X9"/>
      <c r="Y9"/>
      <c r="Z9"/>
    </row>
    <row r="10" spans="1:26" ht="15" customHeight="1" thickBot="1" x14ac:dyDescent="0.35">
      <c r="A10" s="200"/>
      <c r="B10" s="216" t="s">
        <v>564</v>
      </c>
      <c r="C10" s="220">
        <f>IF(C8=0,"",C9/C8)</f>
        <v>0.54720043434982779</v>
      </c>
      <c r="D10" s="220">
        <f>IF(D8=0,"",D9/D8)</f>
        <v>0.26390271677834137</v>
      </c>
      <c r="E10" s="633">
        <f>IF(OR(E8="",E7=""), "", IF(E8=0, "", 1-E7/E8))</f>
        <v>0.95193264547036716</v>
      </c>
      <c r="F10" s="633">
        <f>IF(OR(F8="",F7=""), "", IF(F8=0, "", 1-F7/F8))</f>
        <v>-0.88372741350778394</v>
      </c>
      <c r="G10" s="221">
        <f>IF(G8=0,"",G9/G8)</f>
        <v>3.9130051853265506E-2</v>
      </c>
      <c r="H10" s="220">
        <f>IF(H8=0,"",H9/H8)</f>
        <v>0.31002220628849619</v>
      </c>
      <c r="I10" s="220">
        <f>IF(I8=0,"",I9/I8)</f>
        <v>0.24033029117774882</v>
      </c>
      <c r="J10" s="200"/>
      <c r="K10" s="200"/>
      <c r="L10" s="200"/>
      <c r="M10" s="200"/>
      <c r="N10" s="200"/>
      <c r="O10" s="200"/>
      <c r="P10" s="200"/>
      <c r="Q10" s="200"/>
      <c r="R10"/>
      <c r="S10"/>
      <c r="T10"/>
      <c r="U10"/>
      <c r="V10"/>
      <c r="W10"/>
      <c r="X10"/>
      <c r="Y10"/>
      <c r="Z10"/>
    </row>
    <row r="11" spans="1:26" ht="15" customHeight="1" thickBot="1" x14ac:dyDescent="0.35">
      <c r="A11" s="200"/>
      <c r="B11" s="216" t="s">
        <v>244</v>
      </c>
      <c r="C11" s="220">
        <v>0.22</v>
      </c>
      <c r="D11" s="220" t="s">
        <v>245</v>
      </c>
      <c r="E11" s="220">
        <v>0.1</v>
      </c>
      <c r="F11" s="220" t="s">
        <v>246</v>
      </c>
      <c r="G11" s="220" t="s">
        <v>245</v>
      </c>
      <c r="H11" s="220">
        <v>0.5</v>
      </c>
      <c r="I11" s="220">
        <v>0.3</v>
      </c>
      <c r="J11" s="200"/>
      <c r="K11" s="200"/>
      <c r="L11" s="200"/>
      <c r="M11" s="200"/>
      <c r="N11" s="200"/>
      <c r="O11" s="200"/>
      <c r="P11" s="200"/>
      <c r="Q11" s="200"/>
      <c r="R11"/>
      <c r="S11"/>
      <c r="T11"/>
      <c r="U11"/>
      <c r="V11"/>
      <c r="W11"/>
      <c r="X11"/>
      <c r="Y11"/>
      <c r="Z11"/>
    </row>
    <row r="12" spans="1:26" ht="15" customHeight="1" thickBot="1" x14ac:dyDescent="0.35">
      <c r="A12" s="200"/>
      <c r="B12" s="216" t="s">
        <v>247</v>
      </c>
      <c r="C12" s="199"/>
      <c r="D12" s="200"/>
      <c r="E12" s="200"/>
      <c r="F12" s="200"/>
      <c r="G12" s="200"/>
      <c r="H12" s="200"/>
      <c r="I12" s="200"/>
      <c r="J12" s="200"/>
      <c r="K12" s="200"/>
      <c r="L12" s="200"/>
      <c r="M12" s="200"/>
      <c r="N12" s="200"/>
      <c r="O12" s="200"/>
      <c r="P12" s="200"/>
      <c r="Q12" s="200"/>
      <c r="R12"/>
      <c r="S12"/>
      <c r="T12"/>
      <c r="U12"/>
      <c r="V12"/>
      <c r="W12"/>
      <c r="X12"/>
      <c r="Y12"/>
      <c r="Z12"/>
    </row>
    <row r="13" spans="1:26" ht="14.4" x14ac:dyDescent="0.3">
      <c r="A13" s="200"/>
      <c r="B13" s="222" t="s">
        <v>248</v>
      </c>
      <c r="C13" s="200"/>
      <c r="D13" s="200"/>
      <c r="E13" s="200"/>
      <c r="F13" s="200"/>
      <c r="G13" s="200"/>
      <c r="H13" s="200"/>
      <c r="I13" s="200"/>
      <c r="J13" s="200"/>
      <c r="K13" s="200"/>
      <c r="L13" s="200"/>
      <c r="M13" s="200"/>
      <c r="N13" s="200"/>
      <c r="O13" s="200"/>
      <c r="P13" s="200"/>
      <c r="Q13" s="200"/>
      <c r="R13"/>
      <c r="S13"/>
      <c r="T13"/>
      <c r="U13"/>
      <c r="V13"/>
      <c r="W13"/>
      <c r="X13"/>
      <c r="Y13"/>
      <c r="Z13"/>
    </row>
    <row r="14" spans="1:26" ht="15" thickBot="1" x14ac:dyDescent="0.35">
      <c r="A14" s="200"/>
      <c r="B14" s="200"/>
      <c r="C14" s="275">
        <f>IF(C18=0,0,IF(C19=0,1,IF(C20=0,2,IF(C21=0,3,4))))</f>
        <v>2</v>
      </c>
      <c r="D14" s="275">
        <f t="shared" ref="D14:I14" si="0">IF(D18=0,0,IF(D19=0,1,IF(D20=0,2,IF(D21=0,3,4))))</f>
        <v>2</v>
      </c>
      <c r="E14" s="275">
        <f>IF(E18="",0,IF(E19=0,1,IF(E20=0,2,IF(E21=0,3,4))))</f>
        <v>4</v>
      </c>
      <c r="F14" s="275">
        <f>IF(F18="",0,IF(F19=0,1,IF(F20=0,2,IF(F21=0,3,4))))</f>
        <v>4</v>
      </c>
      <c r="G14" s="275">
        <f t="shared" si="0"/>
        <v>2</v>
      </c>
      <c r="H14" s="275">
        <f t="shared" si="0"/>
        <v>2</v>
      </c>
      <c r="I14" s="275">
        <f t="shared" si="0"/>
        <v>2</v>
      </c>
      <c r="J14" s="200"/>
      <c r="K14" s="200"/>
      <c r="L14" s="200"/>
      <c r="M14" s="200"/>
      <c r="N14" s="200"/>
      <c r="O14" s="200"/>
      <c r="P14" s="200"/>
      <c r="Q14" s="200"/>
      <c r="R14"/>
      <c r="S14"/>
      <c r="T14"/>
      <c r="U14"/>
      <c r="V14"/>
      <c r="W14"/>
      <c r="X14"/>
      <c r="Y14"/>
      <c r="Z14"/>
    </row>
    <row r="15" spans="1:26" ht="13.5" customHeight="1" thickBot="1" x14ac:dyDescent="0.35">
      <c r="A15" s="200"/>
      <c r="B15" s="1826" t="s">
        <v>565</v>
      </c>
      <c r="C15" s="1829" t="s">
        <v>225</v>
      </c>
      <c r="D15" s="1829"/>
      <c r="E15" s="1829"/>
      <c r="F15" s="1829"/>
      <c r="G15" s="1829"/>
      <c r="H15" s="1829"/>
      <c r="I15" s="1830"/>
      <c r="J15" s="1831" t="s">
        <v>226</v>
      </c>
      <c r="K15" s="1832"/>
      <c r="L15" s="1833"/>
      <c r="M15" s="200"/>
      <c r="N15" s="200"/>
      <c r="O15" s="200"/>
      <c r="P15" s="200"/>
      <c r="Q15" s="200"/>
      <c r="R15"/>
      <c r="S15"/>
      <c r="T15"/>
      <c r="U15"/>
      <c r="V15"/>
      <c r="W15"/>
      <c r="X15"/>
      <c r="Y15"/>
      <c r="Z15"/>
    </row>
    <row r="16" spans="1:26" ht="31.8" thickBot="1" x14ac:dyDescent="0.35">
      <c r="A16" s="200"/>
      <c r="B16" s="1827"/>
      <c r="C16" s="223" t="s">
        <v>227</v>
      </c>
      <c r="D16" s="1834" t="s">
        <v>228</v>
      </c>
      <c r="E16" s="1834"/>
      <c r="F16" s="1834"/>
      <c r="G16" s="204" t="s">
        <v>229</v>
      </c>
      <c r="H16" s="205" t="s">
        <v>230</v>
      </c>
      <c r="I16" s="206" t="s">
        <v>169</v>
      </c>
      <c r="J16" s="224" t="s">
        <v>227</v>
      </c>
      <c r="K16" s="225" t="s">
        <v>249</v>
      </c>
      <c r="L16" s="226" t="s">
        <v>250</v>
      </c>
      <c r="M16" s="200"/>
      <c r="N16" s="200"/>
      <c r="O16" s="200"/>
      <c r="P16" s="200"/>
      <c r="Q16" s="200"/>
      <c r="R16"/>
      <c r="S16"/>
      <c r="T16"/>
      <c r="U16"/>
      <c r="V16"/>
      <c r="W16"/>
      <c r="X16"/>
      <c r="Y16"/>
      <c r="Z16"/>
    </row>
    <row r="17" spans="1:26" ht="33.75" customHeight="1" thickBot="1" x14ac:dyDescent="0.35">
      <c r="A17" s="200"/>
      <c r="B17" s="1828"/>
      <c r="C17" s="279" t="s">
        <v>251</v>
      </c>
      <c r="D17" s="210" t="s">
        <v>235</v>
      </c>
      <c r="E17" s="210" t="s">
        <v>236</v>
      </c>
      <c r="F17" s="227" t="s">
        <v>237</v>
      </c>
      <c r="G17" s="210" t="s">
        <v>238</v>
      </c>
      <c r="H17" s="228" t="s">
        <v>239</v>
      </c>
      <c r="I17" s="209" t="s">
        <v>240</v>
      </c>
      <c r="J17" s="229" t="s">
        <v>241</v>
      </c>
      <c r="K17" s="210" t="s">
        <v>242</v>
      </c>
      <c r="L17" s="230" t="s">
        <v>243</v>
      </c>
      <c r="M17" s="200"/>
      <c r="N17" s="200"/>
      <c r="O17" s="200"/>
      <c r="P17" s="200"/>
      <c r="Q17" s="200"/>
      <c r="R17"/>
      <c r="S17"/>
      <c r="T17"/>
      <c r="U17"/>
      <c r="V17"/>
      <c r="W17"/>
      <c r="X17"/>
      <c r="Y17"/>
      <c r="Z17"/>
    </row>
    <row r="18" spans="1:26" ht="14.4" x14ac:dyDescent="0.3">
      <c r="A18" s="200"/>
      <c r="B18" s="276" t="s">
        <v>252</v>
      </c>
      <c r="C18" s="240">
        <f>+'Q1'!$F$142</f>
        <v>73523.848819970561</v>
      </c>
      <c r="D18" s="231">
        <f>+'Q1'!$E$184</f>
        <v>13153.045522809136</v>
      </c>
      <c r="E18" s="634">
        <f>'Q1'!$F$183</f>
        <v>2.8193890100153135E-2</v>
      </c>
      <c r="F18" s="634">
        <f>'Q1'!$F$180</f>
        <v>0.83326125168134291</v>
      </c>
      <c r="G18" s="231">
        <f>+'Q1'!$D$164</f>
        <v>2197087.5279642199</v>
      </c>
      <c r="H18" s="231">
        <f>+'Q1'!$E$191</f>
        <v>265900.5</v>
      </c>
      <c r="I18" s="285">
        <f>+'Q1'!$D$197</f>
        <v>976</v>
      </c>
      <c r="J18" s="284">
        <f>IF('Q1'!$E$164=0,"",(+('Q1'!$H$142)/'Q1'!$E$164*1000))</f>
        <v>265.15038029200377</v>
      </c>
      <c r="K18" s="284">
        <f>IF(+'Q1'!$E$164=0,"",'Q1'!$G$184/'Q1'!$E$164*1000)</f>
        <v>34.617781456677157</v>
      </c>
      <c r="L18" s="284">
        <f>IF('Q1'!$E$164=0,"",+'Q1'!$G$164/'Q1'!$E$164)</f>
        <v>2.193966574077963</v>
      </c>
      <c r="M18" s="200"/>
      <c r="N18" s="200"/>
      <c r="O18" s="200"/>
      <c r="P18" s="200"/>
      <c r="Q18" s="200"/>
      <c r="R18"/>
      <c r="S18"/>
      <c r="T18"/>
      <c r="U18"/>
      <c r="V18"/>
      <c r="W18"/>
      <c r="X18"/>
      <c r="Y18"/>
      <c r="Z18"/>
    </row>
    <row r="19" spans="1:26" ht="14.4" x14ac:dyDescent="0.3">
      <c r="A19" s="200"/>
      <c r="B19" s="277" t="s">
        <v>253</v>
      </c>
      <c r="C19" s="244">
        <f>+'Q2'!$F$142</f>
        <v>53616.781990404495</v>
      </c>
      <c r="D19" s="243">
        <f>+'Q2'!$E$184</f>
        <v>12932.770000000002</v>
      </c>
      <c r="E19" s="635">
        <f>'Q2'!$F$183</f>
        <v>2.5420694870472445E-2</v>
      </c>
      <c r="F19" s="635">
        <f>'Q2'!$F$180</f>
        <v>0.80775502850510761</v>
      </c>
      <c r="G19" s="243">
        <f>+'Q2'!$D$164</f>
        <v>2259986.9982851301</v>
      </c>
      <c r="H19" s="243">
        <f>+'Q2'!$E$191</f>
        <v>269613</v>
      </c>
      <c r="I19" s="286">
        <f>+'Q2'!$D$197</f>
        <v>772</v>
      </c>
      <c r="J19" s="242">
        <f>IF('Q2'!$E$164=0,"",(+('Q2'!$H$142)/'Q2'!$E$164*1000))</f>
        <v>240.51142206734258</v>
      </c>
      <c r="K19" s="242">
        <f>IF(+'Q2'!$E$164=0,"",'Q2'!$G$184/'Q2'!$E$164*1000)</f>
        <v>47.621065375302663</v>
      </c>
      <c r="L19" s="242">
        <f>IF('Q2'!$E$164=0,"",+'Q2'!$G$164/'Q2'!$E$164)</f>
        <v>1.4460286443899848</v>
      </c>
      <c r="M19" s="200"/>
      <c r="N19" s="200"/>
      <c r="O19" s="200"/>
      <c r="P19" s="200"/>
      <c r="Q19" s="200"/>
      <c r="R19"/>
      <c r="S19"/>
      <c r="T19"/>
      <c r="U19"/>
      <c r="V19"/>
      <c r="W19"/>
      <c r="X19"/>
      <c r="Y19"/>
      <c r="Z19"/>
    </row>
    <row r="20" spans="1:26" ht="14.4" x14ac:dyDescent="0.3">
      <c r="A20" s="200"/>
      <c r="B20" s="277" t="s">
        <v>254</v>
      </c>
      <c r="C20" s="244">
        <f>+'Q3'!$F$142</f>
        <v>0</v>
      </c>
      <c r="D20" s="243">
        <f>+'Q3'!$E$184</f>
        <v>0</v>
      </c>
      <c r="E20" s="635" t="str">
        <f>'Q3'!$F$183</f>
        <v/>
      </c>
      <c r="F20" s="635" t="str">
        <f>'Q3'!$F$180</f>
        <v/>
      </c>
      <c r="G20" s="243">
        <f>+'Q3'!$D$164</f>
        <v>0</v>
      </c>
      <c r="H20" s="243">
        <f>+'Q3'!$E$191</f>
        <v>0</v>
      </c>
      <c r="I20" s="286">
        <f>+'Q3'!$D$197</f>
        <v>0</v>
      </c>
      <c r="J20" s="242" t="str">
        <f>IF('Q3'!$E$164=0,"",(+('Q3'!$H$142)/'Q3'!$E$164*1000))</f>
        <v/>
      </c>
      <c r="K20" s="242" t="str">
        <f>IF(+'Q3'!$E$164=0,"",'Q3'!$G$184/'Q3'!$E$164*1000)</f>
        <v/>
      </c>
      <c r="L20" s="242" t="str">
        <f>IF('Q3'!$E$164=0,"",+'Q3'!$G$164/'Q3'!$E$164)</f>
        <v/>
      </c>
      <c r="M20" s="200"/>
      <c r="N20" s="200"/>
      <c r="O20" s="200"/>
      <c r="P20" s="200"/>
      <c r="Q20" s="200"/>
      <c r="R20"/>
      <c r="S20"/>
      <c r="T20"/>
      <c r="U20"/>
      <c r="V20"/>
      <c r="W20"/>
      <c r="X20"/>
      <c r="Y20"/>
      <c r="Z20"/>
    </row>
    <row r="21" spans="1:26" ht="15" thickBot="1" x14ac:dyDescent="0.35">
      <c r="A21" s="200"/>
      <c r="B21" s="278" t="s">
        <v>255</v>
      </c>
      <c r="C21" s="248">
        <f>+'Q4'!$F$142</f>
        <v>0</v>
      </c>
      <c r="D21" s="247">
        <f>+'Q4'!$E$184</f>
        <v>0</v>
      </c>
      <c r="E21" s="636" t="str">
        <f>'Q4'!$F$183</f>
        <v/>
      </c>
      <c r="F21" s="636" t="str">
        <f>'Q4'!$F$180</f>
        <v/>
      </c>
      <c r="G21" s="247">
        <f>+'Q4'!$D$164</f>
        <v>0</v>
      </c>
      <c r="H21" s="247">
        <f>+'Q4'!$E$191</f>
        <v>0</v>
      </c>
      <c r="I21" s="287">
        <f>+'Q4'!$D$197</f>
        <v>0</v>
      </c>
      <c r="J21" s="246" t="str">
        <f>IF('Q4'!$E$164=0,"",(+('Q4'!$H$142)/'Q4'!$E$164*1000))</f>
        <v/>
      </c>
      <c r="K21" s="246" t="str">
        <f>IF(+'Q4'!$E$164=0,"",'Q4'!$G$184/'Q4'!$E$164*1000)</f>
        <v/>
      </c>
      <c r="L21" s="246" t="str">
        <f>IF('Q4'!$E$164=0,"",+'Q4'!$G$164/'Q4'!$E$164)</f>
        <v/>
      </c>
      <c r="M21" s="200"/>
      <c r="N21" s="200"/>
      <c r="O21" s="200"/>
      <c r="P21" s="200"/>
      <c r="Q21" s="200"/>
      <c r="R21"/>
      <c r="S21"/>
      <c r="T21"/>
      <c r="U21"/>
      <c r="V21"/>
      <c r="W21"/>
      <c r="X21"/>
      <c r="Y21"/>
      <c r="Z21"/>
    </row>
    <row r="22" spans="1:26" ht="12.75" customHeight="1" thickBot="1" x14ac:dyDescent="0.35">
      <c r="A22" s="200"/>
      <c r="B22" s="233" t="s">
        <v>256</v>
      </c>
      <c r="C22" s="624">
        <f>SUM(C18:C21)</f>
        <v>127140.63081037506</v>
      </c>
      <c r="D22" s="281">
        <f>SUM(D18:D21)</f>
        <v>26085.815522809138</v>
      </c>
      <c r="E22" s="637">
        <f>+'2019-2020'!$F$183</f>
        <v>2.6819001282159406E-2</v>
      </c>
      <c r="F22" s="638">
        <f>+'2019-2020'!$F$180</f>
        <v>0.82061583073912658</v>
      </c>
      <c r="G22" s="281">
        <f>SUM(G18:G21)</f>
        <v>4457074.52624935</v>
      </c>
      <c r="H22" s="282">
        <f>SUM(H18:H21)</f>
        <v>535513.5</v>
      </c>
      <c r="I22" s="283">
        <f>SUM(I18:I21)</f>
        <v>1748</v>
      </c>
      <c r="J22" s="625">
        <f>IF('2019-2020'!$E$164=0,"",+('2019-2020'!$H$142)/'2019-2020'!$E$164*1000)</f>
        <v>1011.3236047186926</v>
      </c>
      <c r="K22" s="280">
        <f>IF('2019-2020'!$E$164=0,"",+'2019-2020'!$G$184/'2019-2020'!$E$164*1000)</f>
        <v>164.47769366395968</v>
      </c>
      <c r="L22" s="626">
        <f>IF('2019-2020'!$E$164=0,"",+'2019-2020'!$G$164/'2019-2020'!$E$164)</f>
        <v>7.2799904369358961</v>
      </c>
      <c r="M22" s="200"/>
      <c r="N22" s="200"/>
      <c r="O22" s="200"/>
      <c r="P22" s="200"/>
      <c r="Q22" s="200"/>
      <c r="R22"/>
      <c r="S22"/>
      <c r="T22"/>
      <c r="U22"/>
      <c r="V22"/>
      <c r="W22"/>
      <c r="X22"/>
      <c r="Y22"/>
      <c r="Z22"/>
    </row>
    <row r="23" spans="1:26" ht="12.75" customHeight="1" thickBot="1" x14ac:dyDescent="0.35">
      <c r="A23" s="200"/>
      <c r="B23" s="200"/>
      <c r="C23" s="200"/>
      <c r="D23" s="200"/>
      <c r="E23" s="200"/>
      <c r="F23" s="200"/>
      <c r="G23" s="200"/>
      <c r="H23" s="200"/>
      <c r="I23" s="200"/>
      <c r="J23" s="200"/>
      <c r="K23" s="200"/>
      <c r="L23" s="200"/>
      <c r="M23" s="200"/>
      <c r="N23" s="200"/>
      <c r="O23" s="200"/>
      <c r="P23" s="200"/>
      <c r="Q23" s="200"/>
      <c r="R23"/>
      <c r="S23"/>
      <c r="T23"/>
      <c r="U23"/>
      <c r="V23"/>
      <c r="W23"/>
      <c r="X23"/>
      <c r="Y23"/>
      <c r="Z23"/>
    </row>
    <row r="24" spans="1:26" ht="12.75" customHeight="1" thickBot="1" x14ac:dyDescent="0.35">
      <c r="A24" s="200"/>
      <c r="B24" s="1844" t="s">
        <v>519</v>
      </c>
      <c r="C24" s="1829" t="s">
        <v>225</v>
      </c>
      <c r="D24" s="1829"/>
      <c r="E24" s="1829"/>
      <c r="F24" s="1829"/>
      <c r="G24" s="1829"/>
      <c r="H24" s="1829"/>
      <c r="I24" s="1830"/>
      <c r="J24" s="1831" t="s">
        <v>226</v>
      </c>
      <c r="K24" s="1832"/>
      <c r="L24" s="1833"/>
      <c r="M24" s="200"/>
      <c r="N24" s="200"/>
      <c r="O24" s="200"/>
      <c r="P24" s="200"/>
      <c r="Q24" s="200"/>
      <c r="R24"/>
      <c r="S24"/>
      <c r="T24"/>
      <c r="U24"/>
      <c r="V24"/>
      <c r="W24"/>
      <c r="X24"/>
      <c r="Y24"/>
      <c r="Z24"/>
    </row>
    <row r="25" spans="1:26" ht="41.25" customHeight="1" thickBot="1" x14ac:dyDescent="0.35">
      <c r="A25" s="200"/>
      <c r="B25" s="1845"/>
      <c r="C25" s="223" t="s">
        <v>227</v>
      </c>
      <c r="D25" s="1834" t="s">
        <v>228</v>
      </c>
      <c r="E25" s="1834"/>
      <c r="F25" s="1834"/>
      <c r="G25" s="204" t="s">
        <v>229</v>
      </c>
      <c r="H25" s="205" t="s">
        <v>230</v>
      </c>
      <c r="I25" s="206" t="s">
        <v>169</v>
      </c>
      <c r="J25" s="203" t="s">
        <v>227</v>
      </c>
      <c r="K25" s="207" t="s">
        <v>249</v>
      </c>
      <c r="L25" s="208" t="s">
        <v>250</v>
      </c>
      <c r="M25" s="200"/>
      <c r="N25" s="200"/>
      <c r="O25" s="200"/>
      <c r="P25" s="200"/>
      <c r="Q25" s="200"/>
      <c r="R25"/>
      <c r="S25"/>
      <c r="T25"/>
      <c r="U25"/>
      <c r="V25"/>
      <c r="W25"/>
      <c r="X25"/>
      <c r="Y25"/>
      <c r="Z25"/>
    </row>
    <row r="26" spans="1:26" ht="33" customHeight="1" thickBot="1" x14ac:dyDescent="0.35">
      <c r="A26" s="200"/>
      <c r="B26" s="1846"/>
      <c r="C26" s="236" t="s">
        <v>257</v>
      </c>
      <c r="D26" s="237" t="s">
        <v>235</v>
      </c>
      <c r="E26" s="237" t="s">
        <v>236</v>
      </c>
      <c r="F26" s="237" t="s">
        <v>237</v>
      </c>
      <c r="G26" s="237" t="s">
        <v>238</v>
      </c>
      <c r="H26" s="237" t="s">
        <v>239</v>
      </c>
      <c r="I26" s="238" t="s">
        <v>240</v>
      </c>
      <c r="J26" s="238" t="s">
        <v>241</v>
      </c>
      <c r="K26" s="237" t="s">
        <v>242</v>
      </c>
      <c r="L26" s="237" t="s">
        <v>243</v>
      </c>
      <c r="M26" s="200"/>
      <c r="N26" s="200"/>
      <c r="O26" s="200"/>
      <c r="P26" s="200"/>
      <c r="Q26" s="200"/>
      <c r="R26"/>
      <c r="S26"/>
      <c r="T26"/>
      <c r="U26"/>
      <c r="V26"/>
      <c r="W26"/>
      <c r="X26"/>
      <c r="Y26"/>
      <c r="Z26"/>
    </row>
    <row r="27" spans="1:26" ht="12.75" customHeight="1" x14ac:dyDescent="0.3">
      <c r="A27" s="200"/>
      <c r="B27" s="239" t="s">
        <v>252</v>
      </c>
      <c r="C27" s="244">
        <f>+'Q1-19'!$F$142</f>
        <v>73793.269271046665</v>
      </c>
      <c r="D27" s="231">
        <f>+'Q1-19'!$E$184</f>
        <v>12706.236504287283</v>
      </c>
      <c r="E27" s="627">
        <f>'Q1-19'!$F$183</f>
        <v>3.0484105423494758E-2</v>
      </c>
      <c r="F27" s="629">
        <f>'Q1-19'!$F$180</f>
        <v>0.83422876943144619</v>
      </c>
      <c r="G27" s="231">
        <f>+'Q1-19'!$D$164</f>
        <v>2274097.3106746501</v>
      </c>
      <c r="H27" s="232">
        <f>+'Q1-19'!$E$191</f>
        <v>277524.5</v>
      </c>
      <c r="I27" s="240">
        <f>+'Q1-19'!$D$197</f>
        <v>1059</v>
      </c>
      <c r="J27" s="284">
        <f>IF('Q1-19'!$E$164=0,"",(+('Q1-19'!$H$142)/'Q1-19'!$E$164*1000))</f>
        <v>587.9194901113234</v>
      </c>
      <c r="K27" s="284">
        <f>IF(+'Q1-19'!$E$164=0,"",'Q1-19'!$G$184/'Q1-19'!$E$164*1000)</f>
        <v>145.7363782009833</v>
      </c>
      <c r="L27" s="284">
        <f>IF('Q1-19'!$E$164=0,"",+'Q1-19'!$G$164/'Q1-19'!$E$164)</f>
        <v>2.9172223612221133</v>
      </c>
      <c r="M27" s="200"/>
      <c r="N27" s="200"/>
      <c r="O27" s="200"/>
      <c r="P27" s="200"/>
      <c r="Q27" s="200"/>
      <c r="R27"/>
      <c r="S27"/>
      <c r="T27"/>
      <c r="U27"/>
      <c r="V27"/>
      <c r="W27"/>
      <c r="X27"/>
      <c r="Y27"/>
      <c r="Z27"/>
    </row>
    <row r="28" spans="1:26" ht="12.75" customHeight="1" x14ac:dyDescent="0.3">
      <c r="A28" s="200"/>
      <c r="B28" s="241" t="s">
        <v>253</v>
      </c>
      <c r="C28" s="244">
        <f>+'Q2-19'!$F$142</f>
        <v>56210.470211942549</v>
      </c>
      <c r="D28" s="243">
        <f>+'Q2-19'!$E$184</f>
        <v>12141.964217231709</v>
      </c>
      <c r="E28" s="635">
        <f>'Q2-19'!$F$183</f>
        <v>2.9990440598986486E-2</v>
      </c>
      <c r="F28" s="635">
        <f>'Q2-19'!$F$180</f>
        <v>0.85147858998072323</v>
      </c>
      <c r="G28" s="243">
        <f>+'Q2-19'!$D$164</f>
        <v>2131140.24478989</v>
      </c>
      <c r="H28" s="243">
        <f>+'Q2-19'!$E$191</f>
        <v>258159.5</v>
      </c>
      <c r="I28" s="286">
        <f>+'Q2-19'!$D$197</f>
        <v>978</v>
      </c>
      <c r="J28" s="242">
        <f>IF('Q2-19'!$E$164=0,"",(+('Q2-19'!$H$142)/'Q2-19'!$E$164*1000))</f>
        <v>639.8610417317899</v>
      </c>
      <c r="K28" s="242">
        <f>IF(+'Q2-19'!$E$164=0,"",'Q2-19'!$G$184/'Q2-19'!$E$164*1000)</f>
        <v>139.3879924651784</v>
      </c>
      <c r="L28" s="242">
        <f>IF('Q2-19'!$E$164=0,"",+'Q2-19'!$G$164/'Q2-19'!$E$164)</f>
        <v>3.0945550835450106</v>
      </c>
      <c r="M28" s="200"/>
      <c r="N28" s="200"/>
      <c r="O28" s="200"/>
      <c r="P28" s="200"/>
      <c r="Q28" s="200"/>
      <c r="R28"/>
      <c r="S28"/>
      <c r="T28"/>
      <c r="U28"/>
      <c r="V28"/>
      <c r="W28"/>
      <c r="X28"/>
      <c r="Y28"/>
      <c r="Z28"/>
    </row>
    <row r="29" spans="1:26" ht="12.75" customHeight="1" x14ac:dyDescent="0.3">
      <c r="A29" s="200"/>
      <c r="B29" s="241" t="s">
        <v>254</v>
      </c>
      <c r="C29" s="244">
        <f>+'Q3-19'!$F$142</f>
        <v>95432.843183031742</v>
      </c>
      <c r="D29" s="243">
        <f>+'Q3-19'!$E$184</f>
        <v>12390.697942374949</v>
      </c>
      <c r="E29" s="635">
        <f>'Q3-19'!$F$183</f>
        <v>2.8397286274332977E-2</v>
      </c>
      <c r="F29" s="635">
        <f>'Q3-19'!$F$180</f>
        <v>0.82783545560449578</v>
      </c>
      <c r="G29" s="243">
        <f>+'Q3-19'!$D$164</f>
        <v>2272430.1143495701</v>
      </c>
      <c r="H29" s="243">
        <f>+'Q3-19'!$E$191</f>
        <v>254638</v>
      </c>
      <c r="I29" s="286">
        <f>+'Q3-19'!$D$197</f>
        <v>1075</v>
      </c>
      <c r="J29" s="242">
        <f>IF('Q3-19'!$E$164=0,"",(+('Q3-19'!$H$142)/'Q3-19'!$E$164*1000))</f>
        <v>421.49236454475772</v>
      </c>
      <c r="K29" s="242">
        <f>IF(+'Q3-19'!$E$164=0,"",'Q3-19'!$G$184/'Q3-19'!$E$164*1000)</f>
        <v>114.06501992071603</v>
      </c>
      <c r="L29" s="242">
        <f>IF('Q3-19'!$E$164=0,"",+'Q3-19'!$G$164/'Q3-19'!$E$164)</f>
        <v>3.4070544457913137</v>
      </c>
      <c r="M29" s="200"/>
      <c r="N29" s="200"/>
      <c r="O29" s="200"/>
      <c r="P29" s="200"/>
      <c r="Q29" s="200"/>
      <c r="R29"/>
      <c r="S29"/>
      <c r="T29"/>
      <c r="U29"/>
      <c r="V29"/>
      <c r="W29"/>
      <c r="X29"/>
      <c r="Y29"/>
      <c r="Z29"/>
    </row>
    <row r="30" spans="1:26" ht="12.75" customHeight="1" thickBot="1" x14ac:dyDescent="0.35">
      <c r="A30" s="200"/>
      <c r="B30" s="245" t="s">
        <v>255</v>
      </c>
      <c r="C30" s="248">
        <f>+'Q4-19'!$F$142</f>
        <v>111074.9099453641</v>
      </c>
      <c r="D30" s="247">
        <f>+'Q4-19'!$E$184</f>
        <v>13108.495449101758</v>
      </c>
      <c r="E30" s="636">
        <f>'Q4-19'!$F$183</f>
        <v>2.9109208564116036E-2</v>
      </c>
      <c r="F30" s="636">
        <f>'Q4-19'!$F$180</f>
        <v>0.82353381504309342</v>
      </c>
      <c r="G30" s="247">
        <f>+'Q4-19'!$D$164</f>
        <v>2296353.4087912301</v>
      </c>
      <c r="H30" s="247">
        <f>+'Q4-19'!$E$191</f>
        <v>285494</v>
      </c>
      <c r="I30" s="287">
        <f>+'Q4-19'!$D$197</f>
        <v>1088</v>
      </c>
      <c r="J30" s="246">
        <f>IF('Q4-19'!$E$164=0,"",(+('Q4-19'!$H$142)/'Q4-19'!$E$164*1000))</f>
        <v>652.81968957377023</v>
      </c>
      <c r="K30" s="246">
        <f>IF(+'Q4-19'!$E$164=0,"",'Q4-19'!$G$184/'Q4-19'!$E$164*1000)</f>
        <v>148.99481226384509</v>
      </c>
      <c r="L30" s="246">
        <f>IF('Q4-19'!$E$164=0,"",+'Q4-19'!$G$164/'Q4-19'!$E$164)</f>
        <v>3.1808159725320517</v>
      </c>
      <c r="M30" s="200"/>
      <c r="N30" s="200"/>
      <c r="O30" s="200"/>
      <c r="P30" s="200"/>
      <c r="Q30" s="200"/>
      <c r="R30"/>
      <c r="S30"/>
      <c r="T30"/>
      <c r="U30"/>
      <c r="V30"/>
      <c r="W30"/>
      <c r="X30"/>
      <c r="Y30"/>
      <c r="Z30"/>
    </row>
    <row r="31" spans="1:26" ht="12.75" customHeight="1" thickBot="1" x14ac:dyDescent="0.35">
      <c r="A31" s="200"/>
      <c r="B31" s="249" t="s">
        <v>256</v>
      </c>
      <c r="C31" s="250">
        <f>SUM(C27:C30)</f>
        <v>336511.49261138507</v>
      </c>
      <c r="D31" s="234">
        <f>SUM(D27:D30)</f>
        <v>50347.394112995695</v>
      </c>
      <c r="E31" s="628">
        <f>'2018-2019'!$F$183</f>
        <v>2.9493507270900603E-2</v>
      </c>
      <c r="F31" s="630">
        <f>'2018-2019'!$F$180</f>
        <v>0.83403083113252907</v>
      </c>
      <c r="G31" s="234">
        <f>SUM(G27:G30)</f>
        <v>8974021.0786053389</v>
      </c>
      <c r="H31" s="235">
        <f>SUM(H27:H30)</f>
        <v>1075816</v>
      </c>
      <c r="I31" s="250">
        <f>SUM(I27:I30)</f>
        <v>4200</v>
      </c>
      <c r="J31" s="625">
        <f>IF('2018-2019'!$E$164=0,"",+('2018-2019'!$H$142)/'2018-2019'!$E$164*1000)</f>
        <v>2302.0925859616414</v>
      </c>
      <c r="K31" s="280">
        <f>IF(+'2018-2019'!$E$164=0,"",'2018-2019'!$G$184/'2018-2019'!$E$164*1000)</f>
        <v>548.18420285072284</v>
      </c>
      <c r="L31" s="214">
        <f>'2018-2019'!$H$164</f>
        <v>12.599647863090489</v>
      </c>
      <c r="M31" s="200"/>
      <c r="N31" s="200"/>
      <c r="O31" s="200"/>
      <c r="P31" s="200"/>
      <c r="Q31" s="200"/>
      <c r="R31"/>
      <c r="S31"/>
      <c r="T31"/>
      <c r="U31"/>
      <c r="V31"/>
      <c r="W31"/>
      <c r="X31"/>
      <c r="Y31"/>
      <c r="Z31"/>
    </row>
    <row r="32" spans="1:26" ht="12.75" customHeight="1" x14ac:dyDescent="0.3">
      <c r="A32" s="200"/>
      <c r="B32" s="200"/>
      <c r="C32" s="200"/>
      <c r="D32" s="200"/>
      <c r="E32" s="200"/>
      <c r="F32" s="200"/>
      <c r="G32" s="200"/>
      <c r="H32" s="200"/>
      <c r="I32" s="200"/>
      <c r="J32" s="251"/>
      <c r="K32" s="251"/>
      <c r="L32" s="251"/>
      <c r="M32" s="200"/>
      <c r="N32" s="200"/>
      <c r="O32" s="200"/>
      <c r="P32" s="200"/>
      <c r="Q32" s="200"/>
      <c r="R32"/>
      <c r="S32"/>
      <c r="T32"/>
      <c r="U32"/>
      <c r="V32"/>
      <c r="W32"/>
      <c r="X32"/>
      <c r="Y32"/>
      <c r="Z32"/>
    </row>
    <row r="33" spans="1:26" ht="15" thickBot="1" x14ac:dyDescent="0.35">
      <c r="A33" s="200"/>
      <c r="B33" s="200"/>
      <c r="C33" s="200"/>
      <c r="D33" s="200"/>
      <c r="E33" s="200"/>
      <c r="F33" s="200"/>
      <c r="G33" s="200"/>
      <c r="H33" s="200"/>
      <c r="I33" s="200"/>
      <c r="J33" s="200"/>
      <c r="K33" s="200"/>
      <c r="L33" s="200"/>
      <c r="M33" s="200"/>
      <c r="N33" s="200"/>
      <c r="O33" s="200"/>
      <c r="P33" s="200"/>
      <c r="Q33" s="200"/>
      <c r="R33"/>
      <c r="S33"/>
      <c r="T33"/>
      <c r="U33"/>
      <c r="V33"/>
      <c r="W33"/>
      <c r="X33"/>
      <c r="Y33"/>
      <c r="Z33"/>
    </row>
    <row r="34" spans="1:26" ht="15" customHeight="1" thickBot="1" x14ac:dyDescent="0.35">
      <c r="A34" s="200"/>
      <c r="B34" s="1838" t="s">
        <v>258</v>
      </c>
      <c r="C34" s="1841" t="s">
        <v>225</v>
      </c>
      <c r="D34" s="1829"/>
      <c r="E34" s="1829"/>
      <c r="F34" s="1829"/>
      <c r="G34" s="1829"/>
      <c r="H34" s="1829"/>
      <c r="I34" s="1830"/>
      <c r="J34" s="1831" t="s">
        <v>226</v>
      </c>
      <c r="K34" s="1832"/>
      <c r="L34" s="1833"/>
      <c r="M34" s="200"/>
      <c r="N34" s="200"/>
      <c r="O34" s="200"/>
      <c r="P34" s="200"/>
      <c r="Q34" s="200"/>
      <c r="R34"/>
      <c r="S34"/>
      <c r="T34"/>
      <c r="U34"/>
      <c r="V34"/>
      <c r="W34"/>
      <c r="X34"/>
      <c r="Y34"/>
      <c r="Z34"/>
    </row>
    <row r="35" spans="1:26" ht="31.8" thickBot="1" x14ac:dyDescent="0.35">
      <c r="A35" s="200"/>
      <c r="B35" s="1839"/>
      <c r="C35" s="223" t="s">
        <v>227</v>
      </c>
      <c r="D35" s="1834" t="s">
        <v>228</v>
      </c>
      <c r="E35" s="1834"/>
      <c r="F35" s="1834"/>
      <c r="G35" s="204" t="s">
        <v>229</v>
      </c>
      <c r="H35" s="205" t="s">
        <v>230</v>
      </c>
      <c r="I35" s="206" t="s">
        <v>169</v>
      </c>
      <c r="J35" s="203" t="s">
        <v>231</v>
      </c>
      <c r="K35" s="1415" t="s">
        <v>232</v>
      </c>
      <c r="L35" s="208" t="s">
        <v>233</v>
      </c>
      <c r="M35" s="200"/>
      <c r="N35" s="200"/>
      <c r="O35" s="200"/>
      <c r="P35" s="200"/>
      <c r="Q35" s="200"/>
      <c r="R35"/>
      <c r="S35"/>
      <c r="T35"/>
      <c r="U35"/>
      <c r="V35"/>
      <c r="W35"/>
      <c r="X35"/>
      <c r="Y35"/>
      <c r="Z35"/>
    </row>
    <row r="36" spans="1:26" ht="54" customHeight="1" thickBot="1" x14ac:dyDescent="0.35">
      <c r="A36" s="200"/>
      <c r="B36" s="1847"/>
      <c r="C36" s="252" t="s">
        <v>234</v>
      </c>
      <c r="D36" s="210" t="s">
        <v>235</v>
      </c>
      <c r="E36" s="228" t="s">
        <v>236</v>
      </c>
      <c r="F36" s="210" t="s">
        <v>237</v>
      </c>
      <c r="G36" s="228" t="s">
        <v>238</v>
      </c>
      <c r="H36" s="210" t="s">
        <v>239</v>
      </c>
      <c r="I36" s="229" t="s">
        <v>240</v>
      </c>
      <c r="J36" s="229" t="s">
        <v>241</v>
      </c>
      <c r="K36" s="1416" t="s">
        <v>242</v>
      </c>
      <c r="L36" s="230" t="s">
        <v>243</v>
      </c>
      <c r="M36" s="200"/>
      <c r="N36" s="200"/>
      <c r="O36" s="200"/>
      <c r="P36" s="200"/>
      <c r="Q36" s="200"/>
      <c r="R36"/>
      <c r="S36"/>
      <c r="T36"/>
      <c r="U36"/>
      <c r="V36"/>
      <c r="W36"/>
      <c r="X36"/>
      <c r="Y36"/>
      <c r="Z36"/>
    </row>
    <row r="37" spans="1:26" ht="17.25" customHeight="1" x14ac:dyDescent="0.3">
      <c r="A37" s="200"/>
      <c r="B37" s="253" t="s">
        <v>18</v>
      </c>
      <c r="C37" s="601">
        <f>+C8</f>
        <v>561575.76312077325</v>
      </c>
      <c r="D37" s="254">
        <f t="shared" ref="D37:I37" si="1">+D8</f>
        <v>70876</v>
      </c>
      <c r="E37" s="639">
        <f t="shared" si="1"/>
        <v>0.55794627236300021</v>
      </c>
      <c r="F37" s="639">
        <f t="shared" si="1"/>
        <v>0.43563406512782887</v>
      </c>
      <c r="G37" s="601">
        <f t="shared" si="1"/>
        <v>9277165</v>
      </c>
      <c r="H37" s="601">
        <f t="shared" si="1"/>
        <v>1552263</v>
      </c>
      <c r="I37" s="601">
        <f t="shared" si="1"/>
        <v>4602</v>
      </c>
      <c r="J37" s="1418"/>
      <c r="K37" s="1419"/>
      <c r="L37" s="1411">
        <f>IF(Baseline!$E$144=0,0,+Baseline!$G$144/Baseline!$E$144)</f>
        <v>5.1498715818099408</v>
      </c>
      <c r="M37" s="200"/>
      <c r="N37" s="200"/>
      <c r="O37" s="200"/>
      <c r="P37" s="200"/>
      <c r="Q37" s="200"/>
      <c r="R37"/>
      <c r="S37"/>
      <c r="T37"/>
      <c r="U37"/>
      <c r="V37"/>
      <c r="W37"/>
      <c r="X37"/>
      <c r="Y37"/>
      <c r="Z37"/>
    </row>
    <row r="38" spans="1:26" ht="17.25" customHeight="1" x14ac:dyDescent="0.3">
      <c r="A38" s="200"/>
      <c r="B38" s="255" t="s">
        <v>259</v>
      </c>
      <c r="C38" s="601"/>
      <c r="D38" s="256"/>
      <c r="E38" s="640"/>
      <c r="F38" s="641"/>
      <c r="G38" s="259"/>
      <c r="H38" s="256"/>
      <c r="I38" s="601"/>
      <c r="J38" s="1418"/>
      <c r="K38" s="1419"/>
      <c r="L38" s="1412"/>
      <c r="M38" s="200"/>
      <c r="N38" s="200"/>
      <c r="O38" s="200"/>
      <c r="P38" s="200"/>
      <c r="Q38" s="200"/>
      <c r="R38"/>
      <c r="S38"/>
      <c r="T38"/>
      <c r="U38"/>
      <c r="V38"/>
      <c r="W38"/>
      <c r="X38"/>
      <c r="Y38"/>
      <c r="Z38"/>
    </row>
    <row r="39" spans="1:26" ht="17.25" customHeight="1" x14ac:dyDescent="0.3">
      <c r="A39" s="200"/>
      <c r="B39" s="255" t="s">
        <v>260</v>
      </c>
      <c r="C39" s="601"/>
      <c r="D39" s="256"/>
      <c r="E39" s="640"/>
      <c r="F39" s="641"/>
      <c r="G39" s="259"/>
      <c r="H39" s="256"/>
      <c r="I39" s="601"/>
      <c r="J39" s="1418"/>
      <c r="K39" s="1419"/>
      <c r="L39" s="1412"/>
      <c r="M39" s="200"/>
      <c r="N39" s="200"/>
      <c r="O39" s="200"/>
      <c r="P39" s="200"/>
      <c r="Q39" s="200"/>
      <c r="R39"/>
      <c r="S39"/>
      <c r="T39"/>
      <c r="U39"/>
      <c r="V39"/>
      <c r="W39"/>
      <c r="X39"/>
      <c r="Y39"/>
      <c r="Z39"/>
    </row>
    <row r="40" spans="1:26" ht="17.25" customHeight="1" x14ac:dyDescent="0.3">
      <c r="A40" s="200"/>
      <c r="B40" s="255" t="s">
        <v>261</v>
      </c>
      <c r="C40" s="601">
        <v>513250.84694764501</v>
      </c>
      <c r="D40" s="256">
        <v>61041</v>
      </c>
      <c r="E40" s="640">
        <v>0.35325437001359744</v>
      </c>
      <c r="F40" s="641">
        <v>0.53991579430219028</v>
      </c>
      <c r="G40" s="259">
        <v>8991426</v>
      </c>
      <c r="H40" s="256">
        <v>1317290.5</v>
      </c>
      <c r="I40" s="601">
        <v>2657</v>
      </c>
      <c r="J40" s="1418"/>
      <c r="K40" s="1419"/>
      <c r="L40" s="1412">
        <v>8.5724250174378049</v>
      </c>
      <c r="M40" s="200"/>
      <c r="N40" s="200"/>
      <c r="O40" s="200"/>
      <c r="P40" s="200"/>
      <c r="Q40" s="200"/>
      <c r="R40"/>
      <c r="S40"/>
      <c r="T40"/>
      <c r="U40"/>
      <c r="V40"/>
      <c r="W40"/>
      <c r="X40"/>
      <c r="Y40"/>
      <c r="Z40"/>
    </row>
    <row r="41" spans="1:26" ht="15.6" x14ac:dyDescent="0.3">
      <c r="A41" s="200"/>
      <c r="B41" s="255" t="s">
        <v>262</v>
      </c>
      <c r="C41" s="601">
        <v>460692.82498396264</v>
      </c>
      <c r="D41" s="256">
        <v>55058</v>
      </c>
      <c r="E41" s="640">
        <v>0.28560790439173234</v>
      </c>
      <c r="F41" s="641">
        <v>0.51156961749427876</v>
      </c>
      <c r="G41" s="259">
        <v>8919985</v>
      </c>
      <c r="H41" s="256">
        <v>1224411.5</v>
      </c>
      <c r="I41" s="601">
        <v>4248</v>
      </c>
      <c r="J41" s="1418"/>
      <c r="K41" s="1419"/>
      <c r="L41" s="1412">
        <v>10.505922674523481</v>
      </c>
      <c r="M41" s="200"/>
      <c r="N41" s="200"/>
      <c r="O41" s="200"/>
      <c r="P41" s="200"/>
      <c r="Q41" s="200"/>
      <c r="R41"/>
      <c r="S41"/>
      <c r="T41"/>
      <c r="U41"/>
      <c r="V41"/>
      <c r="W41"/>
      <c r="X41"/>
      <c r="Y41"/>
      <c r="Z41"/>
    </row>
    <row r="42" spans="1:26" ht="15.6" x14ac:dyDescent="0.3">
      <c r="A42" s="200"/>
      <c r="B42" s="255" t="s">
        <v>263</v>
      </c>
      <c r="C42" s="601">
        <v>486913.22958508832</v>
      </c>
      <c r="D42" s="256">
        <v>52432</v>
      </c>
      <c r="E42" s="640">
        <v>0.26623054623130915</v>
      </c>
      <c r="F42" s="641">
        <v>0.52057903570338726</v>
      </c>
      <c r="G42" s="259">
        <v>9022037</v>
      </c>
      <c r="H42" s="256">
        <v>1062272</v>
      </c>
      <c r="I42" s="601">
        <v>3976</v>
      </c>
      <c r="J42" s="1418"/>
      <c r="K42" s="1419"/>
      <c r="L42" s="1412">
        <v>10.91130272040639</v>
      </c>
      <c r="M42" s="200"/>
      <c r="N42" s="200"/>
      <c r="O42" s="200"/>
      <c r="P42" s="200"/>
      <c r="Q42" s="200"/>
      <c r="R42"/>
      <c r="S42"/>
      <c r="T42"/>
      <c r="U42"/>
      <c r="V42"/>
      <c r="W42"/>
      <c r="X42"/>
      <c r="Y42"/>
      <c r="Z42"/>
    </row>
    <row r="43" spans="1:26" ht="15.6" x14ac:dyDescent="0.3">
      <c r="A43" s="200"/>
      <c r="B43" s="255" t="s">
        <v>200</v>
      </c>
      <c r="C43" s="601">
        <v>447687.09090470063</v>
      </c>
      <c r="D43" s="256">
        <v>49034</v>
      </c>
      <c r="E43" s="257">
        <v>0.20818207774197495</v>
      </c>
      <c r="F43" s="258">
        <v>0.59042705061793854</v>
      </c>
      <c r="G43" s="259">
        <v>8717910</v>
      </c>
      <c r="H43" s="256">
        <v>1106036</v>
      </c>
      <c r="I43" s="601">
        <v>3319</v>
      </c>
      <c r="J43" s="1418"/>
      <c r="K43" s="1419"/>
      <c r="L43" s="1413">
        <v>13.358328699658433</v>
      </c>
      <c r="M43" s="200"/>
      <c r="N43" s="200"/>
      <c r="O43" s="200"/>
      <c r="P43" s="200"/>
      <c r="Q43" s="200"/>
      <c r="R43"/>
      <c r="S43"/>
      <c r="T43"/>
      <c r="U43"/>
      <c r="V43"/>
      <c r="W43"/>
      <c r="X43"/>
      <c r="Y43"/>
      <c r="Z43"/>
    </row>
    <row r="44" spans="1:26" ht="15.6" x14ac:dyDescent="0.3">
      <c r="A44" s="200"/>
      <c r="B44" s="255" t="s">
        <v>11</v>
      </c>
      <c r="C44" s="601">
        <v>405139.90640694159</v>
      </c>
      <c r="D44" s="256">
        <v>49765.500761514326</v>
      </c>
      <c r="E44" s="640">
        <v>0.14514300798675928</v>
      </c>
      <c r="F44" s="641">
        <v>0.57972663263808577</v>
      </c>
      <c r="G44" s="259">
        <v>8980904.8150355536</v>
      </c>
      <c r="H44" s="256">
        <v>1045229.4</v>
      </c>
      <c r="I44" s="601">
        <v>4034</v>
      </c>
      <c r="J44" s="1410">
        <v>1854.6860748085537</v>
      </c>
      <c r="K44" s="1417">
        <v>190.34522433218407</v>
      </c>
      <c r="L44" s="1412">
        <v>14.248004234193058</v>
      </c>
      <c r="M44" s="200"/>
      <c r="N44" s="200"/>
      <c r="O44" s="200"/>
      <c r="P44" s="200"/>
      <c r="Q44" s="200"/>
      <c r="R44"/>
      <c r="S44"/>
      <c r="T44"/>
      <c r="U44"/>
      <c r="V44"/>
      <c r="W44"/>
      <c r="X44"/>
      <c r="Y44"/>
      <c r="Z44"/>
    </row>
    <row r="45" spans="1:26" ht="15.6" x14ac:dyDescent="0.3">
      <c r="A45" s="200"/>
      <c r="B45" s="255" t="s">
        <v>264</v>
      </c>
      <c r="C45" s="601">
        <v>370348.53745798639</v>
      </c>
      <c r="D45" s="256">
        <v>48785.318508091506</v>
      </c>
      <c r="E45" s="640">
        <v>8.0089213767204404E-2</v>
      </c>
      <c r="F45" s="641">
        <v>0.64390458944708739</v>
      </c>
      <c r="G45" s="259">
        <v>9072162.7493186463</v>
      </c>
      <c r="H45" s="256">
        <v>1065276.5999999999</v>
      </c>
      <c r="I45" s="601">
        <v>4256</v>
      </c>
      <c r="J45" s="1410">
        <v>2356.7287635690791</v>
      </c>
      <c r="K45" s="1417">
        <v>258.13629353393287</v>
      </c>
      <c r="L45" s="1412">
        <v>11.936793832744783</v>
      </c>
      <c r="M45" s="200"/>
      <c r="N45" s="200"/>
      <c r="O45" s="200"/>
      <c r="P45" s="200"/>
      <c r="Q45" s="200"/>
      <c r="R45"/>
      <c r="S45"/>
      <c r="T45"/>
      <c r="U45"/>
      <c r="V45"/>
      <c r="W45"/>
      <c r="X45"/>
      <c r="Y45"/>
      <c r="Z45"/>
    </row>
    <row r="46" spans="1:26" ht="15.6" x14ac:dyDescent="0.3">
      <c r="A46" s="200"/>
      <c r="B46" s="255" t="s">
        <v>265</v>
      </c>
      <c r="C46" s="601">
        <f>+'2018-2019'!$F$142</f>
        <v>336511.49261138501</v>
      </c>
      <c r="D46" s="256">
        <f>+'2018-2019'!$E$184</f>
        <v>50347.394112995702</v>
      </c>
      <c r="E46" s="257">
        <f>+'2018-2019'!$F$183</f>
        <v>2.9493507270900603E-2</v>
      </c>
      <c r="F46" s="258">
        <f>+'2018-2019'!$F$180</f>
        <v>0.83403083113252907</v>
      </c>
      <c r="G46" s="259">
        <f>+'2018-2019'!$D$164</f>
        <v>8974021.0786053389</v>
      </c>
      <c r="H46" s="256">
        <f>+'2018-2019'!$E$191</f>
        <v>1075816</v>
      </c>
      <c r="I46" s="601">
        <f>+'2018-2019'!$D$197</f>
        <v>4200</v>
      </c>
      <c r="J46" s="1410">
        <f>$J$31</f>
        <v>2302.0925859616414</v>
      </c>
      <c r="K46" s="1417">
        <f>$K$31</f>
        <v>548.18420285072284</v>
      </c>
      <c r="L46" s="1412">
        <f>$L$31</f>
        <v>12.599647863090489</v>
      </c>
      <c r="M46" s="200"/>
      <c r="N46" s="200"/>
      <c r="O46" s="200"/>
      <c r="P46" s="200"/>
      <c r="Q46" s="200"/>
      <c r="R46"/>
      <c r="S46"/>
      <c r="T46"/>
      <c r="U46"/>
      <c r="V46"/>
      <c r="W46"/>
      <c r="X46"/>
      <c r="Y46"/>
      <c r="Z46"/>
    </row>
    <row r="47" spans="1:26" ht="16.2" thickBot="1" x14ac:dyDescent="0.35">
      <c r="A47" s="200"/>
      <c r="B47" s="260" t="s">
        <v>266</v>
      </c>
      <c r="C47" s="602">
        <f>+'2019-2020'!$F$142</f>
        <v>127140.63081037506</v>
      </c>
      <c r="D47" s="262">
        <f>+'2019-2020'!$E$184</f>
        <v>26085.815522809138</v>
      </c>
      <c r="E47" s="263">
        <f>+'2019-2020'!$F$183</f>
        <v>2.6819001282159406E-2</v>
      </c>
      <c r="F47" s="264">
        <f>+'2019-2020'!$F$180</f>
        <v>0.82061583073912658</v>
      </c>
      <c r="G47" s="265">
        <f>+'2019-2020'!$D$164</f>
        <v>4457074.52624935</v>
      </c>
      <c r="H47" s="262">
        <f>+'2019-2020'!$E$191</f>
        <v>535513.5</v>
      </c>
      <c r="I47" s="602">
        <f>+'2019-2020'!$D$197</f>
        <v>1748</v>
      </c>
      <c r="J47" s="261">
        <f>$J$22</f>
        <v>1011.3236047186926</v>
      </c>
      <c r="K47" s="266">
        <f>$K$22</f>
        <v>164.47769366395968</v>
      </c>
      <c r="L47" s="1414">
        <f>$L$22</f>
        <v>7.2799904369358961</v>
      </c>
      <c r="M47" s="200"/>
      <c r="N47" s="200"/>
      <c r="O47" s="200"/>
      <c r="P47" s="200"/>
      <c r="Q47" s="200"/>
      <c r="R47"/>
      <c r="S47"/>
      <c r="T47"/>
      <c r="U47"/>
      <c r="V47"/>
      <c r="W47"/>
      <c r="X47"/>
      <c r="Y47"/>
      <c r="Z47"/>
    </row>
    <row r="48" spans="1:26" ht="14.4" x14ac:dyDescent="0.3">
      <c r="A48" s="200"/>
      <c r="B48" s="200"/>
      <c r="C48" s="200"/>
      <c r="D48" s="200"/>
      <c r="E48" s="200"/>
      <c r="F48" s="200"/>
      <c r="G48" s="200"/>
      <c r="H48" s="200"/>
      <c r="I48" s="200"/>
      <c r="J48" s="200"/>
      <c r="K48" s="200"/>
      <c r="L48" s="200"/>
      <c r="M48" s="200"/>
      <c r="N48" s="200"/>
      <c r="O48" s="200"/>
      <c r="P48" s="200"/>
      <c r="Q48" s="200"/>
      <c r="R48"/>
      <c r="S48"/>
      <c r="T48"/>
      <c r="U48"/>
      <c r="V48"/>
      <c r="W48"/>
      <c r="X48"/>
      <c r="Y48"/>
      <c r="Z48"/>
    </row>
    <row r="49" spans="1:26" ht="15" thickBot="1" x14ac:dyDescent="0.35">
      <c r="A49" s="200"/>
      <c r="B49" s="200"/>
      <c r="C49" s="200"/>
      <c r="D49" s="200"/>
      <c r="E49" s="200"/>
      <c r="F49" s="200"/>
      <c r="G49" s="200"/>
      <c r="H49" s="200"/>
      <c r="I49" s="200"/>
      <c r="J49" s="200"/>
      <c r="K49" s="200"/>
      <c r="L49" s="200"/>
      <c r="M49" s="200"/>
      <c r="N49" s="200"/>
      <c r="O49" s="200"/>
      <c r="P49" s="200"/>
      <c r="Q49" s="200"/>
      <c r="R49"/>
      <c r="S49"/>
      <c r="T49"/>
      <c r="U49"/>
      <c r="V49"/>
      <c r="W49"/>
      <c r="X49"/>
      <c r="Y49"/>
      <c r="Z49"/>
    </row>
    <row r="50" spans="1:26" ht="15" customHeight="1" thickBot="1" x14ac:dyDescent="0.35">
      <c r="A50" s="200"/>
      <c r="B50" s="1838" t="s">
        <v>267</v>
      </c>
      <c r="C50" s="1841" t="s">
        <v>225</v>
      </c>
      <c r="D50" s="1829"/>
      <c r="E50" s="1829"/>
      <c r="F50" s="1829"/>
      <c r="G50" s="1829"/>
      <c r="H50" s="1829"/>
      <c r="I50" s="1830"/>
      <c r="J50" s="200"/>
      <c r="K50" s="200"/>
      <c r="L50" s="200"/>
      <c r="M50" s="200"/>
      <c r="N50" s="200"/>
      <c r="O50" s="200"/>
      <c r="P50" s="200"/>
      <c r="Q50" s="200"/>
      <c r="R50"/>
      <c r="S50"/>
      <c r="T50"/>
      <c r="U50"/>
      <c r="V50"/>
      <c r="W50"/>
      <c r="X50"/>
      <c r="Y50"/>
      <c r="Z50"/>
    </row>
    <row r="51" spans="1:26" ht="31.8" thickBot="1" x14ac:dyDescent="0.35">
      <c r="A51" s="200"/>
      <c r="B51" s="1839"/>
      <c r="C51" s="267" t="s">
        <v>227</v>
      </c>
      <c r="D51" s="1842" t="s">
        <v>228</v>
      </c>
      <c r="E51" s="1843"/>
      <c r="F51" s="1843"/>
      <c r="G51" s="204" t="s">
        <v>229</v>
      </c>
      <c r="H51" s="205" t="s">
        <v>230</v>
      </c>
      <c r="I51" s="206" t="s">
        <v>169</v>
      </c>
      <c r="J51" s="200"/>
      <c r="K51" s="200"/>
      <c r="L51" s="200"/>
      <c r="M51" s="200"/>
      <c r="N51" s="200"/>
      <c r="O51" s="200"/>
      <c r="P51" s="200"/>
      <c r="Q51" s="200"/>
      <c r="R51"/>
      <c r="S51"/>
      <c r="T51"/>
      <c r="U51"/>
      <c r="V51"/>
      <c r="W51"/>
      <c r="X51"/>
      <c r="Y51"/>
      <c r="Z51"/>
    </row>
    <row r="52" spans="1:26" ht="24.6" thickBot="1" x14ac:dyDescent="0.35">
      <c r="A52" s="200"/>
      <c r="B52" s="1839"/>
      <c r="C52" s="268" t="s">
        <v>234</v>
      </c>
      <c r="D52" s="210" t="s">
        <v>235</v>
      </c>
      <c r="E52" s="210" t="s">
        <v>236</v>
      </c>
      <c r="F52" s="210" t="s">
        <v>237</v>
      </c>
      <c r="G52" s="210" t="s">
        <v>238</v>
      </c>
      <c r="H52" s="210" t="s">
        <v>239</v>
      </c>
      <c r="I52" s="209" t="s">
        <v>240</v>
      </c>
      <c r="J52" s="200"/>
      <c r="K52" s="200"/>
      <c r="L52" s="200"/>
      <c r="M52" s="200"/>
      <c r="N52" s="200"/>
      <c r="O52" s="200"/>
      <c r="P52" s="200"/>
      <c r="Q52" s="200"/>
      <c r="R52"/>
      <c r="S52"/>
      <c r="T52"/>
      <c r="U52"/>
      <c r="V52"/>
      <c r="W52"/>
      <c r="X52"/>
      <c r="Y52"/>
      <c r="Z52"/>
    </row>
    <row r="53" spans="1:26" ht="15.6" x14ac:dyDescent="0.3">
      <c r="A53" s="200"/>
      <c r="B53" s="253" t="str">
        <f>CONCATENATE("Baseline for ",B37)</f>
        <v>Baseline for 2009/10</v>
      </c>
      <c r="C53" s="645">
        <f t="shared" ref="C53:C59" si="2">+$C$8</f>
        <v>561575.76312077325</v>
      </c>
      <c r="D53" s="269">
        <f t="shared" ref="D53:D59" si="3">+$D$8</f>
        <v>70876</v>
      </c>
      <c r="E53" s="642">
        <f t="shared" ref="E53:E59" si="4">+$E$8</f>
        <v>0.55794627236300021</v>
      </c>
      <c r="F53" s="642">
        <f t="shared" ref="F53:F59" si="5">+$F$8</f>
        <v>0.43563406512782887</v>
      </c>
      <c r="G53" s="271">
        <f t="shared" ref="G53:G59" si="6">+$G$8</f>
        <v>9277165</v>
      </c>
      <c r="H53" s="271">
        <f t="shared" ref="H53:H59" si="7">+$H$8</f>
        <v>1552263</v>
      </c>
      <c r="I53" s="271">
        <f t="shared" ref="I53:I59" si="8">+$I$8</f>
        <v>4602</v>
      </c>
      <c r="J53" s="200"/>
      <c r="K53" s="200"/>
      <c r="L53" s="200"/>
      <c r="M53" s="200"/>
      <c r="N53" s="200"/>
      <c r="O53" s="200"/>
      <c r="P53" s="200"/>
      <c r="Q53" s="200"/>
      <c r="R53"/>
      <c r="S53"/>
      <c r="T53"/>
      <c r="U53"/>
      <c r="V53"/>
      <c r="W53"/>
      <c r="X53"/>
      <c r="Y53"/>
      <c r="Z53"/>
    </row>
    <row r="54" spans="1:26" ht="15.6" x14ac:dyDescent="0.3">
      <c r="A54" s="200"/>
      <c r="B54" s="255" t="str">
        <f t="shared" ref="B54:B63" si="9">CONCATENATE("Baseline for ",B38)</f>
        <v>Baseline for 2010/11</v>
      </c>
      <c r="C54" s="647">
        <f t="shared" si="2"/>
        <v>561575.76312077325</v>
      </c>
      <c r="D54" s="269">
        <f t="shared" si="3"/>
        <v>70876</v>
      </c>
      <c r="E54" s="642">
        <f t="shared" si="4"/>
        <v>0.55794627236300021</v>
      </c>
      <c r="F54" s="642">
        <f t="shared" si="5"/>
        <v>0.43563406512782887</v>
      </c>
      <c r="G54" s="269">
        <f t="shared" si="6"/>
        <v>9277165</v>
      </c>
      <c r="H54" s="269">
        <f t="shared" si="7"/>
        <v>1552263</v>
      </c>
      <c r="I54" s="269">
        <f t="shared" si="8"/>
        <v>4602</v>
      </c>
      <c r="J54" s="200"/>
      <c r="K54" s="200"/>
      <c r="L54" s="200"/>
      <c r="M54" s="200"/>
      <c r="N54" s="200"/>
      <c r="O54" s="200"/>
      <c r="P54" s="200"/>
      <c r="Q54" s="200"/>
      <c r="R54"/>
      <c r="S54"/>
      <c r="T54"/>
      <c r="U54"/>
      <c r="V54"/>
      <c r="W54"/>
      <c r="X54"/>
      <c r="Y54"/>
      <c r="Z54"/>
    </row>
    <row r="55" spans="1:26" ht="15.6" x14ac:dyDescent="0.3">
      <c r="A55" s="200"/>
      <c r="B55" s="255" t="str">
        <f t="shared" si="9"/>
        <v>Baseline for 2011/12</v>
      </c>
      <c r="C55" s="647">
        <f t="shared" si="2"/>
        <v>561575.76312077325</v>
      </c>
      <c r="D55" s="269">
        <f t="shared" si="3"/>
        <v>70876</v>
      </c>
      <c r="E55" s="642">
        <f t="shared" si="4"/>
        <v>0.55794627236300021</v>
      </c>
      <c r="F55" s="642">
        <f t="shared" si="5"/>
        <v>0.43563406512782887</v>
      </c>
      <c r="G55" s="269">
        <f t="shared" si="6"/>
        <v>9277165</v>
      </c>
      <c r="H55" s="269">
        <f t="shared" si="7"/>
        <v>1552263</v>
      </c>
      <c r="I55" s="269">
        <f t="shared" si="8"/>
        <v>4602</v>
      </c>
      <c r="J55" s="200"/>
      <c r="K55" s="200"/>
      <c r="L55" s="200"/>
      <c r="M55" s="200"/>
      <c r="N55" s="200"/>
      <c r="O55" s="200"/>
      <c r="P55" s="200"/>
      <c r="Q55" s="200"/>
      <c r="R55"/>
      <c r="S55"/>
      <c r="T55"/>
      <c r="U55"/>
      <c r="V55"/>
      <c r="W55"/>
      <c r="X55"/>
      <c r="Y55"/>
      <c r="Z55"/>
    </row>
    <row r="56" spans="1:26" ht="15.6" x14ac:dyDescent="0.3">
      <c r="A56" s="200"/>
      <c r="B56" s="255" t="str">
        <f t="shared" si="9"/>
        <v>Baseline for 2012/13</v>
      </c>
      <c r="C56" s="647">
        <f t="shared" si="2"/>
        <v>561575.76312077325</v>
      </c>
      <c r="D56" s="269">
        <f t="shared" si="3"/>
        <v>70876</v>
      </c>
      <c r="E56" s="642">
        <f t="shared" si="4"/>
        <v>0.55794627236300021</v>
      </c>
      <c r="F56" s="642">
        <f t="shared" si="5"/>
        <v>0.43563406512782887</v>
      </c>
      <c r="G56" s="269">
        <f t="shared" si="6"/>
        <v>9277165</v>
      </c>
      <c r="H56" s="269">
        <f t="shared" si="7"/>
        <v>1552263</v>
      </c>
      <c r="I56" s="269">
        <f t="shared" si="8"/>
        <v>4602</v>
      </c>
      <c r="J56" s="200"/>
      <c r="K56" s="200"/>
      <c r="L56" s="200"/>
      <c r="M56" s="200"/>
      <c r="N56" s="200"/>
      <c r="O56" s="200"/>
      <c r="P56" s="200"/>
      <c r="Q56" s="200"/>
      <c r="R56"/>
      <c r="S56"/>
      <c r="T56"/>
      <c r="U56"/>
      <c r="V56"/>
      <c r="W56"/>
      <c r="X56"/>
      <c r="Y56"/>
      <c r="Z56"/>
    </row>
    <row r="57" spans="1:26" ht="15.6" x14ac:dyDescent="0.3">
      <c r="A57" s="200"/>
      <c r="B57" s="255" t="str">
        <f t="shared" si="9"/>
        <v>Baseline for 2013/14</v>
      </c>
      <c r="C57" s="647">
        <f t="shared" si="2"/>
        <v>561575.76312077325</v>
      </c>
      <c r="D57" s="269">
        <f t="shared" si="3"/>
        <v>70876</v>
      </c>
      <c r="E57" s="642">
        <f t="shared" si="4"/>
        <v>0.55794627236300021</v>
      </c>
      <c r="F57" s="642">
        <f t="shared" si="5"/>
        <v>0.43563406512782887</v>
      </c>
      <c r="G57" s="269">
        <f t="shared" si="6"/>
        <v>9277165</v>
      </c>
      <c r="H57" s="269">
        <f t="shared" si="7"/>
        <v>1552263</v>
      </c>
      <c r="I57" s="269">
        <f t="shared" si="8"/>
        <v>4602</v>
      </c>
      <c r="J57" s="200"/>
      <c r="K57" s="200"/>
      <c r="L57" s="200"/>
      <c r="M57" s="200"/>
      <c r="N57" s="200"/>
      <c r="O57" s="200"/>
      <c r="P57" s="200"/>
      <c r="Q57" s="200"/>
      <c r="R57"/>
      <c r="S57"/>
      <c r="T57"/>
      <c r="U57"/>
      <c r="V57"/>
      <c r="W57"/>
      <c r="X57"/>
      <c r="Y57"/>
      <c r="Z57"/>
    </row>
    <row r="58" spans="1:26" ht="15.6" x14ac:dyDescent="0.3">
      <c r="A58" s="200"/>
      <c r="B58" s="255" t="str">
        <f t="shared" si="9"/>
        <v>Baseline for 2014/15</v>
      </c>
      <c r="C58" s="647">
        <f t="shared" si="2"/>
        <v>561575.76312077325</v>
      </c>
      <c r="D58" s="269">
        <f t="shared" si="3"/>
        <v>70876</v>
      </c>
      <c r="E58" s="642">
        <f t="shared" si="4"/>
        <v>0.55794627236300021</v>
      </c>
      <c r="F58" s="642">
        <f t="shared" si="5"/>
        <v>0.43563406512782887</v>
      </c>
      <c r="G58" s="269">
        <f t="shared" si="6"/>
        <v>9277165</v>
      </c>
      <c r="H58" s="269">
        <f t="shared" si="7"/>
        <v>1552263</v>
      </c>
      <c r="I58" s="269">
        <f t="shared" si="8"/>
        <v>4602</v>
      </c>
      <c r="J58" s="200"/>
      <c r="K58" s="200"/>
      <c r="L58" s="200"/>
      <c r="M58" s="200"/>
      <c r="N58" s="200"/>
      <c r="O58" s="200"/>
      <c r="P58" s="200"/>
      <c r="Q58" s="200"/>
      <c r="R58"/>
      <c r="S58"/>
      <c r="T58"/>
      <c r="U58"/>
      <c r="V58"/>
      <c r="W58"/>
      <c r="X58"/>
      <c r="Y58"/>
      <c r="Z58"/>
    </row>
    <row r="59" spans="1:26" ht="15.6" x14ac:dyDescent="0.3">
      <c r="A59" s="200"/>
      <c r="B59" s="255" t="str">
        <f t="shared" si="9"/>
        <v>Baseline for 2015/16</v>
      </c>
      <c r="C59" s="647">
        <f t="shared" si="2"/>
        <v>561575.76312077325</v>
      </c>
      <c r="D59" s="269">
        <f t="shared" si="3"/>
        <v>70876</v>
      </c>
      <c r="E59" s="642">
        <f t="shared" si="4"/>
        <v>0.55794627236300021</v>
      </c>
      <c r="F59" s="642">
        <f t="shared" si="5"/>
        <v>0.43563406512782887</v>
      </c>
      <c r="G59" s="269">
        <f t="shared" si="6"/>
        <v>9277165</v>
      </c>
      <c r="H59" s="269">
        <f t="shared" si="7"/>
        <v>1552263</v>
      </c>
      <c r="I59" s="269">
        <f t="shared" si="8"/>
        <v>4602</v>
      </c>
      <c r="J59" s="200"/>
      <c r="K59" s="200"/>
      <c r="L59" s="200"/>
      <c r="M59" s="200"/>
      <c r="N59" s="200"/>
      <c r="O59" s="200"/>
      <c r="P59" s="200"/>
      <c r="Q59" s="200"/>
      <c r="R59"/>
      <c r="S59"/>
      <c r="T59"/>
      <c r="U59"/>
      <c r="V59"/>
      <c r="W59"/>
      <c r="X59"/>
      <c r="Y59"/>
      <c r="Z59"/>
    </row>
    <row r="60" spans="1:26" ht="15.6" x14ac:dyDescent="0.3">
      <c r="A60" s="200"/>
      <c r="B60" s="255" t="str">
        <f t="shared" si="9"/>
        <v>Baseline for 2016/17</v>
      </c>
      <c r="C60" s="647">
        <f>+$C$8</f>
        <v>561575.76312077325</v>
      </c>
      <c r="D60" s="269">
        <f>+$D$8</f>
        <v>70876</v>
      </c>
      <c r="E60" s="642">
        <f>+$E$8</f>
        <v>0.55794627236300021</v>
      </c>
      <c r="F60" s="642">
        <f>+$F$8</f>
        <v>0.43563406512782887</v>
      </c>
      <c r="G60" s="269">
        <f>+$G$8</f>
        <v>9277165</v>
      </c>
      <c r="H60" s="269">
        <f>+$H$8</f>
        <v>1552263</v>
      </c>
      <c r="I60" s="269">
        <f>+$I$8</f>
        <v>4602</v>
      </c>
      <c r="J60" s="200"/>
      <c r="K60" s="200"/>
      <c r="L60" s="200"/>
      <c r="M60" s="200"/>
      <c r="N60" s="200"/>
      <c r="O60" s="200"/>
      <c r="P60" s="200"/>
      <c r="Q60" s="200"/>
      <c r="R60"/>
      <c r="S60"/>
      <c r="T60"/>
      <c r="U60"/>
      <c r="V60"/>
      <c r="W60"/>
      <c r="X60"/>
      <c r="Y60"/>
      <c r="Z60"/>
    </row>
    <row r="61" spans="1:26" ht="15.6" x14ac:dyDescent="0.3">
      <c r="A61" s="200"/>
      <c r="B61" s="255" t="str">
        <f t="shared" si="9"/>
        <v>Baseline for 2017/18</v>
      </c>
      <c r="C61" s="647">
        <f t="shared" ref="C61:C62" si="10">+$C$8</f>
        <v>561575.76312077325</v>
      </c>
      <c r="D61" s="269">
        <f t="shared" ref="D61:D62" si="11">+$D$8</f>
        <v>70876</v>
      </c>
      <c r="E61" s="642">
        <f t="shared" ref="E61:E62" si="12">+$E$8</f>
        <v>0.55794627236300021</v>
      </c>
      <c r="F61" s="642">
        <f t="shared" ref="F61:F62" si="13">+$F$8</f>
        <v>0.43563406512782887</v>
      </c>
      <c r="G61" s="269">
        <f t="shared" ref="G61:G62" si="14">+$G$8</f>
        <v>9277165</v>
      </c>
      <c r="H61" s="269">
        <f t="shared" ref="H61:H62" si="15">+$H$8</f>
        <v>1552263</v>
      </c>
      <c r="I61" s="269">
        <f t="shared" ref="I61:I62" si="16">+$I$8</f>
        <v>4602</v>
      </c>
      <c r="J61" s="200"/>
      <c r="K61" s="200"/>
      <c r="L61" s="200"/>
      <c r="M61" s="200"/>
      <c r="N61" s="200"/>
      <c r="O61" s="200"/>
      <c r="P61" s="200"/>
      <c r="Q61" s="200"/>
      <c r="R61"/>
      <c r="S61"/>
      <c r="T61"/>
      <c r="U61"/>
      <c r="V61"/>
      <c r="W61"/>
      <c r="X61"/>
      <c r="Y61"/>
      <c r="Z61"/>
    </row>
    <row r="62" spans="1:26" ht="15.6" x14ac:dyDescent="0.3">
      <c r="A62" s="200"/>
      <c r="B62" s="255" t="str">
        <f t="shared" si="9"/>
        <v>Baseline for 2018/19</v>
      </c>
      <c r="C62" s="647">
        <f t="shared" si="10"/>
        <v>561575.76312077325</v>
      </c>
      <c r="D62" s="269">
        <f t="shared" si="11"/>
        <v>70876</v>
      </c>
      <c r="E62" s="642">
        <f t="shared" si="12"/>
        <v>0.55794627236300021</v>
      </c>
      <c r="F62" s="642">
        <f t="shared" si="13"/>
        <v>0.43563406512782887</v>
      </c>
      <c r="G62" s="269">
        <f t="shared" si="14"/>
        <v>9277165</v>
      </c>
      <c r="H62" s="269">
        <f t="shared" si="15"/>
        <v>1552263</v>
      </c>
      <c r="I62" s="269">
        <f t="shared" si="16"/>
        <v>4602</v>
      </c>
      <c r="J62" s="200"/>
      <c r="K62" s="200"/>
      <c r="L62" s="200"/>
      <c r="M62" s="200"/>
      <c r="N62" s="200"/>
      <c r="O62" s="200"/>
      <c r="P62" s="200"/>
      <c r="Q62" s="200"/>
      <c r="R62"/>
      <c r="S62"/>
      <c r="T62"/>
      <c r="U62"/>
      <c r="V62"/>
      <c r="W62"/>
      <c r="X62"/>
      <c r="Y62"/>
      <c r="Z62"/>
    </row>
    <row r="63" spans="1:26" ht="16.2" thickBot="1" x14ac:dyDescent="0.35">
      <c r="A63" s="200"/>
      <c r="B63" s="260" t="str">
        <f t="shared" si="9"/>
        <v>Baseline for 2019/20</v>
      </c>
      <c r="C63" s="266">
        <f>+$C$8</f>
        <v>561575.76312077325</v>
      </c>
      <c r="D63" s="262">
        <f>+$D$8</f>
        <v>70876</v>
      </c>
      <c r="E63" s="643">
        <f>+$E$8</f>
        <v>0.55794627236300021</v>
      </c>
      <c r="F63" s="644">
        <f>+$F$8</f>
        <v>0.43563406512782887</v>
      </c>
      <c r="G63" s="265">
        <f>+$G$8</f>
        <v>9277165</v>
      </c>
      <c r="H63" s="262">
        <f>+$H$8</f>
        <v>1552263</v>
      </c>
      <c r="I63" s="270">
        <f>+$I$8</f>
        <v>4602</v>
      </c>
      <c r="J63" s="200"/>
      <c r="K63" s="200"/>
      <c r="L63" s="200"/>
      <c r="M63" s="200"/>
      <c r="N63" s="200"/>
      <c r="O63" s="200"/>
      <c r="P63" s="200"/>
      <c r="Q63" s="200"/>
      <c r="R63"/>
      <c r="S63"/>
      <c r="T63"/>
      <c r="U63"/>
      <c r="V63"/>
      <c r="W63"/>
      <c r="X63"/>
      <c r="Y63"/>
      <c r="Z63"/>
    </row>
    <row r="64" spans="1:26" ht="14.4" x14ac:dyDescent="0.3">
      <c r="A64" s="200"/>
      <c r="B64" s="200"/>
      <c r="C64" s="200"/>
      <c r="D64" s="200"/>
      <c r="E64" s="200"/>
      <c r="F64" s="200"/>
      <c r="G64" s="200"/>
      <c r="H64" s="200"/>
      <c r="I64" s="200"/>
      <c r="J64" s="200"/>
      <c r="K64" s="200"/>
      <c r="L64" s="200"/>
      <c r="M64" s="200"/>
      <c r="N64" s="200"/>
      <c r="O64" s="200"/>
      <c r="P64" s="200"/>
      <c r="Q64" s="200"/>
      <c r="R64"/>
      <c r="S64"/>
      <c r="T64"/>
      <c r="U64"/>
      <c r="V64"/>
      <c r="W64"/>
      <c r="X64"/>
      <c r="Y64"/>
      <c r="Z64"/>
    </row>
    <row r="65" spans="1:26" ht="15" thickBot="1" x14ac:dyDescent="0.35">
      <c r="A65" s="200"/>
      <c r="B65" s="200"/>
      <c r="C65" s="200"/>
      <c r="D65" s="200"/>
      <c r="E65" s="200"/>
      <c r="F65" s="200"/>
      <c r="G65" s="200"/>
      <c r="H65" s="200"/>
      <c r="I65" s="200"/>
      <c r="J65" s="200"/>
      <c r="K65" s="200"/>
      <c r="L65" s="200"/>
      <c r="M65" s="200"/>
      <c r="N65" s="200"/>
      <c r="O65" s="200"/>
      <c r="P65" s="200"/>
      <c r="Q65" s="200"/>
      <c r="R65"/>
      <c r="S65"/>
      <c r="T65"/>
      <c r="U65"/>
      <c r="V65"/>
      <c r="W65"/>
      <c r="X65"/>
      <c r="Y65"/>
      <c r="Z65"/>
    </row>
    <row r="66" spans="1:26" ht="15" customHeight="1" thickBot="1" x14ac:dyDescent="0.35">
      <c r="A66" s="200"/>
      <c r="B66" s="1838" t="s">
        <v>268</v>
      </c>
      <c r="C66" s="1841" t="s">
        <v>225</v>
      </c>
      <c r="D66" s="1829"/>
      <c r="E66" s="1829"/>
      <c r="F66" s="1829"/>
      <c r="G66" s="1829"/>
      <c r="H66" s="1829"/>
      <c r="I66" s="1830"/>
      <c r="J66" s="200"/>
      <c r="K66" s="200"/>
      <c r="L66" s="200"/>
      <c r="M66" s="200"/>
      <c r="N66" s="200"/>
      <c r="O66" s="200"/>
      <c r="P66" s="200"/>
      <c r="Q66" s="200"/>
      <c r="R66"/>
      <c r="S66"/>
      <c r="T66"/>
      <c r="U66"/>
      <c r="V66"/>
      <c r="W66"/>
      <c r="X66"/>
      <c r="Y66"/>
      <c r="Z66"/>
    </row>
    <row r="67" spans="1:26" ht="31.8" thickBot="1" x14ac:dyDescent="0.35">
      <c r="A67" s="200"/>
      <c r="B67" s="1839"/>
      <c r="C67" s="267" t="s">
        <v>227</v>
      </c>
      <c r="D67" s="1842" t="s">
        <v>228</v>
      </c>
      <c r="E67" s="1843"/>
      <c r="F67" s="1843"/>
      <c r="G67" s="204" t="s">
        <v>229</v>
      </c>
      <c r="H67" s="205" t="s">
        <v>230</v>
      </c>
      <c r="I67" s="206" t="s">
        <v>169</v>
      </c>
      <c r="J67" s="200"/>
      <c r="K67" s="200"/>
      <c r="L67" s="200"/>
      <c r="M67" s="200"/>
      <c r="N67" s="200"/>
      <c r="O67" s="200"/>
      <c r="P67" s="200"/>
      <c r="Q67" s="200"/>
      <c r="R67"/>
      <c r="S67"/>
      <c r="T67"/>
      <c r="U67"/>
      <c r="V67"/>
      <c r="W67"/>
      <c r="X67"/>
      <c r="Y67"/>
      <c r="Z67"/>
    </row>
    <row r="68" spans="1:26" ht="24.6" thickBot="1" x14ac:dyDescent="0.35">
      <c r="A68" s="200"/>
      <c r="B68" s="1840"/>
      <c r="C68" s="268" t="s">
        <v>234</v>
      </c>
      <c r="D68" s="210"/>
      <c r="E68" s="210" t="s">
        <v>236</v>
      </c>
      <c r="F68" s="210"/>
      <c r="G68" s="210"/>
      <c r="H68" s="210" t="s">
        <v>239</v>
      </c>
      <c r="I68" s="209" t="s">
        <v>240</v>
      </c>
      <c r="J68" s="200"/>
      <c r="K68" s="200"/>
      <c r="L68" s="200"/>
      <c r="M68" s="200"/>
      <c r="N68" s="200"/>
      <c r="O68" s="200"/>
      <c r="P68" s="200"/>
      <c r="Q68" s="200"/>
      <c r="R68"/>
      <c r="S68"/>
      <c r="T68"/>
      <c r="U68"/>
      <c r="V68"/>
      <c r="W68"/>
      <c r="X68"/>
      <c r="Y68"/>
      <c r="Z68"/>
    </row>
    <row r="69" spans="1:26" ht="15.6" x14ac:dyDescent="0.3">
      <c r="A69" s="200"/>
      <c r="B69" s="253" t="str">
        <f>CONCATENATE(B$66," ",B37)</f>
        <v>Target 2009/10</v>
      </c>
      <c r="C69" s="645">
        <f t="shared" ref="C69:C78" si="17">+C53*(1-C$11)</f>
        <v>438029.09523420315</v>
      </c>
      <c r="D69" s="271"/>
      <c r="E69" s="646">
        <f>+E$11</f>
        <v>0.1</v>
      </c>
      <c r="F69" s="646"/>
      <c r="G69" s="271"/>
      <c r="H69" s="271">
        <f t="shared" ref="H69:I76" si="18">+H53*(1-H$11)</f>
        <v>776131.5</v>
      </c>
      <c r="I69" s="271">
        <f t="shared" si="18"/>
        <v>3221.3999999999996</v>
      </c>
      <c r="J69" s="200"/>
      <c r="K69" s="200"/>
      <c r="L69" s="200"/>
      <c r="M69" s="200"/>
      <c r="N69" s="200"/>
      <c r="O69" s="200"/>
      <c r="P69" s="200"/>
      <c r="Q69" s="200"/>
      <c r="R69"/>
      <c r="S69"/>
      <c r="T69"/>
      <c r="U69"/>
      <c r="V69"/>
      <c r="W69"/>
      <c r="X69"/>
      <c r="Y69"/>
      <c r="Z69"/>
    </row>
    <row r="70" spans="1:26" ht="15.6" x14ac:dyDescent="0.3">
      <c r="A70" s="200"/>
      <c r="B70" s="255" t="str">
        <f t="shared" ref="B70:B79" si="19">CONCATENATE(B$66," ",B38)</f>
        <v>Target 2010/11</v>
      </c>
      <c r="C70" s="647">
        <f t="shared" si="17"/>
        <v>438029.09523420315</v>
      </c>
      <c r="D70" s="269"/>
      <c r="E70" s="642">
        <f t="shared" ref="E70:E78" si="20">+E$11</f>
        <v>0.1</v>
      </c>
      <c r="F70" s="642"/>
      <c r="G70" s="269"/>
      <c r="H70" s="269">
        <f t="shared" si="18"/>
        <v>776131.5</v>
      </c>
      <c r="I70" s="269">
        <f t="shared" si="18"/>
        <v>3221.3999999999996</v>
      </c>
      <c r="J70" s="200"/>
      <c r="K70" s="200"/>
      <c r="L70" s="200"/>
      <c r="M70" s="200"/>
      <c r="N70" s="200"/>
      <c r="O70" s="200"/>
      <c r="P70" s="200"/>
      <c r="Q70" s="200"/>
      <c r="R70"/>
      <c r="S70"/>
      <c r="T70"/>
      <c r="U70"/>
      <c r="V70"/>
      <c r="W70"/>
      <c r="X70"/>
      <c r="Y70"/>
      <c r="Z70"/>
    </row>
    <row r="71" spans="1:26" ht="15.6" x14ac:dyDescent="0.3">
      <c r="A71" s="200"/>
      <c r="B71" s="255" t="str">
        <f t="shared" si="19"/>
        <v>Target 2011/12</v>
      </c>
      <c r="C71" s="647">
        <f t="shared" si="17"/>
        <v>438029.09523420315</v>
      </c>
      <c r="D71" s="269"/>
      <c r="E71" s="642">
        <f t="shared" si="20"/>
        <v>0.1</v>
      </c>
      <c r="F71" s="642"/>
      <c r="G71" s="269"/>
      <c r="H71" s="269">
        <f t="shared" si="18"/>
        <v>776131.5</v>
      </c>
      <c r="I71" s="269">
        <f t="shared" si="18"/>
        <v>3221.3999999999996</v>
      </c>
      <c r="J71" s="200"/>
      <c r="K71" s="200"/>
      <c r="L71" s="200"/>
      <c r="M71" s="200"/>
      <c r="N71" s="200"/>
      <c r="O71" s="200"/>
      <c r="P71" s="200"/>
      <c r="Q71" s="200"/>
      <c r="R71"/>
      <c r="S71"/>
      <c r="T71"/>
      <c r="U71"/>
      <c r="V71"/>
      <c r="W71"/>
      <c r="X71"/>
      <c r="Y71"/>
      <c r="Z71"/>
    </row>
    <row r="72" spans="1:26" ht="15.6" x14ac:dyDescent="0.3">
      <c r="A72" s="200"/>
      <c r="B72" s="255" t="str">
        <f t="shared" si="19"/>
        <v>Target 2012/13</v>
      </c>
      <c r="C72" s="647">
        <f t="shared" si="17"/>
        <v>438029.09523420315</v>
      </c>
      <c r="D72" s="269"/>
      <c r="E72" s="642">
        <f t="shared" si="20"/>
        <v>0.1</v>
      </c>
      <c r="F72" s="642"/>
      <c r="G72" s="269"/>
      <c r="H72" s="269">
        <f t="shared" si="18"/>
        <v>776131.5</v>
      </c>
      <c r="I72" s="269">
        <f t="shared" si="18"/>
        <v>3221.3999999999996</v>
      </c>
      <c r="J72" s="200"/>
      <c r="K72" s="200"/>
      <c r="L72" s="200"/>
      <c r="M72" s="200"/>
      <c r="N72" s="200"/>
      <c r="O72" s="200"/>
      <c r="P72" s="200"/>
      <c r="Q72" s="200"/>
      <c r="R72"/>
      <c r="S72"/>
      <c r="T72"/>
      <c r="U72"/>
      <c r="V72"/>
      <c r="W72"/>
      <c r="X72"/>
      <c r="Y72"/>
      <c r="Z72"/>
    </row>
    <row r="73" spans="1:26" ht="15.6" x14ac:dyDescent="0.3">
      <c r="A73" s="200"/>
      <c r="B73" s="255" t="str">
        <f t="shared" si="19"/>
        <v>Target 2013/14</v>
      </c>
      <c r="C73" s="647">
        <f t="shared" si="17"/>
        <v>438029.09523420315</v>
      </c>
      <c r="D73" s="269"/>
      <c r="E73" s="642">
        <f t="shared" si="20"/>
        <v>0.1</v>
      </c>
      <c r="F73" s="642"/>
      <c r="G73" s="269"/>
      <c r="H73" s="269">
        <f t="shared" si="18"/>
        <v>776131.5</v>
      </c>
      <c r="I73" s="269">
        <f t="shared" si="18"/>
        <v>3221.3999999999996</v>
      </c>
      <c r="J73" s="200"/>
      <c r="K73" s="200"/>
      <c r="L73" s="200"/>
      <c r="M73" s="200"/>
      <c r="N73" s="200"/>
      <c r="O73" s="200"/>
      <c r="P73" s="200"/>
      <c r="Q73" s="200"/>
      <c r="R73"/>
      <c r="S73"/>
      <c r="T73"/>
      <c r="U73"/>
      <c r="V73"/>
      <c r="W73"/>
      <c r="X73"/>
      <c r="Y73"/>
      <c r="Z73"/>
    </row>
    <row r="74" spans="1:26" ht="15.6" x14ac:dyDescent="0.3">
      <c r="A74" s="200"/>
      <c r="B74" s="255" t="str">
        <f t="shared" si="19"/>
        <v>Target 2014/15</v>
      </c>
      <c r="C74" s="647">
        <f t="shared" si="17"/>
        <v>438029.09523420315</v>
      </c>
      <c r="D74" s="269"/>
      <c r="E74" s="642">
        <f t="shared" si="20"/>
        <v>0.1</v>
      </c>
      <c r="F74" s="642"/>
      <c r="G74" s="269"/>
      <c r="H74" s="269">
        <f t="shared" si="18"/>
        <v>776131.5</v>
      </c>
      <c r="I74" s="269">
        <f t="shared" si="18"/>
        <v>3221.3999999999996</v>
      </c>
      <c r="J74" s="200"/>
      <c r="K74" s="200"/>
      <c r="L74" s="200"/>
      <c r="M74" s="200"/>
      <c r="N74" s="200"/>
      <c r="O74" s="200"/>
      <c r="P74" s="200"/>
      <c r="Q74" s="200"/>
      <c r="R74"/>
      <c r="S74"/>
      <c r="T74"/>
      <c r="U74"/>
      <c r="V74"/>
      <c r="W74"/>
      <c r="X74"/>
      <c r="Y74"/>
      <c r="Z74"/>
    </row>
    <row r="75" spans="1:26" ht="15.6" x14ac:dyDescent="0.3">
      <c r="A75" s="200"/>
      <c r="B75" s="255" t="str">
        <f t="shared" si="19"/>
        <v>Target 2015/16</v>
      </c>
      <c r="C75" s="647">
        <f t="shared" si="17"/>
        <v>438029.09523420315</v>
      </c>
      <c r="D75" s="269"/>
      <c r="E75" s="642">
        <f t="shared" si="20"/>
        <v>0.1</v>
      </c>
      <c r="F75" s="642"/>
      <c r="G75" s="269"/>
      <c r="H75" s="269">
        <f t="shared" si="18"/>
        <v>776131.5</v>
      </c>
      <c r="I75" s="269">
        <f t="shared" si="18"/>
        <v>3221.3999999999996</v>
      </c>
      <c r="J75" s="200"/>
      <c r="K75" s="200"/>
      <c r="L75" s="200"/>
      <c r="M75" s="200"/>
      <c r="N75" s="200"/>
      <c r="O75" s="200"/>
      <c r="P75" s="200"/>
      <c r="Q75" s="200"/>
      <c r="R75"/>
      <c r="S75"/>
      <c r="T75"/>
      <c r="U75"/>
      <c r="V75"/>
      <c r="W75"/>
      <c r="X75"/>
      <c r="Y75"/>
      <c r="Z75"/>
    </row>
    <row r="76" spans="1:26" ht="15.6" x14ac:dyDescent="0.3">
      <c r="A76" s="200"/>
      <c r="B76" s="255" t="str">
        <f t="shared" si="19"/>
        <v>Target 2016/17</v>
      </c>
      <c r="C76" s="647">
        <f t="shared" si="17"/>
        <v>438029.09523420315</v>
      </c>
      <c r="D76" s="269"/>
      <c r="E76" s="642">
        <f t="shared" si="20"/>
        <v>0.1</v>
      </c>
      <c r="F76" s="642"/>
      <c r="G76" s="269"/>
      <c r="H76" s="269">
        <f t="shared" si="18"/>
        <v>776131.5</v>
      </c>
      <c r="I76" s="269">
        <f t="shared" si="18"/>
        <v>3221.3999999999996</v>
      </c>
      <c r="J76" s="200"/>
      <c r="K76" s="200"/>
      <c r="L76" s="200"/>
      <c r="M76" s="200"/>
      <c r="N76" s="200"/>
      <c r="O76" s="200"/>
      <c r="P76" s="200"/>
      <c r="Q76" s="200"/>
      <c r="R76"/>
      <c r="S76"/>
      <c r="T76"/>
      <c r="U76"/>
      <c r="V76"/>
      <c r="W76"/>
      <c r="X76"/>
      <c r="Y76"/>
      <c r="Z76"/>
    </row>
    <row r="77" spans="1:26" ht="15.6" x14ac:dyDescent="0.3">
      <c r="A77" s="200"/>
      <c r="B77" s="255" t="str">
        <f t="shared" si="19"/>
        <v>Target 2017/18</v>
      </c>
      <c r="C77" s="647">
        <f t="shared" si="17"/>
        <v>438029.09523420315</v>
      </c>
      <c r="D77" s="256"/>
      <c r="E77" s="640">
        <f t="shared" si="20"/>
        <v>0.1</v>
      </c>
      <c r="F77" s="641"/>
      <c r="G77" s="259"/>
      <c r="H77" s="256">
        <f t="shared" ref="H77:I77" si="21">+H61*(1-H$11)</f>
        <v>776131.5</v>
      </c>
      <c r="I77" s="269">
        <f t="shared" si="21"/>
        <v>3221.3999999999996</v>
      </c>
      <c r="J77" s="200"/>
      <c r="K77" s="200"/>
      <c r="L77" s="200"/>
      <c r="M77" s="200"/>
      <c r="N77" s="200"/>
      <c r="O77" s="200"/>
      <c r="P77" s="200"/>
      <c r="Q77" s="200"/>
      <c r="R77"/>
      <c r="S77"/>
      <c r="T77"/>
      <c r="U77"/>
      <c r="V77"/>
      <c r="W77"/>
      <c r="X77"/>
      <c r="Y77"/>
      <c r="Z77"/>
    </row>
    <row r="78" spans="1:26" ht="15.6" x14ac:dyDescent="0.3">
      <c r="A78" s="200"/>
      <c r="B78" s="255" t="str">
        <f t="shared" si="19"/>
        <v>Target 2018/19</v>
      </c>
      <c r="C78" s="647">
        <f t="shared" si="17"/>
        <v>438029.09523420315</v>
      </c>
      <c r="D78" s="256"/>
      <c r="E78" s="640">
        <f t="shared" si="20"/>
        <v>0.1</v>
      </c>
      <c r="F78" s="641"/>
      <c r="G78" s="259"/>
      <c r="H78" s="256">
        <f t="shared" ref="H78:I78" si="22">+H62*(1-H$11)</f>
        <v>776131.5</v>
      </c>
      <c r="I78" s="269">
        <f t="shared" si="22"/>
        <v>3221.3999999999996</v>
      </c>
      <c r="J78" s="200"/>
      <c r="K78" s="200"/>
      <c r="L78" s="200"/>
      <c r="M78" s="200"/>
      <c r="N78" s="200"/>
      <c r="O78" s="200"/>
      <c r="P78" s="200"/>
      <c r="Q78" s="200"/>
      <c r="R78"/>
      <c r="S78"/>
      <c r="T78"/>
      <c r="U78"/>
      <c r="V78"/>
      <c r="W78"/>
      <c r="X78"/>
      <c r="Y78"/>
      <c r="Z78"/>
    </row>
    <row r="79" spans="1:26" ht="16.2" thickBot="1" x14ac:dyDescent="0.35">
      <c r="A79" s="200"/>
      <c r="B79" s="260" t="str">
        <f t="shared" si="19"/>
        <v>Target 2019/20</v>
      </c>
      <c r="C79" s="266">
        <f>+C62*(1-C$11)</f>
        <v>438029.09523420315</v>
      </c>
      <c r="D79" s="262"/>
      <c r="E79" s="643">
        <f>+E$11</f>
        <v>0.1</v>
      </c>
      <c r="F79" s="644"/>
      <c r="G79" s="265"/>
      <c r="H79" s="262">
        <f>+H62*(1-H$11)</f>
        <v>776131.5</v>
      </c>
      <c r="I79" s="270">
        <f>+I62*(1-I$11)</f>
        <v>3221.3999999999996</v>
      </c>
      <c r="J79" s="200"/>
      <c r="K79" s="200"/>
      <c r="L79" s="200"/>
      <c r="M79" s="200"/>
      <c r="N79" s="200"/>
      <c r="O79" s="200"/>
      <c r="P79" s="200"/>
      <c r="Q79" s="200"/>
      <c r="R79"/>
      <c r="S79"/>
      <c r="T79"/>
      <c r="U79"/>
      <c r="V79"/>
      <c r="W79"/>
      <c r="X79"/>
      <c r="Y79"/>
      <c r="Z79"/>
    </row>
    <row r="80" spans="1:26" ht="14.4" x14ac:dyDescent="0.3">
      <c r="A80" s="200"/>
      <c r="B80" s="200"/>
      <c r="C80" s="200"/>
      <c r="D80" s="200"/>
      <c r="E80" s="200"/>
      <c r="F80" s="200"/>
      <c r="G80" s="200"/>
      <c r="H80" s="200"/>
      <c r="I80" s="200"/>
      <c r="J80" s="200"/>
      <c r="K80" s="200"/>
      <c r="L80" s="200"/>
      <c r="M80" s="200"/>
      <c r="N80" s="200"/>
      <c r="O80" s="200"/>
      <c r="P80" s="200"/>
      <c r="Q80" s="200"/>
      <c r="R80"/>
      <c r="S80"/>
      <c r="T80"/>
      <c r="U80"/>
      <c r="V80"/>
      <c r="W80"/>
      <c r="X80"/>
      <c r="Y80"/>
      <c r="Z80"/>
    </row>
    <row r="81" spans="1:26" ht="15" thickBot="1" x14ac:dyDescent="0.35">
      <c r="A81" s="200"/>
      <c r="B81" s="200"/>
      <c r="C81" s="200"/>
      <c r="D81" s="200"/>
      <c r="E81" s="200"/>
      <c r="F81" s="200"/>
      <c r="G81" s="200"/>
      <c r="H81" s="200"/>
      <c r="I81" s="200"/>
      <c r="J81" s="200"/>
      <c r="K81" s="200"/>
      <c r="L81" s="200"/>
      <c r="M81" s="200"/>
      <c r="N81" s="200"/>
      <c r="O81" s="200"/>
      <c r="P81" s="200"/>
      <c r="Q81" s="200"/>
      <c r="R81"/>
      <c r="S81"/>
      <c r="T81"/>
      <c r="U81"/>
      <c r="V81"/>
      <c r="W81"/>
      <c r="X81"/>
      <c r="Y81"/>
      <c r="Z81"/>
    </row>
    <row r="82" spans="1:26" ht="18.600000000000001" thickBot="1" x14ac:dyDescent="0.4">
      <c r="A82" s="200"/>
      <c r="B82" s="1823" t="str">
        <f>CONCATENATE(B4," ",C2)</f>
        <v>Annual Performance - 2019-20 MINISTRY OF JUSTICE (MoJ)</v>
      </c>
      <c r="C82" s="1824"/>
      <c r="D82" s="1824"/>
      <c r="E82" s="1824"/>
      <c r="F82" s="1824"/>
      <c r="G82" s="1824"/>
      <c r="H82" s="1825"/>
      <c r="I82" s="200"/>
      <c r="J82" s="1823" t="str">
        <f>CONCATENATE(B15," ",C2)</f>
        <v>Quarterly Values 2019-20 MINISTRY OF JUSTICE (MoJ)</v>
      </c>
      <c r="K82" s="1824"/>
      <c r="L82" s="1824"/>
      <c r="M82" s="1824"/>
      <c r="N82" s="1824"/>
      <c r="O82" s="1824"/>
      <c r="P82" s="1825"/>
      <c r="Q82" s="200"/>
      <c r="R82"/>
      <c r="S82"/>
      <c r="T82"/>
      <c r="U82"/>
      <c r="V82"/>
      <c r="W82"/>
      <c r="X82"/>
      <c r="Y82"/>
      <c r="Z82"/>
    </row>
    <row r="83" spans="1:26" customFormat="1" ht="14.4" x14ac:dyDescent="0.3">
      <c r="A83" s="200"/>
      <c r="B83" s="200"/>
      <c r="C83" s="200"/>
      <c r="D83" s="200"/>
      <c r="E83" s="200"/>
      <c r="F83" s="200"/>
      <c r="G83" s="200"/>
      <c r="H83" s="200"/>
      <c r="I83" s="200"/>
      <c r="J83" s="200"/>
      <c r="K83" s="200"/>
      <c r="L83" s="200"/>
      <c r="M83" s="200"/>
      <c r="N83" s="200"/>
      <c r="O83" s="200"/>
      <c r="P83" s="200"/>
      <c r="Q83" s="200"/>
    </row>
    <row r="84" spans="1:26" customFormat="1" ht="14.4" x14ac:dyDescent="0.3">
      <c r="A84" s="200"/>
      <c r="B84" s="200" t="s">
        <v>269</v>
      </c>
      <c r="C84" s="200" t="s">
        <v>10</v>
      </c>
      <c r="D84" s="200" t="s">
        <v>270</v>
      </c>
      <c r="E84" s="200" t="s">
        <v>268</v>
      </c>
      <c r="F84" s="200"/>
      <c r="G84" s="200"/>
      <c r="H84" s="200"/>
      <c r="I84" s="200"/>
      <c r="J84" s="200"/>
      <c r="K84" s="200"/>
      <c r="L84" s="200"/>
      <c r="M84" s="200"/>
      <c r="N84" s="200"/>
      <c r="O84" s="200"/>
      <c r="P84" s="200"/>
      <c r="Q84" s="200"/>
    </row>
    <row r="85" spans="1:26" customFormat="1" ht="14.4" x14ac:dyDescent="0.3">
      <c r="A85" s="200"/>
      <c r="B85" s="200" t="str">
        <f>+Performance!B37</f>
        <v>2009/10</v>
      </c>
      <c r="C85" s="272">
        <f>IF(+Performance!C53&gt;0,+Performance!C53,+C84)</f>
        <v>561575.76312077325</v>
      </c>
      <c r="D85" s="272">
        <f>+C85</f>
        <v>561575.76312077325</v>
      </c>
      <c r="E85" s="272">
        <f>IF(+Performance!C69&gt;0,+Performance!C69,+E84)</f>
        <v>438029.09523420315</v>
      </c>
      <c r="F85" s="200"/>
      <c r="G85" s="200"/>
      <c r="H85" s="200"/>
      <c r="I85" s="200"/>
      <c r="J85" s="200"/>
      <c r="K85" s="200"/>
      <c r="L85" s="200"/>
      <c r="M85" s="200" t="str">
        <f>+Performance!C17</f>
        <v>tCO2e</v>
      </c>
      <c r="N85" s="200" t="s">
        <v>520</v>
      </c>
      <c r="O85" s="200" t="s">
        <v>563</v>
      </c>
      <c r="P85" s="200"/>
      <c r="Q85" s="200"/>
    </row>
    <row r="86" spans="1:26" customFormat="1" ht="14.4" x14ac:dyDescent="0.3">
      <c r="A86" s="200"/>
      <c r="B86" s="200" t="str">
        <f>+Performance!B38</f>
        <v>2010/11</v>
      </c>
      <c r="C86" s="272">
        <f>IF(+Performance!C54&gt;0,+Performance!C54,+C85)</f>
        <v>561575.76312077325</v>
      </c>
      <c r="D86" s="272" t="str">
        <f>IF(+Performance!C38&gt;0,+Performance!C38,"")</f>
        <v/>
      </c>
      <c r="E86" s="272">
        <f>IF(+Performance!C70&gt;0,+Performance!C70,+E85)</f>
        <v>438029.09523420315</v>
      </c>
      <c r="F86" s="200"/>
      <c r="G86" s="200"/>
      <c r="H86" s="200"/>
      <c r="I86" s="200"/>
      <c r="J86" s="200"/>
      <c r="K86" s="200"/>
      <c r="L86" s="200"/>
      <c r="M86" s="200" t="s">
        <v>199</v>
      </c>
      <c r="N86" s="272">
        <f>+Performance!C27</f>
        <v>73793.269271046665</v>
      </c>
      <c r="O86" s="272">
        <f>IF(+Performance!C18=0,"",+Performance!C18)</f>
        <v>73523.848819970561</v>
      </c>
      <c r="P86" s="200"/>
      <c r="Q86" s="200"/>
    </row>
    <row r="87" spans="1:26" customFormat="1" ht="14.4" x14ac:dyDescent="0.3">
      <c r="A87" s="200"/>
      <c r="B87" s="200" t="str">
        <f>+Performance!B39</f>
        <v>2011/12</v>
      </c>
      <c r="C87" s="272">
        <f>IF(+Performance!C55&gt;0,+Performance!C55,+C86)</f>
        <v>561575.76312077325</v>
      </c>
      <c r="D87" s="272" t="str">
        <f>IF(+Performance!C39&gt;0,+Performance!C39,"")</f>
        <v/>
      </c>
      <c r="E87" s="272">
        <f>IF(+Performance!C71&gt;0,+Performance!C71,+E86)</f>
        <v>438029.09523420315</v>
      </c>
      <c r="F87" s="200"/>
      <c r="G87" s="200"/>
      <c r="H87" s="200"/>
      <c r="I87" s="200"/>
      <c r="J87" s="200"/>
      <c r="K87" s="200"/>
      <c r="L87" s="200"/>
      <c r="M87" s="200" t="s">
        <v>201</v>
      </c>
      <c r="N87" s="272">
        <f>+Performance!C28</f>
        <v>56210.470211942549</v>
      </c>
      <c r="O87" s="272">
        <f>IF(+Performance!C19=0,"",+Performance!C19)</f>
        <v>53616.781990404495</v>
      </c>
      <c r="P87" s="200"/>
      <c r="Q87" s="200"/>
    </row>
    <row r="88" spans="1:26" customFormat="1" ht="14.4" x14ac:dyDescent="0.3">
      <c r="A88" s="200"/>
      <c r="B88" s="200" t="str">
        <f>+Performance!B40</f>
        <v>2012/13</v>
      </c>
      <c r="C88" s="272">
        <f>IF(+Performance!C56&gt;0,+Performance!C56,+C87)</f>
        <v>561575.76312077325</v>
      </c>
      <c r="D88" s="272">
        <f>IF(+Performance!C40&gt;0,+Performance!C40,"")</f>
        <v>513250.84694764501</v>
      </c>
      <c r="E88" s="272">
        <f>IF(+Performance!C72&gt;0,+Performance!C72,+E87)</f>
        <v>438029.09523420315</v>
      </c>
      <c r="F88" s="200"/>
      <c r="G88" s="200"/>
      <c r="H88" s="200"/>
      <c r="I88" s="200"/>
      <c r="J88" s="200"/>
      <c r="K88" s="200"/>
      <c r="L88" s="200"/>
      <c r="M88" s="200" t="s">
        <v>202</v>
      </c>
      <c r="N88" s="272">
        <f>+Performance!C29</f>
        <v>95432.843183031742</v>
      </c>
      <c r="O88" s="272" t="str">
        <f>IF(+Performance!C20=0,"",+Performance!C20)</f>
        <v/>
      </c>
      <c r="P88" s="200"/>
      <c r="Q88" s="200"/>
    </row>
    <row r="89" spans="1:26" customFormat="1" ht="14.4" x14ac:dyDescent="0.3">
      <c r="A89" s="200"/>
      <c r="B89" s="200" t="str">
        <f>+Performance!B41</f>
        <v>2013/14</v>
      </c>
      <c r="C89" s="272">
        <f>IF(+Performance!C57&gt;0,+Performance!C57,+C88)</f>
        <v>561575.76312077325</v>
      </c>
      <c r="D89" s="272">
        <f>IF(+Performance!C41&gt;0,+Performance!C41,"")</f>
        <v>460692.82498396264</v>
      </c>
      <c r="E89" s="272">
        <f>IF(+Performance!C73&gt;0,+Performance!C73,+E88)</f>
        <v>438029.09523420315</v>
      </c>
      <c r="F89" s="200"/>
      <c r="G89" s="200"/>
      <c r="H89" s="200"/>
      <c r="I89" s="200"/>
      <c r="J89" s="200"/>
      <c r="K89" s="200"/>
      <c r="L89" s="200"/>
      <c r="M89" s="200" t="s">
        <v>203</v>
      </c>
      <c r="N89" s="272">
        <f>+Performance!C30</f>
        <v>111074.9099453641</v>
      </c>
      <c r="O89" s="272" t="str">
        <f>IF(+Performance!C21=0,"",+Performance!C21)</f>
        <v/>
      </c>
      <c r="P89" s="200"/>
      <c r="Q89" s="200"/>
    </row>
    <row r="90" spans="1:26" customFormat="1" ht="14.4" x14ac:dyDescent="0.3">
      <c r="A90" s="200"/>
      <c r="B90" s="200" t="str">
        <f>+Performance!B42</f>
        <v>2014/15</v>
      </c>
      <c r="C90" s="272">
        <f>IF(+Performance!C58&gt;0,+Performance!C58,+C89)</f>
        <v>561575.76312077325</v>
      </c>
      <c r="D90" s="272">
        <f>IF(+Performance!C42&gt;0,+Performance!C42,"")</f>
        <v>486913.22958508832</v>
      </c>
      <c r="E90" s="272">
        <f>IF(+Performance!C74&gt;0,+Performance!C74,+E89)</f>
        <v>438029.09523420315</v>
      </c>
      <c r="F90" s="200"/>
      <c r="G90" s="200"/>
      <c r="H90" s="200"/>
      <c r="I90" s="200"/>
      <c r="J90" s="200"/>
      <c r="K90" s="200"/>
      <c r="L90" s="200"/>
      <c r="M90" s="200"/>
      <c r="N90" s="200"/>
      <c r="O90" s="200"/>
      <c r="P90" s="200"/>
      <c r="Q90" s="200"/>
    </row>
    <row r="91" spans="1:26" customFormat="1" ht="14.4" x14ac:dyDescent="0.3">
      <c r="A91" s="200"/>
      <c r="B91" s="200" t="str">
        <f>+Performance!B43</f>
        <v>2015/16</v>
      </c>
      <c r="C91" s="272">
        <f>IF(+Performance!C59&gt;0,+Performance!C59,+C90)</f>
        <v>561575.76312077325</v>
      </c>
      <c r="D91" s="272">
        <f>IF(+Performance!C43&gt;0,+Performance!C43,"")</f>
        <v>447687.09090470063</v>
      </c>
      <c r="E91" s="272">
        <f>IF(+Performance!C75&gt;0,+Performance!C75,+E90)</f>
        <v>438029.09523420315</v>
      </c>
      <c r="F91" s="200"/>
      <c r="G91" s="200"/>
      <c r="H91" s="200"/>
      <c r="I91" s="200"/>
      <c r="J91" s="200"/>
      <c r="K91" s="200"/>
      <c r="L91" s="200"/>
      <c r="M91" s="200"/>
      <c r="N91" s="200"/>
      <c r="O91" s="200"/>
      <c r="P91" s="200"/>
      <c r="Q91" s="200"/>
    </row>
    <row r="92" spans="1:26" customFormat="1" ht="14.4" x14ac:dyDescent="0.3">
      <c r="A92" s="200"/>
      <c r="B92" s="200" t="str">
        <f>+Performance!B44</f>
        <v>2016/17</v>
      </c>
      <c r="C92" s="272">
        <f>IF(+Performance!C60&gt;0,+Performance!C60,+C91)</f>
        <v>561575.76312077325</v>
      </c>
      <c r="D92" s="272">
        <f>IF(+Performance!C44&gt;0,+Performance!C44,"")</f>
        <v>405139.90640694159</v>
      </c>
      <c r="E92" s="272">
        <f>IF(+Performance!C76&gt;0,+Performance!C76,+E91)</f>
        <v>438029.09523420315</v>
      </c>
      <c r="F92" s="200"/>
      <c r="G92" s="200"/>
      <c r="H92" s="200"/>
      <c r="I92" s="200"/>
      <c r="J92" s="200"/>
      <c r="K92" s="200"/>
      <c r="L92" s="200"/>
      <c r="M92" s="200"/>
      <c r="N92" s="200"/>
      <c r="O92" s="200"/>
      <c r="P92" s="200"/>
      <c r="Q92" s="200"/>
    </row>
    <row r="93" spans="1:26" customFormat="1" ht="14.4" x14ac:dyDescent="0.3">
      <c r="A93" s="200"/>
      <c r="B93" s="200" t="str">
        <f>+Performance!B45</f>
        <v>2017/18</v>
      </c>
      <c r="C93" s="272">
        <f>IF(+Performance!C61&gt;0,+Performance!C61,+C92)</f>
        <v>561575.76312077325</v>
      </c>
      <c r="D93" s="272">
        <f>IF(+Performance!C45&gt;0,+Performance!C45,"")</f>
        <v>370348.53745798639</v>
      </c>
      <c r="E93" s="272">
        <f>IF(+Performance!C77&gt;0,+Performance!C77,+E92)</f>
        <v>438029.09523420315</v>
      </c>
      <c r="F93" s="200"/>
      <c r="G93" s="200"/>
      <c r="H93" s="200"/>
      <c r="I93" s="200"/>
      <c r="J93" s="200"/>
      <c r="K93" s="200"/>
      <c r="L93" s="200"/>
      <c r="M93" s="200"/>
      <c r="N93" s="200"/>
      <c r="O93" s="200"/>
      <c r="P93" s="200"/>
      <c r="Q93" s="200"/>
    </row>
    <row r="94" spans="1:26" customFormat="1" ht="14.4" x14ac:dyDescent="0.3">
      <c r="A94" s="200"/>
      <c r="B94" s="200" t="str">
        <f>+Performance!B46</f>
        <v>2018/19</v>
      </c>
      <c r="C94" s="272">
        <f>IF(+Performance!C62&gt;0,+Performance!C62,+C93)</f>
        <v>561575.76312077325</v>
      </c>
      <c r="D94" s="272">
        <f>IF(+Performance!C46&gt;0,+Performance!C46,"")</f>
        <v>336511.49261138501</v>
      </c>
      <c r="E94" s="272">
        <f>IF(+Performance!C78&gt;0,+Performance!C78,+E93)</f>
        <v>438029.09523420315</v>
      </c>
      <c r="F94" s="200"/>
      <c r="G94" s="200"/>
      <c r="H94" s="200"/>
      <c r="I94" s="200"/>
      <c r="J94" s="200"/>
      <c r="K94" s="200"/>
      <c r="L94" s="200"/>
      <c r="M94" s="200"/>
      <c r="N94" s="200"/>
      <c r="O94" s="200"/>
      <c r="P94" s="200"/>
      <c r="Q94" s="200"/>
    </row>
    <row r="95" spans="1:26" customFormat="1" ht="14.4" x14ac:dyDescent="0.3">
      <c r="A95" s="200"/>
      <c r="B95" s="200" t="str">
        <f>+Performance!B47</f>
        <v>2019/20</v>
      </c>
      <c r="C95" s="272">
        <f>IF(+Performance!C63&gt;0,+Performance!C63,+C94)</f>
        <v>561575.76312077325</v>
      </c>
      <c r="D95" s="272">
        <f>IF(+Performance!C47&gt;0,+Performance!C47,"")</f>
        <v>127140.63081037506</v>
      </c>
      <c r="E95" s="272">
        <f>IF(+Performance!C79&gt;0,+Performance!C79,+E94)</f>
        <v>438029.09523420315</v>
      </c>
      <c r="F95" s="200"/>
      <c r="G95" s="200"/>
      <c r="H95" s="200"/>
      <c r="I95" s="200"/>
      <c r="J95" s="200"/>
      <c r="K95" s="200"/>
      <c r="L95" s="200"/>
      <c r="M95" s="200"/>
      <c r="N95" s="200"/>
      <c r="O95" s="200"/>
      <c r="P95" s="200"/>
      <c r="Q95" s="200"/>
    </row>
    <row r="96" spans="1:26" customFormat="1" ht="14.4" x14ac:dyDescent="0.3">
      <c r="A96" s="200"/>
      <c r="B96" s="200"/>
      <c r="C96" s="200"/>
      <c r="D96" s="200"/>
      <c r="E96" s="200"/>
      <c r="F96" s="200"/>
      <c r="G96" s="200"/>
      <c r="H96" s="200"/>
      <c r="I96" s="200"/>
      <c r="J96" s="200"/>
      <c r="K96" s="200"/>
      <c r="L96" s="200"/>
      <c r="M96" s="200"/>
      <c r="N96" s="200"/>
      <c r="O96" s="200"/>
      <c r="P96" s="200"/>
      <c r="Q96" s="200"/>
    </row>
    <row r="97" spans="1:17" customFormat="1" ht="14.4" x14ac:dyDescent="0.3">
      <c r="A97" s="200"/>
      <c r="B97" s="200"/>
      <c r="C97" s="200"/>
      <c r="D97" s="200"/>
      <c r="E97" s="200"/>
      <c r="F97" s="200"/>
      <c r="G97" s="200"/>
      <c r="H97" s="200"/>
      <c r="I97" s="200"/>
      <c r="J97" s="200"/>
      <c r="K97" s="200"/>
      <c r="L97" s="200"/>
      <c r="M97" s="200"/>
      <c r="N97" s="200"/>
      <c r="O97" s="200"/>
      <c r="P97" s="200"/>
      <c r="Q97" s="200"/>
    </row>
    <row r="98" spans="1:17" customFormat="1" ht="15" thickBot="1" x14ac:dyDescent="0.35">
      <c r="A98" s="200"/>
      <c r="B98" s="200"/>
      <c r="C98" s="200"/>
      <c r="D98" s="200"/>
      <c r="E98" s="200"/>
      <c r="F98" s="200"/>
      <c r="G98" s="200"/>
      <c r="H98" s="200"/>
      <c r="I98" s="200"/>
      <c r="J98" s="200"/>
      <c r="K98" s="200"/>
      <c r="L98" s="200"/>
      <c r="M98" s="200"/>
      <c r="N98" s="200"/>
      <c r="O98" s="200"/>
      <c r="P98" s="200"/>
      <c r="Q98" s="200"/>
    </row>
    <row r="99" spans="1:17" customFormat="1" ht="18.600000000000001" thickBot="1" x14ac:dyDescent="0.4">
      <c r="A99" s="200"/>
      <c r="B99" s="200"/>
      <c r="C99" s="200"/>
      <c r="D99" s="200"/>
      <c r="E99" s="200"/>
      <c r="F99" s="200"/>
      <c r="G99" s="200"/>
      <c r="H99" s="200"/>
      <c r="I99" s="200"/>
      <c r="J99" s="1823" t="str">
        <f>+J82</f>
        <v>Quarterly Values 2019-20 MINISTRY OF JUSTICE (MoJ)</v>
      </c>
      <c r="K99" s="1824"/>
      <c r="L99" s="1824"/>
      <c r="M99" s="1824"/>
      <c r="N99" s="1824"/>
      <c r="O99" s="1824"/>
      <c r="P99" s="1825"/>
      <c r="Q99" s="200"/>
    </row>
    <row r="100" spans="1:17" customFormat="1" ht="14.4" x14ac:dyDescent="0.3">
      <c r="A100" s="200"/>
      <c r="B100" s="272"/>
      <c r="C100" s="200"/>
      <c r="D100" s="200"/>
      <c r="E100" s="200"/>
      <c r="F100" s="200"/>
      <c r="G100" s="200"/>
      <c r="H100" s="200"/>
      <c r="I100" s="200"/>
      <c r="J100" s="200"/>
      <c r="K100" s="200"/>
      <c r="L100" s="200"/>
      <c r="M100" s="200"/>
      <c r="N100" s="200"/>
      <c r="O100" s="200"/>
      <c r="P100" s="200"/>
      <c r="Q100" s="200"/>
    </row>
    <row r="101" spans="1:17" customFormat="1" ht="15" thickBot="1" x14ac:dyDescent="0.35">
      <c r="A101" s="200"/>
      <c r="B101" s="200"/>
      <c r="C101" s="200"/>
      <c r="D101" s="200"/>
      <c r="E101" s="200"/>
      <c r="F101" s="200"/>
      <c r="G101" s="200"/>
      <c r="H101" s="200"/>
      <c r="I101" s="200"/>
      <c r="J101" s="200"/>
      <c r="K101" s="200"/>
      <c r="L101" s="200"/>
      <c r="M101" s="200"/>
      <c r="N101" s="200"/>
      <c r="O101" s="200"/>
      <c r="P101" s="200"/>
      <c r="Q101" s="200"/>
    </row>
    <row r="102" spans="1:17" customFormat="1" ht="18.600000000000001" thickBot="1" x14ac:dyDescent="0.4">
      <c r="A102" s="200"/>
      <c r="B102" s="1823" t="str">
        <f>+B82</f>
        <v>Annual Performance - 2019-20 MINISTRY OF JUSTICE (MoJ)</v>
      </c>
      <c r="C102" s="1824"/>
      <c r="D102" s="1824"/>
      <c r="E102" s="1824"/>
      <c r="F102" s="1824"/>
      <c r="G102" s="1824"/>
      <c r="H102" s="1825"/>
      <c r="I102" s="200"/>
      <c r="J102" s="200"/>
      <c r="K102" s="200"/>
      <c r="L102" s="200"/>
      <c r="M102" s="200"/>
      <c r="N102" s="200"/>
      <c r="O102" s="200"/>
      <c r="P102" s="200"/>
      <c r="Q102" s="200"/>
    </row>
    <row r="103" spans="1:17" customFormat="1" ht="14.4" x14ac:dyDescent="0.3">
      <c r="A103" s="200"/>
      <c r="B103" s="200" t="s">
        <v>273</v>
      </c>
      <c r="C103" s="200" t="s">
        <v>10</v>
      </c>
      <c r="D103" s="200" t="s">
        <v>270</v>
      </c>
      <c r="E103" s="200" t="s">
        <v>268</v>
      </c>
      <c r="F103" s="200"/>
      <c r="G103" s="200"/>
      <c r="H103" s="200"/>
      <c r="I103" s="200"/>
      <c r="J103" s="200"/>
      <c r="K103" s="200"/>
      <c r="L103" s="200"/>
      <c r="M103" s="200"/>
      <c r="N103" s="200"/>
      <c r="O103" s="200"/>
      <c r="P103" s="200"/>
      <c r="Q103" s="200"/>
    </row>
    <row r="104" spans="1:17" customFormat="1" ht="14.4" x14ac:dyDescent="0.3">
      <c r="A104" s="200"/>
      <c r="B104" s="200" t="str">
        <f t="shared" ref="B104:B114" si="23">+B165</f>
        <v>2009/10</v>
      </c>
      <c r="C104" s="272">
        <f>IF(+Performance!I53&gt;0,+Performance!I53,+C103)</f>
        <v>4602</v>
      </c>
      <c r="D104" s="272">
        <f>+C104</f>
        <v>4602</v>
      </c>
      <c r="E104" s="272">
        <f>IF(Performance!I69&gt;0,Performance!I69,+E103)</f>
        <v>3221.3999999999996</v>
      </c>
      <c r="F104" s="200"/>
      <c r="G104" s="200"/>
      <c r="H104" s="200"/>
      <c r="I104" s="200"/>
      <c r="J104" s="200"/>
      <c r="K104" s="200"/>
      <c r="L104" s="200"/>
      <c r="M104" s="200" t="s">
        <v>273</v>
      </c>
      <c r="N104" s="200" t="s">
        <v>520</v>
      </c>
      <c r="O104" s="200" t="s">
        <v>563</v>
      </c>
      <c r="P104" s="200"/>
      <c r="Q104" s="200"/>
    </row>
    <row r="105" spans="1:17" customFormat="1" ht="14.4" x14ac:dyDescent="0.3">
      <c r="A105" s="200"/>
      <c r="B105" s="200" t="str">
        <f t="shared" si="23"/>
        <v>2010/11</v>
      </c>
      <c r="C105" s="272">
        <f>IF(+Performance!I54&gt;0,+Performance!I54,+C104)</f>
        <v>4602</v>
      </c>
      <c r="D105" s="272" t="str">
        <f>IF(Performance!I38&gt;0,Performance!I38,"")</f>
        <v/>
      </c>
      <c r="E105" s="272">
        <f>IF(Performance!I70&gt;0,Performance!I70,+E104)</f>
        <v>3221.3999999999996</v>
      </c>
      <c r="F105" s="200"/>
      <c r="G105" s="200"/>
      <c r="H105" s="200"/>
      <c r="I105" s="200"/>
      <c r="J105" s="200"/>
      <c r="K105" s="200"/>
      <c r="L105" s="200"/>
      <c r="M105" s="200" t="s">
        <v>199</v>
      </c>
      <c r="N105" s="272">
        <f>+Performance!I27</f>
        <v>1059</v>
      </c>
      <c r="O105" s="272">
        <f>+Performance!I18</f>
        <v>976</v>
      </c>
      <c r="P105" s="200"/>
      <c r="Q105" s="200"/>
    </row>
    <row r="106" spans="1:17" customFormat="1" ht="14.4" x14ac:dyDescent="0.3">
      <c r="A106" s="200"/>
      <c r="B106" s="200" t="str">
        <f t="shared" si="23"/>
        <v>2011/12</v>
      </c>
      <c r="C106" s="272">
        <f>IF(+Performance!I55&gt;0,+Performance!I55,+C105)</f>
        <v>4602</v>
      </c>
      <c r="D106" s="272" t="str">
        <f>IF(Performance!I39&gt;0,Performance!I39,"")</f>
        <v/>
      </c>
      <c r="E106" s="272">
        <f>IF(Performance!I71&gt;0,Performance!I71,+E105)</f>
        <v>3221.3999999999996</v>
      </c>
      <c r="F106" s="200"/>
      <c r="G106" s="200"/>
      <c r="H106" s="200"/>
      <c r="I106" s="200"/>
      <c r="J106" s="200"/>
      <c r="K106" s="200"/>
      <c r="L106" s="200"/>
      <c r="M106" s="200" t="s">
        <v>201</v>
      </c>
      <c r="N106" s="272">
        <f>+Performance!I28</f>
        <v>978</v>
      </c>
      <c r="O106" s="272">
        <f>+Performance!I19</f>
        <v>772</v>
      </c>
      <c r="P106" s="200"/>
      <c r="Q106" s="200"/>
    </row>
    <row r="107" spans="1:17" customFormat="1" ht="14.4" x14ac:dyDescent="0.3">
      <c r="A107" s="200"/>
      <c r="B107" s="200" t="str">
        <f t="shared" si="23"/>
        <v>2012/13</v>
      </c>
      <c r="C107" s="272">
        <f>IF(+Performance!I56&gt;0,+Performance!I56,+C106)</f>
        <v>4602</v>
      </c>
      <c r="D107" s="272">
        <f>IF(Performance!I40&gt;0,Performance!I40,"")</f>
        <v>2657</v>
      </c>
      <c r="E107" s="272">
        <f>IF(Performance!I72&gt;0,Performance!I72,+E106)</f>
        <v>3221.3999999999996</v>
      </c>
      <c r="F107" s="200"/>
      <c r="G107" s="200"/>
      <c r="H107" s="200"/>
      <c r="I107" s="200"/>
      <c r="J107" s="200"/>
      <c r="K107" s="200"/>
      <c r="L107" s="200"/>
      <c r="M107" s="200" t="s">
        <v>202</v>
      </c>
      <c r="N107" s="272">
        <f>+Performance!I29</f>
        <v>1075</v>
      </c>
      <c r="O107" s="272">
        <f>+Performance!I20</f>
        <v>0</v>
      </c>
      <c r="P107" s="200"/>
      <c r="Q107" s="200"/>
    </row>
    <row r="108" spans="1:17" customFormat="1" ht="14.4" x14ac:dyDescent="0.3">
      <c r="A108" s="200"/>
      <c r="B108" s="200" t="str">
        <f t="shared" si="23"/>
        <v>2013/14</v>
      </c>
      <c r="C108" s="272">
        <f>IF(+Performance!I57&gt;0,+Performance!I57,+C107)</f>
        <v>4602</v>
      </c>
      <c r="D108" s="272">
        <f>IF(Performance!I41&gt;0,Performance!I41,"")</f>
        <v>4248</v>
      </c>
      <c r="E108" s="272">
        <f>IF(Performance!I73&gt;0,Performance!I73,+E107)</f>
        <v>3221.3999999999996</v>
      </c>
      <c r="F108" s="200"/>
      <c r="G108" s="200"/>
      <c r="H108" s="200"/>
      <c r="I108" s="200"/>
      <c r="J108" s="200"/>
      <c r="K108" s="200"/>
      <c r="L108" s="200"/>
      <c r="M108" s="200" t="s">
        <v>203</v>
      </c>
      <c r="N108" s="272">
        <f>+Performance!I30</f>
        <v>1088</v>
      </c>
      <c r="O108" s="272">
        <f>+Performance!I21</f>
        <v>0</v>
      </c>
      <c r="P108" s="200"/>
      <c r="Q108" s="200"/>
    </row>
    <row r="109" spans="1:17" customFormat="1" ht="14.4" x14ac:dyDescent="0.3">
      <c r="A109" s="200"/>
      <c r="B109" s="200" t="str">
        <f t="shared" si="23"/>
        <v>2014/15</v>
      </c>
      <c r="C109" s="272">
        <f>IF(+Performance!I58&gt;0,+Performance!I58,+C108)</f>
        <v>4602</v>
      </c>
      <c r="D109" s="272">
        <f>IF(Performance!I42&gt;0,Performance!I42,"")</f>
        <v>3976</v>
      </c>
      <c r="E109" s="272">
        <f>IF(Performance!I74&gt;0,Performance!I74,+E108)</f>
        <v>3221.3999999999996</v>
      </c>
      <c r="F109" s="200"/>
      <c r="G109" s="200"/>
      <c r="H109" s="200"/>
      <c r="I109" s="200"/>
      <c r="J109" s="200"/>
      <c r="K109" s="200"/>
      <c r="L109" s="200"/>
      <c r="M109" s="200"/>
      <c r="N109" s="200"/>
      <c r="O109" s="200"/>
      <c r="P109" s="200"/>
      <c r="Q109" s="200"/>
    </row>
    <row r="110" spans="1:17" customFormat="1" ht="14.4" x14ac:dyDescent="0.3">
      <c r="A110" s="200"/>
      <c r="B110" s="200" t="str">
        <f t="shared" si="23"/>
        <v>2015/16</v>
      </c>
      <c r="C110" s="272">
        <f>IF(+Performance!I59&gt;0,+Performance!I59,+C109)</f>
        <v>4602</v>
      </c>
      <c r="D110" s="272">
        <f>IF(Performance!I43&gt;0,Performance!I43,"")</f>
        <v>3319</v>
      </c>
      <c r="E110" s="272">
        <f>IF(Performance!I75&gt;0,Performance!I75,+E109)</f>
        <v>3221.3999999999996</v>
      </c>
      <c r="F110" s="200"/>
      <c r="G110" s="200"/>
      <c r="H110" s="200"/>
      <c r="I110" s="200"/>
      <c r="J110" s="200"/>
      <c r="K110" s="200"/>
      <c r="L110" s="200"/>
      <c r="M110" s="200"/>
      <c r="N110" s="200"/>
      <c r="O110" s="200"/>
      <c r="P110" s="200"/>
      <c r="Q110" s="200"/>
    </row>
    <row r="111" spans="1:17" customFormat="1" ht="14.4" x14ac:dyDescent="0.3">
      <c r="A111" s="200"/>
      <c r="B111" s="200" t="str">
        <f t="shared" si="23"/>
        <v>2016/17</v>
      </c>
      <c r="C111" s="272">
        <f>IF(+Performance!I60&gt;0,+Performance!I60,+C110)</f>
        <v>4602</v>
      </c>
      <c r="D111" s="272">
        <f>IF(Performance!I44&gt;0,Performance!I44,"")</f>
        <v>4034</v>
      </c>
      <c r="E111" s="272">
        <f>IF(Performance!I76&gt;0,Performance!I76,+E110)</f>
        <v>3221.3999999999996</v>
      </c>
      <c r="F111" s="200"/>
      <c r="G111" s="200"/>
      <c r="H111" s="200"/>
      <c r="I111" s="200"/>
      <c r="J111" s="200"/>
      <c r="K111" s="200"/>
      <c r="L111" s="200"/>
      <c r="M111" s="200"/>
      <c r="N111" s="200"/>
      <c r="O111" s="200"/>
      <c r="P111" s="200"/>
      <c r="Q111" s="200"/>
    </row>
    <row r="112" spans="1:17" customFormat="1" ht="14.4" x14ac:dyDescent="0.3">
      <c r="A112" s="200"/>
      <c r="B112" s="200" t="str">
        <f t="shared" si="23"/>
        <v>2017/18</v>
      </c>
      <c r="C112" s="272">
        <f>IF(+Performance!I61&gt;0,+Performance!I61,+C111)</f>
        <v>4602</v>
      </c>
      <c r="D112" s="272">
        <f>IF(Performance!I45&gt;0,Performance!I45,"")</f>
        <v>4256</v>
      </c>
      <c r="E112" s="272">
        <f>IF(Performance!I77&gt;0,Performance!I77,+E111)</f>
        <v>3221.3999999999996</v>
      </c>
      <c r="F112" s="200"/>
      <c r="G112" s="200"/>
      <c r="H112" s="200"/>
      <c r="I112" s="200"/>
      <c r="J112" s="200"/>
      <c r="K112" s="200"/>
      <c r="L112" s="200"/>
      <c r="M112" s="200"/>
      <c r="N112" s="200"/>
      <c r="O112" s="200"/>
      <c r="P112" s="200"/>
      <c r="Q112" s="200"/>
    </row>
    <row r="113" spans="1:17" customFormat="1" ht="14.4" x14ac:dyDescent="0.3">
      <c r="A113" s="200"/>
      <c r="B113" s="200" t="str">
        <f t="shared" si="23"/>
        <v>2018/19</v>
      </c>
      <c r="C113" s="272">
        <f>IF(+Performance!I62&gt;0,+Performance!I62,+C112)</f>
        <v>4602</v>
      </c>
      <c r="D113" s="272">
        <f>IF(Performance!I46&gt;0,Performance!I46,"")</f>
        <v>4200</v>
      </c>
      <c r="E113" s="272">
        <f>IF(Performance!I78&gt;0,Performance!I78,+E112)</f>
        <v>3221.3999999999996</v>
      </c>
      <c r="F113" s="200"/>
      <c r="G113" s="200"/>
      <c r="H113" s="200"/>
      <c r="I113" s="200"/>
      <c r="J113" s="200"/>
      <c r="K113" s="200"/>
      <c r="L113" s="200"/>
      <c r="M113" s="200"/>
      <c r="N113" s="200"/>
      <c r="O113" s="200"/>
      <c r="P113" s="200"/>
      <c r="Q113" s="200"/>
    </row>
    <row r="114" spans="1:17" customFormat="1" ht="14.4" x14ac:dyDescent="0.3">
      <c r="A114" s="200"/>
      <c r="B114" s="200" t="str">
        <f t="shared" si="23"/>
        <v>2019/20</v>
      </c>
      <c r="C114" s="272">
        <f>IF(+Performance!I63&gt;0,+Performance!I63,+C113)</f>
        <v>4602</v>
      </c>
      <c r="D114" s="272">
        <f>IF(Performance!I47&gt;0,Performance!I47,"")</f>
        <v>1748</v>
      </c>
      <c r="E114" s="272">
        <f>IF(Performance!I79&gt;0,Performance!I79,+E113)</f>
        <v>3221.3999999999996</v>
      </c>
      <c r="F114" s="200"/>
      <c r="G114" s="200"/>
      <c r="H114" s="200"/>
      <c r="I114" s="200"/>
      <c r="J114" s="200"/>
      <c r="K114" s="200"/>
      <c r="L114" s="200"/>
      <c r="M114" s="200"/>
      <c r="N114" s="200"/>
      <c r="O114" s="200"/>
      <c r="P114" s="200"/>
      <c r="Q114" s="200"/>
    </row>
    <row r="115" spans="1:17" customFormat="1" ht="15" thickBot="1" x14ac:dyDescent="0.35">
      <c r="A115" s="200"/>
      <c r="B115" s="200"/>
      <c r="C115" s="272"/>
      <c r="D115" s="200"/>
      <c r="E115" s="200"/>
      <c r="F115" s="200"/>
      <c r="G115" s="200"/>
      <c r="H115" s="200"/>
      <c r="I115" s="200"/>
      <c r="J115" s="200"/>
      <c r="K115" s="200"/>
      <c r="L115" s="200"/>
      <c r="M115" s="200"/>
      <c r="N115" s="200"/>
      <c r="O115" s="200"/>
      <c r="P115" s="200"/>
      <c r="Q115" s="200"/>
    </row>
    <row r="116" spans="1:17" customFormat="1" ht="18.600000000000001" thickBot="1" x14ac:dyDescent="0.4">
      <c r="A116" s="200"/>
      <c r="B116" s="200"/>
      <c r="C116" s="200"/>
      <c r="D116" s="200"/>
      <c r="E116" s="200"/>
      <c r="F116" s="200"/>
      <c r="G116" s="200"/>
      <c r="H116" s="200"/>
      <c r="I116" s="200"/>
      <c r="J116" s="1823" t="str">
        <f>+J99</f>
        <v>Quarterly Values 2019-20 MINISTRY OF JUSTICE (MoJ)</v>
      </c>
      <c r="K116" s="1824"/>
      <c r="L116" s="1824"/>
      <c r="M116" s="1824"/>
      <c r="N116" s="1824"/>
      <c r="O116" s="1824"/>
      <c r="P116" s="1825"/>
      <c r="Q116" s="200"/>
    </row>
    <row r="117" spans="1:17" customFormat="1" ht="14.4" x14ac:dyDescent="0.3">
      <c r="A117" s="200"/>
      <c r="B117" s="200"/>
      <c r="C117" s="200"/>
      <c r="D117" s="200"/>
      <c r="E117" s="200"/>
      <c r="F117" s="200"/>
      <c r="G117" s="200"/>
      <c r="H117" s="200"/>
      <c r="I117" s="200"/>
      <c r="J117" s="200"/>
      <c r="K117" s="200"/>
      <c r="L117" s="200"/>
      <c r="M117" s="200"/>
      <c r="N117" s="200"/>
      <c r="O117" s="200"/>
      <c r="P117" s="200"/>
      <c r="Q117" s="200"/>
    </row>
    <row r="118" spans="1:17" customFormat="1" ht="14.4" x14ac:dyDescent="0.3">
      <c r="A118" s="200"/>
      <c r="B118" s="200"/>
      <c r="C118" s="200"/>
      <c r="D118" s="200"/>
      <c r="E118" s="200"/>
      <c r="F118" s="200"/>
      <c r="G118" s="200"/>
      <c r="H118" s="200"/>
      <c r="I118" s="200"/>
      <c r="J118" s="200"/>
      <c r="K118" s="200"/>
      <c r="L118" s="200"/>
      <c r="M118" s="200"/>
      <c r="N118" s="200"/>
      <c r="O118" s="200"/>
      <c r="P118" s="200"/>
      <c r="Q118" s="200"/>
    </row>
    <row r="119" spans="1:17" customFormat="1" ht="14.4" x14ac:dyDescent="0.3">
      <c r="A119" s="200"/>
      <c r="B119" s="200"/>
      <c r="C119" s="200"/>
      <c r="D119" s="200"/>
      <c r="E119" s="200"/>
      <c r="F119" s="200"/>
      <c r="G119" s="200"/>
      <c r="H119" s="200"/>
      <c r="I119" s="200"/>
      <c r="J119" s="200"/>
      <c r="K119" s="200"/>
      <c r="L119" s="200"/>
      <c r="M119" s="200"/>
      <c r="N119" s="200"/>
      <c r="O119" s="200"/>
      <c r="P119" s="200"/>
      <c r="Q119" s="200"/>
    </row>
    <row r="120" spans="1:17" customFormat="1" ht="14.4" x14ac:dyDescent="0.3">
      <c r="A120" s="200"/>
      <c r="B120" s="200"/>
      <c r="C120" s="200"/>
      <c r="D120" s="200"/>
      <c r="E120" s="200"/>
      <c r="F120" s="200"/>
      <c r="G120" s="200"/>
      <c r="H120" s="200"/>
      <c r="I120" s="200"/>
      <c r="J120" s="200"/>
      <c r="K120" s="200"/>
      <c r="L120" s="200"/>
      <c r="M120" s="200"/>
      <c r="N120" s="200"/>
      <c r="O120" s="200"/>
      <c r="P120" s="200"/>
      <c r="Q120" s="200"/>
    </row>
    <row r="121" spans="1:17" customFormat="1" ht="15" thickBot="1" x14ac:dyDescent="0.35">
      <c r="A121" s="200"/>
      <c r="B121" s="200"/>
      <c r="C121" s="200"/>
      <c r="D121" s="200"/>
      <c r="E121" s="200"/>
      <c r="F121" s="200"/>
      <c r="G121" s="200"/>
      <c r="H121" s="200"/>
      <c r="I121" s="200"/>
      <c r="J121" s="200"/>
      <c r="K121" s="200"/>
      <c r="L121" s="200"/>
      <c r="M121" s="200"/>
      <c r="N121" s="200"/>
      <c r="O121" s="200"/>
      <c r="P121" s="200"/>
      <c r="Q121" s="200"/>
    </row>
    <row r="122" spans="1:17" customFormat="1" ht="18.600000000000001" thickBot="1" x14ac:dyDescent="0.4">
      <c r="A122" s="200"/>
      <c r="B122" s="1823" t="str">
        <f>+B102</f>
        <v>Annual Performance - 2019-20 MINISTRY OF JUSTICE (MoJ)</v>
      </c>
      <c r="C122" s="1824"/>
      <c r="D122" s="1824"/>
      <c r="E122" s="1824"/>
      <c r="F122" s="1824"/>
      <c r="G122" s="1824"/>
      <c r="H122" s="1825"/>
      <c r="I122" s="200"/>
      <c r="J122" s="200"/>
      <c r="K122" s="200"/>
      <c r="L122" s="200"/>
      <c r="M122" s="200"/>
      <c r="N122" s="200"/>
      <c r="O122" s="200"/>
      <c r="P122" s="200"/>
      <c r="Q122" s="200"/>
    </row>
    <row r="123" spans="1:17" customFormat="1" ht="14.4" x14ac:dyDescent="0.3">
      <c r="A123" s="200"/>
      <c r="B123" s="200"/>
      <c r="C123" s="200"/>
      <c r="D123" s="200"/>
      <c r="E123" s="200"/>
      <c r="F123" s="200"/>
      <c r="G123" s="200"/>
      <c r="H123" s="200"/>
      <c r="I123" s="200"/>
      <c r="J123" s="200"/>
      <c r="K123" s="200"/>
      <c r="L123" s="200"/>
      <c r="M123" s="200"/>
      <c r="N123" s="200"/>
      <c r="O123" s="200"/>
      <c r="P123" s="200"/>
      <c r="Q123" s="200"/>
    </row>
    <row r="124" spans="1:17" customFormat="1" ht="14.4" x14ac:dyDescent="0.3">
      <c r="A124" s="200"/>
      <c r="B124" s="200"/>
      <c r="C124" s="200"/>
      <c r="D124" s="200"/>
      <c r="E124" s="200"/>
      <c r="F124" s="200"/>
      <c r="G124" s="200"/>
      <c r="H124" s="200"/>
      <c r="I124" s="200"/>
      <c r="J124" s="200"/>
      <c r="K124" s="200"/>
      <c r="L124" s="200"/>
      <c r="M124" s="200"/>
      <c r="N124" s="200"/>
      <c r="O124" s="200"/>
      <c r="P124" s="200"/>
      <c r="Q124" s="200"/>
    </row>
    <row r="125" spans="1:17" customFormat="1" ht="14.4" x14ac:dyDescent="0.3">
      <c r="A125" s="200"/>
      <c r="B125" s="200" t="s">
        <v>274</v>
      </c>
      <c r="C125" s="200"/>
      <c r="D125" s="200" t="s">
        <v>270</v>
      </c>
      <c r="E125" s="200" t="s">
        <v>268</v>
      </c>
      <c r="F125" s="200"/>
      <c r="G125" s="200"/>
      <c r="H125" s="200"/>
      <c r="I125" s="200"/>
      <c r="J125" s="200"/>
      <c r="K125" s="200"/>
      <c r="L125" s="200"/>
      <c r="M125" s="200" t="s">
        <v>274</v>
      </c>
      <c r="N125" s="200" t="s">
        <v>520</v>
      </c>
      <c r="O125" s="200" t="s">
        <v>563</v>
      </c>
      <c r="P125" s="200"/>
      <c r="Q125" s="200"/>
    </row>
    <row r="126" spans="1:17" customFormat="1" ht="14.4" x14ac:dyDescent="0.3">
      <c r="A126" s="200"/>
      <c r="B126" s="200" t="str">
        <f t="shared" ref="B126:B140" si="24">+B104</f>
        <v>2009/10</v>
      </c>
      <c r="C126" s="200"/>
      <c r="D126" s="273">
        <f>+Performance!E37</f>
        <v>0.55794627236300021</v>
      </c>
      <c r="E126" s="273">
        <f>+Performance!E69</f>
        <v>0.1</v>
      </c>
      <c r="F126" s="200"/>
      <c r="G126" s="200"/>
      <c r="H126" s="200"/>
      <c r="I126" s="200"/>
      <c r="J126" s="200"/>
      <c r="K126" s="200"/>
      <c r="L126" s="200"/>
      <c r="M126" s="200" t="s">
        <v>199</v>
      </c>
      <c r="N126" s="1123">
        <f>+Performance!E27</f>
        <v>3.0484105423494758E-2</v>
      </c>
      <c r="O126" s="1123">
        <f>Performance!E18</f>
        <v>2.8193890100153135E-2</v>
      </c>
      <c r="P126" s="200"/>
      <c r="Q126" s="200"/>
    </row>
    <row r="127" spans="1:17" customFormat="1" ht="14.4" x14ac:dyDescent="0.3">
      <c r="A127" s="200"/>
      <c r="B127" s="200" t="str">
        <f t="shared" si="24"/>
        <v>2010/11</v>
      </c>
      <c r="C127" s="200"/>
      <c r="D127" s="273">
        <f>+Performance!E38</f>
        <v>0</v>
      </c>
      <c r="E127" s="273">
        <f>+Performance!E70</f>
        <v>0.1</v>
      </c>
      <c r="F127" s="200"/>
      <c r="G127" s="200"/>
      <c r="H127" s="200"/>
      <c r="I127" s="200"/>
      <c r="J127" s="200"/>
      <c r="K127" s="200"/>
      <c r="L127" s="200"/>
      <c r="M127" s="200" t="s">
        <v>201</v>
      </c>
      <c r="N127" s="1123">
        <f>+Performance!E28</f>
        <v>2.9990440598986486E-2</v>
      </c>
      <c r="O127" s="1123">
        <f>Performance!E19</f>
        <v>2.5420694870472445E-2</v>
      </c>
      <c r="P127" s="200"/>
      <c r="Q127" s="200"/>
    </row>
    <row r="128" spans="1:17" customFormat="1" ht="14.4" x14ac:dyDescent="0.3">
      <c r="A128" s="200"/>
      <c r="B128" s="200" t="str">
        <f t="shared" si="24"/>
        <v>2011/12</v>
      </c>
      <c r="C128" s="200"/>
      <c r="D128" s="273">
        <f>+Performance!E39</f>
        <v>0</v>
      </c>
      <c r="E128" s="273">
        <f>+Performance!E71</f>
        <v>0.1</v>
      </c>
      <c r="F128" s="200"/>
      <c r="G128" s="200"/>
      <c r="H128" s="200"/>
      <c r="I128" s="200"/>
      <c r="J128" s="200"/>
      <c r="K128" s="200"/>
      <c r="L128" s="200"/>
      <c r="M128" s="200" t="s">
        <v>202</v>
      </c>
      <c r="N128" s="1123">
        <f>+Performance!E29</f>
        <v>2.8397286274332977E-2</v>
      </c>
      <c r="O128" s="1123" t="str">
        <f>Performance!E20</f>
        <v/>
      </c>
      <c r="P128" s="200"/>
      <c r="Q128" s="200"/>
    </row>
    <row r="129" spans="1:17" customFormat="1" ht="14.4" x14ac:dyDescent="0.3">
      <c r="A129" s="200"/>
      <c r="B129" s="200" t="str">
        <f t="shared" si="24"/>
        <v>2012/13</v>
      </c>
      <c r="C129" s="200"/>
      <c r="D129" s="273">
        <f>+Performance!E40</f>
        <v>0.35325437001359744</v>
      </c>
      <c r="E129" s="273">
        <f>+Performance!E72</f>
        <v>0.1</v>
      </c>
      <c r="F129" s="200"/>
      <c r="G129" s="200"/>
      <c r="H129" s="200"/>
      <c r="I129" s="200"/>
      <c r="J129" s="200"/>
      <c r="K129" s="200"/>
      <c r="L129" s="200"/>
      <c r="M129" s="200" t="s">
        <v>203</v>
      </c>
      <c r="N129" s="1123">
        <f>+Performance!E30</f>
        <v>2.9109208564116036E-2</v>
      </c>
      <c r="O129" s="1123" t="str">
        <f>Performance!E21</f>
        <v/>
      </c>
      <c r="P129" s="200"/>
      <c r="Q129" s="200"/>
    </row>
    <row r="130" spans="1:17" customFormat="1" ht="14.4" x14ac:dyDescent="0.3">
      <c r="A130" s="200"/>
      <c r="B130" s="200" t="str">
        <f t="shared" si="24"/>
        <v>2013/14</v>
      </c>
      <c r="C130" s="200"/>
      <c r="D130" s="273">
        <f>+Performance!E41</f>
        <v>0.28560790439173234</v>
      </c>
      <c r="E130" s="273">
        <f>+Performance!E73</f>
        <v>0.1</v>
      </c>
      <c r="F130" s="200"/>
      <c r="G130" s="200"/>
      <c r="H130" s="200"/>
      <c r="I130" s="200"/>
      <c r="J130" s="200"/>
      <c r="K130" s="200"/>
      <c r="L130" s="200"/>
      <c r="M130" s="200"/>
      <c r="N130" s="200"/>
      <c r="O130" s="200"/>
      <c r="P130" s="200"/>
      <c r="Q130" s="200"/>
    </row>
    <row r="131" spans="1:17" customFormat="1" ht="14.4" x14ac:dyDescent="0.3">
      <c r="A131" s="200"/>
      <c r="B131" s="200" t="str">
        <f t="shared" si="24"/>
        <v>2014/15</v>
      </c>
      <c r="C131" s="200"/>
      <c r="D131" s="273">
        <f>+Performance!E42</f>
        <v>0.26623054623130915</v>
      </c>
      <c r="E131" s="273">
        <f>+Performance!E74</f>
        <v>0.1</v>
      </c>
      <c r="F131" s="200"/>
      <c r="G131" s="200"/>
      <c r="H131" s="200"/>
      <c r="I131" s="200"/>
      <c r="J131" s="200"/>
      <c r="K131" s="200"/>
      <c r="L131" s="200"/>
      <c r="M131" s="200"/>
      <c r="N131" s="200"/>
      <c r="O131" s="200"/>
      <c r="P131" s="200"/>
      <c r="Q131" s="200"/>
    </row>
    <row r="132" spans="1:17" customFormat="1" ht="14.4" x14ac:dyDescent="0.3">
      <c r="A132" s="200"/>
      <c r="B132" s="200" t="str">
        <f t="shared" si="24"/>
        <v>2015/16</v>
      </c>
      <c r="C132" s="200"/>
      <c r="D132" s="273">
        <f>+Performance!E43</f>
        <v>0.20818207774197495</v>
      </c>
      <c r="E132" s="273">
        <f>+Performance!E75</f>
        <v>0.1</v>
      </c>
      <c r="F132" s="200"/>
      <c r="G132" s="200"/>
      <c r="H132" s="200"/>
      <c r="I132" s="200"/>
      <c r="J132" s="200"/>
      <c r="K132" s="200"/>
      <c r="L132" s="200"/>
      <c r="M132" s="200"/>
      <c r="N132" s="200"/>
      <c r="O132" s="200"/>
      <c r="P132" s="200"/>
      <c r="Q132" s="200"/>
    </row>
    <row r="133" spans="1:17" customFormat="1" ht="15" thickBot="1" x14ac:dyDescent="0.35">
      <c r="A133" s="200"/>
      <c r="B133" s="200" t="str">
        <f t="shared" si="24"/>
        <v>2016/17</v>
      </c>
      <c r="C133" s="200"/>
      <c r="D133" s="273">
        <f>+Performance!E44</f>
        <v>0.14514300798675928</v>
      </c>
      <c r="E133" s="273">
        <f>+Performance!E76</f>
        <v>0.1</v>
      </c>
      <c r="F133" s="200"/>
      <c r="G133" s="200"/>
      <c r="H133" s="200"/>
      <c r="I133" s="200"/>
      <c r="J133" s="200"/>
      <c r="K133" s="200"/>
      <c r="L133" s="200"/>
      <c r="M133" s="200"/>
      <c r="N133" s="200"/>
      <c r="O133" s="200"/>
      <c r="P133" s="200"/>
      <c r="Q133" s="200"/>
    </row>
    <row r="134" spans="1:17" customFormat="1" ht="18.600000000000001" thickBot="1" x14ac:dyDescent="0.4">
      <c r="A134" s="200"/>
      <c r="B134" s="200" t="str">
        <f t="shared" si="24"/>
        <v>2017/18</v>
      </c>
      <c r="C134" s="200"/>
      <c r="D134" s="1082">
        <f>+Performance!E45</f>
        <v>8.0089213767204404E-2</v>
      </c>
      <c r="E134" s="273">
        <f>+Performance!E77</f>
        <v>0.1</v>
      </c>
      <c r="F134" s="200"/>
      <c r="G134" s="200"/>
      <c r="H134" s="200"/>
      <c r="I134" s="200"/>
      <c r="J134" s="1823" t="str">
        <f>+J116</f>
        <v>Quarterly Values 2019-20 MINISTRY OF JUSTICE (MoJ)</v>
      </c>
      <c r="K134" s="1824"/>
      <c r="L134" s="1824"/>
      <c r="M134" s="1824"/>
      <c r="N134" s="1824"/>
      <c r="O134" s="1824"/>
      <c r="P134" s="1825"/>
      <c r="Q134" s="200"/>
    </row>
    <row r="135" spans="1:17" customFormat="1" ht="14.4" x14ac:dyDescent="0.3">
      <c r="A135" s="200"/>
      <c r="B135" s="200" t="str">
        <f t="shared" si="24"/>
        <v>2018/19</v>
      </c>
      <c r="C135" s="200"/>
      <c r="D135" s="1082">
        <f>+Performance!E46</f>
        <v>2.9493507270900603E-2</v>
      </c>
      <c r="E135" s="273">
        <f>+Performance!E78</f>
        <v>0.1</v>
      </c>
      <c r="F135" s="200"/>
      <c r="G135" s="200"/>
      <c r="H135" s="200"/>
      <c r="I135" s="200"/>
      <c r="J135" s="200"/>
      <c r="K135" s="200"/>
      <c r="L135" s="200"/>
      <c r="M135" s="200"/>
      <c r="N135" s="200"/>
      <c r="O135" s="200"/>
      <c r="P135" s="200"/>
      <c r="Q135" s="200"/>
    </row>
    <row r="136" spans="1:17" customFormat="1" ht="14.4" x14ac:dyDescent="0.3">
      <c r="A136" s="200"/>
      <c r="B136" s="200" t="str">
        <f t="shared" si="24"/>
        <v>2019/20</v>
      </c>
      <c r="C136" s="200"/>
      <c r="D136" s="1082">
        <f>+Performance!E47</f>
        <v>2.6819001282159406E-2</v>
      </c>
      <c r="E136" s="273">
        <f>+Performance!E79</f>
        <v>0.1</v>
      </c>
      <c r="F136" s="200"/>
      <c r="G136" s="200"/>
      <c r="H136" s="200"/>
      <c r="I136" s="200"/>
      <c r="J136" s="200"/>
      <c r="K136" s="200"/>
      <c r="L136" s="200"/>
      <c r="M136" s="200"/>
      <c r="N136" s="200"/>
      <c r="O136" s="200"/>
      <c r="P136" s="200"/>
      <c r="Q136" s="200"/>
    </row>
    <row r="137" spans="1:17" customFormat="1" ht="14.4" x14ac:dyDescent="0.3">
      <c r="A137" s="200"/>
      <c r="B137" s="200">
        <f t="shared" si="24"/>
        <v>0</v>
      </c>
      <c r="C137" s="200"/>
      <c r="D137" s="200"/>
      <c r="E137" s="200"/>
      <c r="F137" s="200"/>
      <c r="G137" s="200"/>
      <c r="H137" s="200"/>
      <c r="I137" s="200"/>
      <c r="J137" s="200"/>
      <c r="K137" s="200"/>
      <c r="L137" s="200"/>
      <c r="M137" s="200"/>
      <c r="N137" s="200"/>
      <c r="O137" s="200"/>
      <c r="P137" s="200"/>
      <c r="Q137" s="200"/>
    </row>
    <row r="138" spans="1:17" customFormat="1" ht="14.4" x14ac:dyDescent="0.3">
      <c r="A138" s="200"/>
      <c r="B138" s="200">
        <f t="shared" si="24"/>
        <v>0</v>
      </c>
      <c r="C138" s="200"/>
      <c r="D138" s="200"/>
      <c r="E138" s="200"/>
      <c r="F138" s="200"/>
      <c r="G138" s="200"/>
      <c r="H138" s="200"/>
      <c r="I138" s="200"/>
      <c r="J138" s="200"/>
      <c r="K138" s="200"/>
      <c r="L138" s="200"/>
      <c r="M138" s="200"/>
      <c r="N138" s="200"/>
      <c r="O138" s="200"/>
      <c r="P138" s="200"/>
      <c r="Q138" s="200"/>
    </row>
    <row r="139" spans="1:17" customFormat="1" ht="14.4" x14ac:dyDescent="0.3">
      <c r="A139" s="200"/>
      <c r="B139" s="200">
        <f t="shared" si="24"/>
        <v>0</v>
      </c>
      <c r="C139" s="200"/>
      <c r="D139" s="200"/>
      <c r="E139" s="200"/>
      <c r="F139" s="200"/>
      <c r="G139" s="200"/>
      <c r="H139" s="200"/>
      <c r="I139" s="200"/>
      <c r="J139" s="200"/>
      <c r="K139" s="200"/>
      <c r="L139" s="200"/>
      <c r="M139" s="200"/>
      <c r="N139" s="200"/>
      <c r="O139" s="200"/>
      <c r="P139" s="200"/>
      <c r="Q139" s="200"/>
    </row>
    <row r="140" spans="1:17" customFormat="1" ht="14.4" x14ac:dyDescent="0.3">
      <c r="A140" s="200"/>
      <c r="B140" s="200">
        <f t="shared" si="24"/>
        <v>0</v>
      </c>
      <c r="C140" s="200"/>
      <c r="D140" s="200"/>
      <c r="E140" s="200"/>
      <c r="F140" s="200"/>
      <c r="G140" s="200"/>
      <c r="H140" s="200"/>
      <c r="I140" s="200"/>
      <c r="J140" s="200"/>
      <c r="K140" s="200"/>
      <c r="L140" s="200"/>
      <c r="M140" s="200"/>
      <c r="N140" s="200"/>
      <c r="O140" s="200"/>
      <c r="P140" s="200"/>
      <c r="Q140" s="200"/>
    </row>
    <row r="141" spans="1:17" customFormat="1" ht="15" thickBot="1" x14ac:dyDescent="0.35">
      <c r="A141" s="200"/>
      <c r="B141" s="200"/>
      <c r="C141" s="200"/>
      <c r="D141" s="200"/>
      <c r="E141" s="200"/>
      <c r="F141" s="200"/>
      <c r="G141" s="200"/>
      <c r="H141" s="200"/>
      <c r="I141" s="200"/>
      <c r="J141" s="200"/>
      <c r="K141" s="200"/>
      <c r="L141" s="200"/>
      <c r="M141" s="200"/>
      <c r="N141" s="200"/>
      <c r="O141" s="200"/>
      <c r="P141" s="200"/>
      <c r="Q141" s="200"/>
    </row>
    <row r="142" spans="1:17" customFormat="1" ht="18.600000000000001" thickBot="1" x14ac:dyDescent="0.4">
      <c r="A142" s="200"/>
      <c r="B142" s="1823" t="str">
        <f>+B122</f>
        <v>Annual Performance - 2019-20 MINISTRY OF JUSTICE (MoJ)</v>
      </c>
      <c r="C142" s="1824"/>
      <c r="D142" s="1824"/>
      <c r="E142" s="1824"/>
      <c r="F142" s="1824"/>
      <c r="G142" s="1824"/>
      <c r="H142" s="1825"/>
      <c r="I142" s="200"/>
      <c r="J142" s="200"/>
      <c r="K142" s="200"/>
      <c r="L142" s="200"/>
      <c r="M142" s="200"/>
      <c r="N142" s="200"/>
      <c r="O142" s="200"/>
      <c r="P142" s="200"/>
      <c r="Q142" s="200"/>
    </row>
    <row r="143" spans="1:17" customFormat="1" ht="14.4" x14ac:dyDescent="0.3">
      <c r="A143" s="200"/>
      <c r="B143" s="200" t="s">
        <v>249</v>
      </c>
      <c r="C143" s="200" t="s">
        <v>275</v>
      </c>
      <c r="D143" s="200" t="s">
        <v>276</v>
      </c>
      <c r="E143" s="200"/>
      <c r="F143" s="200"/>
      <c r="G143" s="200"/>
      <c r="H143" s="200"/>
      <c r="I143" s="200"/>
      <c r="J143" s="200"/>
      <c r="K143" s="200"/>
      <c r="L143" s="200"/>
      <c r="M143" s="200" t="s">
        <v>277</v>
      </c>
      <c r="N143" s="200" t="s">
        <v>520</v>
      </c>
      <c r="O143" s="200" t="s">
        <v>563</v>
      </c>
      <c r="P143" s="200"/>
      <c r="Q143" s="200"/>
    </row>
    <row r="144" spans="1:17" customFormat="1" ht="14.4" x14ac:dyDescent="0.3">
      <c r="A144" s="200"/>
      <c r="B144" s="200" t="str">
        <f t="shared" ref="B144:B154" si="25">+B126</f>
        <v>2009/10</v>
      </c>
      <c r="C144" s="274">
        <f>+Performance!D37</f>
        <v>70876</v>
      </c>
      <c r="D144" s="273">
        <f>+Performance!F37</f>
        <v>0.43563406512782887</v>
      </c>
      <c r="E144" s="200"/>
      <c r="F144" s="200"/>
      <c r="G144" s="200"/>
      <c r="H144" s="200"/>
      <c r="I144" s="200"/>
      <c r="J144" s="200"/>
      <c r="K144" s="200"/>
      <c r="L144" s="200"/>
      <c r="M144" s="200" t="s">
        <v>199</v>
      </c>
      <c r="N144" s="272">
        <f>+Performance!D27</f>
        <v>12706.236504287283</v>
      </c>
      <c r="O144" s="272">
        <f>+Performance!D18</f>
        <v>13153.045522809136</v>
      </c>
      <c r="P144" s="200"/>
      <c r="Q144" s="200"/>
    </row>
    <row r="145" spans="1:17" customFormat="1" ht="14.4" x14ac:dyDescent="0.3">
      <c r="A145" s="200"/>
      <c r="B145" s="200" t="str">
        <f t="shared" si="25"/>
        <v>2010/11</v>
      </c>
      <c r="C145" s="274">
        <f>+Performance!D38</f>
        <v>0</v>
      </c>
      <c r="D145" s="273">
        <f>+Performance!F38</f>
        <v>0</v>
      </c>
      <c r="E145" s="200"/>
      <c r="F145" s="200"/>
      <c r="G145" s="200"/>
      <c r="H145" s="200"/>
      <c r="I145" s="200"/>
      <c r="J145" s="200"/>
      <c r="K145" s="200"/>
      <c r="L145" s="200"/>
      <c r="M145" s="200" t="s">
        <v>201</v>
      </c>
      <c r="N145" s="272">
        <f>+Performance!D28</f>
        <v>12141.964217231709</v>
      </c>
      <c r="O145" s="272">
        <f>+Performance!D19</f>
        <v>12932.770000000002</v>
      </c>
      <c r="P145" s="200"/>
      <c r="Q145" s="200"/>
    </row>
    <row r="146" spans="1:17" customFormat="1" ht="14.4" x14ac:dyDescent="0.3">
      <c r="A146" s="200"/>
      <c r="B146" s="200" t="str">
        <f t="shared" si="25"/>
        <v>2011/12</v>
      </c>
      <c r="C146" s="274">
        <f>+Performance!D39</f>
        <v>0</v>
      </c>
      <c r="D146" s="273">
        <f>+Performance!F39</f>
        <v>0</v>
      </c>
      <c r="E146" s="200"/>
      <c r="F146" s="200"/>
      <c r="G146" s="200"/>
      <c r="H146" s="200"/>
      <c r="I146" s="200"/>
      <c r="J146" s="200"/>
      <c r="K146" s="200"/>
      <c r="L146" s="200"/>
      <c r="M146" s="200" t="s">
        <v>202</v>
      </c>
      <c r="N146" s="272">
        <f>+Performance!D29</f>
        <v>12390.697942374949</v>
      </c>
      <c r="O146" s="272">
        <f>+Performance!D20</f>
        <v>0</v>
      </c>
      <c r="P146" s="200"/>
      <c r="Q146" s="200"/>
    </row>
    <row r="147" spans="1:17" customFormat="1" ht="14.4" x14ac:dyDescent="0.3">
      <c r="A147" s="200"/>
      <c r="B147" s="200" t="str">
        <f t="shared" si="25"/>
        <v>2012/13</v>
      </c>
      <c r="C147" s="274">
        <f>+Performance!D40</f>
        <v>61041</v>
      </c>
      <c r="D147" s="273">
        <f>+Performance!F40</f>
        <v>0.53991579430219028</v>
      </c>
      <c r="E147" s="200"/>
      <c r="F147" s="200"/>
      <c r="G147" s="200"/>
      <c r="H147" s="200"/>
      <c r="I147" s="200"/>
      <c r="J147" s="200"/>
      <c r="K147" s="200"/>
      <c r="L147" s="200"/>
      <c r="M147" s="200" t="s">
        <v>203</v>
      </c>
      <c r="N147" s="272">
        <f>+Performance!D30</f>
        <v>13108.495449101758</v>
      </c>
      <c r="O147" s="272">
        <f>+Performance!D21</f>
        <v>0</v>
      </c>
      <c r="P147" s="200"/>
      <c r="Q147" s="200"/>
    </row>
    <row r="148" spans="1:17" customFormat="1" ht="14.4" x14ac:dyDescent="0.3">
      <c r="A148" s="200"/>
      <c r="B148" s="200" t="str">
        <f t="shared" si="25"/>
        <v>2013/14</v>
      </c>
      <c r="C148" s="274">
        <f>+Performance!D41</f>
        <v>55058</v>
      </c>
      <c r="D148" s="273">
        <f>+Performance!F41</f>
        <v>0.51156961749427876</v>
      </c>
      <c r="E148" s="200"/>
      <c r="F148" s="200"/>
      <c r="G148" s="200"/>
      <c r="H148" s="200"/>
      <c r="I148" s="200"/>
      <c r="J148" s="200"/>
      <c r="K148" s="200"/>
      <c r="L148" s="200"/>
      <c r="M148" s="200"/>
      <c r="N148" s="200"/>
      <c r="O148" s="200"/>
      <c r="P148" s="200"/>
      <c r="Q148" s="200"/>
    </row>
    <row r="149" spans="1:17" customFormat="1" ht="14.4" x14ac:dyDescent="0.3">
      <c r="A149" s="200"/>
      <c r="B149" s="200" t="str">
        <f t="shared" si="25"/>
        <v>2014/15</v>
      </c>
      <c r="C149" s="274">
        <f>+Performance!D42</f>
        <v>52432</v>
      </c>
      <c r="D149" s="273">
        <f>+Performance!F42</f>
        <v>0.52057903570338726</v>
      </c>
      <c r="E149" s="200"/>
      <c r="F149" s="200"/>
      <c r="G149" s="200"/>
      <c r="H149" s="200"/>
      <c r="I149" s="200"/>
      <c r="J149" s="200"/>
      <c r="K149" s="200"/>
      <c r="L149" s="200"/>
      <c r="M149" s="200"/>
      <c r="N149" s="200"/>
      <c r="O149" s="200"/>
      <c r="P149" s="200"/>
      <c r="Q149" s="200"/>
    </row>
    <row r="150" spans="1:17" customFormat="1" ht="15" thickBot="1" x14ac:dyDescent="0.35">
      <c r="A150" s="200"/>
      <c r="B150" s="200" t="str">
        <f t="shared" si="25"/>
        <v>2015/16</v>
      </c>
      <c r="C150" s="274">
        <f>+Performance!D43</f>
        <v>49034</v>
      </c>
      <c r="D150" s="273">
        <f>+Performance!F43</f>
        <v>0.59042705061793854</v>
      </c>
      <c r="E150" s="200"/>
      <c r="F150" s="200"/>
      <c r="G150" s="200"/>
      <c r="H150" s="200"/>
      <c r="I150" s="200"/>
      <c r="J150" s="200"/>
      <c r="K150" s="200"/>
      <c r="L150" s="200"/>
      <c r="M150" s="200"/>
      <c r="N150" s="200"/>
      <c r="O150" s="200"/>
      <c r="P150" s="200"/>
      <c r="Q150" s="200"/>
    </row>
    <row r="151" spans="1:17" customFormat="1" ht="18.600000000000001" thickBot="1" x14ac:dyDescent="0.4">
      <c r="A151" s="200"/>
      <c r="B151" s="200" t="str">
        <f t="shared" si="25"/>
        <v>2016/17</v>
      </c>
      <c r="C151" s="274">
        <f>+Performance!D44</f>
        <v>49765.500761514326</v>
      </c>
      <c r="D151" s="273">
        <f>+Performance!F44</f>
        <v>0.57972663263808577</v>
      </c>
      <c r="E151" s="200"/>
      <c r="F151" s="200"/>
      <c r="G151" s="200"/>
      <c r="H151" s="200"/>
      <c r="I151" s="200"/>
      <c r="J151" s="1823" t="str">
        <f>+J134</f>
        <v>Quarterly Values 2019-20 MINISTRY OF JUSTICE (MoJ)</v>
      </c>
      <c r="K151" s="1824"/>
      <c r="L151" s="1824"/>
      <c r="M151" s="1824"/>
      <c r="N151" s="1824"/>
      <c r="O151" s="1824"/>
      <c r="P151" s="1825"/>
      <c r="Q151" s="200"/>
    </row>
    <row r="152" spans="1:17" customFormat="1" ht="14.4" x14ac:dyDescent="0.3">
      <c r="A152" s="200"/>
      <c r="B152" s="200" t="str">
        <f t="shared" si="25"/>
        <v>2017/18</v>
      </c>
      <c r="C152" s="274">
        <f>+Performance!D45</f>
        <v>48785.318508091506</v>
      </c>
      <c r="D152" s="273">
        <f>+Performance!F45</f>
        <v>0.64390458944708739</v>
      </c>
      <c r="E152" s="200"/>
      <c r="F152" s="200"/>
      <c r="G152" s="200"/>
      <c r="H152" s="200"/>
      <c r="I152" s="200"/>
      <c r="J152" s="200"/>
      <c r="K152" s="200"/>
      <c r="L152" s="200"/>
      <c r="M152" s="200" t="s">
        <v>276</v>
      </c>
      <c r="N152" s="200" t="s">
        <v>520</v>
      </c>
      <c r="O152" s="200" t="s">
        <v>563</v>
      </c>
      <c r="P152" s="200"/>
      <c r="Q152" s="200"/>
    </row>
    <row r="153" spans="1:17" customFormat="1" ht="14.4" x14ac:dyDescent="0.3">
      <c r="A153" s="200"/>
      <c r="B153" s="200" t="str">
        <f t="shared" si="25"/>
        <v>2018/19</v>
      </c>
      <c r="C153" s="274">
        <f>+Performance!D46</f>
        <v>50347.394112995702</v>
      </c>
      <c r="D153" s="273">
        <f>+Performance!F46</f>
        <v>0.83403083113252907</v>
      </c>
      <c r="E153" s="200"/>
      <c r="F153" s="200"/>
      <c r="G153" s="200"/>
      <c r="H153" s="200"/>
      <c r="I153" s="200"/>
      <c r="J153" s="200"/>
      <c r="K153" s="200"/>
      <c r="L153" s="200"/>
      <c r="M153" s="200" t="s">
        <v>199</v>
      </c>
      <c r="N153" s="272">
        <f>+Performance!F27</f>
        <v>0.83422876943144619</v>
      </c>
      <c r="O153" s="272">
        <f>+Performance!F18</f>
        <v>0.83326125168134291</v>
      </c>
      <c r="P153" s="200"/>
      <c r="Q153" s="200"/>
    </row>
    <row r="154" spans="1:17" customFormat="1" ht="14.4" x14ac:dyDescent="0.3">
      <c r="A154" s="200"/>
      <c r="B154" s="200" t="str">
        <f t="shared" si="25"/>
        <v>2019/20</v>
      </c>
      <c r="C154" s="274">
        <f>+Performance!D47</f>
        <v>26085.815522809138</v>
      </c>
      <c r="D154" s="273">
        <f>+Performance!F47</f>
        <v>0.82061583073912658</v>
      </c>
      <c r="E154" s="200"/>
      <c r="F154" s="200"/>
      <c r="G154" s="200"/>
      <c r="H154" s="200"/>
      <c r="I154" s="200"/>
      <c r="J154" s="200"/>
      <c r="K154" s="200"/>
      <c r="L154" s="200"/>
      <c r="M154" s="200" t="s">
        <v>201</v>
      </c>
      <c r="N154" s="272">
        <f>+Performance!F28</f>
        <v>0.85147858998072323</v>
      </c>
      <c r="O154" s="272">
        <f>+Performance!F19</f>
        <v>0.80775502850510761</v>
      </c>
      <c r="P154" s="200"/>
      <c r="Q154" s="200"/>
    </row>
    <row r="155" spans="1:17" customFormat="1" ht="14.4" x14ac:dyDescent="0.3">
      <c r="A155" s="200"/>
      <c r="B155" s="200"/>
      <c r="C155" s="200"/>
      <c r="D155" s="200"/>
      <c r="E155" s="200"/>
      <c r="F155" s="200"/>
      <c r="G155" s="200"/>
      <c r="H155" s="200"/>
      <c r="I155" s="200"/>
      <c r="J155" s="200"/>
      <c r="K155" s="200"/>
      <c r="L155" s="200"/>
      <c r="M155" s="200" t="s">
        <v>202</v>
      </c>
      <c r="N155" s="272">
        <f>+Performance!F29</f>
        <v>0.82783545560449578</v>
      </c>
      <c r="O155" s="272" t="str">
        <f>+Performance!F20</f>
        <v/>
      </c>
      <c r="P155" s="200"/>
      <c r="Q155" s="200"/>
    </row>
    <row r="156" spans="1:17" customFormat="1" ht="14.4" x14ac:dyDescent="0.3">
      <c r="A156" s="200"/>
      <c r="B156" s="200"/>
      <c r="C156" s="200"/>
      <c r="D156" s="200"/>
      <c r="E156" s="200"/>
      <c r="F156" s="200"/>
      <c r="G156" s="200"/>
      <c r="H156" s="200"/>
      <c r="I156" s="200"/>
      <c r="J156" s="200"/>
      <c r="K156" s="200"/>
      <c r="L156" s="200"/>
      <c r="M156" s="200" t="s">
        <v>203</v>
      </c>
      <c r="N156" s="272">
        <f>+Performance!F30</f>
        <v>0.82353381504309342</v>
      </c>
      <c r="O156" s="272" t="str">
        <f>+Performance!F21</f>
        <v/>
      </c>
      <c r="P156" s="200"/>
      <c r="Q156" s="200"/>
    </row>
    <row r="157" spans="1:17" customFormat="1" ht="14.4" x14ac:dyDescent="0.3">
      <c r="A157" s="200"/>
      <c r="B157" s="200"/>
      <c r="C157" s="200"/>
      <c r="D157" s="200"/>
      <c r="E157" s="200"/>
      <c r="F157" s="200"/>
      <c r="G157" s="200"/>
      <c r="H157" s="200"/>
      <c r="I157" s="200"/>
      <c r="J157" s="200"/>
      <c r="K157" s="200"/>
      <c r="L157" s="200"/>
      <c r="M157" s="200"/>
      <c r="N157" s="200"/>
      <c r="O157" s="200"/>
      <c r="P157" s="200"/>
      <c r="Q157" s="200"/>
    </row>
    <row r="158" spans="1:17" customFormat="1" ht="14.4" x14ac:dyDescent="0.3">
      <c r="A158" s="200"/>
      <c r="B158" s="200"/>
      <c r="C158" s="200"/>
      <c r="D158" s="200"/>
      <c r="E158" s="200"/>
      <c r="F158" s="200"/>
      <c r="G158" s="200"/>
      <c r="H158" s="200"/>
      <c r="I158" s="200"/>
      <c r="J158" s="200"/>
      <c r="K158" s="200"/>
      <c r="L158" s="200"/>
      <c r="M158" s="200"/>
      <c r="N158" s="200"/>
      <c r="O158" s="200"/>
      <c r="P158" s="200"/>
      <c r="Q158" s="200"/>
    </row>
    <row r="159" spans="1:17" customFormat="1" ht="14.4" x14ac:dyDescent="0.3">
      <c r="A159" s="200"/>
      <c r="B159" s="200"/>
      <c r="C159" s="200"/>
      <c r="D159" s="200"/>
      <c r="E159" s="200"/>
      <c r="F159" s="200"/>
      <c r="G159" s="200"/>
      <c r="H159" s="200"/>
      <c r="I159" s="200"/>
      <c r="J159" s="200"/>
      <c r="K159" s="200"/>
      <c r="L159" s="200"/>
      <c r="M159" s="200"/>
      <c r="N159" s="200"/>
      <c r="O159" s="200"/>
      <c r="P159" s="200"/>
      <c r="Q159" s="200"/>
    </row>
    <row r="160" spans="1:17" customFormat="1" ht="14.4" x14ac:dyDescent="0.3">
      <c r="A160" s="200"/>
      <c r="B160" s="200"/>
      <c r="C160" s="200"/>
      <c r="D160" s="200"/>
      <c r="E160" s="200"/>
      <c r="F160" s="200"/>
      <c r="G160" s="200"/>
      <c r="H160" s="200"/>
      <c r="I160" s="200"/>
      <c r="J160" s="200"/>
      <c r="K160" s="200"/>
      <c r="L160" s="200"/>
      <c r="M160" s="200"/>
      <c r="N160" s="200"/>
      <c r="O160" s="200"/>
      <c r="P160" s="200"/>
      <c r="Q160" s="200"/>
    </row>
    <row r="161" spans="1:17" customFormat="1" ht="15" thickBot="1" x14ac:dyDescent="0.35">
      <c r="A161" s="200"/>
      <c r="B161" s="200"/>
      <c r="C161" s="200"/>
      <c r="D161" s="200"/>
      <c r="E161" s="200"/>
      <c r="F161" s="200"/>
      <c r="G161" s="200"/>
      <c r="H161" s="200"/>
      <c r="I161" s="200"/>
      <c r="J161" s="200"/>
      <c r="K161" s="200"/>
      <c r="L161" s="200"/>
      <c r="M161" s="200"/>
      <c r="N161" s="200"/>
      <c r="O161" s="200"/>
      <c r="P161" s="200"/>
      <c r="Q161" s="200"/>
    </row>
    <row r="162" spans="1:17" customFormat="1" ht="18.600000000000001" thickBot="1" x14ac:dyDescent="0.4">
      <c r="A162" s="200"/>
      <c r="B162" s="1823" t="str">
        <f>+B142</f>
        <v>Annual Performance - 2019-20 MINISTRY OF JUSTICE (MoJ)</v>
      </c>
      <c r="C162" s="1824"/>
      <c r="D162" s="1824"/>
      <c r="E162" s="1824"/>
      <c r="F162" s="1824"/>
      <c r="G162" s="1824"/>
      <c r="H162" s="1825"/>
      <c r="I162" s="200"/>
      <c r="J162" s="200"/>
      <c r="K162" s="200"/>
      <c r="L162" s="200"/>
      <c r="M162" s="200"/>
      <c r="N162" s="200"/>
      <c r="O162" s="200"/>
      <c r="P162" s="200"/>
      <c r="Q162" s="200"/>
    </row>
    <row r="163" spans="1:17" customFormat="1" ht="14.4" x14ac:dyDescent="0.3">
      <c r="A163" s="200"/>
      <c r="B163" s="200"/>
      <c r="C163" s="200"/>
      <c r="D163" s="200"/>
      <c r="E163" s="200"/>
      <c r="F163" s="200"/>
      <c r="G163" s="200"/>
      <c r="H163" s="200"/>
      <c r="I163" s="200"/>
      <c r="J163" s="200"/>
      <c r="K163" s="200"/>
      <c r="L163" s="200"/>
      <c r="M163" s="200"/>
      <c r="N163" s="200"/>
      <c r="O163" s="200"/>
      <c r="P163" s="200"/>
      <c r="Q163" s="200"/>
    </row>
    <row r="164" spans="1:17" customFormat="1" ht="14.4" x14ac:dyDescent="0.3">
      <c r="A164" s="200"/>
      <c r="B164" s="200" t="s">
        <v>278</v>
      </c>
      <c r="C164" s="200" t="s">
        <v>10</v>
      </c>
      <c r="D164" s="200" t="s">
        <v>270</v>
      </c>
      <c r="E164" s="200" t="s">
        <v>268</v>
      </c>
      <c r="F164" s="200"/>
      <c r="G164" s="200"/>
      <c r="H164" s="200"/>
      <c r="I164" s="200"/>
      <c r="J164" s="200"/>
      <c r="K164" s="200"/>
      <c r="L164" s="200"/>
      <c r="M164" s="200"/>
      <c r="N164" s="200"/>
      <c r="O164" s="200"/>
      <c r="P164" s="200"/>
      <c r="Q164" s="200"/>
    </row>
    <row r="165" spans="1:17" customFormat="1" ht="14.4" x14ac:dyDescent="0.3">
      <c r="A165" s="200"/>
      <c r="B165" s="200" t="str">
        <f t="shared" ref="B165:B175" si="26">+B85</f>
        <v>2009/10</v>
      </c>
      <c r="C165" s="272">
        <f>IF(+Performance!H53&gt;0,+Performance!H53,+C164)</f>
        <v>1552263</v>
      </c>
      <c r="D165" s="272">
        <f>+C165</f>
        <v>1552263</v>
      </c>
      <c r="E165" s="272">
        <f>IF(+Performance!H69&gt;0,+Performance!H69,+E164)</f>
        <v>776131.5</v>
      </c>
      <c r="F165" s="200"/>
      <c r="G165" s="200"/>
      <c r="H165" s="200"/>
      <c r="I165" s="200"/>
      <c r="J165" s="200"/>
      <c r="K165" s="200"/>
      <c r="L165" s="200"/>
      <c r="M165" s="200"/>
      <c r="N165" s="200"/>
      <c r="O165" s="200"/>
      <c r="P165" s="200"/>
      <c r="Q165" s="200"/>
    </row>
    <row r="166" spans="1:17" customFormat="1" ht="14.4" x14ac:dyDescent="0.3">
      <c r="A166" s="200"/>
      <c r="B166" s="200" t="str">
        <f t="shared" si="26"/>
        <v>2010/11</v>
      </c>
      <c r="C166" s="272">
        <f>IF(+Performance!H54&gt;0,+Performance!H54,+C165)</f>
        <v>1552263</v>
      </c>
      <c r="D166" s="272" t="str">
        <f>IF(+Performance!H38&gt;0,+Performance!H38,"")</f>
        <v/>
      </c>
      <c r="E166" s="272">
        <f>IF(+Performance!H70&gt;0,+Performance!H70,+E165)</f>
        <v>776131.5</v>
      </c>
      <c r="F166" s="200"/>
      <c r="G166" s="200"/>
      <c r="H166" s="200"/>
      <c r="I166" s="200"/>
      <c r="J166" s="200"/>
      <c r="K166" s="200"/>
      <c r="L166" s="200"/>
      <c r="M166" s="200"/>
      <c r="N166" s="200"/>
      <c r="O166" s="200"/>
      <c r="P166" s="200"/>
      <c r="Q166" s="200"/>
    </row>
    <row r="167" spans="1:17" customFormat="1" ht="14.4" x14ac:dyDescent="0.3">
      <c r="A167" s="200"/>
      <c r="B167" s="200" t="str">
        <f t="shared" si="26"/>
        <v>2011/12</v>
      </c>
      <c r="C167" s="272">
        <f>IF(+Performance!H55&gt;0,+Performance!H55,+C166)</f>
        <v>1552263</v>
      </c>
      <c r="D167" s="272" t="str">
        <f>IF(+Performance!H39&gt;0,+Performance!H39,"")</f>
        <v/>
      </c>
      <c r="E167" s="272">
        <f>IF(+Performance!H71&gt;0,+Performance!H71,+E166)</f>
        <v>776131.5</v>
      </c>
      <c r="F167" s="200"/>
      <c r="G167" s="200"/>
      <c r="H167" s="200"/>
      <c r="I167" s="200"/>
      <c r="J167" s="200"/>
      <c r="K167" s="200"/>
      <c r="L167" s="200"/>
      <c r="M167" s="200"/>
      <c r="N167" s="200"/>
      <c r="O167" s="200"/>
      <c r="P167" s="200"/>
      <c r="Q167" s="200"/>
    </row>
    <row r="168" spans="1:17" customFormat="1" ht="15" thickBot="1" x14ac:dyDescent="0.35">
      <c r="A168" s="200"/>
      <c r="B168" s="200" t="str">
        <f t="shared" si="26"/>
        <v>2012/13</v>
      </c>
      <c r="C168" s="272">
        <f>IF(+Performance!H56&gt;0,+Performance!H56,+C167)</f>
        <v>1552263</v>
      </c>
      <c r="D168" s="272">
        <f>IF(+Performance!H40&gt;0,+Performance!H40,"")</f>
        <v>1317290.5</v>
      </c>
      <c r="E168" s="272">
        <f>IF(+Performance!H72&gt;0,+Performance!H72,+E167)</f>
        <v>776131.5</v>
      </c>
      <c r="F168" s="200"/>
      <c r="G168" s="200"/>
      <c r="H168" s="200"/>
      <c r="I168" s="200"/>
      <c r="J168" s="200"/>
      <c r="K168" s="200"/>
      <c r="L168" s="200"/>
      <c r="M168" s="200"/>
      <c r="N168" s="200"/>
      <c r="O168" s="200"/>
      <c r="P168" s="200"/>
      <c r="Q168" s="200"/>
    </row>
    <row r="169" spans="1:17" customFormat="1" ht="18.600000000000001" thickBot="1" x14ac:dyDescent="0.4">
      <c r="A169" s="200"/>
      <c r="B169" s="200" t="str">
        <f t="shared" si="26"/>
        <v>2013/14</v>
      </c>
      <c r="C169" s="272">
        <f>IF(+Performance!H57&gt;0,+Performance!H57,+C168)</f>
        <v>1552263</v>
      </c>
      <c r="D169" s="272">
        <f>IF(+Performance!H41&gt;0,+Performance!H41,"")</f>
        <v>1224411.5</v>
      </c>
      <c r="E169" s="272">
        <f>IF(+Performance!H73&gt;0,+Performance!H73,+E168)</f>
        <v>776131.5</v>
      </c>
      <c r="F169" s="200"/>
      <c r="G169" s="200"/>
      <c r="H169" s="200"/>
      <c r="I169" s="200"/>
      <c r="J169" s="1823" t="str">
        <f>+J151</f>
        <v>Quarterly Values 2019-20 MINISTRY OF JUSTICE (MoJ)</v>
      </c>
      <c r="K169" s="1824"/>
      <c r="L169" s="1824"/>
      <c r="M169" s="1824"/>
      <c r="N169" s="1824"/>
      <c r="O169" s="1824"/>
      <c r="P169" s="1825"/>
      <c r="Q169" s="200"/>
    </row>
    <row r="170" spans="1:17" customFormat="1" ht="14.4" x14ac:dyDescent="0.3">
      <c r="A170" s="200"/>
      <c r="B170" s="200" t="str">
        <f t="shared" si="26"/>
        <v>2014/15</v>
      </c>
      <c r="C170" s="272">
        <f>IF(+Performance!H58&gt;0,+Performance!H58,+C169)</f>
        <v>1552263</v>
      </c>
      <c r="D170" s="272">
        <f>IF(+Performance!H42&gt;0,+Performance!H42,"")</f>
        <v>1062272</v>
      </c>
      <c r="E170" s="272">
        <f>IF(+Performance!H74&gt;0,+Performance!H74,+E169)</f>
        <v>776131.5</v>
      </c>
      <c r="F170" s="200"/>
      <c r="G170" s="200"/>
      <c r="H170" s="200"/>
      <c r="I170" s="200"/>
      <c r="J170" s="200"/>
      <c r="K170" s="200"/>
      <c r="L170" s="200"/>
      <c r="M170" s="200"/>
      <c r="N170" s="200"/>
      <c r="O170" s="200"/>
      <c r="P170" s="200"/>
      <c r="Q170" s="200"/>
    </row>
    <row r="171" spans="1:17" customFormat="1" ht="14.4" x14ac:dyDescent="0.3">
      <c r="A171" s="200"/>
      <c r="B171" s="200" t="str">
        <f t="shared" si="26"/>
        <v>2015/16</v>
      </c>
      <c r="C171" s="272">
        <f>IF(+Performance!H59&gt;0,+Performance!H59,+C170)</f>
        <v>1552263</v>
      </c>
      <c r="D171" s="272">
        <f>IF(+Performance!H43&gt;0,+Performance!H43,"")</f>
        <v>1106036</v>
      </c>
      <c r="E171" s="272">
        <f>IF(+Performance!H75&gt;0,+Performance!H75,+E170)</f>
        <v>776131.5</v>
      </c>
      <c r="F171" s="200"/>
      <c r="G171" s="200"/>
      <c r="H171" s="200"/>
      <c r="I171" s="200"/>
      <c r="J171" s="200"/>
      <c r="K171" s="200"/>
      <c r="L171" s="200"/>
      <c r="M171" s="200"/>
      <c r="N171" s="200"/>
      <c r="O171" s="200"/>
      <c r="P171" s="200"/>
      <c r="Q171" s="200"/>
    </row>
    <row r="172" spans="1:17" customFormat="1" ht="14.4" x14ac:dyDescent="0.3">
      <c r="A172" s="200"/>
      <c r="B172" s="200" t="str">
        <f t="shared" si="26"/>
        <v>2016/17</v>
      </c>
      <c r="C172" s="272">
        <f>IF(+Performance!H60&gt;0,+Performance!H60,+C171)</f>
        <v>1552263</v>
      </c>
      <c r="D172" s="272">
        <f>IF(+Performance!H44&gt;0,+Performance!H44,"")</f>
        <v>1045229.4</v>
      </c>
      <c r="E172" s="272">
        <f>IF(+Performance!H76&gt;0,+Performance!H76,+E171)</f>
        <v>776131.5</v>
      </c>
      <c r="F172" s="200"/>
      <c r="G172" s="200"/>
      <c r="H172" s="200"/>
      <c r="I172" s="200"/>
      <c r="J172" s="200"/>
      <c r="K172" s="200"/>
      <c r="L172" s="200"/>
      <c r="M172" s="200" t="s">
        <v>279</v>
      </c>
      <c r="N172" s="200" t="s">
        <v>520</v>
      </c>
      <c r="O172" s="200" t="s">
        <v>563</v>
      </c>
      <c r="P172" s="200"/>
      <c r="Q172" s="200"/>
    </row>
    <row r="173" spans="1:17" customFormat="1" ht="14.4" x14ac:dyDescent="0.3">
      <c r="A173" s="200"/>
      <c r="B173" s="200" t="str">
        <f t="shared" si="26"/>
        <v>2017/18</v>
      </c>
      <c r="C173" s="272">
        <f>IF(+Performance!H61&gt;0,+Performance!H61,+C172)</f>
        <v>1552263</v>
      </c>
      <c r="D173" s="272">
        <f>IF(+Performance!H45&gt;0,+Performance!H45,"")</f>
        <v>1065276.5999999999</v>
      </c>
      <c r="E173" s="272">
        <f>IF(+Performance!H77&gt;0,+Performance!H77,+E172)</f>
        <v>776131.5</v>
      </c>
      <c r="F173" s="200"/>
      <c r="G173" s="200"/>
      <c r="H173" s="200"/>
      <c r="I173" s="200"/>
      <c r="J173" s="200"/>
      <c r="K173" s="200"/>
      <c r="L173" s="200"/>
      <c r="M173" s="200" t="s">
        <v>199</v>
      </c>
      <c r="N173" s="272">
        <f>+Performance!H27</f>
        <v>277524.5</v>
      </c>
      <c r="O173" s="272">
        <f>+Performance!H18</f>
        <v>265900.5</v>
      </c>
      <c r="P173" s="200"/>
      <c r="Q173" s="200"/>
    </row>
    <row r="174" spans="1:17" customFormat="1" ht="14.4" x14ac:dyDescent="0.3">
      <c r="A174" s="200"/>
      <c r="B174" s="200" t="str">
        <f t="shared" si="26"/>
        <v>2018/19</v>
      </c>
      <c r="C174" s="272">
        <f>IF(+Performance!H62&gt;0,+Performance!H62,+C173)</f>
        <v>1552263</v>
      </c>
      <c r="D174" s="272">
        <f>IF(+Performance!H46&gt;0,+Performance!H46,"")</f>
        <v>1075816</v>
      </c>
      <c r="E174" s="272">
        <f>IF(+Performance!H78&gt;0,+Performance!H78,+E173)</f>
        <v>776131.5</v>
      </c>
      <c r="F174" s="200"/>
      <c r="G174" s="200"/>
      <c r="H174" s="200"/>
      <c r="I174" s="200"/>
      <c r="J174" s="200"/>
      <c r="K174" s="200"/>
      <c r="L174" s="200"/>
      <c r="M174" s="200" t="s">
        <v>201</v>
      </c>
      <c r="N174" s="272">
        <f>+Performance!H28</f>
        <v>258159.5</v>
      </c>
      <c r="O174" s="272">
        <f>+Performance!H19</f>
        <v>269613</v>
      </c>
      <c r="P174" s="200"/>
      <c r="Q174" s="200"/>
    </row>
    <row r="175" spans="1:17" customFormat="1" ht="14.4" x14ac:dyDescent="0.3">
      <c r="A175" s="200"/>
      <c r="B175" s="200" t="str">
        <f t="shared" si="26"/>
        <v>2019/20</v>
      </c>
      <c r="C175" s="272">
        <f>IF(+Performance!H63&gt;0,+Performance!H63,+C174)</f>
        <v>1552263</v>
      </c>
      <c r="D175" s="272">
        <f>IF(+Performance!H47&gt;0,+Performance!H47,"")</f>
        <v>535513.5</v>
      </c>
      <c r="E175" s="272">
        <f>IF(+Performance!H79&gt;0,+Performance!H79,+E174)</f>
        <v>776131.5</v>
      </c>
      <c r="F175" s="200"/>
      <c r="G175" s="200"/>
      <c r="H175" s="200"/>
      <c r="I175" s="200"/>
      <c r="J175" s="200"/>
      <c r="K175" s="200"/>
      <c r="L175" s="200"/>
      <c r="M175" s="200" t="s">
        <v>202</v>
      </c>
      <c r="N175" s="272">
        <f>+Performance!H29</f>
        <v>254638</v>
      </c>
      <c r="O175" s="272">
        <f>+Performance!H20</f>
        <v>0</v>
      </c>
      <c r="P175" s="200"/>
      <c r="Q175" s="200"/>
    </row>
    <row r="176" spans="1:17" customFormat="1" ht="14.4" x14ac:dyDescent="0.3">
      <c r="A176" s="200"/>
      <c r="B176" s="200"/>
      <c r="C176" s="200"/>
      <c r="D176" s="200"/>
      <c r="E176" s="200"/>
      <c r="F176" s="200"/>
      <c r="G176" s="200"/>
      <c r="H176" s="200"/>
      <c r="I176" s="200"/>
      <c r="J176" s="200"/>
      <c r="K176" s="200"/>
      <c r="L176" s="200"/>
      <c r="M176" s="200" t="s">
        <v>203</v>
      </c>
      <c r="N176" s="272">
        <f>+Performance!H30</f>
        <v>285494</v>
      </c>
      <c r="O176" s="272">
        <f>+Performance!H21</f>
        <v>0</v>
      </c>
      <c r="P176" s="200"/>
      <c r="Q176" s="200"/>
    </row>
    <row r="177" spans="1:17" customFormat="1" ht="14.4" x14ac:dyDescent="0.3">
      <c r="A177" s="200"/>
      <c r="B177" s="200"/>
      <c r="C177" s="200"/>
      <c r="D177" s="200"/>
      <c r="E177" s="200"/>
      <c r="F177" s="200"/>
      <c r="G177" s="200"/>
      <c r="H177" s="200"/>
      <c r="I177" s="200"/>
      <c r="J177" s="200"/>
      <c r="K177" s="200"/>
      <c r="L177" s="200"/>
      <c r="M177" s="200"/>
      <c r="N177" s="200"/>
      <c r="O177" s="200"/>
      <c r="P177" s="200"/>
      <c r="Q177" s="200"/>
    </row>
    <row r="178" spans="1:17" customFormat="1" ht="14.4" x14ac:dyDescent="0.3">
      <c r="A178" s="200"/>
      <c r="B178" s="200"/>
      <c r="C178" s="200"/>
      <c r="D178" s="200"/>
      <c r="E178" s="200"/>
      <c r="F178" s="200"/>
      <c r="G178" s="200"/>
      <c r="H178" s="200"/>
      <c r="I178" s="200"/>
      <c r="J178" s="200"/>
      <c r="K178" s="200"/>
      <c r="L178" s="200"/>
      <c r="M178" s="200"/>
      <c r="N178" s="200"/>
      <c r="O178" s="200"/>
      <c r="P178" s="200"/>
      <c r="Q178" s="200"/>
    </row>
    <row r="179" spans="1:17" customFormat="1" ht="14.4" x14ac:dyDescent="0.3">
      <c r="A179" s="200"/>
      <c r="B179" s="200"/>
      <c r="C179" s="200"/>
      <c r="D179" s="200"/>
      <c r="E179" s="200"/>
      <c r="F179" s="200"/>
      <c r="G179" s="200"/>
      <c r="H179" s="200"/>
      <c r="I179" s="200"/>
      <c r="J179" s="200"/>
      <c r="K179" s="200"/>
      <c r="L179" s="200"/>
      <c r="M179" s="200"/>
      <c r="N179" s="200"/>
      <c r="O179" s="200"/>
      <c r="P179" s="200"/>
      <c r="Q179" s="200"/>
    </row>
    <row r="180" spans="1:17" customFormat="1" ht="14.4" x14ac:dyDescent="0.3">
      <c r="A180" s="200"/>
      <c r="B180" s="200"/>
      <c r="C180" s="200"/>
      <c r="D180" s="200"/>
      <c r="E180" s="200"/>
      <c r="F180" s="200"/>
      <c r="G180" s="200"/>
      <c r="H180" s="200"/>
      <c r="I180" s="200"/>
      <c r="J180" s="200"/>
      <c r="K180" s="200"/>
      <c r="L180" s="200"/>
      <c r="M180" s="200"/>
      <c r="N180" s="200"/>
      <c r="O180" s="200"/>
      <c r="P180" s="200"/>
      <c r="Q180" s="200"/>
    </row>
    <row r="181" spans="1:17" customFormat="1" ht="15" thickBot="1" x14ac:dyDescent="0.35">
      <c r="A181" s="200"/>
      <c r="B181" s="200"/>
      <c r="C181" s="200"/>
      <c r="D181" s="200"/>
      <c r="E181" s="200"/>
      <c r="F181" s="200"/>
      <c r="G181" s="200"/>
      <c r="H181" s="200"/>
      <c r="I181" s="200"/>
      <c r="J181" s="200"/>
      <c r="K181" s="200"/>
      <c r="L181" s="200"/>
      <c r="M181" s="200"/>
      <c r="N181" s="200"/>
      <c r="O181" s="200"/>
      <c r="P181" s="200"/>
      <c r="Q181" s="200"/>
    </row>
    <row r="182" spans="1:17" customFormat="1" ht="18.600000000000001" thickBot="1" x14ac:dyDescent="0.4">
      <c r="A182" s="200"/>
      <c r="B182" s="1823" t="str">
        <f>+B162</f>
        <v>Annual Performance - 2019-20 MINISTRY OF JUSTICE (MoJ)</v>
      </c>
      <c r="C182" s="1824"/>
      <c r="D182" s="1824"/>
      <c r="E182" s="1824"/>
      <c r="F182" s="1824"/>
      <c r="G182" s="1824"/>
      <c r="H182" s="1825"/>
      <c r="I182" s="200"/>
      <c r="J182" s="200"/>
      <c r="K182" s="200"/>
      <c r="L182" s="200"/>
      <c r="M182" s="200"/>
      <c r="N182" s="200"/>
      <c r="O182" s="200"/>
      <c r="P182" s="200"/>
      <c r="Q182" s="200"/>
    </row>
    <row r="183" spans="1:17" customFormat="1" ht="14.4" x14ac:dyDescent="0.3">
      <c r="A183" s="200"/>
      <c r="B183" s="200"/>
      <c r="C183" s="200"/>
      <c r="D183" s="200"/>
      <c r="E183" s="200"/>
      <c r="F183" s="200"/>
      <c r="G183" s="200"/>
      <c r="H183" s="200"/>
      <c r="I183" s="200"/>
      <c r="J183" s="200"/>
      <c r="K183" s="200"/>
      <c r="L183" s="200"/>
      <c r="M183" s="200"/>
      <c r="N183" s="200"/>
      <c r="O183" s="200"/>
      <c r="P183" s="200"/>
      <c r="Q183" s="200"/>
    </row>
    <row r="184" spans="1:17" customFormat="1" ht="14.4" x14ac:dyDescent="0.3">
      <c r="A184" s="200"/>
      <c r="B184" s="200"/>
      <c r="C184" s="200"/>
      <c r="D184" s="200"/>
      <c r="E184" s="200"/>
      <c r="F184" s="200"/>
      <c r="G184" s="200"/>
      <c r="H184" s="200"/>
      <c r="I184" s="200"/>
      <c r="J184" s="200"/>
      <c r="K184" s="200"/>
      <c r="L184" s="200"/>
      <c r="M184" s="200"/>
      <c r="N184" s="200"/>
      <c r="O184" s="200"/>
      <c r="P184" s="200"/>
      <c r="Q184" s="200"/>
    </row>
    <row r="185" spans="1:17" customFormat="1" ht="15" thickBot="1" x14ac:dyDescent="0.35">
      <c r="A185" s="200"/>
      <c r="B185" s="200" t="s">
        <v>280</v>
      </c>
      <c r="C185" s="200" t="s">
        <v>281</v>
      </c>
      <c r="D185" s="200"/>
      <c r="E185" s="200"/>
      <c r="F185" s="200"/>
      <c r="G185" s="200"/>
      <c r="H185" s="200"/>
      <c r="I185" s="200"/>
      <c r="J185" s="200"/>
      <c r="K185" s="200"/>
      <c r="L185" s="200"/>
      <c r="M185" s="200"/>
      <c r="N185" s="200"/>
      <c r="O185" s="200"/>
      <c r="P185" s="200"/>
      <c r="Q185" s="200"/>
    </row>
    <row r="186" spans="1:17" customFormat="1" ht="18.600000000000001" thickBot="1" x14ac:dyDescent="0.4">
      <c r="A186" s="200"/>
      <c r="B186" s="200" t="str">
        <f t="shared" ref="B186:B196" si="27">+B144</f>
        <v>2009/10</v>
      </c>
      <c r="C186" s="274">
        <f>+Performance!G37</f>
        <v>9277165</v>
      </c>
      <c r="D186" s="273"/>
      <c r="E186" s="200"/>
      <c r="F186" s="200"/>
      <c r="G186" s="200"/>
      <c r="H186" s="200"/>
      <c r="I186" s="200"/>
      <c r="J186" s="1823" t="str">
        <f>+J169</f>
        <v>Quarterly Values 2019-20 MINISTRY OF JUSTICE (MoJ)</v>
      </c>
      <c r="K186" s="1824"/>
      <c r="L186" s="1824"/>
      <c r="M186" s="1824"/>
      <c r="N186" s="1824"/>
      <c r="O186" s="1824"/>
      <c r="P186" s="1825"/>
      <c r="Q186" s="200"/>
    </row>
    <row r="187" spans="1:17" customFormat="1" ht="14.4" x14ac:dyDescent="0.3">
      <c r="A187" s="200"/>
      <c r="B187" s="200" t="str">
        <f t="shared" si="27"/>
        <v>2010/11</v>
      </c>
      <c r="C187" s="274">
        <f>+Performance!G38</f>
        <v>0</v>
      </c>
      <c r="D187" s="273"/>
      <c r="E187" s="200"/>
      <c r="F187" s="200"/>
      <c r="G187" s="200"/>
      <c r="H187" s="200"/>
      <c r="I187" s="200"/>
      <c r="J187" s="200"/>
      <c r="K187" s="200"/>
      <c r="L187" s="200"/>
      <c r="M187" s="200"/>
      <c r="N187" s="200"/>
      <c r="O187" s="200"/>
      <c r="P187" s="200"/>
      <c r="Q187" s="200"/>
    </row>
    <row r="188" spans="1:17" customFormat="1" ht="14.4" x14ac:dyDescent="0.3">
      <c r="A188" s="200"/>
      <c r="B188" s="200" t="str">
        <f t="shared" si="27"/>
        <v>2011/12</v>
      </c>
      <c r="C188" s="274">
        <f>+Performance!G39</f>
        <v>0</v>
      </c>
      <c r="D188" s="273"/>
      <c r="E188" s="200"/>
      <c r="F188" s="200"/>
      <c r="G188" s="200"/>
      <c r="H188" s="200"/>
      <c r="I188" s="200"/>
      <c r="J188" s="200"/>
      <c r="K188" s="200"/>
      <c r="L188" s="200"/>
      <c r="M188" s="200"/>
      <c r="N188" s="200"/>
      <c r="O188" s="200"/>
      <c r="P188" s="200"/>
      <c r="Q188" s="200"/>
    </row>
    <row r="189" spans="1:17" customFormat="1" ht="14.4" x14ac:dyDescent="0.3">
      <c r="A189" s="200"/>
      <c r="B189" s="200" t="str">
        <f t="shared" si="27"/>
        <v>2012/13</v>
      </c>
      <c r="C189" s="274">
        <f>+Performance!G40</f>
        <v>8991426</v>
      </c>
      <c r="D189" s="273"/>
      <c r="E189" s="200"/>
      <c r="F189" s="200"/>
      <c r="G189" s="200"/>
      <c r="H189" s="200"/>
      <c r="I189" s="200"/>
      <c r="J189" s="200"/>
      <c r="K189" s="200"/>
      <c r="L189" s="200"/>
      <c r="M189" s="200"/>
      <c r="N189" s="200"/>
      <c r="O189" s="200"/>
      <c r="P189" s="200"/>
      <c r="Q189" s="200"/>
    </row>
    <row r="190" spans="1:17" customFormat="1" ht="14.4" x14ac:dyDescent="0.3">
      <c r="A190" s="200"/>
      <c r="B190" s="200" t="str">
        <f t="shared" si="27"/>
        <v>2013/14</v>
      </c>
      <c r="C190" s="274">
        <f>+Performance!G41</f>
        <v>8919985</v>
      </c>
      <c r="D190" s="273"/>
      <c r="E190" s="200"/>
      <c r="F190" s="200"/>
      <c r="G190" s="200"/>
      <c r="H190" s="200"/>
      <c r="I190" s="200"/>
      <c r="J190" s="200"/>
      <c r="K190" s="200"/>
      <c r="L190" s="200"/>
      <c r="M190" s="200" t="s">
        <v>282</v>
      </c>
      <c r="N190" s="200" t="s">
        <v>520</v>
      </c>
      <c r="O190" s="200" t="s">
        <v>563</v>
      </c>
      <c r="P190" s="200"/>
      <c r="Q190" s="200"/>
    </row>
    <row r="191" spans="1:17" customFormat="1" ht="14.4" x14ac:dyDescent="0.3">
      <c r="A191" s="200"/>
      <c r="B191" s="200" t="str">
        <f t="shared" si="27"/>
        <v>2014/15</v>
      </c>
      <c r="C191" s="274">
        <f>+Performance!G42</f>
        <v>9022037</v>
      </c>
      <c r="D191" s="273"/>
      <c r="E191" s="200"/>
      <c r="F191" s="200"/>
      <c r="G191" s="200"/>
      <c r="H191" s="200"/>
      <c r="I191" s="200"/>
      <c r="J191" s="200"/>
      <c r="K191" s="200"/>
      <c r="L191" s="200"/>
      <c r="M191" s="200" t="s">
        <v>199</v>
      </c>
      <c r="N191" s="272">
        <f>+Performance!G27</f>
        <v>2274097.3106746501</v>
      </c>
      <c r="O191" s="272">
        <f>+Performance!G18</f>
        <v>2197087.5279642199</v>
      </c>
      <c r="P191" s="200"/>
      <c r="Q191" s="200"/>
    </row>
    <row r="192" spans="1:17" customFormat="1" ht="14.4" x14ac:dyDescent="0.3">
      <c r="A192" s="200"/>
      <c r="B192" s="200" t="str">
        <f t="shared" si="27"/>
        <v>2015/16</v>
      </c>
      <c r="C192" s="274">
        <f>+Performance!G43</f>
        <v>8717910</v>
      </c>
      <c r="D192" s="273"/>
      <c r="E192" s="200"/>
      <c r="F192" s="200"/>
      <c r="G192" s="200"/>
      <c r="H192" s="200"/>
      <c r="I192" s="200"/>
      <c r="J192" s="200"/>
      <c r="K192" s="200"/>
      <c r="L192" s="200"/>
      <c r="M192" s="200" t="s">
        <v>201</v>
      </c>
      <c r="N192" s="272">
        <f>+Performance!G28</f>
        <v>2131140.24478989</v>
      </c>
      <c r="O192" s="272">
        <f>+Performance!G19</f>
        <v>2259986.9982851301</v>
      </c>
      <c r="P192" s="200"/>
      <c r="Q192" s="200"/>
    </row>
    <row r="193" spans="1:17" customFormat="1" ht="14.4" x14ac:dyDescent="0.3">
      <c r="A193" s="200"/>
      <c r="B193" s="200" t="str">
        <f t="shared" si="27"/>
        <v>2016/17</v>
      </c>
      <c r="C193" s="274">
        <f>+Performance!G44</f>
        <v>8980904.8150355536</v>
      </c>
      <c r="D193" s="273"/>
      <c r="E193" s="200"/>
      <c r="F193" s="200"/>
      <c r="G193" s="200"/>
      <c r="H193" s="200"/>
      <c r="I193" s="200"/>
      <c r="J193" s="200"/>
      <c r="K193" s="200"/>
      <c r="L193" s="200"/>
      <c r="M193" s="200" t="s">
        <v>202</v>
      </c>
      <c r="N193" s="272">
        <f>+Performance!G29</f>
        <v>2272430.1143495701</v>
      </c>
      <c r="O193" s="272">
        <f>+Performance!G20</f>
        <v>0</v>
      </c>
      <c r="P193" s="200"/>
      <c r="Q193" s="200"/>
    </row>
    <row r="194" spans="1:17" customFormat="1" ht="14.4" x14ac:dyDescent="0.3">
      <c r="A194" s="200"/>
      <c r="B194" s="200" t="str">
        <f t="shared" si="27"/>
        <v>2017/18</v>
      </c>
      <c r="C194" s="274">
        <f>+Performance!G45</f>
        <v>9072162.7493186463</v>
      </c>
      <c r="D194" s="273"/>
      <c r="E194" s="200"/>
      <c r="F194" s="200"/>
      <c r="G194" s="200"/>
      <c r="H194" s="200"/>
      <c r="I194" s="200"/>
      <c r="J194" s="200"/>
      <c r="K194" s="200"/>
      <c r="L194" s="200"/>
      <c r="M194" s="200" t="s">
        <v>203</v>
      </c>
      <c r="N194" s="272">
        <f>+Performance!G30</f>
        <v>2296353.4087912301</v>
      </c>
      <c r="O194" s="272">
        <f>+Performance!G21</f>
        <v>0</v>
      </c>
      <c r="P194" s="200"/>
      <c r="Q194" s="200"/>
    </row>
    <row r="195" spans="1:17" customFormat="1" ht="14.4" x14ac:dyDescent="0.3">
      <c r="A195" s="200"/>
      <c r="B195" s="200" t="str">
        <f t="shared" si="27"/>
        <v>2018/19</v>
      </c>
      <c r="C195" s="274">
        <f>+Performance!G46</f>
        <v>8974021.0786053389</v>
      </c>
      <c r="D195" s="273"/>
      <c r="E195" s="200"/>
      <c r="F195" s="200"/>
      <c r="G195" s="200"/>
      <c r="H195" s="200"/>
      <c r="I195" s="200"/>
      <c r="J195" s="200"/>
      <c r="K195" s="200"/>
      <c r="L195" s="200"/>
      <c r="M195" s="200"/>
      <c r="N195" s="200"/>
      <c r="O195" s="200"/>
      <c r="P195" s="200"/>
      <c r="Q195" s="200"/>
    </row>
    <row r="196" spans="1:17" customFormat="1" ht="14.4" x14ac:dyDescent="0.3">
      <c r="A196" s="200"/>
      <c r="B196" s="200" t="str">
        <f t="shared" si="27"/>
        <v>2019/20</v>
      </c>
      <c r="C196" s="274">
        <f>+Performance!G47</f>
        <v>4457074.52624935</v>
      </c>
      <c r="D196" s="273"/>
      <c r="E196" s="200"/>
      <c r="F196" s="200"/>
      <c r="G196" s="200"/>
      <c r="H196" s="200"/>
      <c r="I196" s="200"/>
      <c r="J196" s="200"/>
      <c r="K196" s="200"/>
      <c r="L196" s="200"/>
      <c r="M196" s="200"/>
      <c r="N196" s="200"/>
      <c r="O196" s="200"/>
      <c r="P196" s="200"/>
      <c r="Q196" s="200"/>
    </row>
    <row r="197" spans="1:17" customFormat="1" ht="14.4" x14ac:dyDescent="0.3">
      <c r="A197" s="200"/>
      <c r="B197" s="200"/>
      <c r="C197" s="200"/>
      <c r="D197" s="200"/>
      <c r="E197" s="200"/>
      <c r="F197" s="200"/>
      <c r="G197" s="200"/>
      <c r="H197" s="200"/>
      <c r="I197" s="200"/>
      <c r="J197" s="200"/>
      <c r="K197" s="200"/>
      <c r="L197" s="200"/>
      <c r="M197" s="200"/>
      <c r="N197" s="200"/>
      <c r="O197" s="200"/>
      <c r="P197" s="200"/>
      <c r="Q197" s="200"/>
    </row>
    <row r="198" spans="1:17" customFormat="1" ht="14.4" x14ac:dyDescent="0.3">
      <c r="A198" s="200"/>
      <c r="B198" s="200"/>
      <c r="C198" s="200"/>
      <c r="D198" s="200"/>
      <c r="E198" s="200"/>
      <c r="F198" s="200"/>
      <c r="G198" s="200"/>
      <c r="H198" s="200"/>
      <c r="I198" s="200"/>
      <c r="J198" s="200"/>
      <c r="K198" s="200"/>
      <c r="L198" s="200"/>
      <c r="M198" s="200"/>
      <c r="N198" s="200"/>
      <c r="O198" s="200"/>
      <c r="P198" s="200"/>
      <c r="Q198" s="200"/>
    </row>
    <row r="199" spans="1:17" customFormat="1" ht="14.4" x14ac:dyDescent="0.3">
      <c r="A199" s="200"/>
      <c r="B199" s="200"/>
      <c r="C199" s="200"/>
      <c r="D199" s="200"/>
      <c r="E199" s="200"/>
      <c r="F199" s="200"/>
      <c r="G199" s="200"/>
      <c r="H199" s="200"/>
      <c r="I199" s="200"/>
      <c r="J199" s="200"/>
      <c r="K199" s="200"/>
      <c r="L199" s="200"/>
      <c r="M199" s="200"/>
      <c r="N199" s="200"/>
      <c r="O199" s="200"/>
      <c r="P199" s="200"/>
      <c r="Q199" s="200"/>
    </row>
    <row r="200" spans="1:17" customFormat="1" ht="14.4" x14ac:dyDescent="0.3">
      <c r="A200" s="200"/>
      <c r="B200" s="200"/>
      <c r="C200" s="200"/>
      <c r="D200" s="200"/>
      <c r="E200" s="200"/>
      <c r="F200" s="200"/>
      <c r="G200" s="200"/>
      <c r="H200" s="200"/>
      <c r="I200" s="200"/>
      <c r="J200" s="200"/>
      <c r="K200" s="200"/>
      <c r="L200" s="200"/>
      <c r="M200" s="200"/>
      <c r="N200" s="200"/>
      <c r="O200" s="200"/>
      <c r="P200" s="200"/>
      <c r="Q200" s="200"/>
    </row>
    <row r="201" spans="1:17" customFormat="1" ht="14.4" x14ac:dyDescent="0.3">
      <c r="A201" s="200"/>
      <c r="B201" s="200"/>
      <c r="C201" s="200"/>
      <c r="D201" s="200"/>
      <c r="E201" s="200"/>
      <c r="F201" s="200"/>
      <c r="G201" s="200"/>
      <c r="H201" s="200"/>
      <c r="I201" s="200"/>
      <c r="J201" s="200"/>
      <c r="K201" s="200"/>
      <c r="L201" s="200"/>
      <c r="M201" s="200"/>
      <c r="N201" s="200"/>
      <c r="O201" s="200"/>
      <c r="P201" s="200"/>
      <c r="Q201" s="200"/>
    </row>
    <row r="202" spans="1:17" customFormat="1" ht="14.4" x14ac:dyDescent="0.3">
      <c r="A202" s="200"/>
      <c r="B202" s="200"/>
      <c r="C202" s="200"/>
      <c r="D202" s="200"/>
      <c r="E202" s="200"/>
      <c r="F202" s="200"/>
      <c r="G202" s="200"/>
      <c r="H202" s="200"/>
      <c r="I202" s="200"/>
      <c r="J202" s="200"/>
      <c r="K202" s="200"/>
      <c r="L202" s="200"/>
      <c r="M202" s="200"/>
      <c r="N202" s="200"/>
      <c r="O202" s="200"/>
      <c r="P202" s="200"/>
      <c r="Q202" s="200"/>
    </row>
    <row r="203" spans="1:17" customFormat="1" ht="14.4" x14ac:dyDescent="0.3">
      <c r="A203" s="200"/>
      <c r="B203" s="200"/>
      <c r="C203" s="200"/>
      <c r="D203" s="200"/>
      <c r="E203" s="200"/>
      <c r="F203" s="200"/>
      <c r="G203" s="200"/>
      <c r="H203" s="200"/>
      <c r="I203" s="200"/>
      <c r="J203" s="200"/>
      <c r="K203" s="200"/>
      <c r="L203" s="200"/>
      <c r="M203" s="200"/>
      <c r="N203" s="200"/>
      <c r="O203" s="200"/>
      <c r="P203" s="200"/>
      <c r="Q203" s="200"/>
    </row>
    <row r="204" spans="1:17" customFormat="1" ht="14.4" x14ac:dyDescent="0.3"/>
    <row r="205" spans="1:17" customFormat="1" ht="14.4" x14ac:dyDescent="0.3"/>
    <row r="206" spans="1:17" customFormat="1" ht="14.4" x14ac:dyDescent="0.3"/>
    <row r="207" spans="1:17" customFormat="1" ht="14.4" x14ac:dyDescent="0.3"/>
    <row r="208" spans="1:17" customFormat="1" ht="14.4" x14ac:dyDescent="0.3"/>
    <row r="209" customFormat="1" ht="14.4" x14ac:dyDescent="0.3"/>
    <row r="210" customFormat="1" ht="14.4" x14ac:dyDescent="0.3"/>
    <row r="211" customFormat="1" ht="14.4" x14ac:dyDescent="0.3"/>
    <row r="212" customFormat="1" ht="14.4" x14ac:dyDescent="0.3"/>
    <row r="213" customFormat="1" ht="14.4" x14ac:dyDescent="0.3"/>
    <row r="214" customFormat="1" ht="14.4" x14ac:dyDescent="0.3"/>
    <row r="215" customFormat="1" ht="14.4" x14ac:dyDescent="0.3"/>
    <row r="216" customFormat="1" ht="14.4" x14ac:dyDescent="0.3"/>
    <row r="217" customFormat="1" ht="14.4" x14ac:dyDescent="0.3"/>
    <row r="218" customFormat="1" ht="14.4" x14ac:dyDescent="0.3"/>
    <row r="219" customFormat="1" ht="14.4" x14ac:dyDescent="0.3"/>
    <row r="220" customFormat="1" ht="14.4" x14ac:dyDescent="0.3"/>
    <row r="221" customFormat="1" ht="14.4" x14ac:dyDescent="0.3"/>
    <row r="222" customFormat="1" ht="14.4" x14ac:dyDescent="0.3"/>
    <row r="223" customFormat="1" ht="14.4" x14ac:dyDescent="0.3"/>
    <row r="224" customFormat="1" ht="14.4" x14ac:dyDescent="0.3"/>
    <row r="225" customFormat="1" ht="14.4" x14ac:dyDescent="0.3"/>
    <row r="226" customFormat="1" ht="14.4" x14ac:dyDescent="0.3"/>
    <row r="227" customFormat="1" ht="14.4" x14ac:dyDescent="0.3"/>
    <row r="228" customFormat="1" ht="14.4" x14ac:dyDescent="0.3"/>
    <row r="229" customFormat="1" ht="14.4" x14ac:dyDescent="0.3"/>
    <row r="230" customFormat="1" ht="14.4" x14ac:dyDescent="0.3"/>
    <row r="231" customFormat="1" ht="14.4" x14ac:dyDescent="0.3"/>
    <row r="232" customFormat="1" ht="14.4" x14ac:dyDescent="0.3"/>
    <row r="233" customFormat="1" ht="14.4" x14ac:dyDescent="0.3"/>
    <row r="234" customFormat="1" ht="14.4" x14ac:dyDescent="0.3"/>
    <row r="235" customFormat="1" ht="14.4" x14ac:dyDescent="0.3"/>
    <row r="236" customFormat="1" ht="14.4" x14ac:dyDescent="0.3"/>
    <row r="237" customFormat="1" ht="14.4" x14ac:dyDescent="0.3"/>
    <row r="238" customFormat="1" ht="14.4" x14ac:dyDescent="0.3"/>
    <row r="239" customFormat="1" ht="14.4" x14ac:dyDescent="0.3"/>
    <row r="240" customFormat="1" ht="14.4" x14ac:dyDescent="0.3"/>
    <row r="241" customFormat="1" ht="14.4" x14ac:dyDescent="0.3"/>
    <row r="242" customFormat="1" ht="14.4" x14ac:dyDescent="0.3"/>
    <row r="243" customFormat="1" ht="14.4" x14ac:dyDescent="0.3"/>
    <row r="244" customFormat="1" ht="14.4" x14ac:dyDescent="0.3"/>
    <row r="245" customFormat="1" ht="14.4" x14ac:dyDescent="0.3"/>
    <row r="246" customFormat="1" ht="14.4" x14ac:dyDescent="0.3"/>
    <row r="247" customFormat="1" ht="14.4" x14ac:dyDescent="0.3"/>
    <row r="248" customFormat="1" ht="14.4" x14ac:dyDescent="0.3"/>
    <row r="249" customFormat="1" ht="14.4" x14ac:dyDescent="0.3"/>
    <row r="250" customFormat="1" ht="14.4" x14ac:dyDescent="0.3"/>
    <row r="251" customFormat="1" ht="14.4" x14ac:dyDescent="0.3"/>
    <row r="252" customFormat="1" ht="14.4" x14ac:dyDescent="0.3"/>
    <row r="253" customFormat="1" ht="14.4" x14ac:dyDescent="0.3"/>
    <row r="254" customFormat="1" ht="14.4" x14ac:dyDescent="0.3"/>
    <row r="255" customFormat="1" ht="14.4" x14ac:dyDescent="0.3"/>
    <row r="256" customFormat="1" ht="14.4" x14ac:dyDescent="0.3"/>
    <row r="257" customFormat="1" ht="14.4" x14ac:dyDescent="0.3"/>
    <row r="258" customFormat="1" ht="14.4" x14ac:dyDescent="0.3"/>
    <row r="259" customFormat="1" ht="14.4" x14ac:dyDescent="0.3"/>
    <row r="260" customFormat="1" ht="14.4" x14ac:dyDescent="0.3"/>
    <row r="261" customFormat="1" ht="14.4" x14ac:dyDescent="0.3"/>
    <row r="262" customFormat="1" ht="14.4" x14ac:dyDescent="0.3"/>
    <row r="263" customFormat="1" ht="14.4" x14ac:dyDescent="0.3"/>
    <row r="264" customFormat="1" ht="14.4" x14ac:dyDescent="0.3"/>
    <row r="265" customFormat="1" ht="14.4" x14ac:dyDescent="0.3"/>
    <row r="266" customFormat="1" ht="14.4" x14ac:dyDescent="0.3"/>
    <row r="267" customFormat="1" ht="14.4" x14ac:dyDescent="0.3"/>
    <row r="268" customFormat="1" ht="14.4" x14ac:dyDescent="0.3"/>
    <row r="269" customFormat="1" ht="14.4" x14ac:dyDescent="0.3"/>
    <row r="270" customFormat="1" ht="14.4" x14ac:dyDescent="0.3"/>
    <row r="271" customFormat="1" ht="14.4" x14ac:dyDescent="0.3"/>
    <row r="272" customFormat="1" ht="14.4" x14ac:dyDescent="0.3"/>
    <row r="273" customFormat="1" ht="14.4" x14ac:dyDescent="0.3"/>
    <row r="274" customFormat="1" ht="14.4" x14ac:dyDescent="0.3"/>
    <row r="275" customFormat="1" ht="14.4" x14ac:dyDescent="0.3"/>
    <row r="276" customFormat="1" ht="14.4" x14ac:dyDescent="0.3"/>
    <row r="277" customFormat="1" ht="14.4" x14ac:dyDescent="0.3"/>
    <row r="278" customFormat="1" ht="14.4" x14ac:dyDescent="0.3"/>
    <row r="279" customFormat="1" ht="14.4" x14ac:dyDescent="0.3"/>
    <row r="280" customFormat="1" ht="14.4" x14ac:dyDescent="0.3"/>
    <row r="281" customFormat="1" ht="14.4" x14ac:dyDescent="0.3"/>
    <row r="282" customFormat="1" ht="14.4" x14ac:dyDescent="0.3"/>
    <row r="283" customFormat="1" ht="14.4" x14ac:dyDescent="0.3"/>
    <row r="284" customFormat="1" ht="14.4" x14ac:dyDescent="0.3"/>
    <row r="285" customFormat="1" ht="14.4" x14ac:dyDescent="0.3"/>
    <row r="286" customFormat="1" ht="14.4" x14ac:dyDescent="0.3"/>
    <row r="287" customFormat="1" ht="14.4" x14ac:dyDescent="0.3"/>
    <row r="288" customFormat="1" ht="14.4" x14ac:dyDescent="0.3"/>
    <row r="289" spans="1:26" customFormat="1" ht="14.4" x14ac:dyDescent="0.3"/>
    <row r="290" spans="1:26" customFormat="1" ht="14.4" x14ac:dyDescent="0.3"/>
    <row r="291" spans="1:26" customFormat="1" ht="14.4" x14ac:dyDescent="0.3"/>
    <row r="292" spans="1:26" customFormat="1" ht="14.4" x14ac:dyDescent="0.3"/>
    <row r="293" spans="1:26" customFormat="1" ht="14.4" x14ac:dyDescent="0.3"/>
    <row r="294" spans="1:26" customFormat="1" ht="14.4" x14ac:dyDescent="0.3"/>
    <row r="295" spans="1:26" customFormat="1" ht="14.4" x14ac:dyDescent="0.3"/>
    <row r="296" spans="1:26" customFormat="1" ht="14.4" x14ac:dyDescent="0.3"/>
    <row r="297" spans="1:26" customFormat="1" ht="14.4" x14ac:dyDescent="0.3"/>
    <row r="298" spans="1:26" customFormat="1" ht="14.4" x14ac:dyDescent="0.3"/>
    <row r="299" spans="1:26" customFormat="1" ht="14.4" x14ac:dyDescent="0.3"/>
    <row r="300" spans="1:26" customFormat="1" ht="14.4" x14ac:dyDescent="0.3"/>
    <row r="301" spans="1:26" customFormat="1" ht="14.4" x14ac:dyDescent="0.3"/>
    <row r="302" spans="1:26" ht="14.4" x14ac:dyDescent="0.3">
      <c r="A302"/>
      <c r="B302"/>
      <c r="C302"/>
      <c r="D302"/>
      <c r="E302"/>
      <c r="F302"/>
      <c r="G302"/>
      <c r="H302"/>
      <c r="I302"/>
      <c r="J302"/>
      <c r="K302"/>
      <c r="L302"/>
      <c r="M302"/>
      <c r="N302"/>
      <c r="O302"/>
      <c r="P302"/>
      <c r="Q302"/>
      <c r="R302"/>
      <c r="S302"/>
      <c r="T302"/>
      <c r="U302"/>
      <c r="V302"/>
      <c r="W302"/>
      <c r="X302"/>
      <c r="Y302"/>
      <c r="Z302"/>
    </row>
    <row r="303" spans="1:26" ht="14.4" x14ac:dyDescent="0.3">
      <c r="A303"/>
      <c r="B303"/>
      <c r="C303"/>
      <c r="D303"/>
      <c r="E303"/>
      <c r="F303"/>
      <c r="G303"/>
      <c r="H303"/>
      <c r="I303"/>
      <c r="J303"/>
      <c r="K303"/>
      <c r="L303"/>
      <c r="M303"/>
      <c r="N303"/>
      <c r="O303"/>
      <c r="P303"/>
      <c r="Q303"/>
      <c r="R303"/>
      <c r="S303"/>
      <c r="T303"/>
      <c r="U303"/>
      <c r="V303"/>
      <c r="W303"/>
      <c r="X303"/>
      <c r="Y303"/>
      <c r="Z303"/>
    </row>
    <row r="304" spans="1:26" ht="14.4" x14ac:dyDescent="0.3">
      <c r="A304"/>
      <c r="B304"/>
      <c r="C304"/>
      <c r="D304"/>
      <c r="E304"/>
      <c r="F304"/>
      <c r="G304"/>
      <c r="H304"/>
      <c r="I304"/>
      <c r="J304"/>
      <c r="K304"/>
      <c r="L304"/>
      <c r="M304"/>
      <c r="N304"/>
      <c r="O304"/>
      <c r="P304"/>
      <c r="Q304"/>
      <c r="R304"/>
      <c r="S304"/>
      <c r="T304"/>
      <c r="U304"/>
      <c r="V304"/>
      <c r="W304"/>
      <c r="X304"/>
      <c r="Y304"/>
      <c r="Z304"/>
    </row>
    <row r="305" spans="1:26" ht="14.4" x14ac:dyDescent="0.3">
      <c r="A305"/>
      <c r="B305"/>
      <c r="C305"/>
      <c r="D305"/>
      <c r="E305"/>
      <c r="F305"/>
      <c r="G305"/>
      <c r="H305"/>
      <c r="I305"/>
      <c r="J305"/>
      <c r="K305"/>
      <c r="L305"/>
      <c r="M305"/>
      <c r="N305"/>
      <c r="O305"/>
      <c r="P305"/>
      <c r="Q305"/>
      <c r="R305"/>
      <c r="S305"/>
      <c r="T305"/>
      <c r="U305"/>
      <c r="V305"/>
      <c r="W305"/>
      <c r="X305"/>
      <c r="Y305"/>
      <c r="Z305"/>
    </row>
    <row r="306" spans="1:26" ht="14.4" x14ac:dyDescent="0.3">
      <c r="A306"/>
      <c r="B306"/>
      <c r="C306"/>
      <c r="D306"/>
      <c r="E306"/>
      <c r="F306"/>
      <c r="G306"/>
      <c r="H306"/>
      <c r="I306"/>
      <c r="J306"/>
      <c r="K306"/>
      <c r="L306"/>
      <c r="M306"/>
      <c r="N306"/>
      <c r="O306"/>
      <c r="P306"/>
      <c r="Q306"/>
      <c r="R306"/>
      <c r="S306"/>
      <c r="T306"/>
      <c r="U306"/>
      <c r="V306"/>
      <c r="W306"/>
      <c r="X306"/>
      <c r="Y306"/>
      <c r="Z306"/>
    </row>
    <row r="307" spans="1:26" ht="14.4" x14ac:dyDescent="0.3">
      <c r="A307"/>
      <c r="B307"/>
      <c r="C307"/>
      <c r="D307"/>
      <c r="E307"/>
      <c r="F307"/>
      <c r="G307"/>
      <c r="H307"/>
      <c r="I307"/>
      <c r="J307"/>
      <c r="K307"/>
      <c r="L307"/>
      <c r="M307"/>
      <c r="N307"/>
      <c r="O307"/>
      <c r="P307"/>
      <c r="Q307"/>
      <c r="R307"/>
      <c r="S307"/>
      <c r="T307"/>
      <c r="U307"/>
      <c r="V307"/>
      <c r="W307"/>
      <c r="X307"/>
      <c r="Y307"/>
      <c r="Z307"/>
    </row>
    <row r="308" spans="1:26" ht="14.4" x14ac:dyDescent="0.3">
      <c r="A308"/>
      <c r="B308"/>
      <c r="C308"/>
      <c r="D308"/>
      <c r="E308"/>
      <c r="F308"/>
      <c r="G308"/>
      <c r="H308"/>
      <c r="I308"/>
      <c r="J308"/>
      <c r="K308"/>
      <c r="L308"/>
      <c r="M308"/>
      <c r="N308"/>
      <c r="O308"/>
      <c r="P308"/>
      <c r="Q308"/>
      <c r="R308"/>
      <c r="S308"/>
      <c r="T308"/>
      <c r="U308"/>
      <c r="V308"/>
      <c r="W308"/>
      <c r="X308"/>
      <c r="Y308"/>
      <c r="Z308"/>
    </row>
    <row r="309" spans="1:26" ht="14.4" x14ac:dyDescent="0.3">
      <c r="A309"/>
      <c r="B309"/>
      <c r="C309"/>
      <c r="D309"/>
      <c r="E309"/>
      <c r="F309"/>
      <c r="G309"/>
      <c r="H309"/>
      <c r="I309"/>
      <c r="J309"/>
      <c r="K309"/>
      <c r="L309"/>
      <c r="M309"/>
      <c r="N309"/>
      <c r="O309"/>
      <c r="P309"/>
      <c r="Q309"/>
      <c r="R309"/>
      <c r="S309"/>
      <c r="T309"/>
      <c r="U309"/>
      <c r="V309"/>
      <c r="W309"/>
      <c r="X309"/>
      <c r="Y309"/>
      <c r="Z309"/>
    </row>
    <row r="310" spans="1:26" ht="14.4" x14ac:dyDescent="0.3">
      <c r="A310"/>
      <c r="B310"/>
      <c r="C310"/>
      <c r="D310"/>
      <c r="E310"/>
      <c r="F310"/>
      <c r="G310"/>
      <c r="H310"/>
      <c r="I310"/>
      <c r="J310"/>
      <c r="K310"/>
      <c r="L310"/>
      <c r="M310"/>
      <c r="N310"/>
      <c r="O310"/>
      <c r="P310"/>
      <c r="Q310"/>
      <c r="R310"/>
      <c r="S310"/>
      <c r="T310"/>
      <c r="U310"/>
      <c r="V310"/>
      <c r="W310"/>
      <c r="X310"/>
      <c r="Y310"/>
      <c r="Z310"/>
    </row>
    <row r="311" spans="1:26" ht="14.4" x14ac:dyDescent="0.3">
      <c r="A311"/>
      <c r="B311"/>
      <c r="C311"/>
      <c r="D311"/>
      <c r="E311"/>
      <c r="F311"/>
      <c r="G311"/>
      <c r="H311"/>
      <c r="I311"/>
      <c r="J311"/>
      <c r="K311"/>
      <c r="L311"/>
      <c r="M311"/>
      <c r="N311"/>
      <c r="O311"/>
      <c r="P311"/>
      <c r="Q311"/>
      <c r="R311"/>
      <c r="S311"/>
      <c r="T311"/>
      <c r="U311"/>
      <c r="V311"/>
      <c r="W311"/>
      <c r="X311"/>
      <c r="Y311"/>
      <c r="Z311"/>
    </row>
    <row r="312" spans="1:26" ht="14.4" x14ac:dyDescent="0.3">
      <c r="A312"/>
      <c r="B312"/>
      <c r="C312"/>
      <c r="D312"/>
      <c r="E312"/>
      <c r="F312"/>
      <c r="G312"/>
      <c r="H312"/>
      <c r="I312"/>
      <c r="J312"/>
      <c r="K312"/>
      <c r="L312"/>
      <c r="M312"/>
      <c r="N312"/>
      <c r="O312"/>
      <c r="P312"/>
      <c r="Q312"/>
      <c r="R312"/>
      <c r="S312"/>
      <c r="T312"/>
      <c r="U312"/>
      <c r="V312"/>
      <c r="W312"/>
      <c r="X312"/>
      <c r="Y312"/>
      <c r="Z312"/>
    </row>
    <row r="313" spans="1:26" ht="14.4" x14ac:dyDescent="0.3">
      <c r="A313"/>
      <c r="B313"/>
      <c r="C313"/>
      <c r="D313"/>
      <c r="E313"/>
      <c r="F313"/>
      <c r="G313"/>
      <c r="H313"/>
      <c r="I313"/>
      <c r="J313"/>
      <c r="K313"/>
      <c r="L313"/>
      <c r="M313"/>
      <c r="N313"/>
      <c r="O313"/>
      <c r="P313"/>
      <c r="Q313"/>
      <c r="R313"/>
      <c r="S313"/>
      <c r="T313"/>
      <c r="U313"/>
      <c r="V313"/>
      <c r="W313"/>
      <c r="X313"/>
      <c r="Y313"/>
      <c r="Z313"/>
    </row>
    <row r="314" spans="1:26" ht="14.4" x14ac:dyDescent="0.3">
      <c r="A314"/>
      <c r="B314"/>
      <c r="C314"/>
      <c r="D314"/>
      <c r="E314"/>
      <c r="F314"/>
      <c r="G314"/>
      <c r="H314"/>
      <c r="I314"/>
      <c r="J314"/>
      <c r="K314"/>
      <c r="L314"/>
      <c r="M314"/>
      <c r="N314"/>
      <c r="O314"/>
      <c r="P314"/>
      <c r="Q314"/>
      <c r="R314"/>
      <c r="S314"/>
      <c r="T314"/>
      <c r="U314"/>
      <c r="V314"/>
      <c r="W314"/>
      <c r="X314"/>
      <c r="Y314"/>
      <c r="Z314"/>
    </row>
    <row r="315" spans="1:26" ht="14.4" x14ac:dyDescent="0.3">
      <c r="A315"/>
      <c r="B315"/>
      <c r="C315"/>
      <c r="D315"/>
      <c r="E315"/>
      <c r="F315"/>
      <c r="G315"/>
      <c r="H315"/>
      <c r="I315"/>
      <c r="J315"/>
      <c r="K315"/>
      <c r="L315"/>
      <c r="M315"/>
      <c r="N315"/>
      <c r="O315"/>
      <c r="P315"/>
      <c r="Q315"/>
      <c r="R315"/>
      <c r="S315"/>
      <c r="T315"/>
      <c r="U315"/>
      <c r="V315"/>
      <c r="W315"/>
      <c r="X315"/>
      <c r="Y315"/>
      <c r="Z315"/>
    </row>
    <row r="316" spans="1:26" ht="14.4" x14ac:dyDescent="0.3">
      <c r="A316"/>
      <c r="B316"/>
      <c r="C316"/>
      <c r="D316"/>
      <c r="E316"/>
      <c r="F316"/>
      <c r="G316"/>
      <c r="H316"/>
      <c r="I316"/>
      <c r="J316"/>
      <c r="K316"/>
      <c r="L316"/>
      <c r="M316"/>
      <c r="N316"/>
      <c r="O316"/>
      <c r="P316"/>
      <c r="Q316"/>
      <c r="R316"/>
      <c r="S316"/>
      <c r="T316"/>
      <c r="U316"/>
      <c r="V316"/>
      <c r="W316"/>
      <c r="X316"/>
      <c r="Y316"/>
      <c r="Z316"/>
    </row>
    <row r="317" spans="1:26" ht="14.4" x14ac:dyDescent="0.3">
      <c r="A317"/>
      <c r="B317"/>
      <c r="C317"/>
      <c r="D317"/>
      <c r="E317"/>
      <c r="F317"/>
      <c r="G317"/>
      <c r="H317"/>
      <c r="I317"/>
      <c r="J317"/>
      <c r="K317"/>
      <c r="L317"/>
      <c r="M317"/>
      <c r="N317"/>
      <c r="O317"/>
      <c r="P317"/>
      <c r="Q317"/>
      <c r="R317"/>
      <c r="S317"/>
      <c r="T317"/>
      <c r="U317"/>
      <c r="V317"/>
      <c r="W317"/>
      <c r="X317"/>
      <c r="Y317"/>
      <c r="Z317"/>
    </row>
    <row r="318" spans="1:26" ht="14.4" x14ac:dyDescent="0.3">
      <c r="A318"/>
      <c r="B318"/>
      <c r="C318"/>
      <c r="D318"/>
      <c r="E318"/>
      <c r="F318"/>
      <c r="G318"/>
      <c r="H318"/>
      <c r="I318"/>
      <c r="J318"/>
      <c r="K318"/>
      <c r="L318"/>
      <c r="M318"/>
      <c r="N318"/>
      <c r="O318"/>
      <c r="P318"/>
      <c r="Q318"/>
      <c r="R318"/>
      <c r="S318"/>
      <c r="T318"/>
      <c r="U318"/>
      <c r="V318"/>
      <c r="W318"/>
      <c r="X318"/>
      <c r="Y318"/>
      <c r="Z318"/>
    </row>
    <row r="319" spans="1:26" ht="14.4" x14ac:dyDescent="0.3">
      <c r="A319"/>
      <c r="B319"/>
      <c r="C319"/>
      <c r="D319"/>
      <c r="E319"/>
      <c r="F319"/>
      <c r="G319"/>
      <c r="H319"/>
      <c r="I319"/>
      <c r="J319"/>
      <c r="K319"/>
      <c r="L319"/>
      <c r="M319"/>
      <c r="N319"/>
      <c r="O319"/>
      <c r="P319"/>
      <c r="Q319"/>
      <c r="R319"/>
      <c r="S319"/>
      <c r="T319"/>
      <c r="U319"/>
      <c r="V319"/>
      <c r="W319"/>
      <c r="X319"/>
      <c r="Y319"/>
      <c r="Z319"/>
    </row>
    <row r="320" spans="1:26" ht="14.4" x14ac:dyDescent="0.3">
      <c r="A320"/>
      <c r="B320"/>
      <c r="C320"/>
      <c r="D320"/>
      <c r="E320"/>
      <c r="F320"/>
      <c r="G320"/>
      <c r="H320"/>
      <c r="I320"/>
      <c r="J320"/>
      <c r="K320"/>
      <c r="L320"/>
      <c r="M320"/>
      <c r="N320"/>
      <c r="O320"/>
      <c r="P320"/>
      <c r="Q320"/>
      <c r="R320"/>
      <c r="S320"/>
      <c r="T320"/>
      <c r="U320"/>
      <c r="V320"/>
      <c r="W320"/>
      <c r="X320"/>
      <c r="Y320"/>
      <c r="Z320"/>
    </row>
    <row r="321" spans="1:26" ht="14.4" x14ac:dyDescent="0.3">
      <c r="A321"/>
      <c r="B321"/>
      <c r="C321"/>
      <c r="D321"/>
      <c r="E321"/>
      <c r="F321"/>
      <c r="G321"/>
      <c r="H321"/>
      <c r="I321"/>
      <c r="J321"/>
      <c r="K321"/>
      <c r="L321"/>
      <c r="M321"/>
      <c r="N321"/>
      <c r="O321"/>
      <c r="P321"/>
      <c r="Q321"/>
      <c r="R321"/>
      <c r="S321"/>
      <c r="T321"/>
      <c r="U321"/>
      <c r="V321"/>
      <c r="W321"/>
      <c r="X321"/>
      <c r="Y321"/>
      <c r="Z321"/>
    </row>
    <row r="322" spans="1:26" ht="14.4" x14ac:dyDescent="0.3">
      <c r="A322"/>
      <c r="B322"/>
      <c r="C322"/>
      <c r="D322"/>
      <c r="E322"/>
      <c r="F322"/>
      <c r="G322"/>
      <c r="H322"/>
      <c r="I322"/>
      <c r="J322"/>
      <c r="K322"/>
      <c r="L322"/>
      <c r="M322"/>
      <c r="N322"/>
      <c r="O322"/>
      <c r="P322"/>
      <c r="Q322"/>
      <c r="R322"/>
      <c r="S322"/>
      <c r="T322"/>
      <c r="U322"/>
      <c r="V322"/>
      <c r="W322"/>
      <c r="X322"/>
      <c r="Y322"/>
      <c r="Z322"/>
    </row>
    <row r="323" spans="1:26" ht="14.4" x14ac:dyDescent="0.3">
      <c r="A323"/>
      <c r="B323"/>
      <c r="C323"/>
      <c r="D323"/>
      <c r="E323"/>
      <c r="F323"/>
      <c r="G323"/>
      <c r="H323"/>
      <c r="I323"/>
      <c r="J323"/>
      <c r="K323"/>
      <c r="L323"/>
      <c r="M323"/>
      <c r="N323"/>
      <c r="O323"/>
      <c r="P323"/>
      <c r="Q323"/>
      <c r="R323"/>
      <c r="S323"/>
      <c r="T323"/>
      <c r="U323"/>
      <c r="V323"/>
      <c r="W323"/>
      <c r="X323"/>
      <c r="Y323"/>
      <c r="Z323"/>
    </row>
    <row r="324" spans="1:26" ht="14.4" x14ac:dyDescent="0.3">
      <c r="A324"/>
      <c r="B324"/>
      <c r="C324"/>
      <c r="D324"/>
      <c r="E324"/>
      <c r="F324"/>
      <c r="G324"/>
      <c r="H324"/>
      <c r="I324"/>
      <c r="J324"/>
      <c r="K324"/>
      <c r="L324"/>
      <c r="M324"/>
      <c r="N324"/>
      <c r="O324"/>
      <c r="P324"/>
      <c r="Q324"/>
      <c r="R324"/>
      <c r="S324"/>
      <c r="T324"/>
      <c r="U324"/>
      <c r="V324"/>
      <c r="W324"/>
      <c r="X324"/>
      <c r="Y324"/>
      <c r="Z324"/>
    </row>
    <row r="325" spans="1:26" ht="14.4" x14ac:dyDescent="0.3">
      <c r="A325"/>
      <c r="B325"/>
      <c r="C325"/>
      <c r="D325"/>
      <c r="E325"/>
      <c r="F325"/>
      <c r="G325"/>
      <c r="H325"/>
      <c r="I325"/>
      <c r="J325"/>
      <c r="K325"/>
      <c r="L325"/>
      <c r="M325"/>
      <c r="N325"/>
      <c r="O325"/>
      <c r="P325"/>
      <c r="Q325"/>
      <c r="R325"/>
      <c r="S325"/>
      <c r="T325"/>
      <c r="U325"/>
      <c r="V325"/>
      <c r="W325"/>
      <c r="X325"/>
      <c r="Y325"/>
      <c r="Z325"/>
    </row>
    <row r="326" spans="1:26" ht="14.4" x14ac:dyDescent="0.3">
      <c r="A326"/>
      <c r="B326"/>
      <c r="C326"/>
      <c r="D326"/>
      <c r="E326"/>
      <c r="F326"/>
      <c r="G326"/>
      <c r="H326"/>
      <c r="I326"/>
      <c r="J326"/>
      <c r="K326"/>
      <c r="L326"/>
      <c r="M326"/>
      <c r="N326"/>
      <c r="O326"/>
      <c r="P326"/>
      <c r="Q326"/>
      <c r="R326"/>
      <c r="S326"/>
      <c r="T326"/>
      <c r="U326"/>
      <c r="V326"/>
      <c r="W326"/>
      <c r="X326"/>
      <c r="Y326"/>
      <c r="Z326"/>
    </row>
    <row r="327" spans="1:26" ht="14.4" x14ac:dyDescent="0.3">
      <c r="A327"/>
      <c r="B327"/>
      <c r="C327"/>
      <c r="D327"/>
      <c r="E327"/>
      <c r="F327"/>
      <c r="G327"/>
      <c r="H327"/>
      <c r="I327"/>
      <c r="J327"/>
      <c r="K327"/>
      <c r="L327"/>
      <c r="M327"/>
      <c r="N327"/>
      <c r="O327"/>
      <c r="P327"/>
      <c r="Q327"/>
      <c r="R327"/>
      <c r="S327"/>
      <c r="T327"/>
      <c r="U327"/>
      <c r="V327"/>
      <c r="W327"/>
      <c r="X327"/>
      <c r="Y327"/>
      <c r="Z327"/>
    </row>
    <row r="328" spans="1:26" ht="14.4" x14ac:dyDescent="0.3">
      <c r="A328"/>
      <c r="B328"/>
      <c r="C328"/>
      <c r="D328"/>
      <c r="E328"/>
      <c r="F328"/>
      <c r="G328"/>
      <c r="H328"/>
      <c r="I328"/>
      <c r="J328"/>
      <c r="K328"/>
      <c r="L328"/>
      <c r="M328"/>
      <c r="N328"/>
      <c r="O328"/>
      <c r="P328"/>
      <c r="Q328"/>
      <c r="R328"/>
      <c r="S328"/>
      <c r="T328"/>
      <c r="U328"/>
      <c r="V328"/>
      <c r="W328"/>
      <c r="X328"/>
      <c r="Y328"/>
      <c r="Z328"/>
    </row>
    <row r="329" spans="1:26" ht="14.4" x14ac:dyDescent="0.3">
      <c r="A329"/>
      <c r="B329"/>
      <c r="C329"/>
      <c r="D329"/>
      <c r="E329"/>
      <c r="F329"/>
      <c r="G329"/>
      <c r="H329"/>
      <c r="I329"/>
      <c r="J329"/>
      <c r="K329"/>
      <c r="L329"/>
      <c r="M329"/>
      <c r="N329"/>
      <c r="O329"/>
      <c r="P329"/>
      <c r="Q329"/>
      <c r="R329"/>
      <c r="S329"/>
      <c r="T329"/>
      <c r="U329"/>
      <c r="V329"/>
      <c r="W329"/>
      <c r="X329"/>
      <c r="Y329"/>
      <c r="Z329"/>
    </row>
    <row r="330" spans="1:26" ht="14.4" x14ac:dyDescent="0.3">
      <c r="A330"/>
      <c r="B330"/>
      <c r="C330"/>
      <c r="D330"/>
      <c r="E330"/>
      <c r="F330"/>
      <c r="G330"/>
      <c r="H330"/>
      <c r="I330"/>
      <c r="J330"/>
      <c r="K330"/>
      <c r="L330"/>
      <c r="M330"/>
      <c r="N330"/>
      <c r="O330"/>
      <c r="P330"/>
      <c r="Q330"/>
      <c r="R330"/>
      <c r="S330"/>
      <c r="T330"/>
      <c r="U330"/>
      <c r="V330"/>
      <c r="W330"/>
      <c r="X330"/>
      <c r="Y330"/>
      <c r="Z330"/>
    </row>
    <row r="331" spans="1:26" ht="14.4" x14ac:dyDescent="0.3">
      <c r="A331"/>
      <c r="B331"/>
      <c r="C331"/>
      <c r="D331"/>
      <c r="E331"/>
      <c r="F331"/>
      <c r="G331"/>
      <c r="H331"/>
      <c r="I331"/>
      <c r="J331"/>
      <c r="K331"/>
      <c r="L331"/>
      <c r="M331"/>
      <c r="N331"/>
      <c r="O331"/>
      <c r="P331"/>
      <c r="Q331"/>
      <c r="R331"/>
      <c r="S331"/>
      <c r="T331"/>
      <c r="U331"/>
      <c r="V331"/>
      <c r="W331"/>
      <c r="X331"/>
      <c r="Y331"/>
      <c r="Z331"/>
    </row>
    <row r="332" spans="1:26" ht="14.4" x14ac:dyDescent="0.3">
      <c r="A332"/>
      <c r="B332"/>
      <c r="C332"/>
      <c r="D332"/>
      <c r="E332"/>
      <c r="F332"/>
      <c r="G332"/>
      <c r="H332"/>
      <c r="I332"/>
      <c r="J332"/>
      <c r="K332"/>
      <c r="L332"/>
      <c r="M332"/>
      <c r="N332"/>
      <c r="O332"/>
      <c r="P332"/>
      <c r="Q332"/>
      <c r="R332"/>
      <c r="S332"/>
      <c r="T332"/>
      <c r="U332"/>
      <c r="V332"/>
      <c r="W332"/>
      <c r="X332"/>
      <c r="Y332"/>
      <c r="Z332"/>
    </row>
    <row r="333" spans="1:26" ht="14.4" x14ac:dyDescent="0.3">
      <c r="A333"/>
      <c r="B333"/>
      <c r="C333"/>
      <c r="D333"/>
      <c r="E333"/>
      <c r="F333"/>
      <c r="G333"/>
      <c r="H333"/>
      <c r="I333"/>
      <c r="J333"/>
      <c r="K333"/>
      <c r="L333"/>
      <c r="M333"/>
      <c r="N333"/>
      <c r="O333"/>
      <c r="P333"/>
      <c r="Q333"/>
      <c r="R333"/>
      <c r="S333"/>
      <c r="T333"/>
      <c r="U333"/>
      <c r="V333"/>
      <c r="W333"/>
      <c r="X333"/>
      <c r="Y333"/>
      <c r="Z333"/>
    </row>
    <row r="334" spans="1:26" ht="14.4" x14ac:dyDescent="0.3">
      <c r="A334"/>
      <c r="B334"/>
      <c r="C334"/>
      <c r="D334"/>
      <c r="E334"/>
      <c r="F334"/>
      <c r="G334"/>
      <c r="H334"/>
      <c r="I334"/>
      <c r="J334"/>
      <c r="K334"/>
      <c r="L334"/>
      <c r="M334"/>
      <c r="N334"/>
      <c r="O334"/>
      <c r="P334"/>
      <c r="Q334"/>
      <c r="R334"/>
      <c r="S334"/>
      <c r="T334"/>
      <c r="U334"/>
      <c r="V334"/>
      <c r="W334"/>
      <c r="X334"/>
      <c r="Y334"/>
      <c r="Z334"/>
    </row>
    <row r="335" spans="1:26" ht="14.4" x14ac:dyDescent="0.3">
      <c r="A335"/>
      <c r="B335"/>
      <c r="C335"/>
      <c r="D335"/>
      <c r="E335"/>
      <c r="F335"/>
      <c r="G335"/>
      <c r="H335"/>
      <c r="I335"/>
      <c r="J335"/>
      <c r="K335"/>
      <c r="L335"/>
      <c r="M335"/>
      <c r="N335"/>
      <c r="O335"/>
      <c r="P335"/>
      <c r="Q335"/>
      <c r="R335"/>
      <c r="S335"/>
      <c r="T335"/>
      <c r="U335"/>
      <c r="V335"/>
      <c r="W335"/>
      <c r="X335"/>
      <c r="Y335"/>
      <c r="Z335"/>
    </row>
    <row r="336" spans="1:26" ht="14.4" x14ac:dyDescent="0.3">
      <c r="A336"/>
      <c r="B336"/>
      <c r="C336"/>
      <c r="D336"/>
      <c r="E336"/>
      <c r="F336"/>
      <c r="G336"/>
      <c r="H336"/>
      <c r="I336"/>
      <c r="J336"/>
      <c r="K336"/>
      <c r="L336"/>
      <c r="M336"/>
      <c r="N336"/>
      <c r="O336"/>
      <c r="P336"/>
      <c r="Q336"/>
      <c r="R336"/>
      <c r="S336"/>
      <c r="T336"/>
      <c r="U336"/>
      <c r="V336"/>
      <c r="W336"/>
      <c r="X336"/>
      <c r="Y336"/>
      <c r="Z336"/>
    </row>
    <row r="337" spans="1:26" ht="14.4" x14ac:dyDescent="0.3">
      <c r="A337"/>
      <c r="B337"/>
      <c r="C337"/>
      <c r="D337"/>
      <c r="E337"/>
      <c r="F337"/>
      <c r="G337"/>
      <c r="H337"/>
      <c r="I337"/>
      <c r="J337"/>
      <c r="K337"/>
      <c r="L337"/>
      <c r="M337"/>
      <c r="N337"/>
      <c r="O337"/>
      <c r="P337"/>
      <c r="Q337"/>
      <c r="R337"/>
      <c r="S337"/>
      <c r="T337"/>
      <c r="U337"/>
      <c r="V337"/>
      <c r="W337"/>
      <c r="X337"/>
      <c r="Y337"/>
      <c r="Z337"/>
    </row>
    <row r="338" spans="1:26" ht="14.4" x14ac:dyDescent="0.3">
      <c r="A338"/>
      <c r="B338"/>
      <c r="C338"/>
      <c r="D338"/>
      <c r="E338"/>
      <c r="F338"/>
      <c r="G338"/>
      <c r="H338"/>
      <c r="I338"/>
      <c r="J338"/>
      <c r="K338"/>
      <c r="L338"/>
      <c r="M338"/>
      <c r="N338"/>
      <c r="O338"/>
      <c r="P338"/>
      <c r="Q338"/>
      <c r="R338"/>
      <c r="S338"/>
      <c r="T338"/>
      <c r="U338"/>
      <c r="V338"/>
      <c r="W338"/>
      <c r="X338"/>
      <c r="Y338"/>
      <c r="Z338"/>
    </row>
    <row r="339" spans="1:26" ht="14.4" x14ac:dyDescent="0.3">
      <c r="A339"/>
      <c r="B339"/>
      <c r="C339"/>
      <c r="D339"/>
      <c r="E339"/>
      <c r="F339"/>
      <c r="G339"/>
      <c r="H339"/>
      <c r="I339"/>
      <c r="J339"/>
      <c r="K339"/>
      <c r="L339"/>
      <c r="M339"/>
      <c r="N339"/>
      <c r="O339"/>
      <c r="P339"/>
      <c r="Q339"/>
      <c r="R339"/>
      <c r="S339"/>
      <c r="T339"/>
      <c r="U339"/>
      <c r="V339"/>
      <c r="W339"/>
      <c r="X339"/>
      <c r="Y339"/>
      <c r="Z339"/>
    </row>
    <row r="340" spans="1:26" ht="14.4" x14ac:dyDescent="0.3">
      <c r="A340"/>
      <c r="B340"/>
      <c r="C340"/>
      <c r="D340"/>
      <c r="E340"/>
      <c r="F340"/>
      <c r="G340"/>
      <c r="H340"/>
      <c r="I340"/>
      <c r="J340"/>
      <c r="K340"/>
      <c r="L340"/>
      <c r="M340"/>
      <c r="N340"/>
      <c r="O340"/>
      <c r="P340"/>
      <c r="Q340"/>
      <c r="R340"/>
      <c r="S340"/>
      <c r="T340"/>
      <c r="U340"/>
      <c r="V340"/>
      <c r="W340"/>
      <c r="X340"/>
      <c r="Y340"/>
      <c r="Z340"/>
    </row>
    <row r="341" spans="1:26" ht="14.4" x14ac:dyDescent="0.3">
      <c r="A341"/>
      <c r="B341"/>
      <c r="C341"/>
      <c r="D341"/>
      <c r="E341"/>
      <c r="F341"/>
      <c r="G341"/>
      <c r="H341"/>
      <c r="I341"/>
      <c r="J341"/>
      <c r="K341"/>
      <c r="L341"/>
      <c r="M341"/>
      <c r="N341"/>
      <c r="O341"/>
      <c r="P341"/>
      <c r="Q341"/>
      <c r="R341"/>
      <c r="S341"/>
      <c r="T341"/>
      <c r="U341"/>
      <c r="V341"/>
      <c r="W341"/>
      <c r="X341"/>
      <c r="Y341"/>
      <c r="Z341"/>
    </row>
    <row r="342" spans="1:26" ht="14.4" x14ac:dyDescent="0.3">
      <c r="A342"/>
      <c r="B342"/>
      <c r="C342"/>
      <c r="D342"/>
      <c r="E342"/>
      <c r="F342"/>
      <c r="G342"/>
      <c r="H342"/>
      <c r="I342"/>
      <c r="J342"/>
      <c r="K342"/>
      <c r="L342"/>
      <c r="M342"/>
      <c r="N342"/>
      <c r="O342"/>
      <c r="P342"/>
      <c r="Q342"/>
      <c r="R342"/>
      <c r="S342"/>
      <c r="T342"/>
      <c r="U342"/>
      <c r="V342"/>
      <c r="W342"/>
      <c r="X342"/>
      <c r="Y342"/>
      <c r="Z342"/>
    </row>
    <row r="343" spans="1:26" ht="14.4" x14ac:dyDescent="0.3">
      <c r="A343"/>
      <c r="B343"/>
      <c r="C343"/>
      <c r="D343"/>
      <c r="E343"/>
      <c r="F343"/>
      <c r="G343"/>
      <c r="H343"/>
      <c r="I343"/>
      <c r="J343"/>
      <c r="K343"/>
      <c r="L343"/>
      <c r="M343"/>
      <c r="N343"/>
      <c r="O343"/>
      <c r="P343"/>
      <c r="Q343"/>
      <c r="R343"/>
      <c r="S343"/>
      <c r="T343"/>
      <c r="U343"/>
      <c r="V343"/>
      <c r="W343"/>
      <c r="X343"/>
      <c r="Y343"/>
      <c r="Z343"/>
    </row>
    <row r="344" spans="1:26" ht="14.4" x14ac:dyDescent="0.3">
      <c r="A344"/>
      <c r="B344"/>
      <c r="C344"/>
      <c r="D344"/>
      <c r="E344"/>
      <c r="F344"/>
      <c r="G344"/>
      <c r="H344"/>
      <c r="I344"/>
      <c r="J344"/>
      <c r="K344"/>
      <c r="L344"/>
      <c r="M344"/>
      <c r="N344"/>
      <c r="O344"/>
      <c r="P344"/>
      <c r="Q344"/>
      <c r="R344"/>
      <c r="S344"/>
      <c r="T344"/>
      <c r="U344"/>
      <c r="V344"/>
      <c r="W344"/>
      <c r="X344"/>
      <c r="Y344"/>
      <c r="Z344"/>
    </row>
    <row r="345" spans="1:26" ht="14.4" x14ac:dyDescent="0.3">
      <c r="A345"/>
      <c r="B345"/>
      <c r="C345"/>
      <c r="D345"/>
      <c r="E345"/>
      <c r="F345"/>
      <c r="G345"/>
      <c r="H345"/>
      <c r="I345"/>
      <c r="J345"/>
      <c r="K345"/>
      <c r="L345"/>
      <c r="M345"/>
      <c r="N345"/>
      <c r="O345"/>
      <c r="P345"/>
      <c r="Q345"/>
      <c r="R345"/>
      <c r="S345"/>
      <c r="T345"/>
      <c r="U345"/>
      <c r="V345"/>
      <c r="W345"/>
      <c r="X345"/>
      <c r="Y345"/>
      <c r="Z345"/>
    </row>
    <row r="346" spans="1:26" ht="14.4" x14ac:dyDescent="0.3">
      <c r="A346"/>
      <c r="B346"/>
      <c r="C346"/>
      <c r="D346"/>
      <c r="E346"/>
      <c r="F346"/>
      <c r="G346"/>
      <c r="H346"/>
      <c r="I346"/>
      <c r="J346"/>
      <c r="K346"/>
      <c r="L346"/>
      <c r="M346"/>
      <c r="N346"/>
      <c r="O346"/>
      <c r="P346"/>
      <c r="Q346"/>
      <c r="R346"/>
      <c r="S346"/>
      <c r="T346"/>
      <c r="U346"/>
      <c r="V346"/>
      <c r="W346"/>
      <c r="X346"/>
      <c r="Y346"/>
      <c r="Z346"/>
    </row>
    <row r="347" spans="1:26" ht="14.4" x14ac:dyDescent="0.3">
      <c r="A347"/>
      <c r="B347"/>
      <c r="C347"/>
      <c r="D347"/>
      <c r="E347"/>
      <c r="F347"/>
      <c r="G347"/>
      <c r="H347"/>
      <c r="I347"/>
      <c r="J347"/>
      <c r="K347"/>
      <c r="L347"/>
      <c r="M347"/>
      <c r="N347"/>
      <c r="O347"/>
      <c r="P347"/>
      <c r="Q347"/>
      <c r="R347"/>
      <c r="S347"/>
      <c r="T347"/>
      <c r="U347"/>
      <c r="V347"/>
      <c r="W347"/>
      <c r="X347"/>
      <c r="Y347"/>
      <c r="Z347"/>
    </row>
    <row r="348" spans="1:26" ht="14.4" x14ac:dyDescent="0.3">
      <c r="A348"/>
      <c r="B348"/>
      <c r="C348"/>
      <c r="D348"/>
      <c r="E348"/>
      <c r="F348"/>
      <c r="G348"/>
      <c r="H348"/>
      <c r="I348"/>
      <c r="J348"/>
      <c r="K348"/>
      <c r="L348"/>
      <c r="M348"/>
      <c r="N348"/>
      <c r="O348"/>
      <c r="P348"/>
      <c r="Q348"/>
      <c r="R348"/>
      <c r="S348"/>
      <c r="T348"/>
      <c r="U348"/>
      <c r="V348"/>
      <c r="W348"/>
      <c r="X348"/>
      <c r="Y348"/>
      <c r="Z348"/>
    </row>
    <row r="349" spans="1:26" ht="14.4" x14ac:dyDescent="0.3">
      <c r="A349"/>
      <c r="B349"/>
      <c r="C349"/>
      <c r="D349"/>
      <c r="E349"/>
      <c r="F349"/>
      <c r="G349"/>
      <c r="H349"/>
      <c r="I349"/>
      <c r="J349"/>
      <c r="K349"/>
      <c r="L349"/>
      <c r="M349"/>
      <c r="N349"/>
      <c r="O349"/>
      <c r="P349"/>
      <c r="Q349"/>
      <c r="R349"/>
      <c r="S349"/>
      <c r="T349"/>
      <c r="U349"/>
      <c r="V349"/>
      <c r="W349"/>
      <c r="X349"/>
      <c r="Y349"/>
      <c r="Z349"/>
    </row>
    <row r="350" spans="1:26" ht="14.4" x14ac:dyDescent="0.3">
      <c r="A350"/>
      <c r="B350"/>
      <c r="C350"/>
      <c r="D350"/>
      <c r="E350"/>
      <c r="F350"/>
      <c r="G350"/>
      <c r="H350"/>
      <c r="I350"/>
      <c r="J350"/>
      <c r="K350"/>
      <c r="L350"/>
      <c r="M350"/>
      <c r="N350"/>
      <c r="O350"/>
      <c r="P350"/>
      <c r="Q350"/>
      <c r="R350"/>
      <c r="S350"/>
      <c r="T350"/>
      <c r="U350"/>
      <c r="V350"/>
      <c r="W350"/>
      <c r="X350"/>
      <c r="Y350"/>
      <c r="Z350"/>
    </row>
    <row r="351" spans="1:26" ht="14.4" x14ac:dyDescent="0.3">
      <c r="A351"/>
      <c r="B351"/>
      <c r="C351"/>
      <c r="D351"/>
      <c r="E351"/>
      <c r="F351"/>
      <c r="G351"/>
      <c r="H351"/>
      <c r="I351"/>
      <c r="J351"/>
      <c r="K351"/>
      <c r="L351"/>
      <c r="M351"/>
      <c r="N351"/>
      <c r="O351"/>
      <c r="P351"/>
      <c r="Q351"/>
      <c r="R351"/>
      <c r="S351"/>
      <c r="T351"/>
      <c r="U351"/>
      <c r="V351"/>
      <c r="W351"/>
      <c r="X351"/>
      <c r="Y351"/>
      <c r="Z351"/>
    </row>
    <row r="352" spans="1:26" ht="14.4" x14ac:dyDescent="0.3">
      <c r="A352"/>
      <c r="B352"/>
      <c r="C352"/>
      <c r="D352"/>
      <c r="E352"/>
      <c r="F352"/>
      <c r="G352"/>
      <c r="H352"/>
      <c r="I352"/>
      <c r="J352"/>
      <c r="K352"/>
      <c r="L352"/>
      <c r="M352"/>
      <c r="N352"/>
      <c r="O352"/>
      <c r="P352"/>
      <c r="Q352"/>
      <c r="R352"/>
      <c r="S352"/>
      <c r="T352"/>
      <c r="U352"/>
      <c r="V352"/>
      <c r="W352"/>
      <c r="X352"/>
      <c r="Y352"/>
      <c r="Z352"/>
    </row>
    <row r="353" spans="1:26" ht="14.4" x14ac:dyDescent="0.3">
      <c r="A353"/>
      <c r="B353"/>
      <c r="C353"/>
      <c r="D353"/>
      <c r="E353"/>
      <c r="F353"/>
      <c r="G353"/>
      <c r="H353"/>
      <c r="I353"/>
      <c r="J353"/>
      <c r="K353"/>
      <c r="L353"/>
      <c r="M353"/>
      <c r="N353"/>
      <c r="O353"/>
      <c r="P353"/>
      <c r="Q353"/>
      <c r="R353"/>
      <c r="S353"/>
      <c r="T353"/>
      <c r="U353"/>
      <c r="V353"/>
      <c r="W353"/>
      <c r="X353"/>
      <c r="Y353"/>
      <c r="Z353"/>
    </row>
    <row r="354" spans="1:26" ht="14.4" x14ac:dyDescent="0.3">
      <c r="A354"/>
      <c r="B354"/>
      <c r="C354"/>
      <c r="D354"/>
      <c r="E354"/>
      <c r="F354"/>
      <c r="G354"/>
      <c r="H354"/>
      <c r="I354"/>
      <c r="J354"/>
      <c r="K354"/>
      <c r="L354"/>
      <c r="M354"/>
      <c r="N354"/>
      <c r="O354"/>
      <c r="P354"/>
      <c r="Q354"/>
      <c r="R354"/>
      <c r="S354"/>
      <c r="T354"/>
      <c r="U354"/>
      <c r="V354"/>
      <c r="W354"/>
      <c r="X354"/>
      <c r="Y354"/>
      <c r="Z354"/>
    </row>
    <row r="355" spans="1:26" ht="14.4" x14ac:dyDescent="0.3">
      <c r="A355"/>
      <c r="B355"/>
      <c r="C355"/>
      <c r="D355"/>
      <c r="E355"/>
      <c r="F355"/>
      <c r="G355"/>
      <c r="H355"/>
      <c r="I355"/>
      <c r="J355"/>
      <c r="K355"/>
      <c r="L355"/>
      <c r="M355"/>
      <c r="N355"/>
      <c r="O355"/>
      <c r="P355"/>
      <c r="Q355"/>
      <c r="R355"/>
      <c r="S355"/>
      <c r="T355"/>
      <c r="U355"/>
      <c r="V355"/>
      <c r="W355"/>
      <c r="X355"/>
      <c r="Y355"/>
      <c r="Z355"/>
    </row>
    <row r="356" spans="1:26" ht="14.4" x14ac:dyDescent="0.3">
      <c r="A356"/>
      <c r="B356"/>
      <c r="C356"/>
      <c r="D356"/>
      <c r="E356"/>
      <c r="F356"/>
      <c r="G356"/>
      <c r="H356"/>
      <c r="I356"/>
      <c r="J356"/>
      <c r="K356"/>
      <c r="L356"/>
      <c r="M356"/>
      <c r="N356"/>
      <c r="O356"/>
      <c r="P356"/>
      <c r="Q356"/>
      <c r="R356"/>
      <c r="S356"/>
      <c r="T356"/>
      <c r="U356"/>
      <c r="V356"/>
      <c r="W356"/>
      <c r="X356"/>
      <c r="Y356"/>
      <c r="Z356"/>
    </row>
    <row r="357" spans="1:26" ht="14.4" x14ac:dyDescent="0.3">
      <c r="A357"/>
      <c r="B357"/>
      <c r="C357"/>
      <c r="D357"/>
      <c r="E357"/>
      <c r="F357"/>
      <c r="G357"/>
      <c r="H357"/>
      <c r="I357"/>
      <c r="J357"/>
      <c r="K357"/>
      <c r="L357"/>
      <c r="M357"/>
      <c r="N357"/>
      <c r="O357"/>
      <c r="P357"/>
      <c r="Q357"/>
      <c r="R357"/>
      <c r="S357"/>
      <c r="T357"/>
      <c r="U357"/>
      <c r="V357"/>
      <c r="W357"/>
      <c r="X357"/>
      <c r="Y357"/>
      <c r="Z357"/>
    </row>
    <row r="358" spans="1:26" ht="14.4" x14ac:dyDescent="0.3">
      <c r="A358"/>
      <c r="B358"/>
      <c r="C358"/>
      <c r="D358"/>
      <c r="E358"/>
      <c r="F358"/>
      <c r="G358"/>
      <c r="H358"/>
      <c r="I358"/>
      <c r="J358"/>
      <c r="K358"/>
      <c r="L358"/>
      <c r="M358"/>
      <c r="N358"/>
      <c r="O358"/>
      <c r="P358"/>
      <c r="Q358"/>
      <c r="R358"/>
      <c r="S358"/>
      <c r="T358"/>
      <c r="U358"/>
      <c r="V358"/>
      <c r="W358"/>
      <c r="X358"/>
      <c r="Y358"/>
      <c r="Z358"/>
    </row>
    <row r="359" spans="1:26" ht="14.4" x14ac:dyDescent="0.3">
      <c r="A359"/>
      <c r="B359"/>
      <c r="C359"/>
      <c r="D359"/>
      <c r="E359"/>
      <c r="F359"/>
      <c r="G359"/>
      <c r="H359"/>
      <c r="I359"/>
      <c r="J359"/>
      <c r="K359"/>
      <c r="L359"/>
      <c r="M359"/>
      <c r="N359"/>
      <c r="O359"/>
      <c r="P359"/>
      <c r="Q359"/>
      <c r="R359"/>
      <c r="S359"/>
      <c r="T359"/>
      <c r="U359"/>
      <c r="V359"/>
      <c r="W359"/>
      <c r="X359"/>
      <c r="Y359"/>
      <c r="Z359"/>
    </row>
    <row r="360" spans="1:26" ht="14.4" x14ac:dyDescent="0.3">
      <c r="A360"/>
      <c r="B360"/>
      <c r="C360"/>
      <c r="D360"/>
      <c r="E360"/>
      <c r="F360"/>
      <c r="G360"/>
      <c r="H360"/>
      <c r="I360"/>
      <c r="J360"/>
      <c r="K360"/>
      <c r="L360"/>
      <c r="M360"/>
      <c r="N360"/>
      <c r="O360"/>
      <c r="P360"/>
      <c r="Q360"/>
      <c r="R360"/>
      <c r="S360"/>
      <c r="T360"/>
      <c r="U360"/>
      <c r="V360"/>
      <c r="W360"/>
      <c r="X360"/>
      <c r="Y360"/>
      <c r="Z360"/>
    </row>
    <row r="361" spans="1:26" ht="14.4" x14ac:dyDescent="0.3">
      <c r="A361"/>
      <c r="B361"/>
      <c r="C361"/>
      <c r="D361"/>
      <c r="E361"/>
      <c r="F361"/>
      <c r="G361"/>
      <c r="H361"/>
      <c r="I361"/>
      <c r="J361"/>
      <c r="K361"/>
      <c r="L361"/>
      <c r="M361"/>
      <c r="N361"/>
      <c r="O361"/>
      <c r="P361"/>
      <c r="Q361"/>
      <c r="R361"/>
      <c r="S361"/>
      <c r="T361"/>
      <c r="U361"/>
      <c r="V361"/>
      <c r="W361"/>
      <c r="X361"/>
      <c r="Y361"/>
      <c r="Z361"/>
    </row>
    <row r="362" spans="1:26" ht="14.4" x14ac:dyDescent="0.3">
      <c r="A362"/>
      <c r="B362"/>
      <c r="C362"/>
      <c r="D362"/>
      <c r="E362"/>
      <c r="F362"/>
      <c r="G362"/>
      <c r="H362"/>
      <c r="I362"/>
      <c r="J362"/>
      <c r="K362"/>
      <c r="L362"/>
      <c r="M362"/>
      <c r="N362"/>
      <c r="O362"/>
      <c r="P362"/>
      <c r="Q362"/>
      <c r="R362"/>
      <c r="S362"/>
      <c r="T362"/>
      <c r="U362"/>
      <c r="V362"/>
      <c r="W362"/>
      <c r="X362"/>
      <c r="Y362"/>
      <c r="Z362"/>
    </row>
    <row r="363" spans="1:26" ht="14.4" x14ac:dyDescent="0.3">
      <c r="A363"/>
      <c r="B363"/>
      <c r="C363"/>
      <c r="D363"/>
      <c r="E363"/>
      <c r="F363"/>
      <c r="G363"/>
      <c r="H363"/>
      <c r="I363"/>
      <c r="J363"/>
      <c r="K363"/>
      <c r="L363"/>
      <c r="M363"/>
      <c r="N363"/>
      <c r="O363"/>
      <c r="P363"/>
      <c r="Q363"/>
      <c r="R363"/>
      <c r="S363"/>
      <c r="T363"/>
      <c r="U363"/>
      <c r="V363"/>
      <c r="W363"/>
      <c r="X363"/>
      <c r="Y363"/>
      <c r="Z363"/>
    </row>
    <row r="364" spans="1:26" ht="14.4" x14ac:dyDescent="0.3">
      <c r="A364"/>
      <c r="B364"/>
      <c r="C364"/>
      <c r="D364"/>
      <c r="E364"/>
      <c r="F364"/>
      <c r="G364"/>
      <c r="H364"/>
      <c r="I364"/>
      <c r="J364"/>
      <c r="K364"/>
      <c r="L364"/>
      <c r="M364"/>
      <c r="N364"/>
      <c r="O364"/>
      <c r="P364"/>
      <c r="Q364"/>
      <c r="R364"/>
      <c r="S364"/>
      <c r="T364"/>
      <c r="U364"/>
      <c r="V364"/>
      <c r="W364"/>
      <c r="X364"/>
      <c r="Y364"/>
      <c r="Z364"/>
    </row>
    <row r="365" spans="1:26" ht="14.4" x14ac:dyDescent="0.3">
      <c r="A365"/>
      <c r="B365"/>
      <c r="C365"/>
      <c r="D365"/>
      <c r="E365"/>
      <c r="F365"/>
      <c r="G365"/>
      <c r="H365"/>
      <c r="I365"/>
      <c r="J365"/>
      <c r="K365"/>
      <c r="L365"/>
      <c r="M365"/>
      <c r="N365"/>
      <c r="O365"/>
      <c r="P365"/>
      <c r="Q365"/>
      <c r="R365"/>
      <c r="S365"/>
      <c r="T365"/>
      <c r="U365"/>
      <c r="V365"/>
      <c r="W365"/>
      <c r="X365"/>
      <c r="Y365"/>
      <c r="Z365"/>
    </row>
    <row r="366" spans="1:26" ht="14.4" x14ac:dyDescent="0.3">
      <c r="A366"/>
      <c r="B366"/>
      <c r="C366"/>
      <c r="D366"/>
      <c r="E366"/>
      <c r="F366"/>
      <c r="G366"/>
      <c r="H366"/>
      <c r="I366"/>
      <c r="J366"/>
      <c r="K366"/>
      <c r="L366"/>
      <c r="M366"/>
      <c r="N366"/>
      <c r="O366"/>
      <c r="P366"/>
      <c r="Q366"/>
      <c r="R366"/>
      <c r="S366"/>
      <c r="T366"/>
      <c r="U366"/>
      <c r="V366"/>
      <c r="W366"/>
      <c r="X366"/>
      <c r="Y366"/>
      <c r="Z366"/>
    </row>
    <row r="367" spans="1:26" ht="14.4" x14ac:dyDescent="0.3">
      <c r="A367"/>
      <c r="B367"/>
      <c r="C367"/>
      <c r="D367"/>
      <c r="E367"/>
      <c r="F367"/>
      <c r="G367"/>
      <c r="H367"/>
      <c r="I367"/>
      <c r="J367"/>
      <c r="K367"/>
      <c r="L367"/>
      <c r="M367"/>
      <c r="N367"/>
      <c r="O367"/>
      <c r="P367"/>
      <c r="Q367"/>
      <c r="R367"/>
      <c r="S367"/>
      <c r="T367"/>
      <c r="U367"/>
      <c r="V367"/>
      <c r="W367"/>
      <c r="X367"/>
      <c r="Y367"/>
      <c r="Z367"/>
    </row>
    <row r="368" spans="1:26" ht="14.4" x14ac:dyDescent="0.3">
      <c r="A368"/>
      <c r="B368"/>
      <c r="C368"/>
      <c r="D368"/>
      <c r="E368"/>
      <c r="F368"/>
      <c r="G368"/>
      <c r="H368"/>
      <c r="I368"/>
      <c r="J368"/>
      <c r="K368"/>
      <c r="L368"/>
      <c r="M368"/>
      <c r="N368"/>
      <c r="O368"/>
      <c r="P368"/>
      <c r="Q368"/>
      <c r="R368"/>
      <c r="S368"/>
      <c r="T368"/>
      <c r="U368"/>
      <c r="V368"/>
      <c r="W368"/>
      <c r="X368"/>
      <c r="Y368"/>
      <c r="Z368"/>
    </row>
    <row r="369" spans="1:26" ht="14.4" x14ac:dyDescent="0.3">
      <c r="A369"/>
      <c r="B369"/>
      <c r="C369"/>
      <c r="D369"/>
      <c r="E369"/>
      <c r="F369"/>
      <c r="G369"/>
      <c r="H369"/>
      <c r="I369"/>
      <c r="J369"/>
      <c r="K369"/>
      <c r="L369"/>
      <c r="M369"/>
      <c r="N369"/>
      <c r="O369"/>
      <c r="P369"/>
      <c r="Q369"/>
      <c r="R369"/>
      <c r="S369"/>
      <c r="T369"/>
      <c r="U369"/>
      <c r="V369"/>
      <c r="W369"/>
      <c r="X369"/>
      <c r="Y369"/>
      <c r="Z369"/>
    </row>
    <row r="370" spans="1:26" ht="14.4" x14ac:dyDescent="0.3">
      <c r="A370"/>
      <c r="B370"/>
      <c r="C370"/>
      <c r="D370"/>
      <c r="E370"/>
      <c r="F370"/>
      <c r="G370"/>
      <c r="H370"/>
      <c r="I370"/>
      <c r="J370"/>
      <c r="K370"/>
      <c r="L370"/>
      <c r="M370"/>
      <c r="N370"/>
      <c r="O370"/>
      <c r="P370"/>
      <c r="Q370"/>
      <c r="R370"/>
      <c r="S370"/>
      <c r="T370"/>
      <c r="U370"/>
      <c r="V370"/>
      <c r="W370"/>
      <c r="X370"/>
      <c r="Y370"/>
      <c r="Z370"/>
    </row>
    <row r="371" spans="1:26" ht="14.4" x14ac:dyDescent="0.3">
      <c r="A371"/>
      <c r="B371"/>
      <c r="C371"/>
      <c r="D371"/>
      <c r="E371"/>
      <c r="F371"/>
      <c r="G371"/>
      <c r="H371"/>
      <c r="I371"/>
      <c r="J371"/>
      <c r="K371"/>
      <c r="L371"/>
      <c r="M371"/>
      <c r="N371"/>
      <c r="O371"/>
      <c r="P371"/>
      <c r="Q371"/>
      <c r="R371"/>
      <c r="S371"/>
      <c r="T371"/>
      <c r="U371"/>
      <c r="V371"/>
      <c r="W371"/>
      <c r="X371"/>
      <c r="Y371"/>
      <c r="Z371"/>
    </row>
    <row r="372" spans="1:26" ht="14.4" x14ac:dyDescent="0.3">
      <c r="A372"/>
      <c r="B372"/>
      <c r="C372"/>
      <c r="D372"/>
      <c r="E372"/>
      <c r="F372"/>
      <c r="G372"/>
      <c r="H372"/>
      <c r="I372"/>
      <c r="J372"/>
      <c r="K372"/>
      <c r="L372"/>
      <c r="M372"/>
      <c r="N372"/>
      <c r="O372"/>
      <c r="P372"/>
      <c r="Q372"/>
      <c r="R372"/>
      <c r="S372"/>
      <c r="T372"/>
      <c r="U372"/>
      <c r="V372"/>
      <c r="W372"/>
      <c r="X372"/>
      <c r="Y372"/>
      <c r="Z372"/>
    </row>
    <row r="373" spans="1:26" ht="14.4" x14ac:dyDescent="0.3">
      <c r="A373"/>
      <c r="B373"/>
      <c r="C373"/>
      <c r="D373"/>
      <c r="E373"/>
      <c r="F373"/>
      <c r="G373"/>
      <c r="H373"/>
      <c r="I373"/>
      <c r="J373"/>
      <c r="K373"/>
      <c r="L373"/>
      <c r="M373"/>
      <c r="N373"/>
      <c r="O373"/>
      <c r="P373"/>
      <c r="Q373"/>
      <c r="R373"/>
      <c r="S373"/>
      <c r="T373"/>
      <c r="U373"/>
      <c r="V373"/>
      <c r="W373"/>
      <c r="X373"/>
      <c r="Y373"/>
      <c r="Z373"/>
    </row>
    <row r="374" spans="1:26" ht="14.4" x14ac:dyDescent="0.3">
      <c r="A374"/>
      <c r="B374"/>
      <c r="C374"/>
      <c r="D374"/>
      <c r="E374"/>
      <c r="F374"/>
      <c r="G374"/>
      <c r="H374"/>
      <c r="I374"/>
      <c r="J374"/>
      <c r="K374"/>
      <c r="L374"/>
      <c r="M374"/>
      <c r="N374"/>
      <c r="O374"/>
      <c r="P374"/>
      <c r="Q374"/>
      <c r="R374"/>
      <c r="S374"/>
      <c r="T374"/>
      <c r="U374"/>
      <c r="V374"/>
      <c r="W374"/>
      <c r="X374"/>
      <c r="Y374"/>
      <c r="Z374"/>
    </row>
    <row r="375" spans="1:26" ht="14.4" x14ac:dyDescent="0.3">
      <c r="A375"/>
      <c r="B375"/>
      <c r="C375"/>
      <c r="D375"/>
      <c r="E375"/>
      <c r="F375"/>
      <c r="G375"/>
      <c r="H375"/>
      <c r="I375"/>
      <c r="J375"/>
      <c r="K375"/>
      <c r="L375"/>
      <c r="M375"/>
      <c r="N375"/>
      <c r="O375"/>
      <c r="P375"/>
      <c r="Q375"/>
      <c r="R375"/>
      <c r="S375"/>
      <c r="T375"/>
      <c r="U375"/>
      <c r="V375"/>
      <c r="W375"/>
      <c r="X375"/>
      <c r="Y375"/>
      <c r="Z375"/>
    </row>
    <row r="376" spans="1:26" ht="14.4" x14ac:dyDescent="0.3">
      <c r="A376"/>
      <c r="B376"/>
      <c r="C376"/>
      <c r="D376"/>
      <c r="E376"/>
      <c r="F376"/>
      <c r="G376"/>
      <c r="H376"/>
      <c r="I376"/>
      <c r="J376"/>
      <c r="K376"/>
      <c r="L376"/>
      <c r="M376"/>
      <c r="N376"/>
      <c r="O376"/>
      <c r="P376"/>
      <c r="Q376"/>
      <c r="R376"/>
      <c r="S376"/>
      <c r="T376"/>
      <c r="U376"/>
      <c r="V376"/>
      <c r="W376"/>
      <c r="X376"/>
      <c r="Y376"/>
      <c r="Z376"/>
    </row>
    <row r="377" spans="1:26" ht="14.4" x14ac:dyDescent="0.3">
      <c r="A377"/>
      <c r="B377"/>
      <c r="C377"/>
      <c r="D377"/>
      <c r="E377"/>
      <c r="F377"/>
      <c r="G377"/>
      <c r="H377"/>
      <c r="I377"/>
      <c r="J377"/>
      <c r="K377"/>
      <c r="L377"/>
      <c r="M377"/>
      <c r="N377"/>
      <c r="O377"/>
      <c r="P377"/>
      <c r="Q377"/>
      <c r="R377"/>
      <c r="S377"/>
      <c r="T377"/>
      <c r="U377"/>
      <c r="V377"/>
      <c r="W377"/>
      <c r="X377"/>
      <c r="Y377"/>
      <c r="Z377"/>
    </row>
    <row r="378" spans="1:26" ht="14.4" x14ac:dyDescent="0.3">
      <c r="A378"/>
      <c r="B378"/>
      <c r="C378"/>
      <c r="D378"/>
      <c r="E378"/>
      <c r="F378"/>
      <c r="G378"/>
      <c r="H378"/>
      <c r="I378"/>
      <c r="J378"/>
      <c r="K378"/>
      <c r="L378"/>
      <c r="M378"/>
      <c r="N378"/>
      <c r="O378"/>
      <c r="P378"/>
      <c r="Q378"/>
      <c r="R378"/>
      <c r="S378"/>
      <c r="T378"/>
      <c r="U378"/>
      <c r="V378"/>
      <c r="W378"/>
      <c r="X378"/>
      <c r="Y378"/>
      <c r="Z378"/>
    </row>
    <row r="379" spans="1:26" ht="14.4" x14ac:dyDescent="0.3">
      <c r="A379"/>
      <c r="B379"/>
      <c r="C379"/>
      <c r="D379"/>
      <c r="E379"/>
      <c r="F379"/>
      <c r="G379"/>
      <c r="H379"/>
      <c r="I379"/>
      <c r="J379"/>
      <c r="K379"/>
      <c r="L379"/>
      <c r="M379"/>
      <c r="N379"/>
      <c r="O379"/>
      <c r="P379"/>
      <c r="Q379"/>
      <c r="R379"/>
      <c r="S379"/>
      <c r="T379"/>
      <c r="U379"/>
      <c r="V379"/>
      <c r="W379"/>
      <c r="X379"/>
      <c r="Y379"/>
      <c r="Z379"/>
    </row>
    <row r="380" spans="1:26" ht="14.4" x14ac:dyDescent="0.3">
      <c r="A380"/>
      <c r="B380"/>
      <c r="C380"/>
      <c r="D380"/>
      <c r="E380"/>
      <c r="F380"/>
      <c r="G380"/>
      <c r="H380"/>
      <c r="I380"/>
      <c r="J380"/>
      <c r="K380"/>
      <c r="L380"/>
      <c r="M380"/>
      <c r="N380"/>
      <c r="O380"/>
      <c r="P380"/>
      <c r="Q380"/>
      <c r="R380"/>
      <c r="S380"/>
      <c r="T380"/>
      <c r="U380"/>
      <c r="V380"/>
      <c r="W380"/>
      <c r="X380"/>
      <c r="Y380"/>
      <c r="Z380"/>
    </row>
    <row r="381" spans="1:26" ht="14.4" x14ac:dyDescent="0.3">
      <c r="A381"/>
      <c r="B381"/>
      <c r="C381"/>
      <c r="D381"/>
      <c r="E381"/>
      <c r="F381"/>
      <c r="G381"/>
      <c r="H381"/>
      <c r="I381"/>
      <c r="J381"/>
      <c r="K381"/>
      <c r="L381"/>
      <c r="M381"/>
      <c r="N381"/>
      <c r="O381"/>
      <c r="P381"/>
      <c r="Q381"/>
      <c r="R381"/>
      <c r="S381"/>
      <c r="T381"/>
      <c r="U381"/>
      <c r="V381"/>
      <c r="W381"/>
      <c r="X381"/>
      <c r="Y381"/>
      <c r="Z381"/>
    </row>
    <row r="382" spans="1:26" ht="14.4" x14ac:dyDescent="0.3">
      <c r="A382"/>
      <c r="B382"/>
      <c r="C382"/>
      <c r="D382"/>
      <c r="E382"/>
      <c r="F382"/>
      <c r="G382"/>
      <c r="H382"/>
      <c r="I382"/>
      <c r="J382"/>
      <c r="K382"/>
      <c r="L382"/>
      <c r="M382"/>
      <c r="N382"/>
      <c r="O382"/>
      <c r="P382"/>
      <c r="Q382"/>
      <c r="R382"/>
      <c r="S382"/>
      <c r="T382"/>
      <c r="U382"/>
      <c r="V382"/>
      <c r="W382"/>
      <c r="X382"/>
      <c r="Y382"/>
      <c r="Z382"/>
    </row>
    <row r="383" spans="1:26" ht="14.4" x14ac:dyDescent="0.3">
      <c r="A383"/>
      <c r="B383"/>
      <c r="C383"/>
      <c r="D383"/>
      <c r="E383"/>
      <c r="F383"/>
      <c r="G383"/>
      <c r="H383"/>
      <c r="I383"/>
      <c r="J383"/>
      <c r="K383"/>
      <c r="L383"/>
      <c r="M383"/>
      <c r="N383"/>
      <c r="O383"/>
      <c r="P383"/>
      <c r="Q383"/>
      <c r="R383"/>
      <c r="S383"/>
      <c r="T383"/>
      <c r="U383"/>
      <c r="V383"/>
      <c r="W383"/>
      <c r="X383"/>
      <c r="Y383"/>
      <c r="Z383"/>
    </row>
    <row r="384" spans="1:26" ht="14.4" x14ac:dyDescent="0.3">
      <c r="A384"/>
      <c r="B384"/>
      <c r="C384"/>
      <c r="D384"/>
      <c r="E384"/>
      <c r="F384"/>
      <c r="G384"/>
      <c r="H384"/>
      <c r="I384"/>
      <c r="J384"/>
      <c r="K384"/>
      <c r="L384"/>
      <c r="M384"/>
      <c r="N384"/>
      <c r="O384"/>
      <c r="P384"/>
      <c r="Q384"/>
      <c r="R384"/>
      <c r="S384"/>
      <c r="T384"/>
      <c r="U384"/>
      <c r="V384"/>
      <c r="W384"/>
      <c r="X384"/>
      <c r="Y384"/>
      <c r="Z384"/>
    </row>
    <row r="385" spans="1:26" ht="14.4" x14ac:dyDescent="0.3">
      <c r="A385"/>
      <c r="B385"/>
      <c r="C385"/>
      <c r="D385"/>
      <c r="E385"/>
      <c r="F385"/>
      <c r="G385"/>
      <c r="H385"/>
      <c r="I385"/>
      <c r="J385"/>
      <c r="K385"/>
      <c r="L385"/>
      <c r="M385"/>
      <c r="N385"/>
      <c r="O385"/>
      <c r="P385"/>
      <c r="Q385"/>
      <c r="R385"/>
      <c r="S385"/>
      <c r="T385"/>
      <c r="U385"/>
      <c r="V385"/>
      <c r="W385"/>
      <c r="X385"/>
      <c r="Y385"/>
      <c r="Z385"/>
    </row>
    <row r="386" spans="1:26" ht="14.4" x14ac:dyDescent="0.3">
      <c r="I386"/>
      <c r="J386"/>
      <c r="K386"/>
      <c r="L386"/>
      <c r="M386"/>
      <c r="N386"/>
      <c r="O386"/>
      <c r="P386"/>
      <c r="Q386"/>
    </row>
  </sheetData>
  <sheetProtection algorithmName="SHA-512" hashValue="HchgMYO3G/XPo4ozPAj3xSTdA+H+uclp7GibW7mRyX0et56DpE34ZuTSQJubkouUuMi6v2sJleyPeoN3LCOyEA==" saltValue="4iPN3eiyCkwzJKh5E1WDMg==" spinCount="100000" sheet="1" objects="1" scenarios="1"/>
  <protectedRanges>
    <protectedRange sqref="C12" name="Range1"/>
  </protectedRanges>
  <mergeCells count="36">
    <mergeCell ref="J82:P82"/>
    <mergeCell ref="B142:H142"/>
    <mergeCell ref="B162:H162"/>
    <mergeCell ref="B182:H182"/>
    <mergeCell ref="B122:H122"/>
    <mergeCell ref="B102:H102"/>
    <mergeCell ref="B82:H82"/>
    <mergeCell ref="B50:B52"/>
    <mergeCell ref="C50:I50"/>
    <mergeCell ref="D51:F51"/>
    <mergeCell ref="B66:B68"/>
    <mergeCell ref="C66:I66"/>
    <mergeCell ref="D67:F67"/>
    <mergeCell ref="B24:B26"/>
    <mergeCell ref="C24:I24"/>
    <mergeCell ref="J24:L24"/>
    <mergeCell ref="D25:F25"/>
    <mergeCell ref="B34:B36"/>
    <mergeCell ref="C34:I34"/>
    <mergeCell ref="J34:L34"/>
    <mergeCell ref="D35:F35"/>
    <mergeCell ref="B15:B17"/>
    <mergeCell ref="C15:I15"/>
    <mergeCell ref="J15:L15"/>
    <mergeCell ref="D16:F16"/>
    <mergeCell ref="C2:I2"/>
    <mergeCell ref="B4:B6"/>
    <mergeCell ref="C4:I4"/>
    <mergeCell ref="J4:L4"/>
    <mergeCell ref="D5:F5"/>
    <mergeCell ref="J186:P186"/>
    <mergeCell ref="J99:P99"/>
    <mergeCell ref="J116:P116"/>
    <mergeCell ref="J134:P134"/>
    <mergeCell ref="J151:P151"/>
    <mergeCell ref="J169:P169"/>
  </mergeCells>
  <dataValidations count="1">
    <dataValidation type="list" allowBlank="1" showInputMessage="1" showErrorMessage="1" sqref="L2">
      <formula1>"Y,N"</formula1>
    </dataValidation>
  </dataValidations>
  <hyperlinks>
    <hyperlink ref="B1" location="Performance!A82" display="Charts"/>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4151ED"/>
  </sheetPr>
  <dimension ref="A1:AD208"/>
  <sheetViews>
    <sheetView topLeftCell="A76" zoomScale="90" zoomScaleNormal="90" workbookViewId="0"/>
  </sheetViews>
  <sheetFormatPr defaultColWidth="9.109375" defaultRowHeight="13.8" x14ac:dyDescent="0.3"/>
  <cols>
    <col min="1" max="1" width="10.33203125" style="1813" customWidth="1"/>
    <col min="2" max="2" width="12.6640625" style="1517" customWidth="1"/>
    <col min="3" max="3" width="44.109375" style="1517" bestFit="1" customWidth="1"/>
    <col min="4" max="4" width="16.33203125" style="1517" customWidth="1"/>
    <col min="5" max="8" width="14" style="1517" customWidth="1"/>
    <col min="9" max="9" width="13.109375" style="1517" customWidth="1"/>
    <col min="10" max="10" width="12.33203125" style="1814" customWidth="1"/>
    <col min="11" max="11" width="14.33203125" style="1815" customWidth="1"/>
    <col min="12" max="12" width="29.77734375" style="1517" customWidth="1"/>
    <col min="13" max="13" width="25.77734375" style="1517" customWidth="1"/>
    <col min="14" max="14" width="11.77734375" style="1517" customWidth="1"/>
    <col min="15" max="15" width="11" style="1517" customWidth="1"/>
    <col min="16" max="16" width="19.109375" style="1517" customWidth="1"/>
    <col min="17" max="17" width="11" style="1517" customWidth="1"/>
    <col min="18" max="18" width="14" style="1517" customWidth="1"/>
    <col min="19" max="20" width="9.109375" style="1517"/>
    <col min="21" max="21" width="9.109375" style="1517" customWidth="1"/>
    <col min="22" max="22" width="15.77734375" style="1517" customWidth="1"/>
    <col min="23" max="23" width="9.109375" style="1517" customWidth="1"/>
    <col min="24" max="24" width="13.77734375" style="1517" customWidth="1"/>
    <col min="25" max="25" width="9.109375" style="1517"/>
    <col min="26" max="26" width="22.77734375" style="1517" customWidth="1"/>
    <col min="27" max="16384" width="9.109375" style="1517"/>
  </cols>
  <sheetData>
    <row r="1" spans="1:30" ht="23.4" x14ac:dyDescent="0.45">
      <c r="A1" s="1512" t="s">
        <v>531</v>
      </c>
      <c r="B1" s="1513"/>
      <c r="C1" s="1514"/>
      <c r="D1" s="1514"/>
      <c r="E1" s="1514"/>
      <c r="F1" s="1514"/>
      <c r="G1" s="1514"/>
      <c r="H1" s="1514"/>
      <c r="I1" s="1514"/>
      <c r="J1" s="1515"/>
      <c r="K1" s="1516"/>
      <c r="L1" s="1514"/>
      <c r="M1" s="1514"/>
      <c r="N1" s="1514"/>
      <c r="O1" s="1514"/>
      <c r="P1" s="1514"/>
      <c r="Q1" s="1514"/>
      <c r="R1" s="1514"/>
      <c r="S1" s="1514"/>
      <c r="T1" s="1514"/>
      <c r="U1" s="1514"/>
      <c r="V1" s="1514"/>
      <c r="W1" s="1514"/>
      <c r="X1" s="1514"/>
      <c r="Y1" s="1514"/>
      <c r="Z1" s="1514"/>
      <c r="AA1" s="1514"/>
      <c r="AB1" s="1514"/>
      <c r="AC1" s="1514"/>
      <c r="AD1" s="1514"/>
    </row>
    <row r="2" spans="1:30" x14ac:dyDescent="0.3">
      <c r="A2" s="1518"/>
      <c r="B2" s="1519"/>
      <c r="C2" s="1519"/>
      <c r="D2" s="1519"/>
      <c r="E2" s="1519"/>
      <c r="F2" s="1519"/>
      <c r="G2" s="1519"/>
      <c r="H2" s="1519"/>
      <c r="I2" s="1519"/>
      <c r="J2" s="1520"/>
      <c r="K2" s="1521"/>
      <c r="L2" s="1521"/>
      <c r="M2" s="1521"/>
      <c r="N2" s="1521"/>
      <c r="O2" s="1519"/>
      <c r="P2" s="1519"/>
      <c r="Q2" s="1519"/>
      <c r="R2" s="1519"/>
      <c r="S2" s="1519"/>
      <c r="T2" s="1519"/>
      <c r="U2" s="1519"/>
      <c r="V2" s="1519"/>
      <c r="W2" s="1519"/>
      <c r="X2" s="1519"/>
      <c r="Y2" s="1519"/>
      <c r="Z2" s="1519"/>
      <c r="AA2" s="1519"/>
      <c r="AB2" s="1519"/>
      <c r="AC2" s="1519"/>
      <c r="AD2" s="1519"/>
    </row>
    <row r="3" spans="1:30" x14ac:dyDescent="0.3">
      <c r="A3" s="1522"/>
      <c r="B3" s="1514"/>
      <c r="C3" s="1514"/>
      <c r="D3" s="1514"/>
      <c r="E3" s="1514"/>
      <c r="F3" s="1514"/>
      <c r="G3" s="1514"/>
      <c r="H3" s="1514"/>
      <c r="I3" s="1514"/>
      <c r="J3" s="1515"/>
      <c r="K3" s="1523"/>
      <c r="L3" s="1514"/>
      <c r="M3" s="1514"/>
      <c r="N3" s="1514"/>
      <c r="O3" s="1514"/>
      <c r="P3" s="1514"/>
      <c r="Q3" s="1514"/>
      <c r="R3" s="1514"/>
      <c r="S3" s="1514"/>
      <c r="T3" s="1514"/>
      <c r="U3" s="1514"/>
      <c r="V3" s="1514"/>
      <c r="W3" s="1514"/>
      <c r="X3" s="1514"/>
      <c r="Y3" s="1514"/>
      <c r="Z3" s="1514"/>
      <c r="AA3" s="1514"/>
      <c r="AB3" s="1514"/>
      <c r="AC3" s="1514"/>
      <c r="AD3" s="1514"/>
    </row>
    <row r="4" spans="1:30" s="1526" customFormat="1" ht="21" x14ac:dyDescent="0.3">
      <c r="A4" s="1524" t="s">
        <v>20</v>
      </c>
      <c r="B4" s="1525" t="str">
        <f>+Performance!C2</f>
        <v>MINISTRY OF JUSTICE (MoJ)</v>
      </c>
      <c r="C4" s="1525"/>
      <c r="D4" s="1525"/>
      <c r="E4" s="1525"/>
      <c r="F4" s="1525"/>
      <c r="G4" s="1525"/>
      <c r="H4" s="1525"/>
      <c r="I4" s="1525"/>
      <c r="J4" s="1525"/>
      <c r="K4" s="1525"/>
      <c r="L4" s="1525"/>
      <c r="M4" s="1525"/>
      <c r="N4" s="1525"/>
      <c r="O4" s="1525"/>
      <c r="P4" s="1525"/>
      <c r="Q4" s="1525"/>
      <c r="R4" s="1525"/>
      <c r="S4" s="1525"/>
      <c r="T4" s="1525"/>
      <c r="U4" s="1525"/>
      <c r="V4" s="1525"/>
      <c r="W4" s="1525"/>
      <c r="X4" s="1525"/>
      <c r="Y4" s="1525"/>
      <c r="Z4" s="1525"/>
      <c r="AA4" s="1525"/>
      <c r="AB4" s="1525"/>
      <c r="AC4" s="1525"/>
      <c r="AD4" s="1525"/>
    </row>
    <row r="5" spans="1:30" ht="21" x14ac:dyDescent="0.3">
      <c r="A5" s="1522"/>
      <c r="B5" s="1527"/>
      <c r="C5" s="1527"/>
      <c r="D5" s="1527"/>
      <c r="E5" s="1527"/>
      <c r="F5" s="1527"/>
      <c r="G5" s="1527"/>
      <c r="H5" s="1527"/>
      <c r="I5" s="1527"/>
      <c r="J5" s="1527"/>
      <c r="K5" s="1528"/>
      <c r="L5" s="1528"/>
      <c r="M5" s="1528"/>
      <c r="N5" s="1528"/>
      <c r="O5" s="1514"/>
      <c r="P5" s="1514"/>
      <c r="Q5" s="1514"/>
      <c r="R5" s="1514"/>
      <c r="S5" s="1514"/>
      <c r="T5" s="1514"/>
      <c r="U5" s="1514"/>
      <c r="V5" s="1514"/>
      <c r="W5" s="1514"/>
      <c r="X5" s="1514"/>
      <c r="Y5" s="1514"/>
      <c r="Z5" s="1514"/>
      <c r="AA5" s="1514"/>
      <c r="AB5" s="1514"/>
      <c r="AC5" s="1514"/>
      <c r="AD5" s="1514"/>
    </row>
    <row r="6" spans="1:30" ht="23.4" x14ac:dyDescent="0.3">
      <c r="A6" s="1529">
        <v>1</v>
      </c>
      <c r="B6" s="1530" t="s">
        <v>476</v>
      </c>
      <c r="C6" s="1531"/>
      <c r="D6" s="2387" t="str">
        <f>+$A$1</f>
        <v>Quarter 3 - 2018-2019</v>
      </c>
      <c r="E6" s="2387"/>
      <c r="F6" s="2387"/>
      <c r="G6" s="2387"/>
      <c r="H6" s="2387"/>
      <c r="I6" s="2387"/>
      <c r="J6" s="2387"/>
      <c r="K6" s="1532"/>
      <c r="L6" s="1532"/>
      <c r="M6" s="1532"/>
      <c r="N6" s="1519"/>
      <c r="O6" s="1519"/>
      <c r="P6" s="1533"/>
      <c r="Q6" s="1533"/>
      <c r="R6" s="1519"/>
      <c r="S6" s="1519"/>
      <c r="T6" s="1519"/>
      <c r="U6" s="1519"/>
      <c r="V6" s="1519"/>
      <c r="W6" s="1519"/>
      <c r="X6" s="1519"/>
      <c r="Y6" s="1519"/>
      <c r="Z6" s="1519"/>
      <c r="AA6" s="1519"/>
      <c r="AB6" s="1519"/>
      <c r="AC6" s="1519"/>
      <c r="AD6" s="1519"/>
    </row>
    <row r="7" spans="1:30" ht="14.4" thickBot="1" x14ac:dyDescent="0.35">
      <c r="A7" s="1522"/>
      <c r="B7" s="1534"/>
      <c r="C7" s="1535"/>
      <c r="D7" s="1535"/>
      <c r="E7" s="1535"/>
      <c r="F7" s="1535"/>
      <c r="G7" s="1535"/>
      <c r="H7" s="1535"/>
      <c r="I7" s="1535"/>
      <c r="J7" s="1535"/>
      <c r="K7" s="1535"/>
      <c r="L7" s="1535"/>
      <c r="M7" s="1535"/>
      <c r="N7" s="1535"/>
      <c r="O7" s="1535"/>
      <c r="P7" s="1535"/>
      <c r="Q7" s="1535"/>
      <c r="R7" s="1535"/>
      <c r="S7" s="1535"/>
      <c r="T7" s="1535"/>
      <c r="U7" s="1535"/>
      <c r="V7" s="1535"/>
      <c r="W7" s="1535"/>
      <c r="X7" s="1535"/>
      <c r="Y7" s="1514"/>
      <c r="Z7" s="1514"/>
      <c r="AA7" s="1514"/>
      <c r="AB7" s="1514"/>
      <c r="AC7" s="1514"/>
      <c r="AD7" s="1514"/>
    </row>
    <row r="8" spans="1:30" ht="14.4" thickBot="1" x14ac:dyDescent="0.35">
      <c r="A8" s="1522"/>
      <c r="B8" s="1514"/>
      <c r="C8" s="1534"/>
      <c r="D8" s="1536" t="s">
        <v>23</v>
      </c>
      <c r="E8" s="1537" t="s">
        <v>144</v>
      </c>
      <c r="F8" s="2388" t="s">
        <v>24</v>
      </c>
      <c r="G8" s="2389"/>
      <c r="H8" s="2390"/>
      <c r="I8" s="2394" t="s">
        <v>461</v>
      </c>
      <c r="J8" s="2395"/>
      <c r="K8" s="1535"/>
      <c r="L8" s="1535"/>
      <c r="M8" s="1535"/>
      <c r="N8" s="1535"/>
      <c r="O8" s="1535"/>
      <c r="P8" s="1535"/>
      <c r="Q8" s="1535"/>
      <c r="R8" s="1535"/>
      <c r="S8" s="1535"/>
      <c r="T8" s="1535"/>
      <c r="U8" s="1535"/>
      <c r="V8" s="1535"/>
      <c r="W8" s="1535"/>
      <c r="X8" s="1535"/>
      <c r="Y8" s="1514"/>
      <c r="Z8" s="1514"/>
      <c r="AA8" s="1535"/>
      <c r="AB8" s="1535"/>
      <c r="AC8" s="1535"/>
      <c r="AD8" s="1535"/>
    </row>
    <row r="9" spans="1:30" ht="14.4" thickBot="1" x14ac:dyDescent="0.35">
      <c r="A9" s="1522"/>
      <c r="B9" s="1538"/>
      <c r="C9" s="1514"/>
      <c r="D9" s="1539" t="s">
        <v>477</v>
      </c>
      <c r="E9" s="1540" t="s">
        <v>477</v>
      </c>
      <c r="F9" s="2391"/>
      <c r="G9" s="2392"/>
      <c r="H9" s="2393"/>
      <c r="I9" s="2396"/>
      <c r="J9" s="2397"/>
      <c r="K9" s="1535"/>
      <c r="L9" s="1535"/>
      <c r="M9" s="1535"/>
      <c r="N9" s="1535"/>
      <c r="O9" s="1535"/>
      <c r="P9" s="1535"/>
      <c r="Q9" s="1535"/>
      <c r="R9" s="1535"/>
      <c r="S9" s="1535"/>
      <c r="T9" s="1535"/>
      <c r="U9" s="1535"/>
      <c r="V9" s="1535"/>
      <c r="W9" s="1535"/>
      <c r="X9" s="1535"/>
      <c r="Y9" s="1514"/>
      <c r="Z9" s="1514"/>
      <c r="AA9" s="1535"/>
      <c r="AB9" s="1535"/>
      <c r="AC9" s="1535"/>
      <c r="AD9" s="1535"/>
    </row>
    <row r="10" spans="1:30" ht="14.4" thickBot="1" x14ac:dyDescent="0.35">
      <c r="A10" s="1522"/>
      <c r="B10" s="2398" t="s">
        <v>478</v>
      </c>
      <c r="C10" s="2399"/>
      <c r="D10" s="1541"/>
      <c r="E10" s="1542"/>
      <c r="F10" s="2400"/>
      <c r="G10" s="2401"/>
      <c r="H10" s="2402"/>
      <c r="I10" s="2403" t="str">
        <f>IF(OR(D10&lt;0,E10&lt;0),"Error - Negative number",IF(E10&gt;D10,"Offices only&gt;Total Estate",""))</f>
        <v/>
      </c>
      <c r="J10" s="2404"/>
      <c r="K10" s="1535"/>
      <c r="L10" s="1535"/>
      <c r="M10" s="1535"/>
      <c r="N10" s="1535"/>
      <c r="O10" s="1535"/>
      <c r="P10" s="1535"/>
      <c r="Q10" s="1535"/>
      <c r="R10" s="1535"/>
      <c r="S10" s="1535"/>
      <c r="T10" s="1535"/>
      <c r="U10" s="1535"/>
      <c r="V10" s="1535"/>
      <c r="W10" s="1535"/>
      <c r="X10" s="1535"/>
      <c r="Y10" s="1514"/>
      <c r="Z10" s="1514"/>
      <c r="AA10" s="1535"/>
      <c r="AB10" s="1535"/>
      <c r="AC10" s="1535"/>
      <c r="AD10" s="1535"/>
    </row>
    <row r="11" spans="1:30" x14ac:dyDescent="0.3">
      <c r="A11" s="1522"/>
      <c r="B11" s="1535"/>
      <c r="C11" s="1535"/>
      <c r="D11" s="1535"/>
      <c r="E11" s="1535"/>
      <c r="F11" s="1535"/>
      <c r="G11" s="1535"/>
      <c r="H11" s="1535"/>
      <c r="I11" s="1535"/>
      <c r="J11" s="1543"/>
      <c r="K11" s="1544"/>
      <c r="L11" s="1535"/>
      <c r="M11" s="1535"/>
      <c r="N11" s="1514"/>
      <c r="O11" s="1514"/>
      <c r="P11" s="1514"/>
      <c r="Q11" s="1514"/>
      <c r="R11" s="1514"/>
      <c r="S11" s="1514"/>
      <c r="T11" s="1514"/>
      <c r="U11" s="1514"/>
      <c r="V11" s="1514"/>
      <c r="W11" s="1514"/>
      <c r="X11" s="1514"/>
      <c r="Y11" s="1514"/>
      <c r="Z11" s="1514"/>
      <c r="AA11" s="1514"/>
      <c r="AB11" s="1514"/>
      <c r="AC11" s="1514"/>
      <c r="AD11" s="1514"/>
    </row>
    <row r="12" spans="1:30" x14ac:dyDescent="0.3">
      <c r="A12" s="1522"/>
      <c r="B12" s="1535"/>
      <c r="C12" s="1535"/>
      <c r="D12" s="1535"/>
      <c r="E12" s="1535"/>
      <c r="F12" s="1535"/>
      <c r="G12" s="1535"/>
      <c r="H12" s="1535"/>
      <c r="I12" s="1535"/>
      <c r="J12" s="1543"/>
      <c r="K12" s="1544"/>
      <c r="L12" s="1535"/>
      <c r="M12" s="1535"/>
      <c r="N12" s="1514"/>
      <c r="O12" s="1514"/>
      <c r="P12" s="1514"/>
      <c r="Q12" s="1514"/>
      <c r="R12" s="1514"/>
      <c r="S12" s="1514"/>
      <c r="T12" s="1514"/>
      <c r="U12" s="1514"/>
      <c r="V12" s="1514"/>
      <c r="W12" s="1514"/>
      <c r="X12" s="1514"/>
      <c r="Y12" s="1514"/>
      <c r="Z12" s="1514"/>
      <c r="AA12" s="1514"/>
      <c r="AB12" s="1514"/>
      <c r="AC12" s="1514"/>
      <c r="AD12" s="1514"/>
    </row>
    <row r="13" spans="1:30" ht="27.75" customHeight="1" x14ac:dyDescent="0.3">
      <c r="A13" s="1529">
        <v>2</v>
      </c>
      <c r="B13" s="1530" t="s">
        <v>21</v>
      </c>
      <c r="C13" s="1531"/>
      <c r="D13" s="2387" t="str">
        <f>+$A$1</f>
        <v>Quarter 3 - 2018-2019</v>
      </c>
      <c r="E13" s="2387"/>
      <c r="F13" s="2387"/>
      <c r="G13" s="2387"/>
      <c r="H13" s="2387"/>
      <c r="I13" s="2387"/>
      <c r="J13" s="2387"/>
      <c r="K13" s="1532"/>
      <c r="L13" s="1532"/>
      <c r="M13" s="1532"/>
      <c r="N13" s="1532"/>
      <c r="O13" s="1519"/>
      <c r="P13" s="1533"/>
      <c r="Q13" s="1533"/>
      <c r="R13" s="1519"/>
      <c r="S13" s="1519"/>
      <c r="T13" s="1519"/>
      <c r="U13" s="1519"/>
      <c r="V13" s="1519"/>
      <c r="W13" s="1519"/>
      <c r="X13" s="1519"/>
      <c r="Y13" s="1519"/>
      <c r="Z13" s="1519"/>
      <c r="AA13" s="1519"/>
      <c r="AB13" s="1519"/>
      <c r="AC13" s="1519"/>
      <c r="AD13" s="1519"/>
    </row>
    <row r="14" spans="1:30" s="1550" customFormat="1" ht="23.4" x14ac:dyDescent="0.3">
      <c r="A14" s="1545" t="s">
        <v>505</v>
      </c>
      <c r="B14" s="1546" t="s">
        <v>22</v>
      </c>
      <c r="C14" s="1547"/>
      <c r="D14" s="2387"/>
      <c r="E14" s="2387"/>
      <c r="F14" s="2387"/>
      <c r="G14" s="2387"/>
      <c r="H14" s="2387"/>
      <c r="I14" s="2387"/>
      <c r="J14" s="2387"/>
      <c r="K14" s="1548"/>
      <c r="L14" s="1548"/>
      <c r="M14" s="1548"/>
      <c r="N14" s="1548"/>
      <c r="O14" s="1548"/>
      <c r="P14" s="1548"/>
      <c r="Q14" s="1548"/>
      <c r="R14" s="1548"/>
      <c r="S14" s="1548"/>
      <c r="T14" s="1548"/>
      <c r="U14" s="1548"/>
      <c r="V14" s="1548"/>
      <c r="W14" s="1548"/>
      <c r="X14" s="1548"/>
      <c r="Y14" s="1549"/>
      <c r="Z14" s="1549"/>
      <c r="AA14" s="1549"/>
      <c r="AB14" s="1549"/>
      <c r="AC14" s="1549"/>
      <c r="AD14" s="1549"/>
    </row>
    <row r="15" spans="1:30" ht="15.75" customHeight="1" thickBot="1" x14ac:dyDescent="0.35">
      <c r="A15" s="1522"/>
      <c r="B15" s="1534"/>
      <c r="C15" s="30"/>
      <c r="D15" s="1534"/>
      <c r="E15" s="1551"/>
      <c r="F15" s="1551"/>
      <c r="G15" s="1551"/>
      <c r="H15" s="1551"/>
      <c r="I15" s="1551"/>
      <c r="J15" s="1551"/>
      <c r="K15" s="1551"/>
      <c r="L15" s="1514"/>
      <c r="M15" s="1514"/>
      <c r="N15" s="1514"/>
      <c r="O15" s="1514"/>
      <c r="P15" s="1514"/>
      <c r="Q15" s="1514"/>
      <c r="R15" s="1514"/>
      <c r="S15" s="1514"/>
      <c r="T15" s="1514"/>
      <c r="U15" s="1514"/>
      <c r="V15" s="1514"/>
      <c r="W15" s="1514"/>
      <c r="X15" s="1514"/>
      <c r="Y15" s="1514"/>
      <c r="Z15" s="1514"/>
      <c r="AA15" s="1514"/>
      <c r="AB15" s="1514"/>
      <c r="AC15" s="1514"/>
      <c r="AD15" s="1514"/>
    </row>
    <row r="16" spans="1:30" ht="15.75" customHeight="1" thickBot="1" x14ac:dyDescent="0.35">
      <c r="A16" s="1522"/>
      <c r="B16" s="1535"/>
      <c r="C16" s="1535"/>
      <c r="D16" s="1535"/>
      <c r="E16" s="1535"/>
      <c r="F16" s="1535"/>
      <c r="G16" s="1535"/>
      <c r="H16" s="1535"/>
      <c r="I16" s="1535"/>
      <c r="J16" s="1535"/>
      <c r="K16" s="1535"/>
      <c r="L16" s="1514"/>
      <c r="M16" s="1514"/>
      <c r="N16" s="1514"/>
      <c r="O16" s="2405" t="s">
        <v>23</v>
      </c>
      <c r="P16" s="2406"/>
      <c r="Q16" s="2406"/>
      <c r="R16" s="2407"/>
      <c r="S16" s="1514"/>
      <c r="T16" s="1514"/>
      <c r="U16" s="2408" t="s">
        <v>144</v>
      </c>
      <c r="V16" s="2409"/>
      <c r="W16" s="2409"/>
      <c r="X16" s="2410"/>
      <c r="Y16" s="1514"/>
      <c r="Z16" s="1514"/>
      <c r="AA16" s="1514"/>
      <c r="AB16" s="1514"/>
      <c r="AC16" s="1514"/>
      <c r="AD16" s="1514"/>
    </row>
    <row r="17" spans="1:30" ht="28.2" customHeight="1" thickBot="1" x14ac:dyDescent="0.35">
      <c r="A17" s="1522"/>
      <c r="B17" s="1535"/>
      <c r="C17" s="1535"/>
      <c r="D17" s="2411" t="s">
        <v>23</v>
      </c>
      <c r="E17" s="2412"/>
      <c r="F17" s="2413"/>
      <c r="G17" s="2414" t="s">
        <v>144</v>
      </c>
      <c r="H17" s="2415"/>
      <c r="I17" s="2388" t="s">
        <v>24</v>
      </c>
      <c r="J17" s="2389"/>
      <c r="K17" s="2390"/>
      <c r="L17" s="2419" t="s">
        <v>461</v>
      </c>
      <c r="M17" s="1514"/>
      <c r="N17" s="1514"/>
      <c r="O17" s="2405" t="s">
        <v>25</v>
      </c>
      <c r="P17" s="2406"/>
      <c r="Q17" s="2406"/>
      <c r="R17" s="2407"/>
      <c r="S17" s="1514"/>
      <c r="T17" s="1514"/>
      <c r="U17" s="2408" t="s">
        <v>25</v>
      </c>
      <c r="V17" s="2409"/>
      <c r="W17" s="2409"/>
      <c r="X17" s="2410"/>
      <c r="Y17" s="1514"/>
      <c r="Z17" s="1514"/>
      <c r="AA17" s="1514"/>
      <c r="AB17" s="1514"/>
      <c r="AC17" s="1514"/>
      <c r="AD17" s="1514"/>
    </row>
    <row r="18" spans="1:30" ht="15.75" customHeight="1" thickBot="1" x14ac:dyDescent="0.35">
      <c r="A18" s="1522"/>
      <c r="B18" s="1535"/>
      <c r="C18" s="1535"/>
      <c r="D18" s="1552" t="s">
        <v>26</v>
      </c>
      <c r="E18" s="1553" t="s">
        <v>27</v>
      </c>
      <c r="F18" s="1554" t="s">
        <v>28</v>
      </c>
      <c r="G18" s="1555" t="s">
        <v>29</v>
      </c>
      <c r="H18" s="1555" t="s">
        <v>28</v>
      </c>
      <c r="I18" s="2391"/>
      <c r="J18" s="2392"/>
      <c r="K18" s="2393"/>
      <c r="L18" s="2420"/>
      <c r="M18" s="1514"/>
      <c r="N18" s="1514"/>
      <c r="O18" s="2421" t="s">
        <v>30</v>
      </c>
      <c r="P18" s="2422"/>
      <c r="Q18" s="2421" t="s">
        <v>31</v>
      </c>
      <c r="R18" s="2422"/>
      <c r="S18" s="1514"/>
      <c r="T18" s="1514"/>
      <c r="U18" s="2414" t="s">
        <v>30</v>
      </c>
      <c r="V18" s="2415"/>
      <c r="W18" s="2414" t="s">
        <v>31</v>
      </c>
      <c r="X18" s="2415"/>
      <c r="Y18" s="1514"/>
      <c r="Z18" s="1514"/>
      <c r="AA18" s="1514"/>
      <c r="AB18" s="1514"/>
      <c r="AC18" s="1514"/>
      <c r="AD18" s="1514"/>
    </row>
    <row r="19" spans="1:30" ht="28.95" customHeight="1" thickBot="1" x14ac:dyDescent="0.35">
      <c r="A19" s="1522"/>
      <c r="B19" s="2423" t="s">
        <v>32</v>
      </c>
      <c r="C19" s="2424"/>
      <c r="D19" s="1556">
        <f>SUM(D20:D47)</f>
        <v>401159358.01937699</v>
      </c>
      <c r="E19" s="1557">
        <f>IF(D19&lt;&gt;0,F19*1000/D19,"")</f>
        <v>0.22297716119096578</v>
      </c>
      <c r="F19" s="1558">
        <f>SUM(F20:F47)</f>
        <v>89449.37483635098</v>
      </c>
      <c r="G19" s="1559">
        <f>SUM(G20:G47)</f>
        <v>5127048.6480532698</v>
      </c>
      <c r="H19" s="1559">
        <f>SUM(H20:H47)</f>
        <v>1392.6107724558794</v>
      </c>
      <c r="I19" s="2416"/>
      <c r="J19" s="2417"/>
      <c r="K19" s="2418"/>
      <c r="L19" s="1560" t="str">
        <f>IF(OR(D19&lt;0,G19&lt;0),"Error - negative number",IF(G19&gt;D19,"Offices only &gt; Total Estate",IF(AND(D19&gt;0,E19=""),"Please enter CO2e factor","")))</f>
        <v/>
      </c>
      <c r="M19" s="1514"/>
      <c r="N19" s="1514"/>
      <c r="O19" s="1561" t="s">
        <v>33</v>
      </c>
      <c r="P19" s="1562" t="s">
        <v>34</v>
      </c>
      <c r="Q19" s="1561" t="s">
        <v>35</v>
      </c>
      <c r="R19" s="1562" t="s">
        <v>34</v>
      </c>
      <c r="S19" s="1563"/>
      <c r="T19" s="1514"/>
      <c r="U19" s="1564" t="s">
        <v>33</v>
      </c>
      <c r="V19" s="1565" t="s">
        <v>34</v>
      </c>
      <c r="W19" s="1564" t="s">
        <v>35</v>
      </c>
      <c r="X19" s="1565" t="s">
        <v>34</v>
      </c>
      <c r="Y19" s="1514"/>
      <c r="Z19" s="1514"/>
      <c r="AA19" s="1514"/>
      <c r="AB19" s="1514"/>
      <c r="AC19" s="1514"/>
      <c r="AD19" s="1514"/>
    </row>
    <row r="20" spans="1:30" ht="15" customHeight="1" x14ac:dyDescent="0.3">
      <c r="A20" s="1522" t="s">
        <v>372</v>
      </c>
      <c r="B20" s="2425" t="s">
        <v>36</v>
      </c>
      <c r="C20" s="1566" t="s">
        <v>37</v>
      </c>
      <c r="D20" s="1567">
        <v>93973803.189505905</v>
      </c>
      <c r="E20" s="1568">
        <f>+O20+Q20</f>
        <v>0.30719999999999997</v>
      </c>
      <c r="F20" s="1569">
        <f>P20+R20</f>
        <v>28868.752339816212</v>
      </c>
      <c r="G20" s="1570">
        <v>608935</v>
      </c>
      <c r="H20" s="1571">
        <f>IF(Performance!$L$2="y",F20,E20*G20/1000)</f>
        <v>187.064832</v>
      </c>
      <c r="I20" s="2622" t="s">
        <v>553</v>
      </c>
      <c r="J20" s="2429"/>
      <c r="K20" s="2430"/>
      <c r="L20" s="1572" t="str">
        <f t="shared" ref="L20:L47" si="0">IF(OR(D20&lt;0,G20&lt;0),"Error - negative number",IF(G20&gt;D20,"Offices only &gt; Total Estate",IF(AND(D20&gt;0,E20=""),"Please enter CO2e factor","")))</f>
        <v/>
      </c>
      <c r="M20" s="1514"/>
      <c r="N20" s="1514"/>
      <c r="O20" s="1573">
        <f>+'Emission Factors'!J7</f>
        <v>0.28306999999999999</v>
      </c>
      <c r="P20" s="1574">
        <f>(D20*O20)/1000</f>
        <v>26601.164468853436</v>
      </c>
      <c r="Q20" s="1575">
        <f>+'Emission Factors'!J8</f>
        <v>2.4129999999999999E-2</v>
      </c>
      <c r="R20" s="1574">
        <f>(D20*Q20)/1000</f>
        <v>2267.5878709627773</v>
      </c>
      <c r="S20" s="1563"/>
      <c r="T20" s="1514"/>
      <c r="U20" s="1576">
        <f>+O20</f>
        <v>0.28306999999999999</v>
      </c>
      <c r="V20" s="1577">
        <f>IF(Performance!$L$2="y",P20,$G20*U20/1000)</f>
        <v>172.37123045000001</v>
      </c>
      <c r="W20" s="1576">
        <f>+Q20</f>
        <v>2.4129999999999999E-2</v>
      </c>
      <c r="X20" s="1578">
        <f>IF(Performance!$L$2="y",R20,$G20*W20/1000)</f>
        <v>14.693601549999999</v>
      </c>
      <c r="Y20" s="1514"/>
      <c r="Z20" s="1514"/>
      <c r="AA20" s="1514"/>
      <c r="AB20" s="1514"/>
      <c r="AC20" s="1514"/>
      <c r="AD20" s="1514"/>
    </row>
    <row r="21" spans="1:30" ht="15" customHeight="1" x14ac:dyDescent="0.3">
      <c r="A21" s="1522" t="s">
        <v>372</v>
      </c>
      <c r="B21" s="2426"/>
      <c r="C21" s="1566" t="s">
        <v>38</v>
      </c>
      <c r="D21" s="1567">
        <v>23265552</v>
      </c>
      <c r="E21" s="1579">
        <f>+O21+Q21</f>
        <v>0.30719999999999997</v>
      </c>
      <c r="F21" s="1569">
        <f>P21+R21</f>
        <v>7147.1775743999997</v>
      </c>
      <c r="G21" s="1570">
        <v>3037924</v>
      </c>
      <c r="H21" s="1580">
        <f>IF(Performance!$L$2="y",F21,E21*G21/1000)</f>
        <v>933.25025279999988</v>
      </c>
      <c r="I21" s="2431" t="s">
        <v>553</v>
      </c>
      <c r="J21" s="2432"/>
      <c r="K21" s="2433"/>
      <c r="L21" s="1581" t="str">
        <f t="shared" si="0"/>
        <v/>
      </c>
      <c r="M21" s="1514"/>
      <c r="N21" s="1514"/>
      <c r="O21" s="1573">
        <f>+O20</f>
        <v>0.28306999999999999</v>
      </c>
      <c r="P21" s="1574">
        <f>(D21*O21)/1000</f>
        <v>6585.7798046399994</v>
      </c>
      <c r="Q21" s="1575">
        <f>+Q20</f>
        <v>2.4129999999999999E-2</v>
      </c>
      <c r="R21" s="1574">
        <f>(D21*Q21)/1000</f>
        <v>561.39776975999996</v>
      </c>
      <c r="S21" s="1563"/>
      <c r="T21" s="1514"/>
      <c r="U21" s="1582">
        <f>+O21</f>
        <v>0.28306999999999999</v>
      </c>
      <c r="V21" s="1583">
        <f>IF(Performance!$L$2="y",P21,$G21*U21/1000)</f>
        <v>859.94514667999999</v>
      </c>
      <c r="W21" s="1582">
        <f>+Q21</f>
        <v>2.4129999999999999E-2</v>
      </c>
      <c r="X21" s="1584">
        <f>IF(Performance!$L$2="y",R21,$G21*W21/1000)</f>
        <v>73.305106119999991</v>
      </c>
      <c r="Y21" s="1514"/>
      <c r="Z21" s="1514"/>
      <c r="AA21" s="1514"/>
      <c r="AB21" s="1514"/>
      <c r="AC21" s="1514"/>
      <c r="AD21" s="1514"/>
    </row>
    <row r="22" spans="1:30" ht="17.25" customHeight="1" x14ac:dyDescent="0.3">
      <c r="A22" s="1522" t="s">
        <v>372</v>
      </c>
      <c r="B22" s="2426"/>
      <c r="C22" s="1566" t="s">
        <v>39</v>
      </c>
      <c r="D22" s="1567"/>
      <c r="E22" s="1579">
        <f>+O22+Q22</f>
        <v>0.30719999999999997</v>
      </c>
      <c r="F22" s="1569">
        <f>P22+R22</f>
        <v>0</v>
      </c>
      <c r="G22" s="1570"/>
      <c r="H22" s="1580">
        <f>IF(Performance!$L$2="y",F22,E22*G22/1000)</f>
        <v>0</v>
      </c>
      <c r="I22" s="2431"/>
      <c r="J22" s="2432"/>
      <c r="K22" s="2433"/>
      <c r="L22" s="1581" t="str">
        <f t="shared" si="0"/>
        <v/>
      </c>
      <c r="M22" s="1514"/>
      <c r="N22" s="1514"/>
      <c r="O22" s="1573">
        <f>+O21</f>
        <v>0.28306999999999999</v>
      </c>
      <c r="P22" s="1574">
        <f>(D22*O22)/1000</f>
        <v>0</v>
      </c>
      <c r="Q22" s="1575">
        <f>+Q21</f>
        <v>2.4129999999999999E-2</v>
      </c>
      <c r="R22" s="1574">
        <f>(D22*Q22)/1000</f>
        <v>0</v>
      </c>
      <c r="S22" s="1563"/>
      <c r="T22" s="1514"/>
      <c r="U22" s="1582">
        <f>+O22</f>
        <v>0.28306999999999999</v>
      </c>
      <c r="V22" s="1583">
        <f>IF(Performance!$L$2="y",P22,$G22*U22/1000)</f>
        <v>0</v>
      </c>
      <c r="W22" s="1582">
        <f>+Q22</f>
        <v>2.4129999999999999E-2</v>
      </c>
      <c r="X22" s="1584">
        <f>IF(Performance!$L$2="y",R22,$G22*W22/1000)</f>
        <v>0</v>
      </c>
      <c r="Y22" s="1514"/>
      <c r="Z22" s="1514"/>
      <c r="AA22" s="1514"/>
      <c r="AB22" s="1514"/>
      <c r="AC22" s="1514"/>
      <c r="AD22" s="1514"/>
    </row>
    <row r="23" spans="1:30" ht="17.25" customHeight="1" thickBot="1" x14ac:dyDescent="0.35">
      <c r="A23" s="1522" t="s">
        <v>372</v>
      </c>
      <c r="B23" s="2426"/>
      <c r="C23" s="1566" t="s">
        <v>40</v>
      </c>
      <c r="D23" s="1567"/>
      <c r="E23" s="1579">
        <f>+O23+Q23</f>
        <v>0.30719999999999997</v>
      </c>
      <c r="F23" s="1569">
        <f>P23+R23</f>
        <v>0</v>
      </c>
      <c r="G23" s="1570"/>
      <c r="H23" s="1580">
        <f>IF(Performance!$L$2="y",F23,E23*G23/1000)</f>
        <v>0</v>
      </c>
      <c r="I23" s="2431"/>
      <c r="J23" s="2432"/>
      <c r="K23" s="2433"/>
      <c r="L23" s="1581" t="str">
        <f t="shared" si="0"/>
        <v/>
      </c>
      <c r="M23" s="1514"/>
      <c r="N23" s="1514"/>
      <c r="O23" s="1585">
        <f>+O22</f>
        <v>0.28306999999999999</v>
      </c>
      <c r="P23" s="1586">
        <f>(D23*O23)/1000</f>
        <v>0</v>
      </c>
      <c r="Q23" s="1587">
        <f>+Q22</f>
        <v>2.4129999999999999E-2</v>
      </c>
      <c r="R23" s="1586">
        <f>(D23*Q23)/1000</f>
        <v>0</v>
      </c>
      <c r="S23" s="1563"/>
      <c r="T23" s="1514"/>
      <c r="U23" s="1588">
        <f>+O23</f>
        <v>0.28306999999999999</v>
      </c>
      <c r="V23" s="1589">
        <f>IF(Performance!$L$2="y",P23,$G23*U23/1000)</f>
        <v>0</v>
      </c>
      <c r="W23" s="1588">
        <f>+Q23</f>
        <v>2.4129999999999999E-2</v>
      </c>
      <c r="X23" s="1590">
        <f>IF(Performance!$L$2="y",R23,$G23*W23/1000)</f>
        <v>0</v>
      </c>
      <c r="Y23" s="1514"/>
      <c r="Z23" s="1514"/>
      <c r="AA23" s="1514"/>
      <c r="AB23" s="1514"/>
      <c r="AC23" s="1514"/>
      <c r="AD23" s="1514"/>
    </row>
    <row r="24" spans="1:30" ht="15.75" customHeight="1" thickBot="1" x14ac:dyDescent="0.35">
      <c r="A24" s="1522" t="s">
        <v>370</v>
      </c>
      <c r="B24" s="2426"/>
      <c r="C24" s="1591" t="s">
        <v>41</v>
      </c>
      <c r="D24" s="1567">
        <v>269864659.32309502</v>
      </c>
      <c r="E24" s="1592">
        <f>+'Emission Factors'!J11</f>
        <v>0.18396000000000001</v>
      </c>
      <c r="F24" s="1569">
        <f>(D24*E24)/1000</f>
        <v>49644.302729076568</v>
      </c>
      <c r="G24" s="1570">
        <v>1480189.6480532701</v>
      </c>
      <c r="H24" s="1580">
        <f>IF(Performance!$L$2="y",F24,E24*G24/1000)</f>
        <v>272.29568765587959</v>
      </c>
      <c r="I24" s="2431" t="s">
        <v>553</v>
      </c>
      <c r="J24" s="2432"/>
      <c r="K24" s="2433"/>
      <c r="L24" s="1581" t="str">
        <f t="shared" si="0"/>
        <v/>
      </c>
      <c r="M24" s="1514"/>
      <c r="N24" s="1514"/>
      <c r="O24" s="2434" t="s">
        <v>23</v>
      </c>
      <c r="P24" s="2435"/>
      <c r="Q24" s="2435"/>
      <c r="R24" s="2436"/>
      <c r="S24" s="1514"/>
      <c r="T24" s="1514"/>
      <c r="U24" s="2437" t="s">
        <v>144</v>
      </c>
      <c r="V24" s="2438"/>
      <c r="W24" s="2438"/>
      <c r="X24" s="2439"/>
      <c r="Y24" s="1514"/>
      <c r="Z24" s="1514"/>
      <c r="AA24" s="1514"/>
      <c r="AB24" s="1514"/>
      <c r="AC24" s="1514"/>
      <c r="AD24" s="1514"/>
    </row>
    <row r="25" spans="1:30" ht="15.75" customHeight="1" thickBot="1" x14ac:dyDescent="0.35">
      <c r="A25" s="1522" t="s">
        <v>370</v>
      </c>
      <c r="B25" s="2426"/>
      <c r="C25" s="1591" t="s">
        <v>42</v>
      </c>
      <c r="D25" s="1567">
        <v>13355042.448577501</v>
      </c>
      <c r="E25" s="1592">
        <f>+'Emission Factors'!J12</f>
        <v>0.27651999999999999</v>
      </c>
      <c r="F25" s="1569">
        <f t="shared" ref="F25:F47" si="1">(D25*E25)/1000</f>
        <v>3692.9363378806506</v>
      </c>
      <c r="G25" s="1570"/>
      <c r="H25" s="1580">
        <f>IF(Performance!$L$2="y",F25,E25*G25/1000)</f>
        <v>0</v>
      </c>
      <c r="I25" s="2431"/>
      <c r="J25" s="2432"/>
      <c r="K25" s="2433"/>
      <c r="L25" s="1581" t="str">
        <f t="shared" si="0"/>
        <v/>
      </c>
      <c r="M25" s="1514"/>
      <c r="N25" s="1514"/>
      <c r="O25" s="1514"/>
      <c r="P25" s="1514"/>
      <c r="Q25" s="1514"/>
      <c r="R25" s="1514"/>
      <c r="S25" s="1514"/>
      <c r="T25" s="1514"/>
      <c r="U25" s="1514"/>
      <c r="V25" s="1514"/>
      <c r="W25" s="1514"/>
      <c r="X25" s="1514"/>
      <c r="Y25" s="1514"/>
      <c r="Z25" s="1514"/>
      <c r="AA25" s="1514"/>
      <c r="AB25" s="1514"/>
      <c r="AC25" s="1514"/>
      <c r="AD25" s="1514"/>
    </row>
    <row r="26" spans="1:30" ht="13.5" customHeight="1" thickBot="1" x14ac:dyDescent="0.35">
      <c r="A26" s="1522" t="s">
        <v>370</v>
      </c>
      <c r="B26" s="2426"/>
      <c r="C26" s="1591" t="s">
        <v>43</v>
      </c>
      <c r="D26" s="1567">
        <v>413026.89053500199</v>
      </c>
      <c r="E26" s="1592">
        <f>+'Emission Factors'!J13</f>
        <v>0.21448</v>
      </c>
      <c r="F26" s="1569">
        <f t="shared" si="1"/>
        <v>88.586007481947235</v>
      </c>
      <c r="G26" s="1570"/>
      <c r="H26" s="1580">
        <f>IF(Performance!$L$2="y",F26,E26*G26/1000)</f>
        <v>0</v>
      </c>
      <c r="I26" s="2431"/>
      <c r="J26" s="2432"/>
      <c r="K26" s="2433"/>
      <c r="L26" s="1581" t="str">
        <f t="shared" si="0"/>
        <v/>
      </c>
      <c r="M26" s="1514"/>
      <c r="N26" s="1514"/>
      <c r="O26" s="2421" t="s">
        <v>44</v>
      </c>
      <c r="P26" s="2422"/>
      <c r="Q26" s="2421" t="s">
        <v>45</v>
      </c>
      <c r="R26" s="2422"/>
      <c r="S26" s="1514"/>
      <c r="T26" s="1514"/>
      <c r="U26" s="2414" t="s">
        <v>44</v>
      </c>
      <c r="V26" s="2415"/>
      <c r="W26" s="2414" t="s">
        <v>45</v>
      </c>
      <c r="X26" s="2415"/>
      <c r="Y26" s="1514"/>
      <c r="Z26" s="1514"/>
      <c r="AA26" s="1514"/>
      <c r="AB26" s="1514"/>
      <c r="AC26" s="1514"/>
      <c r="AD26" s="1514"/>
    </row>
    <row r="27" spans="1:30" ht="15.75" customHeight="1" x14ac:dyDescent="0.3">
      <c r="A27" s="1522" t="s">
        <v>370</v>
      </c>
      <c r="B27" s="2426"/>
      <c r="C27" s="1591" t="s">
        <v>46</v>
      </c>
      <c r="D27" s="1567">
        <v>0</v>
      </c>
      <c r="E27" s="1592">
        <f>+'Emission Factors'!J14</f>
        <v>0.34472999999999998</v>
      </c>
      <c r="F27" s="1569">
        <f t="shared" si="1"/>
        <v>0</v>
      </c>
      <c r="G27" s="1570"/>
      <c r="H27" s="1580">
        <f>IF(Performance!$L$2="y",F27,E27*G27/1000)</f>
        <v>0</v>
      </c>
      <c r="I27" s="2431"/>
      <c r="J27" s="2432"/>
      <c r="K27" s="2433"/>
      <c r="L27" s="1581" t="str">
        <f t="shared" si="0"/>
        <v/>
      </c>
      <c r="M27" s="1514"/>
      <c r="N27" s="1514"/>
      <c r="O27" s="2444" t="s">
        <v>33</v>
      </c>
      <c r="P27" s="2446" t="s">
        <v>34</v>
      </c>
      <c r="Q27" s="2444" t="s">
        <v>35</v>
      </c>
      <c r="R27" s="2446" t="s">
        <v>34</v>
      </c>
      <c r="S27" s="1514"/>
      <c r="T27" s="1514"/>
      <c r="U27" s="2442" t="s">
        <v>33</v>
      </c>
      <c r="V27" s="2440" t="s">
        <v>34</v>
      </c>
      <c r="W27" s="2442" t="s">
        <v>35</v>
      </c>
      <c r="X27" s="2440" t="s">
        <v>34</v>
      </c>
      <c r="Y27" s="1514"/>
      <c r="Z27" s="1514"/>
      <c r="AA27" s="1514"/>
      <c r="AB27" s="1514"/>
      <c r="AC27" s="1514"/>
      <c r="AD27" s="1514"/>
    </row>
    <row r="28" spans="1:30" ht="15.75" customHeight="1" thickBot="1" x14ac:dyDescent="0.35">
      <c r="A28" s="1522" t="s">
        <v>370</v>
      </c>
      <c r="B28" s="2426"/>
      <c r="C28" s="1591" t="s">
        <v>47</v>
      </c>
      <c r="D28" s="1567">
        <v>268878.00750732399</v>
      </c>
      <c r="E28" s="1592">
        <f>+'Emission Factors'!J15</f>
        <v>1.506E-2</v>
      </c>
      <c r="F28" s="1569">
        <f t="shared" si="1"/>
        <v>4.0493027930602992</v>
      </c>
      <c r="G28" s="1570"/>
      <c r="H28" s="1580">
        <f>IF(Performance!$L$2="y",F28,E28*G28/1000)</f>
        <v>0</v>
      </c>
      <c r="I28" s="2431"/>
      <c r="J28" s="2432"/>
      <c r="K28" s="2433"/>
      <c r="L28" s="1581" t="str">
        <f t="shared" si="0"/>
        <v/>
      </c>
      <c r="M28" s="1514"/>
      <c r="N28" s="1514"/>
      <c r="O28" s="2445"/>
      <c r="P28" s="2447"/>
      <c r="Q28" s="2445"/>
      <c r="R28" s="2447"/>
      <c r="S28" s="1514"/>
      <c r="T28" s="1514"/>
      <c r="U28" s="2443"/>
      <c r="V28" s="2441"/>
      <c r="W28" s="2443"/>
      <c r="X28" s="2441"/>
      <c r="Y28" s="1514"/>
      <c r="Z28" s="1514"/>
      <c r="AA28" s="1514"/>
      <c r="AB28" s="1514"/>
      <c r="AC28" s="1514"/>
      <c r="AD28" s="1514"/>
    </row>
    <row r="29" spans="1:30" ht="15.75" customHeight="1" thickBot="1" x14ac:dyDescent="0.35">
      <c r="A29" s="1522" t="s">
        <v>372</v>
      </c>
      <c r="B29" s="2426"/>
      <c r="C29" s="1566" t="s">
        <v>48</v>
      </c>
      <c r="D29" s="1567">
        <v>0</v>
      </c>
      <c r="E29" s="1592">
        <f>+O29+Q29</f>
        <v>0.19732631578947368</v>
      </c>
      <c r="F29" s="1569">
        <f>P29+R29</f>
        <v>0</v>
      </c>
      <c r="G29" s="1570"/>
      <c r="H29" s="1580">
        <f>IF(Performance!$L$2="y",F29,E29*G29/1000)</f>
        <v>0</v>
      </c>
      <c r="I29" s="2431"/>
      <c r="J29" s="2432"/>
      <c r="K29" s="2433"/>
      <c r="L29" s="1581" t="str">
        <f t="shared" si="0"/>
        <v/>
      </c>
      <c r="M29" s="1514"/>
      <c r="N29" s="1514"/>
      <c r="O29" s="1593">
        <f>+'Emission Factors'!J33</f>
        <v>0.18745999999999999</v>
      </c>
      <c r="P29" s="1594">
        <f>(D29*O29)/1000</f>
        <v>0</v>
      </c>
      <c r="Q29" s="1595">
        <f>+'Emission Factors'!J34</f>
        <v>9.8663157894736953E-3</v>
      </c>
      <c r="R29" s="1594">
        <f>(D29*Q29)/1000</f>
        <v>0</v>
      </c>
      <c r="S29" s="1514"/>
      <c r="T29" s="1514"/>
      <c r="U29" s="1596">
        <f>+O29</f>
        <v>0.18745999999999999</v>
      </c>
      <c r="V29" s="1597">
        <f>IF(Performance!$L$2="y",P29,$G29*U29/1000)</f>
        <v>0</v>
      </c>
      <c r="W29" s="1598">
        <f>+Q29</f>
        <v>9.8663157894736953E-3</v>
      </c>
      <c r="X29" s="1597">
        <f>IF(Performance!$L$2="y",R29,$G29*W29/1000)</f>
        <v>0</v>
      </c>
      <c r="Y29" s="1514"/>
      <c r="Z29" s="1514"/>
      <c r="AA29" s="1514"/>
      <c r="AB29" s="1514"/>
      <c r="AC29" s="1514"/>
      <c r="AD29" s="1514"/>
    </row>
    <row r="30" spans="1:30" ht="15.75" customHeight="1" thickBot="1" x14ac:dyDescent="0.35">
      <c r="A30" s="1522" t="s">
        <v>372</v>
      </c>
      <c r="B30" s="2426"/>
      <c r="C30" s="1591" t="s">
        <v>49</v>
      </c>
      <c r="D30" s="1567"/>
      <c r="E30" s="1592">
        <f>+'Emission Factors'!J17</f>
        <v>0</v>
      </c>
      <c r="F30" s="1569">
        <f>(D30*E30)/1000</f>
        <v>0</v>
      </c>
      <c r="G30" s="1570"/>
      <c r="H30" s="1580">
        <f>IF(Performance!$L$2="y",F30,E30*G30/1000)</f>
        <v>0</v>
      </c>
      <c r="I30" s="2431"/>
      <c r="J30" s="2432"/>
      <c r="K30" s="2433"/>
      <c r="L30" s="1581" t="str">
        <f t="shared" si="0"/>
        <v/>
      </c>
      <c r="M30" s="1514"/>
      <c r="N30" s="1514"/>
      <c r="O30" s="1514"/>
      <c r="P30" s="1514"/>
      <c r="Q30" s="1514"/>
      <c r="R30" s="1514"/>
      <c r="S30" s="1514"/>
      <c r="T30" s="1514"/>
      <c r="U30" s="1514"/>
      <c r="V30" s="1514"/>
      <c r="W30" s="1514"/>
      <c r="X30" s="1514"/>
      <c r="Y30" s="1514"/>
      <c r="Z30" s="1514"/>
      <c r="AA30" s="1514"/>
      <c r="AB30" s="1514"/>
      <c r="AC30" s="1514"/>
      <c r="AD30" s="1514"/>
    </row>
    <row r="31" spans="1:30" ht="23.25" customHeight="1" thickBot="1" x14ac:dyDescent="0.35">
      <c r="A31" s="1522" t="s">
        <v>372</v>
      </c>
      <c r="B31" s="2426"/>
      <c r="C31" s="1591" t="s">
        <v>50</v>
      </c>
      <c r="D31" s="1567"/>
      <c r="E31" s="1599"/>
      <c r="F31" s="1569">
        <f t="shared" si="1"/>
        <v>0</v>
      </c>
      <c r="G31" s="1570"/>
      <c r="H31" s="1580">
        <f>IF(Performance!$L$2="y",F31,E31*G31/1000)</f>
        <v>0</v>
      </c>
      <c r="I31" s="2431"/>
      <c r="J31" s="2432"/>
      <c r="K31" s="2433"/>
      <c r="L31" s="1581" t="str">
        <f>IF(OR(D31&lt;0,G31&lt;0),"Error - negative number",IF(G31&gt;D31,"Offices only &gt; Total Estate",IF(AND(D31&gt;0,E31=""),"Please enter CO2e factor","")))</f>
        <v/>
      </c>
      <c r="M31" s="1514"/>
      <c r="N31" s="1514"/>
      <c r="O31" s="2421" t="s">
        <v>511</v>
      </c>
      <c r="P31" s="2422"/>
      <c r="Q31" s="2421" t="s">
        <v>512</v>
      </c>
      <c r="R31" s="2422"/>
      <c r="S31" s="1514"/>
      <c r="T31" s="1514"/>
      <c r="U31" s="2414" t="s">
        <v>511</v>
      </c>
      <c r="V31" s="2415"/>
      <c r="W31" s="2414" t="s">
        <v>512</v>
      </c>
      <c r="X31" s="2415"/>
      <c r="Y31" s="1514"/>
      <c r="Z31" s="1514"/>
      <c r="AA31" s="1514"/>
      <c r="AB31" s="1514"/>
      <c r="AC31" s="1514"/>
      <c r="AD31" s="1514"/>
    </row>
    <row r="32" spans="1:30" ht="15" customHeight="1" thickBot="1" x14ac:dyDescent="0.35">
      <c r="A32" s="1522" t="s">
        <v>372</v>
      </c>
      <c r="B32" s="2426"/>
      <c r="C32" s="1591" t="s">
        <v>369</v>
      </c>
      <c r="D32" s="1567"/>
      <c r="E32" s="1592">
        <f>+O32+Q32</f>
        <v>0.26563604119443424</v>
      </c>
      <c r="F32" s="1569">
        <f>P32+R32</f>
        <v>0</v>
      </c>
      <c r="G32" s="1570"/>
      <c r="H32" s="1580">
        <f>IF(Performance!$L$2="y",F32,E32*G32/1000)</f>
        <v>0</v>
      </c>
      <c r="I32" s="2431"/>
      <c r="J32" s="2432"/>
      <c r="K32" s="2433"/>
      <c r="L32" s="1581" t="str">
        <f t="shared" si="0"/>
        <v/>
      </c>
      <c r="M32" s="1514"/>
      <c r="N32" s="1514"/>
      <c r="O32" s="1593">
        <f>+'Emission Factors'!J31</f>
        <v>0.26563604119443424</v>
      </c>
      <c r="P32" s="1594">
        <f>(D32*O32)/1000</f>
        <v>0</v>
      </c>
      <c r="Q32" s="1595">
        <f>+'Emission Factors'!J32</f>
        <v>0</v>
      </c>
      <c r="R32" s="1594">
        <f>(D32*Q32)/1000</f>
        <v>0</v>
      </c>
      <c r="S32" s="1514"/>
      <c r="T32" s="1514"/>
      <c r="U32" s="1596">
        <f>+O32</f>
        <v>0.26563604119443424</v>
      </c>
      <c r="V32" s="1597">
        <f>IF(Performance!$L$2="y",P32,$G32*U32/1000)</f>
        <v>0</v>
      </c>
      <c r="W32" s="1598">
        <f>+Q32</f>
        <v>0</v>
      </c>
      <c r="X32" s="1597">
        <f>IF(Performance!$L$2="y",R32,$G32*W32/1000)</f>
        <v>0</v>
      </c>
      <c r="Y32" s="1514"/>
      <c r="Z32" s="1514"/>
      <c r="AA32" s="1514"/>
      <c r="AB32" s="1514"/>
      <c r="AC32" s="1514"/>
      <c r="AD32" s="1514"/>
    </row>
    <row r="33" spans="1:30" ht="15.75" customHeight="1" x14ac:dyDescent="0.3">
      <c r="A33" s="1522" t="s">
        <v>370</v>
      </c>
      <c r="B33" s="2426"/>
      <c r="C33" s="1591" t="s">
        <v>514</v>
      </c>
      <c r="D33" s="1567"/>
      <c r="E33" s="1567"/>
      <c r="F33" s="1569">
        <f>(D33*E33)/1000</f>
        <v>0</v>
      </c>
      <c r="G33" s="1570"/>
      <c r="H33" s="1580">
        <f>IF(Performance!$L$2="y",F33,E33*G33/1000)</f>
        <v>0</v>
      </c>
      <c r="I33" s="1600"/>
      <c r="J33" s="2451"/>
      <c r="K33" s="2452"/>
      <c r="L33" s="1581" t="str">
        <f t="shared" si="0"/>
        <v/>
      </c>
      <c r="M33" s="1514"/>
      <c r="N33" s="1514"/>
      <c r="O33" s="1514"/>
      <c r="P33" s="1514"/>
      <c r="Q33" s="1514"/>
      <c r="R33" s="1514"/>
      <c r="S33" s="1514"/>
      <c r="T33" s="1514"/>
      <c r="U33" s="1514"/>
      <c r="V33" s="1514"/>
      <c r="W33" s="1514"/>
      <c r="X33" s="1514"/>
      <c r="Y33" s="1514"/>
      <c r="Z33" s="1514"/>
      <c r="AA33" s="1514"/>
      <c r="AB33" s="1514"/>
      <c r="AC33" s="1514"/>
      <c r="AD33" s="1514"/>
    </row>
    <row r="34" spans="1:30" ht="15.75" customHeight="1" x14ac:dyDescent="0.3">
      <c r="A34" s="1522"/>
      <c r="B34" s="2426"/>
      <c r="C34" s="1591" t="s">
        <v>515</v>
      </c>
      <c r="D34" s="1567"/>
      <c r="E34" s="1567"/>
      <c r="F34" s="1569">
        <f t="shared" ref="F34:F35" si="2">(D34*E34)/1000</f>
        <v>0</v>
      </c>
      <c r="G34" s="1570"/>
      <c r="H34" s="1580">
        <f>IF(Performance!$L$2="y",F34,E34*G34/1000)</f>
        <v>0</v>
      </c>
      <c r="I34" s="1600"/>
      <c r="J34" s="2453"/>
      <c r="K34" s="2452"/>
      <c r="L34" s="1581" t="str">
        <f t="shared" si="0"/>
        <v/>
      </c>
      <c r="M34" s="1514"/>
      <c r="N34" s="1514"/>
      <c r="O34" s="1514"/>
      <c r="P34" s="1514"/>
      <c r="Q34" s="1514"/>
      <c r="R34" s="1514"/>
      <c r="S34" s="1514"/>
      <c r="T34" s="1514"/>
      <c r="U34" s="1514"/>
      <c r="V34" s="1514"/>
      <c r="W34" s="1514"/>
      <c r="X34" s="1514"/>
      <c r="Y34" s="1514"/>
      <c r="Z34" s="1514"/>
      <c r="AA34" s="1514"/>
      <c r="AB34" s="1514"/>
      <c r="AC34" s="1514"/>
      <c r="AD34" s="1514"/>
    </row>
    <row r="35" spans="1:30" ht="15.75" customHeight="1" thickBot="1" x14ac:dyDescent="0.35">
      <c r="A35" s="1522"/>
      <c r="B35" s="2427"/>
      <c r="C35" s="1566" t="s">
        <v>516</v>
      </c>
      <c r="D35" s="1567">
        <v>14476.16015625</v>
      </c>
      <c r="E35" s="1567">
        <v>0.24665000000000001</v>
      </c>
      <c r="F35" s="1569">
        <f t="shared" si="2"/>
        <v>3.5705449025390625</v>
      </c>
      <c r="G35" s="1570"/>
      <c r="H35" s="1580">
        <f>IF(Performance!$L$2="y",F35,E35*G35/1000)</f>
        <v>0</v>
      </c>
      <c r="I35" s="1601" t="s">
        <v>139</v>
      </c>
      <c r="J35" s="2454" t="s">
        <v>541</v>
      </c>
      <c r="K35" s="2455"/>
      <c r="L35" s="1581" t="str">
        <f t="shared" si="0"/>
        <v/>
      </c>
      <c r="M35" s="1514"/>
      <c r="N35" s="1514"/>
      <c r="O35" s="1514"/>
      <c r="P35" s="1514"/>
      <c r="Q35" s="1514"/>
      <c r="R35" s="1514"/>
      <c r="S35" s="1514"/>
      <c r="T35" s="1514"/>
      <c r="U35" s="1514"/>
      <c r="V35" s="1514"/>
      <c r="W35" s="1514"/>
      <c r="X35" s="1514"/>
      <c r="Y35" s="1514"/>
      <c r="Z35" s="1514"/>
      <c r="AA35" s="1514"/>
      <c r="AB35" s="1514"/>
      <c r="AC35" s="1514"/>
      <c r="AD35" s="1514"/>
    </row>
    <row r="36" spans="1:30" ht="15" customHeight="1" x14ac:dyDescent="0.3">
      <c r="A36" s="1522" t="s">
        <v>370</v>
      </c>
      <c r="B36" s="2425" t="s">
        <v>53</v>
      </c>
      <c r="C36" s="1602" t="s">
        <v>54</v>
      </c>
      <c r="D36" s="1603">
        <v>3920</v>
      </c>
      <c r="E36" s="1568">
        <f>+'Emission Factors'!J21</f>
        <v>0</v>
      </c>
      <c r="F36" s="1604">
        <f t="shared" si="1"/>
        <v>0</v>
      </c>
      <c r="G36" s="1605">
        <v>0</v>
      </c>
      <c r="H36" s="1571">
        <f>IF(Performance!$L$2="y",F36,E36*G36/1000)</f>
        <v>0</v>
      </c>
      <c r="I36" s="2428" t="s">
        <v>537</v>
      </c>
      <c r="J36" s="2429"/>
      <c r="K36" s="2430"/>
      <c r="L36" s="1606" t="str">
        <f t="shared" si="0"/>
        <v/>
      </c>
      <c r="M36" s="1514"/>
      <c r="N36" s="1514"/>
      <c r="O36" s="1514"/>
      <c r="P36" s="1514"/>
      <c r="Q36" s="1514"/>
      <c r="R36" s="1514"/>
      <c r="S36" s="1514"/>
      <c r="T36" s="1514"/>
      <c r="U36" s="1514"/>
      <c r="V36" s="1514"/>
      <c r="W36" s="1514"/>
      <c r="X36" s="1514"/>
      <c r="Y36" s="1514"/>
      <c r="Z36" s="1514"/>
      <c r="AA36" s="1514"/>
      <c r="AB36" s="1514"/>
      <c r="AC36" s="1514"/>
      <c r="AD36" s="1514"/>
    </row>
    <row r="37" spans="1:30" ht="15" customHeight="1" x14ac:dyDescent="0.3">
      <c r="A37" s="1522" t="s">
        <v>370</v>
      </c>
      <c r="B37" s="2426"/>
      <c r="C37" s="1591" t="s">
        <v>55</v>
      </c>
      <c r="D37" s="1607"/>
      <c r="E37" s="1592">
        <f>+'Emission Factors'!J22</f>
        <v>0</v>
      </c>
      <c r="F37" s="1608">
        <f t="shared" si="1"/>
        <v>0</v>
      </c>
      <c r="G37" s="1609"/>
      <c r="H37" s="1580">
        <f>IF(Performance!$L$2="y",F37,E37*G37/1000)</f>
        <v>0</v>
      </c>
      <c r="I37" s="2431"/>
      <c r="J37" s="2432"/>
      <c r="K37" s="2433"/>
      <c r="L37" s="1581" t="str">
        <f t="shared" si="0"/>
        <v/>
      </c>
      <c r="M37" s="1514"/>
      <c r="N37" s="1514"/>
      <c r="O37" s="1514"/>
      <c r="P37" s="1514"/>
      <c r="Q37" s="1514"/>
      <c r="R37" s="1514"/>
      <c r="S37" s="1514"/>
      <c r="T37" s="1514"/>
      <c r="U37" s="1514"/>
      <c r="V37" s="1514"/>
      <c r="W37" s="1514"/>
      <c r="X37" s="1514"/>
      <c r="Y37" s="1514"/>
      <c r="Z37" s="1514"/>
      <c r="AA37" s="1514"/>
      <c r="AB37" s="1514"/>
      <c r="AC37" s="1514"/>
      <c r="AD37" s="1514"/>
    </row>
    <row r="38" spans="1:30" ht="15" customHeight="1" x14ac:dyDescent="0.3">
      <c r="A38" s="1522" t="s">
        <v>370</v>
      </c>
      <c r="B38" s="2426"/>
      <c r="C38" s="1591" t="s">
        <v>56</v>
      </c>
      <c r="D38" s="1607"/>
      <c r="E38" s="1592">
        <f>+'Emission Factors'!J23</f>
        <v>0</v>
      </c>
      <c r="F38" s="1608">
        <f t="shared" si="1"/>
        <v>0</v>
      </c>
      <c r="G38" s="1609"/>
      <c r="H38" s="1580">
        <f>IF(Performance!$L$2="y",F38,E38*G38/1000)</f>
        <v>0</v>
      </c>
      <c r="I38" s="2431"/>
      <c r="J38" s="2432"/>
      <c r="K38" s="2433"/>
      <c r="L38" s="1581" t="str">
        <f t="shared" si="0"/>
        <v/>
      </c>
      <c r="M38" s="1514"/>
      <c r="N38" s="1514"/>
      <c r="O38" s="1514"/>
      <c r="P38" s="1514"/>
      <c r="Q38" s="1514"/>
      <c r="R38" s="1514"/>
      <c r="S38" s="1514"/>
      <c r="T38" s="1514"/>
      <c r="U38" s="1514"/>
      <c r="V38" s="1514"/>
      <c r="W38" s="1514"/>
      <c r="X38" s="1514"/>
      <c r="Y38" s="1514"/>
      <c r="Z38" s="1514"/>
      <c r="AA38" s="1514"/>
      <c r="AB38" s="1514"/>
      <c r="AC38" s="1514"/>
      <c r="AD38" s="1514"/>
    </row>
    <row r="39" spans="1:30" ht="15" customHeight="1" x14ac:dyDescent="0.3">
      <c r="A39" s="1522" t="s">
        <v>370</v>
      </c>
      <c r="B39" s="2426"/>
      <c r="C39" s="1591" t="s">
        <v>410</v>
      </c>
      <c r="D39" s="1607"/>
      <c r="E39" s="1610"/>
      <c r="F39" s="1608">
        <f t="shared" si="1"/>
        <v>0</v>
      </c>
      <c r="G39" s="1609"/>
      <c r="H39" s="1580">
        <f>IF(Performance!$L$2="y",F39,E39*G39/1000)</f>
        <v>0</v>
      </c>
      <c r="I39" s="2431"/>
      <c r="J39" s="2432"/>
      <c r="K39" s="2433"/>
      <c r="L39" s="1581" t="str">
        <f t="shared" si="0"/>
        <v/>
      </c>
      <c r="M39" s="1514"/>
      <c r="N39" s="1514"/>
      <c r="O39" s="1514"/>
      <c r="P39" s="1514"/>
      <c r="Q39" s="1514"/>
      <c r="R39" s="1514"/>
      <c r="S39" s="1514"/>
      <c r="T39" s="1514"/>
      <c r="U39" s="1514"/>
      <c r="V39" s="1514"/>
      <c r="W39" s="1514"/>
      <c r="X39" s="1514"/>
      <c r="Y39" s="1514"/>
      <c r="Z39" s="1514"/>
      <c r="AA39" s="1514"/>
      <c r="AB39" s="1514"/>
      <c r="AC39" s="1514"/>
      <c r="AD39" s="1514"/>
    </row>
    <row r="40" spans="1:30" ht="15" customHeight="1" x14ac:dyDescent="0.3">
      <c r="A40" s="1522"/>
      <c r="B40" s="2426"/>
      <c r="C40" s="1591" t="s">
        <v>411</v>
      </c>
      <c r="D40" s="1607"/>
      <c r="E40" s="1610"/>
      <c r="F40" s="1608">
        <f t="shared" si="1"/>
        <v>0</v>
      </c>
      <c r="G40" s="1609"/>
      <c r="H40" s="1580">
        <f>IF(Performance!$L$2="y",F40,E40*G40/1000)</f>
        <v>0</v>
      </c>
      <c r="I40" s="2431"/>
      <c r="J40" s="2432"/>
      <c r="K40" s="2433"/>
      <c r="L40" s="1581"/>
      <c r="M40" s="1514"/>
      <c r="N40" s="1514"/>
      <c r="O40" s="1514"/>
      <c r="P40" s="1514"/>
      <c r="Q40" s="1514"/>
      <c r="R40" s="1514"/>
      <c r="S40" s="1514"/>
      <c r="T40" s="1514"/>
      <c r="U40" s="1514"/>
      <c r="V40" s="1514"/>
      <c r="W40" s="1514"/>
      <c r="X40" s="1514"/>
      <c r="Y40" s="1514"/>
      <c r="Z40" s="1514"/>
      <c r="AA40" s="1514"/>
      <c r="AB40" s="1514"/>
      <c r="AC40" s="1514"/>
      <c r="AD40" s="1514"/>
    </row>
    <row r="41" spans="1:30" ht="15" customHeight="1" x14ac:dyDescent="0.3">
      <c r="A41" s="1522"/>
      <c r="B41" s="2426"/>
      <c r="C41" s="1591" t="s">
        <v>412</v>
      </c>
      <c r="D41" s="1607"/>
      <c r="E41" s="1610"/>
      <c r="F41" s="1608">
        <f t="shared" si="1"/>
        <v>0</v>
      </c>
      <c r="G41" s="1609"/>
      <c r="H41" s="1580">
        <f>IF(Performance!$L$2="y",F41,E41*G41/1000)</f>
        <v>0</v>
      </c>
      <c r="I41" s="2431"/>
      <c r="J41" s="2432"/>
      <c r="K41" s="2433"/>
      <c r="L41" s="1581"/>
      <c r="M41" s="1514"/>
      <c r="N41" s="1514"/>
      <c r="O41" s="1514"/>
      <c r="P41" s="1514"/>
      <c r="Q41" s="1514"/>
      <c r="R41" s="1514"/>
      <c r="S41" s="1514"/>
      <c r="T41" s="1514"/>
      <c r="U41" s="1514"/>
      <c r="V41" s="1514"/>
      <c r="W41" s="1514"/>
      <c r="X41" s="1514"/>
      <c r="Y41" s="1514"/>
      <c r="Z41" s="1514"/>
      <c r="AA41" s="1514"/>
      <c r="AB41" s="1514"/>
      <c r="AC41" s="1514"/>
      <c r="AD41" s="1514"/>
    </row>
    <row r="42" spans="1:30" ht="15" customHeight="1" x14ac:dyDescent="0.3">
      <c r="A42" s="1522" t="s">
        <v>370</v>
      </c>
      <c r="B42" s="2426"/>
      <c r="C42" s="357" t="s">
        <v>57</v>
      </c>
      <c r="D42" s="1611">
        <f>+CHP!CE22</f>
        <v>0</v>
      </c>
      <c r="E42" s="1592">
        <f>+CHP!AP17</f>
        <v>0</v>
      </c>
      <c r="F42" s="1608">
        <f>(D42*E42)/1000</f>
        <v>0</v>
      </c>
      <c r="G42" s="1609"/>
      <c r="H42" s="1612">
        <f>IF(Performance!$L$2="y",F42,E42*G42/1000)</f>
        <v>0</v>
      </c>
      <c r="I42" s="2431"/>
      <c r="J42" s="2432"/>
      <c r="K42" s="2433"/>
      <c r="L42" s="1581" t="str">
        <f t="shared" si="0"/>
        <v/>
      </c>
      <c r="M42" s="1514"/>
      <c r="N42" s="1514"/>
      <c r="O42" s="1514"/>
      <c r="P42" s="1514"/>
      <c r="Q42" s="1514"/>
      <c r="R42" s="1514"/>
      <c r="S42" s="1514"/>
      <c r="T42" s="1514"/>
      <c r="U42" s="1514"/>
      <c r="V42" s="1514"/>
      <c r="W42" s="1514"/>
      <c r="X42" s="1514"/>
      <c r="Y42" s="1514"/>
      <c r="Z42" s="1514"/>
      <c r="AA42" s="1514"/>
      <c r="AB42" s="1514"/>
      <c r="AC42" s="1514"/>
      <c r="AD42" s="1514"/>
    </row>
    <row r="43" spans="1:30" ht="15" customHeight="1" x14ac:dyDescent="0.3">
      <c r="A43" s="1522" t="s">
        <v>370</v>
      </c>
      <c r="B43" s="2426"/>
      <c r="C43" s="357" t="s">
        <v>58</v>
      </c>
      <c r="D43" s="1611">
        <f>+CHP!CE23</f>
        <v>0</v>
      </c>
      <c r="E43" s="1592">
        <f>+CHP!AP18</f>
        <v>0</v>
      </c>
      <c r="F43" s="1608">
        <f t="shared" si="1"/>
        <v>0</v>
      </c>
      <c r="G43" s="1609"/>
      <c r="H43" s="1612">
        <f>IF(Performance!$L$2="y",F43,E43*G43/1000)</f>
        <v>0</v>
      </c>
      <c r="I43" s="2431"/>
      <c r="J43" s="2432"/>
      <c r="K43" s="2433"/>
      <c r="L43" s="1581" t="str">
        <f t="shared" si="0"/>
        <v/>
      </c>
      <c r="M43" s="1514"/>
      <c r="N43" s="1514"/>
      <c r="O43" s="1514"/>
      <c r="P43" s="1514"/>
      <c r="Q43" s="1514"/>
      <c r="R43" s="1514"/>
      <c r="S43" s="1514"/>
      <c r="T43" s="1514"/>
      <c r="U43" s="1514"/>
      <c r="V43" s="1514"/>
      <c r="W43" s="1514"/>
      <c r="X43" s="1514"/>
      <c r="Y43" s="1514"/>
      <c r="Z43" s="1514"/>
      <c r="AA43" s="1514"/>
      <c r="AB43" s="1514"/>
      <c r="AC43" s="1514"/>
      <c r="AD43" s="1514"/>
    </row>
    <row r="44" spans="1:30" ht="15" customHeight="1" x14ac:dyDescent="0.3">
      <c r="A44" s="1522" t="s">
        <v>370</v>
      </c>
      <c r="B44" s="2426"/>
      <c r="C44" s="357" t="s">
        <v>59</v>
      </c>
      <c r="D44" s="1611">
        <f>+CHP!CE49</f>
        <v>0</v>
      </c>
      <c r="E44" s="1592">
        <f>+CHP!AP44</f>
        <v>0</v>
      </c>
      <c r="F44" s="1608">
        <f t="shared" si="1"/>
        <v>0</v>
      </c>
      <c r="G44" s="1609"/>
      <c r="H44" s="1612">
        <f>IF(Performance!$L$2="y",F44,E44*G44/1000)</f>
        <v>0</v>
      </c>
      <c r="I44" s="2431"/>
      <c r="J44" s="2432"/>
      <c r="K44" s="2433"/>
      <c r="L44" s="1581" t="str">
        <f t="shared" si="0"/>
        <v/>
      </c>
      <c r="M44" s="1514"/>
      <c r="N44" s="1514"/>
      <c r="O44" s="1514"/>
      <c r="P44" s="1514"/>
      <c r="Q44" s="1514"/>
      <c r="R44" s="1514"/>
      <c r="S44" s="1514"/>
      <c r="T44" s="1514"/>
      <c r="U44" s="1514"/>
      <c r="V44" s="1514"/>
      <c r="W44" s="1514"/>
      <c r="X44" s="1514"/>
      <c r="Y44" s="1514"/>
      <c r="Z44" s="1514"/>
      <c r="AA44" s="1514"/>
      <c r="AB44" s="1514"/>
      <c r="AC44" s="1514"/>
      <c r="AD44" s="1514"/>
    </row>
    <row r="45" spans="1:30" ht="15" customHeight="1" x14ac:dyDescent="0.3">
      <c r="A45" s="1522" t="s">
        <v>370</v>
      </c>
      <c r="B45" s="2426"/>
      <c r="C45" s="357" t="s">
        <v>60</v>
      </c>
      <c r="D45" s="1611">
        <f>+CHP!CE50</f>
        <v>0</v>
      </c>
      <c r="E45" s="1592">
        <f>+CHP!AP45</f>
        <v>0</v>
      </c>
      <c r="F45" s="1608">
        <f t="shared" si="1"/>
        <v>0</v>
      </c>
      <c r="G45" s="1609"/>
      <c r="H45" s="1612">
        <f>IF(Performance!$L$2="y",F45,E45*G45/1000)</f>
        <v>0</v>
      </c>
      <c r="I45" s="2431"/>
      <c r="J45" s="2432"/>
      <c r="K45" s="2433"/>
      <c r="L45" s="1581" t="str">
        <f t="shared" si="0"/>
        <v/>
      </c>
      <c r="M45" s="1514"/>
      <c r="N45" s="1514"/>
      <c r="O45" s="1514"/>
      <c r="P45" s="1514"/>
      <c r="Q45" s="1514"/>
      <c r="R45" s="1514"/>
      <c r="S45" s="1514"/>
      <c r="T45" s="1514"/>
      <c r="U45" s="1514"/>
      <c r="V45" s="1514"/>
      <c r="W45" s="1514"/>
      <c r="X45" s="1514"/>
      <c r="Y45" s="1514"/>
      <c r="Z45" s="1514"/>
      <c r="AA45" s="1514"/>
      <c r="AB45" s="1514"/>
      <c r="AC45" s="1514"/>
      <c r="AD45" s="1514"/>
    </row>
    <row r="46" spans="1:30" ht="15" customHeight="1" x14ac:dyDescent="0.3">
      <c r="A46" s="1522" t="s">
        <v>370</v>
      </c>
      <c r="B46" s="2426"/>
      <c r="C46" s="357" t="s">
        <v>61</v>
      </c>
      <c r="D46" s="1611">
        <f>+CHP!CE76</f>
        <v>0</v>
      </c>
      <c r="E46" s="1592">
        <f>+CHP!AP71</f>
        <v>0</v>
      </c>
      <c r="F46" s="1608">
        <f t="shared" si="1"/>
        <v>0</v>
      </c>
      <c r="G46" s="1609"/>
      <c r="H46" s="1612">
        <f>IF(Performance!$L$2="y",F46,E46*G46/1000)</f>
        <v>0</v>
      </c>
      <c r="I46" s="2431"/>
      <c r="J46" s="2432"/>
      <c r="K46" s="2433"/>
      <c r="L46" s="1581" t="str">
        <f t="shared" si="0"/>
        <v/>
      </c>
      <c r="M46" s="1514"/>
      <c r="N46" s="1514"/>
      <c r="O46" s="1514"/>
      <c r="P46" s="1514"/>
      <c r="Q46" s="1514"/>
      <c r="R46" s="1514"/>
      <c r="S46" s="1514"/>
      <c r="T46" s="1514"/>
      <c r="U46" s="1514"/>
      <c r="V46" s="1514"/>
      <c r="W46" s="1514"/>
      <c r="X46" s="1514"/>
      <c r="Y46" s="1514"/>
      <c r="Z46" s="1514"/>
      <c r="AA46" s="1514"/>
      <c r="AB46" s="1514"/>
      <c r="AC46" s="1514"/>
      <c r="AD46" s="1514"/>
    </row>
    <row r="47" spans="1:30" ht="15.75" customHeight="1" thickBot="1" x14ac:dyDescent="0.35">
      <c r="A47" s="1522" t="s">
        <v>370</v>
      </c>
      <c r="B47" s="2427"/>
      <c r="C47" s="358" t="s">
        <v>62</v>
      </c>
      <c r="D47" s="1613">
        <f>+CHP!CE77</f>
        <v>0</v>
      </c>
      <c r="E47" s="1614">
        <f>+CHP!AP72</f>
        <v>0</v>
      </c>
      <c r="F47" s="1615">
        <f t="shared" si="1"/>
        <v>0</v>
      </c>
      <c r="G47" s="1616"/>
      <c r="H47" s="1617">
        <f>IF(Performance!$L$2="y",F47,E47*G47/1000)</f>
        <v>0</v>
      </c>
      <c r="I47" s="2448"/>
      <c r="J47" s="2449"/>
      <c r="K47" s="2450"/>
      <c r="L47" s="1618" t="str">
        <f t="shared" si="0"/>
        <v/>
      </c>
      <c r="M47" s="1514"/>
      <c r="N47" s="1514"/>
      <c r="O47" s="1514"/>
      <c r="P47" s="1514"/>
      <c r="Q47" s="1514"/>
      <c r="R47" s="1514"/>
      <c r="S47" s="1514"/>
      <c r="T47" s="1514"/>
      <c r="U47" s="1514"/>
      <c r="V47" s="1514"/>
      <c r="W47" s="1514"/>
      <c r="X47" s="1514"/>
      <c r="Y47" s="1514"/>
      <c r="Z47" s="1514"/>
      <c r="AA47" s="1514"/>
      <c r="AB47" s="1514"/>
      <c r="AC47" s="1514"/>
      <c r="AD47" s="1514"/>
    </row>
    <row r="48" spans="1:30" x14ac:dyDescent="0.3">
      <c r="A48" s="1522"/>
      <c r="B48" s="1514" t="s">
        <v>63</v>
      </c>
      <c r="C48" s="1535"/>
      <c r="D48" s="1535"/>
      <c r="E48" s="1535"/>
      <c r="F48" s="1535"/>
      <c r="G48" s="1535"/>
      <c r="H48" s="1535"/>
      <c r="I48" s="1535"/>
      <c r="J48" s="1535"/>
      <c r="K48" s="1535"/>
      <c r="L48" s="1514"/>
      <c r="M48" s="1514"/>
      <c r="N48" s="1514"/>
      <c r="O48" s="1514"/>
      <c r="P48" s="1514"/>
      <c r="Q48" s="1514"/>
      <c r="R48" s="1514"/>
      <c r="S48" s="1514"/>
      <c r="T48" s="1514"/>
      <c r="U48" s="1514"/>
      <c r="V48" s="1514"/>
      <c r="W48" s="1514"/>
      <c r="X48" s="1514"/>
      <c r="Y48" s="1514"/>
      <c r="Z48" s="1514"/>
      <c r="AA48" s="1514"/>
      <c r="AB48" s="1514"/>
      <c r="AC48" s="1514"/>
      <c r="AD48" s="1514"/>
    </row>
    <row r="49" spans="1:30" s="1550" customFormat="1" ht="23.4" x14ac:dyDescent="0.3">
      <c r="A49" s="1545" t="s">
        <v>506</v>
      </c>
      <c r="B49" s="1546" t="s">
        <v>65</v>
      </c>
      <c r="C49" s="1547"/>
      <c r="D49" s="2387" t="str">
        <f>+$A$1</f>
        <v>Quarter 3 - 2018-2019</v>
      </c>
      <c r="E49" s="2387"/>
      <c r="F49" s="2387"/>
      <c r="G49" s="2387"/>
      <c r="H49" s="2387"/>
      <c r="I49" s="2387"/>
      <c r="J49" s="2387"/>
      <c r="K49" s="1548"/>
      <c r="L49" s="1548"/>
      <c r="M49" s="1548"/>
      <c r="N49" s="1548"/>
      <c r="O49" s="1548"/>
      <c r="P49" s="1548"/>
      <c r="Q49" s="1548"/>
      <c r="R49" s="1548"/>
      <c r="S49" s="1548"/>
      <c r="T49" s="1548"/>
      <c r="U49" s="1548"/>
      <c r="V49" s="1548"/>
      <c r="W49" s="1548"/>
      <c r="X49" s="1548"/>
      <c r="Y49" s="1549"/>
      <c r="Z49" s="1549"/>
      <c r="AA49" s="1549"/>
      <c r="AB49" s="1549"/>
      <c r="AC49" s="1549"/>
      <c r="AD49" s="1549"/>
    </row>
    <row r="50" spans="1:30" ht="14.4" thickBot="1" x14ac:dyDescent="0.35">
      <c r="A50" s="1522"/>
      <c r="B50" s="1534" t="s">
        <v>66</v>
      </c>
      <c r="C50" s="1538"/>
      <c r="D50" s="1535"/>
      <c r="E50" s="1535"/>
      <c r="F50" s="1535"/>
      <c r="G50" s="1535"/>
      <c r="H50" s="1535"/>
      <c r="I50" s="1535"/>
      <c r="J50" s="1535"/>
      <c r="K50" s="1535"/>
      <c r="L50" s="1514"/>
      <c r="M50" s="1514"/>
      <c r="N50" s="1514"/>
      <c r="O50" s="1514"/>
      <c r="P50" s="1514"/>
      <c r="Q50" s="1514"/>
      <c r="R50" s="1514"/>
      <c r="S50" s="1514"/>
      <c r="T50" s="1514"/>
      <c r="U50" s="1514"/>
      <c r="V50" s="1514"/>
      <c r="W50" s="1514"/>
      <c r="X50" s="1514"/>
      <c r="Y50" s="1514"/>
      <c r="Z50" s="1514"/>
      <c r="AA50" s="1514"/>
      <c r="AB50" s="1514"/>
      <c r="AC50" s="1514"/>
      <c r="AD50" s="1514"/>
    </row>
    <row r="51" spans="1:30" ht="30" customHeight="1" thickBot="1" x14ac:dyDescent="0.35">
      <c r="A51" s="1522"/>
      <c r="B51" s="1514"/>
      <c r="C51" s="1514"/>
      <c r="D51" s="2468" t="s">
        <v>23</v>
      </c>
      <c r="E51" s="2469"/>
      <c r="F51" s="2470"/>
      <c r="G51" s="2471" t="s">
        <v>144</v>
      </c>
      <c r="H51" s="2472"/>
      <c r="I51" s="2473" t="s">
        <v>24</v>
      </c>
      <c r="J51" s="2474"/>
      <c r="K51" s="2475"/>
      <c r="L51" s="2419" t="s">
        <v>461</v>
      </c>
      <c r="M51" s="1514"/>
      <c r="N51" s="1514"/>
      <c r="O51" s="1514"/>
      <c r="P51" s="1514"/>
      <c r="Q51" s="1514"/>
      <c r="R51" s="1514"/>
      <c r="S51" s="1514"/>
      <c r="T51" s="1514"/>
      <c r="U51" s="1514"/>
      <c r="V51" s="1514"/>
      <c r="W51" s="1514"/>
      <c r="X51" s="1514"/>
      <c r="Y51" s="1514"/>
      <c r="Z51" s="1514"/>
      <c r="AA51" s="1514"/>
      <c r="AB51" s="1514"/>
      <c r="AC51" s="1514"/>
      <c r="AD51" s="1514"/>
    </row>
    <row r="52" spans="1:30" ht="39" customHeight="1" thickBot="1" x14ac:dyDescent="0.35">
      <c r="A52" s="1522"/>
      <c r="B52" s="1619"/>
      <c r="C52" s="1538"/>
      <c r="D52" s="1620" t="s">
        <v>67</v>
      </c>
      <c r="E52" s="1621" t="s">
        <v>68</v>
      </c>
      <c r="F52" s="1622" t="s">
        <v>28</v>
      </c>
      <c r="G52" s="1555" t="s">
        <v>67</v>
      </c>
      <c r="H52" s="1555" t="s">
        <v>28</v>
      </c>
      <c r="I52" s="2476"/>
      <c r="J52" s="2477"/>
      <c r="K52" s="2478"/>
      <c r="L52" s="2420"/>
      <c r="M52" s="1514"/>
      <c r="N52" s="1514"/>
      <c r="O52" s="1514"/>
      <c r="P52" s="1514"/>
      <c r="Q52" s="1514"/>
      <c r="R52" s="1514"/>
      <c r="S52" s="1514"/>
      <c r="T52" s="1514"/>
      <c r="U52" s="1514"/>
      <c r="V52" s="1514"/>
      <c r="W52" s="1514"/>
      <c r="X52" s="1514"/>
      <c r="Y52" s="1514"/>
      <c r="Z52" s="1514"/>
      <c r="AA52" s="1514"/>
      <c r="AB52" s="1514"/>
      <c r="AC52" s="1514"/>
      <c r="AD52" s="1514"/>
    </row>
    <row r="53" spans="1:30" ht="13.5" customHeight="1" thickBot="1" x14ac:dyDescent="0.35">
      <c r="A53" s="1522" t="s">
        <v>370</v>
      </c>
      <c r="B53" s="2479" t="s">
        <v>69</v>
      </c>
      <c r="C53" s="2480"/>
      <c r="D53" s="1623"/>
      <c r="E53" s="1624"/>
      <c r="F53" s="1625">
        <f>D53/1000</f>
        <v>0</v>
      </c>
      <c r="G53" s="1626"/>
      <c r="H53" s="1627">
        <f>IF(Performance!L2="y",F53,G53/1000)</f>
        <v>0</v>
      </c>
      <c r="I53" s="2481"/>
      <c r="J53" s="2482"/>
      <c r="K53" s="2483"/>
      <c r="L53" s="1560" t="str">
        <f>IF(OR(D53&lt;0,G53&lt;0),"Error - negative number",IF(G53&gt;D53,"Offices only &gt; Total Estate",IF(AND(D53&gt;0,E53=""),"Please enter method used","")))</f>
        <v/>
      </c>
      <c r="M53" s="1514"/>
      <c r="N53" s="1514"/>
      <c r="O53" s="1514"/>
      <c r="P53" s="1514"/>
      <c r="Q53" s="1514"/>
      <c r="R53" s="1514"/>
      <c r="S53" s="1514"/>
      <c r="T53" s="1514"/>
      <c r="U53" s="1514"/>
      <c r="V53" s="1514"/>
      <c r="W53" s="1514"/>
      <c r="X53" s="1514"/>
      <c r="Y53" s="1514"/>
      <c r="Z53" s="1514"/>
      <c r="AA53" s="1514"/>
      <c r="AB53" s="1514"/>
      <c r="AC53" s="1514"/>
      <c r="AD53" s="1514"/>
    </row>
    <row r="54" spans="1:30" x14ac:dyDescent="0.3">
      <c r="A54" s="1628"/>
      <c r="B54" s="1535"/>
      <c r="C54" s="1535"/>
      <c r="D54" s="1535"/>
      <c r="E54" s="1535"/>
      <c r="F54" s="1629"/>
      <c r="G54" s="1535"/>
      <c r="H54" s="1535"/>
      <c r="I54" s="1535"/>
      <c r="J54" s="1535"/>
      <c r="K54" s="1535"/>
      <c r="L54" s="1514"/>
      <c r="M54" s="1514"/>
      <c r="N54" s="1514"/>
      <c r="O54" s="1514"/>
      <c r="P54" s="1514"/>
      <c r="Q54" s="1514"/>
      <c r="R54" s="1514"/>
      <c r="S54" s="1514"/>
      <c r="T54" s="1514"/>
      <c r="U54" s="1514"/>
      <c r="V54" s="1514"/>
      <c r="W54" s="1514"/>
      <c r="X54" s="1514"/>
      <c r="Y54" s="1514"/>
      <c r="Z54" s="1514"/>
      <c r="AA54" s="1514"/>
      <c r="AB54" s="1514"/>
      <c r="AC54" s="1514"/>
      <c r="AD54" s="1514"/>
    </row>
    <row r="55" spans="1:30" s="1550" customFormat="1" ht="23.4" x14ac:dyDescent="0.3">
      <c r="A55" s="1545" t="s">
        <v>507</v>
      </c>
      <c r="B55" s="1546" t="s">
        <v>71</v>
      </c>
      <c r="C55" s="1547"/>
      <c r="D55" s="2387" t="str">
        <f>+$A$1</f>
        <v>Quarter 3 - 2018-2019</v>
      </c>
      <c r="E55" s="2387"/>
      <c r="F55" s="2387"/>
      <c r="G55" s="2387"/>
      <c r="H55" s="2387"/>
      <c r="I55" s="2387"/>
      <c r="J55" s="2387"/>
      <c r="K55" s="1548"/>
      <c r="L55" s="1548"/>
      <c r="M55" s="1548"/>
      <c r="N55" s="1548"/>
      <c r="O55" s="1548"/>
      <c r="P55" s="1548"/>
      <c r="Q55" s="1548"/>
      <c r="R55" s="1548"/>
      <c r="S55" s="1548"/>
      <c r="T55" s="1548"/>
      <c r="U55" s="1548"/>
      <c r="V55" s="1548"/>
      <c r="W55" s="1548"/>
      <c r="X55" s="1548"/>
      <c r="Y55" s="1549"/>
      <c r="Z55" s="1549"/>
      <c r="AA55" s="1549"/>
      <c r="AB55" s="1549"/>
      <c r="AC55" s="1549"/>
      <c r="AD55" s="1549"/>
    </row>
    <row r="56" spans="1:30" x14ac:dyDescent="0.3">
      <c r="A56" s="1522"/>
      <c r="B56" s="1534" t="s">
        <v>72</v>
      </c>
      <c r="C56" s="1538"/>
      <c r="D56" s="1535"/>
      <c r="E56" s="1535"/>
      <c r="F56" s="1535"/>
      <c r="G56" s="1535"/>
      <c r="H56" s="1535"/>
      <c r="I56" s="1535"/>
      <c r="J56" s="1535"/>
      <c r="K56" s="1535"/>
      <c r="L56" s="1514"/>
      <c r="M56" s="1514"/>
      <c r="N56" s="1514"/>
      <c r="O56" s="1514"/>
      <c r="P56" s="1514"/>
      <c r="Q56" s="1514"/>
      <c r="R56" s="1514"/>
      <c r="S56" s="1514"/>
      <c r="T56" s="1514"/>
      <c r="U56" s="1514"/>
      <c r="V56" s="1514"/>
      <c r="W56" s="1514"/>
      <c r="X56" s="1514"/>
      <c r="Y56" s="1514"/>
      <c r="Z56" s="1514"/>
      <c r="AA56" s="1514"/>
      <c r="AB56" s="1514"/>
      <c r="AC56" s="1514"/>
      <c r="AD56" s="1514"/>
    </row>
    <row r="57" spans="1:30" x14ac:dyDescent="0.3">
      <c r="A57" s="1522"/>
      <c r="B57" s="1534" t="s">
        <v>73</v>
      </c>
      <c r="C57" s="1538"/>
      <c r="D57" s="1535"/>
      <c r="E57" s="1535"/>
      <c r="F57" s="1535"/>
      <c r="G57" s="1535"/>
      <c r="H57" s="1535"/>
      <c r="I57" s="1535"/>
      <c r="J57" s="1535"/>
      <c r="K57" s="1535"/>
      <c r="L57" s="1514"/>
      <c r="M57" s="1514"/>
      <c r="N57" s="1514"/>
      <c r="O57" s="1514"/>
      <c r="P57" s="1514"/>
      <c r="Q57" s="1514"/>
      <c r="R57" s="1514"/>
      <c r="S57" s="1514"/>
      <c r="T57" s="1514"/>
      <c r="U57" s="1514"/>
      <c r="V57" s="1514"/>
      <c r="W57" s="1514"/>
      <c r="X57" s="1514"/>
      <c r="Y57" s="1514"/>
      <c r="Z57" s="1514"/>
      <c r="AA57" s="1514"/>
      <c r="AB57" s="1514"/>
      <c r="AC57" s="1514"/>
      <c r="AD57" s="1514"/>
    </row>
    <row r="58" spans="1:30" x14ac:dyDescent="0.3">
      <c r="A58" s="1522"/>
      <c r="B58" s="1534" t="s">
        <v>528</v>
      </c>
      <c r="C58" s="1538"/>
      <c r="D58" s="1535"/>
      <c r="E58" s="1535"/>
      <c r="F58" s="1535"/>
      <c r="G58" s="1535"/>
      <c r="H58" s="1535"/>
      <c r="I58" s="1535"/>
      <c r="J58" s="1535"/>
      <c r="K58" s="1535"/>
      <c r="L58" s="1514"/>
      <c r="M58" s="1514"/>
      <c r="N58" s="1514"/>
      <c r="O58" s="1514"/>
      <c r="P58" s="1514"/>
      <c r="Q58" s="1514"/>
      <c r="R58" s="1514"/>
      <c r="S58" s="1514"/>
      <c r="T58" s="1514"/>
      <c r="U58" s="1514"/>
      <c r="V58" s="1514"/>
      <c r="W58" s="1514"/>
      <c r="X58" s="1514"/>
      <c r="Y58" s="1514"/>
      <c r="Z58" s="1514"/>
      <c r="AA58" s="1514"/>
      <c r="AB58" s="1514"/>
      <c r="AC58" s="1514"/>
      <c r="AD58" s="1514"/>
    </row>
    <row r="59" spans="1:30" x14ac:dyDescent="0.3">
      <c r="A59" s="1522"/>
      <c r="B59" s="1534" t="s">
        <v>76</v>
      </c>
      <c r="C59" s="1538"/>
      <c r="D59" s="1535"/>
      <c r="E59" s="1535"/>
      <c r="F59" s="1535"/>
      <c r="G59" s="1535"/>
      <c r="H59" s="1535"/>
      <c r="I59" s="1535"/>
      <c r="J59" s="1535"/>
      <c r="K59" s="1535"/>
      <c r="L59" s="1514"/>
      <c r="M59" s="1514"/>
      <c r="N59" s="1514"/>
      <c r="O59" s="1514"/>
      <c r="P59" s="1514"/>
      <c r="Q59" s="1514"/>
      <c r="R59" s="1514"/>
      <c r="S59" s="1514"/>
      <c r="T59" s="1514"/>
      <c r="U59" s="1514"/>
      <c r="V59" s="1514"/>
      <c r="W59" s="1514"/>
      <c r="X59" s="1514"/>
      <c r="Y59" s="1514"/>
      <c r="Z59" s="1514"/>
      <c r="AA59" s="1514"/>
      <c r="AB59" s="1514"/>
      <c r="AC59" s="1514"/>
      <c r="AD59" s="1514"/>
    </row>
    <row r="60" spans="1:30" ht="13.5" customHeight="1" x14ac:dyDescent="0.3">
      <c r="A60" s="1522"/>
      <c r="B60" s="143" t="s">
        <v>363</v>
      </c>
      <c r="C60" s="1538"/>
      <c r="D60" s="1535"/>
      <c r="E60" s="1535"/>
      <c r="F60" s="1535"/>
      <c r="G60" s="1535"/>
      <c r="H60" s="1535"/>
      <c r="I60" s="1535"/>
      <c r="J60" s="1535"/>
      <c r="K60" s="1535"/>
      <c r="L60" s="1514"/>
      <c r="M60" s="1514"/>
      <c r="N60" s="1514"/>
      <c r="O60" s="1514"/>
      <c r="P60" s="1514"/>
      <c r="Q60" s="1514"/>
      <c r="R60" s="1514"/>
      <c r="S60" s="1514"/>
      <c r="T60" s="1514"/>
      <c r="U60" s="1514"/>
      <c r="V60" s="1514"/>
      <c r="W60" s="1514"/>
      <c r="X60" s="1514"/>
      <c r="Y60" s="1514"/>
      <c r="Z60" s="1514"/>
      <c r="AA60" s="1514"/>
      <c r="AB60" s="1514"/>
      <c r="AC60" s="1514"/>
      <c r="AD60" s="1514"/>
    </row>
    <row r="61" spans="1:30" ht="15.75" customHeight="1" thickBot="1" x14ac:dyDescent="0.35">
      <c r="A61" s="1522" t="s">
        <v>370</v>
      </c>
      <c r="B61" s="1534"/>
      <c r="C61" s="1538"/>
      <c r="D61" s="1535"/>
      <c r="E61" s="1535"/>
      <c r="F61" s="1630"/>
      <c r="G61" s="1535"/>
      <c r="H61" s="1535"/>
      <c r="I61" s="1535"/>
      <c r="J61" s="1535"/>
      <c r="K61" s="1514"/>
      <c r="L61" s="1514"/>
      <c r="M61" s="1514"/>
      <c r="N61" s="1514"/>
      <c r="O61" s="1514"/>
      <c r="P61" s="1514"/>
      <c r="Q61" s="1514"/>
      <c r="R61" s="1514"/>
      <c r="S61" s="1514"/>
      <c r="T61" s="1514"/>
      <c r="U61" s="1514"/>
      <c r="V61" s="1514"/>
      <c r="W61" s="1514"/>
      <c r="X61" s="1514"/>
      <c r="Y61" s="1514"/>
      <c r="Z61" s="1514"/>
      <c r="AA61" s="1514"/>
      <c r="AB61" s="1514"/>
      <c r="AC61" s="1514"/>
      <c r="AD61" s="1514"/>
    </row>
    <row r="62" spans="1:30" ht="26.25" customHeight="1" thickBot="1" x14ac:dyDescent="0.35">
      <c r="A62" s="1522"/>
      <c r="B62" s="2456" t="s">
        <v>79</v>
      </c>
      <c r="C62" s="2457"/>
      <c r="D62" s="2460" t="s">
        <v>23</v>
      </c>
      <c r="E62" s="2461"/>
      <c r="F62" s="2462"/>
      <c r="G62" s="1631"/>
      <c r="H62" s="1631"/>
      <c r="I62" s="2388" t="s">
        <v>24</v>
      </c>
      <c r="J62" s="2389"/>
      <c r="K62" s="2390"/>
      <c r="L62" s="2419" t="s">
        <v>461</v>
      </c>
      <c r="M62" s="1514"/>
      <c r="N62" s="1514"/>
      <c r="O62" s="1514"/>
      <c r="P62" s="1514"/>
      <c r="Q62" s="1514"/>
      <c r="R62" s="1514"/>
      <c r="S62" s="1514"/>
      <c r="T62" s="1514"/>
      <c r="U62" s="1514"/>
      <c r="V62" s="1514"/>
      <c r="W62" s="1514"/>
      <c r="X62" s="1514"/>
      <c r="Y62" s="1514"/>
      <c r="Z62" s="1514"/>
      <c r="AA62" s="1514"/>
      <c r="AB62" s="1514"/>
      <c r="AC62" s="1514"/>
      <c r="AD62" s="1514"/>
    </row>
    <row r="63" spans="1:30" ht="15.75" customHeight="1" thickBot="1" x14ac:dyDescent="0.35">
      <c r="A63" s="1522"/>
      <c r="B63" s="2458"/>
      <c r="C63" s="2459"/>
      <c r="D63" s="1632" t="s">
        <v>81</v>
      </c>
      <c r="E63" s="1633" t="s">
        <v>27</v>
      </c>
      <c r="F63" s="1634" t="s">
        <v>28</v>
      </c>
      <c r="G63" s="1631"/>
      <c r="H63" s="1631"/>
      <c r="I63" s="2391"/>
      <c r="J63" s="2392"/>
      <c r="K63" s="2393"/>
      <c r="L63" s="2420"/>
      <c r="M63" s="1514"/>
      <c r="N63" s="1514"/>
      <c r="O63" s="1514"/>
      <c r="P63" s="1514"/>
      <c r="Q63" s="1514"/>
      <c r="R63" s="1514"/>
      <c r="S63" s="1514"/>
      <c r="T63" s="1514"/>
      <c r="U63" s="1514"/>
      <c r="V63" s="1514"/>
      <c r="W63" s="1514"/>
      <c r="X63" s="1514"/>
      <c r="Y63" s="1514"/>
      <c r="Z63" s="1514"/>
      <c r="AA63" s="1514"/>
      <c r="AB63" s="1514"/>
      <c r="AC63" s="1514"/>
      <c r="AD63" s="1514"/>
    </row>
    <row r="64" spans="1:30" ht="31.5" customHeight="1" thickBot="1" x14ac:dyDescent="0.35">
      <c r="A64" s="1522"/>
      <c r="B64" s="2463" t="s">
        <v>77</v>
      </c>
      <c r="C64" s="2464"/>
      <c r="D64" s="1635">
        <f>SUM(D65:D85)</f>
        <v>4558988</v>
      </c>
      <c r="E64" s="1557">
        <f>IF(D64&lt;&gt;0,F64*1000/D64,"")</f>
        <v>0.55341662581257067</v>
      </c>
      <c r="F64" s="1636">
        <f>SUM(F65:F85)</f>
        <v>2523.0197560799998</v>
      </c>
      <c r="G64" s="1631"/>
      <c r="H64" s="1631"/>
      <c r="I64" s="2465"/>
      <c r="J64" s="2466"/>
      <c r="K64" s="2467"/>
      <c r="L64" s="1560" t="str">
        <f t="shared" ref="L64:L122" si="3">IF(OR(D64&lt;0,G64&lt;0),"Error - negative number",IF(G64&gt;D64,"Offices only &gt; Total Estate",IF(AND(D64&gt;0,E64=""),"Please enter CO2e factor","")))</f>
        <v/>
      </c>
      <c r="M64" s="1514"/>
      <c r="N64" s="1514"/>
      <c r="O64" s="2484" t="str">
        <f>B64</f>
        <v>TOTAL DOMESTIC FROM FLEET (i.e. vehicles owned or leased by the department) (Scope 1)</v>
      </c>
      <c r="P64" s="2485"/>
      <c r="Q64" s="2485"/>
      <c r="R64" s="2485"/>
      <c r="S64" s="2485"/>
      <c r="T64" s="2485"/>
      <c r="U64" s="2485"/>
      <c r="V64" s="2485"/>
      <c r="W64" s="2486"/>
      <c r="X64" s="2405" t="s">
        <v>381</v>
      </c>
      <c r="Y64" s="2407"/>
      <c r="Z64" s="2419" t="s">
        <v>461</v>
      </c>
      <c r="AA64" s="1514"/>
      <c r="AB64" s="1514"/>
      <c r="AC64" s="1514"/>
      <c r="AD64" s="1514"/>
    </row>
    <row r="65" spans="1:30" ht="15" customHeight="1" x14ac:dyDescent="0.3">
      <c r="A65" s="1522" t="s">
        <v>370</v>
      </c>
      <c r="B65" s="2488" t="s">
        <v>84</v>
      </c>
      <c r="C65" s="1637" t="s">
        <v>85</v>
      </c>
      <c r="D65" s="1567">
        <v>10764</v>
      </c>
      <c r="E65" s="1638">
        <f>+'Emission Factors'!J48</f>
        <v>0.15565000000000001</v>
      </c>
      <c r="F65" s="1604">
        <f>(D65*E65)/1000</f>
        <v>1.6754165999999999</v>
      </c>
      <c r="G65" s="1631"/>
      <c r="H65" s="1631"/>
      <c r="I65" s="2491"/>
      <c r="J65" s="2492"/>
      <c r="K65" s="2493"/>
      <c r="L65" s="1572" t="str">
        <f t="shared" si="3"/>
        <v/>
      </c>
      <c r="M65" s="1514"/>
      <c r="N65" s="1514"/>
      <c r="O65" s="1639"/>
      <c r="P65" s="1640"/>
      <c r="Q65" s="2494" t="s">
        <v>78</v>
      </c>
      <c r="R65" s="2494" t="s">
        <v>80</v>
      </c>
      <c r="S65" s="2497" t="s">
        <v>27</v>
      </c>
      <c r="T65" s="2500" t="s">
        <v>374</v>
      </c>
      <c r="U65" s="2502" t="s">
        <v>24</v>
      </c>
      <c r="V65" s="2503"/>
      <c r="W65" s="2504"/>
      <c r="X65" s="2523" t="s">
        <v>27</v>
      </c>
      <c r="Y65" s="2526" t="s">
        <v>374</v>
      </c>
      <c r="Z65" s="2487"/>
      <c r="AA65" s="1514"/>
      <c r="AB65" s="1514"/>
      <c r="AC65" s="1514"/>
      <c r="AD65" s="1514"/>
    </row>
    <row r="66" spans="1:30" ht="15" customHeight="1" thickBot="1" x14ac:dyDescent="0.35">
      <c r="A66" s="1522" t="s">
        <v>370</v>
      </c>
      <c r="B66" s="2489"/>
      <c r="C66" s="1641" t="s">
        <v>87</v>
      </c>
      <c r="D66" s="1567"/>
      <c r="E66" s="1638">
        <f>+'Emission Factors'!J49</f>
        <v>0.19386</v>
      </c>
      <c r="F66" s="1608">
        <f t="shared" ref="F66:F85" si="4">(D66*E66)/1000</f>
        <v>0</v>
      </c>
      <c r="G66" s="1631"/>
      <c r="H66" s="1631"/>
      <c r="I66" s="2511"/>
      <c r="J66" s="2512"/>
      <c r="K66" s="2513"/>
      <c r="L66" s="1581" t="str">
        <f t="shared" si="3"/>
        <v/>
      </c>
      <c r="M66" s="1514"/>
      <c r="N66" s="1514"/>
      <c r="O66" s="1642"/>
      <c r="P66" s="1643"/>
      <c r="Q66" s="2495"/>
      <c r="R66" s="2495"/>
      <c r="S66" s="2498"/>
      <c r="T66" s="2501"/>
      <c r="U66" s="2505"/>
      <c r="V66" s="2506"/>
      <c r="W66" s="2507"/>
      <c r="X66" s="2524"/>
      <c r="Y66" s="2527"/>
      <c r="Z66" s="2487"/>
      <c r="AA66" s="1514"/>
      <c r="AB66" s="1514"/>
      <c r="AC66" s="1514"/>
      <c r="AD66" s="1514"/>
    </row>
    <row r="67" spans="1:30" ht="15" customHeight="1" thickBot="1" x14ac:dyDescent="0.35">
      <c r="A67" s="1522" t="s">
        <v>370</v>
      </c>
      <c r="B67" s="2489"/>
      <c r="C67" s="1641" t="s">
        <v>89</v>
      </c>
      <c r="D67" s="1567"/>
      <c r="E67" s="1638">
        <f>+'Emission Factors'!J50</f>
        <v>0.28410999999999997</v>
      </c>
      <c r="F67" s="1608">
        <f t="shared" si="4"/>
        <v>0</v>
      </c>
      <c r="G67" s="1631"/>
      <c r="H67" s="1631"/>
      <c r="I67" s="2511"/>
      <c r="J67" s="2512"/>
      <c r="K67" s="2513"/>
      <c r="L67" s="1581" t="str">
        <f t="shared" si="3"/>
        <v/>
      </c>
      <c r="M67" s="1514"/>
      <c r="N67" s="1514"/>
      <c r="O67" s="1644"/>
      <c r="P67" s="1645"/>
      <c r="Q67" s="2496"/>
      <c r="R67" s="2496"/>
      <c r="S67" s="2499"/>
      <c r="T67" s="1636">
        <f>SUM(T68:T74)</f>
        <v>131.5145029</v>
      </c>
      <c r="U67" s="2508"/>
      <c r="V67" s="2509"/>
      <c r="W67" s="2510"/>
      <c r="X67" s="2525"/>
      <c r="Y67" s="1636">
        <f>SUM(Y68:Y74)</f>
        <v>2926.8604</v>
      </c>
      <c r="Z67" s="2420"/>
      <c r="AA67" s="1514"/>
      <c r="AB67" s="1514"/>
      <c r="AC67" s="1514"/>
      <c r="AD67" s="1514"/>
    </row>
    <row r="68" spans="1:30" ht="15" customHeight="1" x14ac:dyDescent="0.3">
      <c r="A68" s="1522" t="s">
        <v>370</v>
      </c>
      <c r="B68" s="2489"/>
      <c r="C68" s="1641" t="s">
        <v>91</v>
      </c>
      <c r="D68" s="1567"/>
      <c r="E68" s="1638">
        <f>+'Emission Factors'!J51</f>
        <v>0.18368000000000001</v>
      </c>
      <c r="F68" s="1608">
        <f t="shared" si="4"/>
        <v>0</v>
      </c>
      <c r="G68" s="1631"/>
      <c r="H68" s="1631"/>
      <c r="I68" s="2511"/>
      <c r="J68" s="2512"/>
      <c r="K68" s="2513"/>
      <c r="L68" s="1581" t="str">
        <f t="shared" si="3"/>
        <v/>
      </c>
      <c r="M68" s="1514"/>
      <c r="N68" s="1514"/>
      <c r="O68" s="1646" t="s">
        <v>82</v>
      </c>
      <c r="P68" s="1647"/>
      <c r="Q68" s="1648" t="s">
        <v>83</v>
      </c>
      <c r="R68" s="1649">
        <v>3156</v>
      </c>
      <c r="S68" s="1650">
        <f>+'Emission Factors'!J36</f>
        <v>2.2030699999999999</v>
      </c>
      <c r="T68" s="1651">
        <f t="shared" ref="T68:T74" si="5">(R68*S68)/1000</f>
        <v>6.9528889199999995</v>
      </c>
      <c r="U68" s="2528" t="s">
        <v>543</v>
      </c>
      <c r="V68" s="2529"/>
      <c r="W68" s="2530"/>
      <c r="X68" s="1652">
        <f>+'Emission Factors'!J42</f>
        <v>6.8000000000000005E-2</v>
      </c>
      <c r="Y68" s="1653">
        <f t="shared" ref="Y68:Y74" si="6">+X68*R68</f>
        <v>214.608</v>
      </c>
      <c r="Z68" s="1606" t="str">
        <f t="shared" ref="Z68:Z74" si="7">IF(R68&lt;0,"Error - negative number","")</f>
        <v/>
      </c>
      <c r="AA68" s="1514"/>
      <c r="AB68" s="1514"/>
      <c r="AC68" s="1514"/>
      <c r="AD68" s="1514"/>
    </row>
    <row r="69" spans="1:30" ht="15" customHeight="1" x14ac:dyDescent="0.3">
      <c r="A69" s="1522" t="s">
        <v>370</v>
      </c>
      <c r="B69" s="2489"/>
      <c r="C69" s="1641" t="s">
        <v>94</v>
      </c>
      <c r="D69" s="1567">
        <v>1172655</v>
      </c>
      <c r="E69" s="1638">
        <f>+'Emission Factors'!J52</f>
        <v>0.14532999999999999</v>
      </c>
      <c r="F69" s="1608">
        <f t="shared" si="4"/>
        <v>170.42195114999998</v>
      </c>
      <c r="G69" s="1631"/>
      <c r="H69" s="1631"/>
      <c r="I69" s="2511"/>
      <c r="J69" s="2512"/>
      <c r="K69" s="2513"/>
      <c r="L69" s="1581" t="str">
        <f t="shared" si="3"/>
        <v/>
      </c>
      <c r="M69" s="1514"/>
      <c r="N69" s="1514"/>
      <c r="O69" s="1654" t="s">
        <v>86</v>
      </c>
      <c r="P69" s="1655"/>
      <c r="Q69" s="1656" t="s">
        <v>83</v>
      </c>
      <c r="R69" s="1657"/>
      <c r="S69" s="1658">
        <f>+'Emission Factors'!J37</f>
        <v>2.30531</v>
      </c>
      <c r="T69" s="1659">
        <f t="shared" si="5"/>
        <v>0</v>
      </c>
      <c r="U69" s="2520"/>
      <c r="V69" s="2521"/>
      <c r="W69" s="2522"/>
      <c r="X69" s="1658">
        <f>+'Emission Factors'!J43</f>
        <v>0</v>
      </c>
      <c r="Y69" s="1660">
        <f t="shared" si="6"/>
        <v>0</v>
      </c>
      <c r="Z69" s="1581" t="str">
        <f t="shared" si="7"/>
        <v/>
      </c>
      <c r="AA69" s="1514"/>
      <c r="AB69" s="1514"/>
      <c r="AC69" s="1514"/>
      <c r="AD69" s="1514"/>
    </row>
    <row r="70" spans="1:30" ht="15" customHeight="1" x14ac:dyDescent="0.3">
      <c r="A70" s="1522" t="s">
        <v>370</v>
      </c>
      <c r="B70" s="2489"/>
      <c r="C70" s="1641" t="s">
        <v>96</v>
      </c>
      <c r="D70" s="1567">
        <v>341109</v>
      </c>
      <c r="E70" s="1638">
        <f>+'Emission Factors'!J53</f>
        <v>0.17352999999999999</v>
      </c>
      <c r="F70" s="1608">
        <f t="shared" si="4"/>
        <v>59.192644770000001</v>
      </c>
      <c r="G70" s="1631"/>
      <c r="H70" s="1631"/>
      <c r="I70" s="2511"/>
      <c r="J70" s="2512"/>
      <c r="K70" s="2513"/>
      <c r="L70" s="1581" t="str">
        <f t="shared" si="3"/>
        <v/>
      </c>
      <c r="M70" s="1514"/>
      <c r="N70" s="1514"/>
      <c r="O70" s="1654" t="s">
        <v>88</v>
      </c>
      <c r="P70" s="1655"/>
      <c r="Q70" s="1656" t="s">
        <v>83</v>
      </c>
      <c r="R70" s="1657">
        <v>47417</v>
      </c>
      <c r="S70" s="1658">
        <f>+'Emission Factors'!J38</f>
        <v>2.6269399999999998</v>
      </c>
      <c r="T70" s="1659">
        <f t="shared" si="5"/>
        <v>124.56161397999999</v>
      </c>
      <c r="U70" s="2520"/>
      <c r="V70" s="2521"/>
      <c r="W70" s="2522"/>
      <c r="X70" s="1658">
        <f>+'Emission Factors'!J44</f>
        <v>5.7200000000000001E-2</v>
      </c>
      <c r="Y70" s="1660">
        <f t="shared" si="6"/>
        <v>2712.2523999999999</v>
      </c>
      <c r="Z70" s="1581" t="str">
        <f t="shared" si="7"/>
        <v/>
      </c>
      <c r="AA70" s="1514"/>
      <c r="AB70" s="1514"/>
      <c r="AC70" s="1514"/>
      <c r="AD70" s="1514"/>
    </row>
    <row r="71" spans="1:30" ht="15" customHeight="1" x14ac:dyDescent="0.3">
      <c r="A71" s="1522" t="s">
        <v>370</v>
      </c>
      <c r="B71" s="2489"/>
      <c r="C71" s="1641" t="s">
        <v>97</v>
      </c>
      <c r="D71" s="1567">
        <v>8992</v>
      </c>
      <c r="E71" s="1638">
        <f>+'Emission Factors'!J54</f>
        <v>0.2152</v>
      </c>
      <c r="F71" s="1608">
        <f t="shared" si="4"/>
        <v>1.9350784000000001</v>
      </c>
      <c r="G71" s="1631"/>
      <c r="H71" s="1631"/>
      <c r="I71" s="2511"/>
      <c r="J71" s="2512"/>
      <c r="K71" s="2513"/>
      <c r="L71" s="1581" t="str">
        <f t="shared" si="3"/>
        <v/>
      </c>
      <c r="M71" s="1514"/>
      <c r="N71" s="1514"/>
      <c r="O71" s="1654" t="s">
        <v>90</v>
      </c>
      <c r="P71" s="1655"/>
      <c r="Q71" s="1656" t="s">
        <v>83</v>
      </c>
      <c r="R71" s="1657"/>
      <c r="S71" s="1658">
        <f>+'Emission Factors'!J39</f>
        <v>2.6877900000000001</v>
      </c>
      <c r="T71" s="1659">
        <f t="shared" si="5"/>
        <v>0</v>
      </c>
      <c r="U71" s="2520"/>
      <c r="V71" s="2521"/>
      <c r="W71" s="2522"/>
      <c r="X71" s="1658">
        <f>+'Emission Factors'!J45</f>
        <v>0</v>
      </c>
      <c r="Y71" s="1660">
        <f t="shared" si="6"/>
        <v>0</v>
      </c>
      <c r="Z71" s="1581" t="str">
        <f t="shared" si="7"/>
        <v/>
      </c>
      <c r="AA71" s="1514"/>
      <c r="AB71" s="1514"/>
      <c r="AC71" s="1514"/>
      <c r="AD71" s="1514"/>
    </row>
    <row r="72" spans="1:30" ht="15" customHeight="1" x14ac:dyDescent="0.3">
      <c r="A72" s="1522" t="s">
        <v>370</v>
      </c>
      <c r="B72" s="2489"/>
      <c r="C72" s="1641" t="s">
        <v>98</v>
      </c>
      <c r="D72" s="1567"/>
      <c r="E72" s="1638">
        <f>+'Emission Factors'!J55</f>
        <v>0.17752999999999999</v>
      </c>
      <c r="F72" s="1608">
        <f t="shared" si="4"/>
        <v>0</v>
      </c>
      <c r="G72" s="1631"/>
      <c r="H72" s="1631"/>
      <c r="I72" s="2511"/>
      <c r="J72" s="2512"/>
      <c r="K72" s="2513"/>
      <c r="L72" s="1581" t="str">
        <f t="shared" si="3"/>
        <v/>
      </c>
      <c r="M72" s="1514"/>
      <c r="N72" s="1514"/>
      <c r="O72" s="1654" t="s">
        <v>92</v>
      </c>
      <c r="P72" s="1655"/>
      <c r="Q72" s="1656" t="s">
        <v>93</v>
      </c>
      <c r="R72" s="1657"/>
      <c r="S72" s="1658">
        <f>+'Emission Factors'!J40</f>
        <v>2.7466300000000001</v>
      </c>
      <c r="T72" s="1659">
        <f t="shared" si="5"/>
        <v>0</v>
      </c>
      <c r="U72" s="2520"/>
      <c r="V72" s="2521"/>
      <c r="W72" s="2522"/>
      <c r="X72" s="1658">
        <f>+'Emission Factors'!J46</f>
        <v>0</v>
      </c>
      <c r="Y72" s="1660">
        <f t="shared" si="6"/>
        <v>0</v>
      </c>
      <c r="Z72" s="1581" t="str">
        <f t="shared" si="7"/>
        <v/>
      </c>
      <c r="AA72" s="1514"/>
      <c r="AB72" s="1514"/>
      <c r="AC72" s="1514"/>
      <c r="AD72" s="1514"/>
    </row>
    <row r="73" spans="1:30" ht="15" customHeight="1" x14ac:dyDescent="0.3">
      <c r="A73" s="1522" t="s">
        <v>370</v>
      </c>
      <c r="B73" s="2489"/>
      <c r="C73" s="1641" t="s">
        <v>99</v>
      </c>
      <c r="D73" s="1567">
        <v>152153</v>
      </c>
      <c r="E73" s="1638">
        <f>+'Emission Factors'!J56</f>
        <v>0.11538000000000001</v>
      </c>
      <c r="F73" s="1608">
        <f t="shared" si="4"/>
        <v>17.555413139999999</v>
      </c>
      <c r="G73" s="1631"/>
      <c r="H73" s="1631"/>
      <c r="I73" s="2511" t="s">
        <v>544</v>
      </c>
      <c r="J73" s="2512"/>
      <c r="K73" s="2513"/>
      <c r="L73" s="1581" t="str">
        <f t="shared" si="3"/>
        <v/>
      </c>
      <c r="M73" s="1514"/>
      <c r="N73" s="1514"/>
      <c r="O73" s="1654" t="s">
        <v>95</v>
      </c>
      <c r="P73" s="1655"/>
      <c r="Q73" s="1656" t="s">
        <v>83</v>
      </c>
      <c r="R73" s="1657"/>
      <c r="S73" s="1658">
        <f>+'Emission Factors'!J41</f>
        <v>1.5190600000000001</v>
      </c>
      <c r="T73" s="1659">
        <f t="shared" si="5"/>
        <v>0</v>
      </c>
      <c r="U73" s="2520"/>
      <c r="V73" s="2521"/>
      <c r="W73" s="2522"/>
      <c r="X73" s="1658">
        <f>+'Emission Factors'!J47</f>
        <v>0</v>
      </c>
      <c r="Y73" s="1660">
        <f t="shared" si="6"/>
        <v>0</v>
      </c>
      <c r="Z73" s="1581" t="str">
        <f t="shared" si="7"/>
        <v/>
      </c>
      <c r="AA73" s="1514"/>
      <c r="AB73" s="1514"/>
      <c r="AC73" s="1514"/>
      <c r="AD73" s="1514"/>
    </row>
    <row r="74" spans="1:30" ht="15" customHeight="1" thickBot="1" x14ac:dyDescent="0.35">
      <c r="A74" s="1522" t="s">
        <v>370</v>
      </c>
      <c r="B74" s="2489"/>
      <c r="C74" s="1641" t="s">
        <v>100</v>
      </c>
      <c r="D74" s="1567"/>
      <c r="E74" s="1638">
        <f>+'Emission Factors'!J57</f>
        <v>0.16133999999999998</v>
      </c>
      <c r="F74" s="1608">
        <f t="shared" si="4"/>
        <v>0</v>
      </c>
      <c r="G74" s="1631"/>
      <c r="H74" s="1631"/>
      <c r="I74" s="2511"/>
      <c r="J74" s="2512"/>
      <c r="K74" s="2513"/>
      <c r="L74" s="1581" t="str">
        <f t="shared" si="3"/>
        <v/>
      </c>
      <c r="M74" s="1514"/>
      <c r="N74" s="1514"/>
      <c r="O74" s="1661" t="s">
        <v>409</v>
      </c>
      <c r="P74" s="1662"/>
      <c r="Q74" s="1663"/>
      <c r="R74" s="1664"/>
      <c r="S74" s="1665"/>
      <c r="T74" s="1666">
        <f t="shared" si="5"/>
        <v>0</v>
      </c>
      <c r="U74" s="2533"/>
      <c r="V74" s="2534"/>
      <c r="W74" s="2535"/>
      <c r="X74" s="1665"/>
      <c r="Y74" s="1667">
        <f t="shared" si="6"/>
        <v>0</v>
      </c>
      <c r="Z74" s="1618" t="str">
        <f t="shared" si="7"/>
        <v/>
      </c>
      <c r="AA74" s="1514"/>
      <c r="AB74" s="1514"/>
      <c r="AC74" s="1514"/>
      <c r="AD74" s="1514"/>
    </row>
    <row r="75" spans="1:30" ht="15" customHeight="1" x14ac:dyDescent="0.3">
      <c r="A75" s="1522" t="s">
        <v>370</v>
      </c>
      <c r="B75" s="2489"/>
      <c r="C75" s="1641" t="s">
        <v>529</v>
      </c>
      <c r="D75" s="1567"/>
      <c r="E75" s="1638">
        <f>+'Emission Factors'!J58</f>
        <v>0.20021999999999998</v>
      </c>
      <c r="F75" s="1608">
        <f t="shared" si="4"/>
        <v>0</v>
      </c>
      <c r="G75" s="1631"/>
      <c r="H75" s="1631"/>
      <c r="I75" s="2511"/>
      <c r="J75" s="2512"/>
      <c r="K75" s="2513"/>
      <c r="L75" s="1581" t="str">
        <f t="shared" si="3"/>
        <v/>
      </c>
      <c r="M75" s="1514"/>
      <c r="N75" s="1514"/>
      <c r="O75" s="2531" t="s">
        <v>367</v>
      </c>
      <c r="P75" s="2531"/>
      <c r="Q75" s="2531"/>
      <c r="R75" s="2531"/>
      <c r="S75" s="2531"/>
      <c r="T75" s="2531"/>
      <c r="U75" s="2531"/>
      <c r="V75" s="2531"/>
      <c r="W75" s="2531"/>
      <c r="X75" s="1514"/>
      <c r="Y75" s="1514"/>
      <c r="Z75" s="1514"/>
      <c r="AA75" s="1514"/>
      <c r="AB75" s="1514"/>
      <c r="AC75" s="1514"/>
      <c r="AD75" s="1514"/>
    </row>
    <row r="76" spans="1:30" ht="15" customHeight="1" x14ac:dyDescent="0.3">
      <c r="A76" s="1522" t="s">
        <v>370</v>
      </c>
      <c r="B76" s="2489"/>
      <c r="C76" s="1641" t="s">
        <v>102</v>
      </c>
      <c r="D76" s="1567">
        <v>76334</v>
      </c>
      <c r="E76" s="1638">
        <f>+'Emission Factors'!J59</f>
        <v>0.18064</v>
      </c>
      <c r="F76" s="1608">
        <f t="shared" si="4"/>
        <v>13.788973759999999</v>
      </c>
      <c r="G76" s="1631"/>
      <c r="H76" s="1631"/>
      <c r="I76" s="2511"/>
      <c r="J76" s="2512"/>
      <c r="K76" s="2513"/>
      <c r="L76" s="1581" t="str">
        <f t="shared" si="3"/>
        <v/>
      </c>
      <c r="M76" s="1514"/>
      <c r="N76" s="1514"/>
      <c r="O76" s="2532"/>
      <c r="P76" s="2532"/>
      <c r="Q76" s="2532"/>
      <c r="R76" s="2532"/>
      <c r="S76" s="2532"/>
      <c r="T76" s="2532"/>
      <c r="U76" s="2532"/>
      <c r="V76" s="2532"/>
      <c r="W76" s="2532"/>
      <c r="X76" s="1514"/>
      <c r="Y76" s="1514"/>
      <c r="Z76" s="1514"/>
      <c r="AA76" s="1514"/>
      <c r="AB76" s="1514"/>
      <c r="AC76" s="1514"/>
      <c r="AD76" s="1514"/>
    </row>
    <row r="77" spans="1:30" ht="15" customHeight="1" x14ac:dyDescent="0.3">
      <c r="A77" s="1522" t="s">
        <v>370</v>
      </c>
      <c r="B77" s="2489"/>
      <c r="C77" s="1641" t="s">
        <v>103</v>
      </c>
      <c r="D77" s="1567"/>
      <c r="E77" s="1638">
        <f>+'Emission Factors'!J60</f>
        <v>8.4629999999999997E-2</v>
      </c>
      <c r="F77" s="1608">
        <f t="shared" si="4"/>
        <v>0</v>
      </c>
      <c r="G77" s="1631"/>
      <c r="H77" s="1631"/>
      <c r="I77" s="2511"/>
      <c r="J77" s="2512"/>
      <c r="K77" s="2513"/>
      <c r="L77" s="1581" t="str">
        <f t="shared" si="3"/>
        <v/>
      </c>
      <c r="M77" s="1514"/>
      <c r="N77" s="1514"/>
      <c r="O77" s="2532"/>
      <c r="P77" s="2532"/>
      <c r="Q77" s="2532"/>
      <c r="R77" s="2532"/>
      <c r="S77" s="2532"/>
      <c r="T77" s="2532"/>
      <c r="U77" s="2532"/>
      <c r="V77" s="2532"/>
      <c r="W77" s="2532"/>
      <c r="X77" s="1514"/>
      <c r="Y77" s="1514"/>
      <c r="Z77" s="1514"/>
      <c r="AA77" s="1514"/>
      <c r="AB77" s="1514"/>
      <c r="AC77" s="1514"/>
      <c r="AD77" s="1514"/>
    </row>
    <row r="78" spans="1:30" ht="15" customHeight="1" x14ac:dyDescent="0.3">
      <c r="A78" s="1522" t="s">
        <v>370</v>
      </c>
      <c r="B78" s="2489"/>
      <c r="C78" s="1641" t="s">
        <v>104</v>
      </c>
      <c r="D78" s="1567"/>
      <c r="E78" s="1638">
        <f>+'Emission Factors'!J61</f>
        <v>0.10310000000000001</v>
      </c>
      <c r="F78" s="1608">
        <f t="shared" si="4"/>
        <v>0</v>
      </c>
      <c r="G78" s="1631"/>
      <c r="H78" s="1631"/>
      <c r="I78" s="2511"/>
      <c r="J78" s="2512"/>
      <c r="K78" s="2513"/>
      <c r="L78" s="1581" t="str">
        <f t="shared" si="3"/>
        <v/>
      </c>
      <c r="M78" s="1514"/>
      <c r="N78" s="1514"/>
      <c r="O78" s="2532"/>
      <c r="P78" s="2532"/>
      <c r="Q78" s="2532"/>
      <c r="R78" s="2532"/>
      <c r="S78" s="2532"/>
      <c r="T78" s="2532"/>
      <c r="U78" s="2532"/>
      <c r="V78" s="2532"/>
      <c r="W78" s="2532"/>
      <c r="X78" s="1514"/>
      <c r="Y78" s="1514"/>
      <c r="Z78" s="1514"/>
      <c r="AA78" s="1514"/>
      <c r="AB78" s="1514"/>
      <c r="AC78" s="1514"/>
      <c r="AD78" s="1514"/>
    </row>
    <row r="79" spans="1:30" ht="15" customHeight="1" x14ac:dyDescent="0.3">
      <c r="A79" s="1522" t="s">
        <v>370</v>
      </c>
      <c r="B79" s="2489"/>
      <c r="C79" s="1641" t="s">
        <v>105</v>
      </c>
      <c r="D79" s="1567"/>
      <c r="E79" s="1638">
        <f>+'Emission Factors'!J62</f>
        <v>0.13528000000000001</v>
      </c>
      <c r="F79" s="1608">
        <f t="shared" si="4"/>
        <v>0</v>
      </c>
      <c r="G79" s="1631"/>
      <c r="H79" s="1631"/>
      <c r="I79" s="2511"/>
      <c r="J79" s="2512"/>
      <c r="K79" s="2513"/>
      <c r="L79" s="1581" t="str">
        <f t="shared" si="3"/>
        <v/>
      </c>
      <c r="M79" s="1514"/>
      <c r="N79" s="1514"/>
      <c r="O79" s="1514"/>
      <c r="P79" s="1514"/>
      <c r="Q79" s="1514"/>
      <c r="R79" s="1514"/>
      <c r="S79" s="1514"/>
      <c r="T79" s="1514"/>
      <c r="U79" s="1514"/>
      <c r="V79" s="1514"/>
      <c r="W79" s="1514"/>
      <c r="X79" s="1514"/>
      <c r="Y79" s="1514"/>
      <c r="Z79" s="1514"/>
      <c r="AA79" s="1514"/>
      <c r="AB79" s="1514"/>
      <c r="AC79" s="1514"/>
      <c r="AD79" s="1514"/>
    </row>
    <row r="80" spans="1:30" ht="15" customHeight="1" x14ac:dyDescent="0.3">
      <c r="A80" s="1522" t="s">
        <v>370</v>
      </c>
      <c r="B80" s="2489"/>
      <c r="C80" s="1641" t="s">
        <v>106</v>
      </c>
      <c r="D80" s="1567"/>
      <c r="E80" s="1638">
        <f>+'Emission Factors'!J63</f>
        <v>0.11528999999999999</v>
      </c>
      <c r="F80" s="1608">
        <f t="shared" si="4"/>
        <v>0</v>
      </c>
      <c r="G80" s="1631"/>
      <c r="H80" s="1631"/>
      <c r="I80" s="2511"/>
      <c r="J80" s="2512"/>
      <c r="K80" s="2513"/>
      <c r="L80" s="1581" t="str">
        <f t="shared" si="3"/>
        <v/>
      </c>
      <c r="M80" s="1514"/>
      <c r="N80" s="1514"/>
      <c r="O80" s="1514"/>
      <c r="P80" s="1514"/>
      <c r="Q80" s="1514"/>
      <c r="R80" s="1514"/>
      <c r="S80" s="1514"/>
      <c r="T80" s="1514"/>
      <c r="U80" s="1514"/>
      <c r="V80" s="1514"/>
      <c r="W80" s="1514"/>
      <c r="X80" s="1514"/>
      <c r="Y80" s="1514"/>
      <c r="Z80" s="1514"/>
      <c r="AA80" s="1514"/>
      <c r="AB80" s="1514"/>
      <c r="AC80" s="1514"/>
      <c r="AD80" s="1514"/>
    </row>
    <row r="81" spans="1:30" ht="15" customHeight="1" x14ac:dyDescent="0.3">
      <c r="A81" s="1522" t="s">
        <v>370</v>
      </c>
      <c r="B81" s="2489"/>
      <c r="C81" s="1566" t="s">
        <v>410</v>
      </c>
      <c r="D81" s="1567">
        <v>2418935</v>
      </c>
      <c r="E81" s="1668">
        <v>0.80745999999999996</v>
      </c>
      <c r="F81" s="1608">
        <f t="shared" si="4"/>
        <v>1953.1932551</v>
      </c>
      <c r="G81" s="1631"/>
      <c r="H81" s="1631"/>
      <c r="I81" s="2511" t="s">
        <v>534</v>
      </c>
      <c r="J81" s="2512"/>
      <c r="K81" s="2513"/>
      <c r="L81" s="1581" t="str">
        <f t="shared" si="3"/>
        <v/>
      </c>
      <c r="M81" s="1514"/>
      <c r="N81" s="1514"/>
      <c r="O81" s="1514"/>
      <c r="P81" s="1514"/>
      <c r="Q81" s="1514"/>
      <c r="R81" s="1514"/>
      <c r="S81" s="1514"/>
      <c r="T81" s="1514"/>
      <c r="U81" s="1514"/>
      <c r="V81" s="1514"/>
      <c r="W81" s="1514"/>
      <c r="X81" s="1514"/>
      <c r="Y81" s="1514"/>
      <c r="Z81" s="1514"/>
      <c r="AA81" s="1514"/>
      <c r="AB81" s="1514"/>
      <c r="AC81" s="1514"/>
      <c r="AD81" s="1514"/>
    </row>
    <row r="82" spans="1:30" ht="15" customHeight="1" x14ac:dyDescent="0.3">
      <c r="A82" s="1522" t="s">
        <v>370</v>
      </c>
      <c r="B82" s="2489"/>
      <c r="C82" s="1566" t="s">
        <v>411</v>
      </c>
      <c r="D82" s="1567">
        <v>378046</v>
      </c>
      <c r="E82" s="1668">
        <v>0.80745999999999996</v>
      </c>
      <c r="F82" s="1608">
        <f t="shared" si="4"/>
        <v>305.25702315999996</v>
      </c>
      <c r="G82" s="1631"/>
      <c r="H82" s="1631"/>
      <c r="I82" s="2511" t="s">
        <v>535</v>
      </c>
      <c r="J82" s="2512"/>
      <c r="K82" s="2513"/>
      <c r="L82" s="1581" t="str">
        <f t="shared" si="3"/>
        <v/>
      </c>
      <c r="M82" s="1514"/>
      <c r="N82" s="1514"/>
      <c r="O82" s="1514"/>
      <c r="P82" s="1514"/>
      <c r="Q82" s="1514"/>
      <c r="R82" s="1514"/>
      <c r="S82" s="1514"/>
      <c r="T82" s="1514"/>
      <c r="U82" s="1514"/>
      <c r="V82" s="1514"/>
      <c r="W82" s="1514"/>
      <c r="X82" s="1514"/>
      <c r="Y82" s="1514"/>
      <c r="Z82" s="1514"/>
      <c r="AA82" s="1514"/>
      <c r="AB82" s="1514"/>
      <c r="AC82" s="1514"/>
      <c r="AD82" s="1514"/>
    </row>
    <row r="83" spans="1:30" ht="15" customHeight="1" x14ac:dyDescent="0.3">
      <c r="A83" s="1522" t="s">
        <v>370</v>
      </c>
      <c r="B83" s="2489"/>
      <c r="C83" s="1566" t="s">
        <v>412</v>
      </c>
      <c r="D83" s="1567"/>
      <c r="E83" s="1668"/>
      <c r="F83" s="1608">
        <f t="shared" si="4"/>
        <v>0</v>
      </c>
      <c r="G83" s="1631"/>
      <c r="H83" s="1631"/>
      <c r="I83" s="2511"/>
      <c r="J83" s="2512"/>
      <c r="K83" s="2513"/>
      <c r="L83" s="1581" t="str">
        <f t="shared" si="3"/>
        <v/>
      </c>
      <c r="M83" s="1514"/>
      <c r="N83" s="1514"/>
      <c r="O83" s="1514"/>
      <c r="P83" s="1514"/>
      <c r="Q83" s="1514"/>
      <c r="R83" s="1514"/>
      <c r="S83" s="1514"/>
      <c r="T83" s="1514"/>
      <c r="U83" s="1514"/>
      <c r="V83" s="1514"/>
      <c r="W83" s="1514"/>
      <c r="X83" s="1514"/>
      <c r="Y83" s="1514"/>
      <c r="Z83" s="1514"/>
      <c r="AA83" s="1514"/>
      <c r="AB83" s="1514"/>
      <c r="AC83" s="1514"/>
      <c r="AD83" s="1514"/>
    </row>
    <row r="84" spans="1:30" ht="15" customHeight="1" x14ac:dyDescent="0.3">
      <c r="A84" s="1522"/>
      <c r="B84" s="2489"/>
      <c r="C84" s="1566" t="s">
        <v>509</v>
      </c>
      <c r="D84" s="1567"/>
      <c r="E84" s="1668"/>
      <c r="F84" s="1608">
        <f t="shared" si="4"/>
        <v>0</v>
      </c>
      <c r="G84" s="1631"/>
      <c r="H84" s="1631"/>
      <c r="I84" s="2511"/>
      <c r="J84" s="2512"/>
      <c r="K84" s="2513"/>
      <c r="L84" s="1581" t="str">
        <f t="shared" si="3"/>
        <v/>
      </c>
      <c r="M84" s="1514"/>
      <c r="N84" s="1514"/>
      <c r="O84" s="1514"/>
      <c r="P84" s="1514"/>
      <c r="Q84" s="1514"/>
      <c r="R84" s="1514"/>
      <c r="S84" s="1514"/>
      <c r="T84" s="1514"/>
      <c r="U84" s="1514"/>
      <c r="V84" s="1514"/>
      <c r="W84" s="1514"/>
      <c r="X84" s="1514"/>
      <c r="Y84" s="1514"/>
      <c r="Z84" s="1514"/>
      <c r="AA84" s="1514"/>
      <c r="AB84" s="1514"/>
      <c r="AC84" s="1514"/>
      <c r="AD84" s="1514"/>
    </row>
    <row r="85" spans="1:30" ht="15" customHeight="1" thickBot="1" x14ac:dyDescent="0.35">
      <c r="A85" s="1522"/>
      <c r="B85" s="2490"/>
      <c r="C85" s="1566" t="s">
        <v>510</v>
      </c>
      <c r="D85" s="1567"/>
      <c r="E85" s="1669"/>
      <c r="F85" s="1608">
        <f t="shared" si="4"/>
        <v>0</v>
      </c>
      <c r="G85" s="1631"/>
      <c r="H85" s="1631"/>
      <c r="I85" s="2511"/>
      <c r="J85" s="2512"/>
      <c r="K85" s="2513"/>
      <c r="L85" s="1581" t="str">
        <f t="shared" si="3"/>
        <v/>
      </c>
      <c r="M85" s="1514"/>
      <c r="N85" s="1514"/>
      <c r="O85" s="1514"/>
      <c r="P85" s="1514"/>
      <c r="Q85" s="1514"/>
      <c r="R85" s="1514"/>
      <c r="S85" s="1514"/>
      <c r="T85" s="1514"/>
      <c r="U85" s="1514"/>
      <c r="V85" s="1514"/>
      <c r="W85" s="1514"/>
      <c r="X85" s="1514"/>
      <c r="Y85" s="1514"/>
      <c r="Z85" s="1514"/>
      <c r="AA85" s="1514"/>
      <c r="AB85" s="1514"/>
      <c r="AC85" s="1514"/>
      <c r="AD85" s="1514"/>
    </row>
    <row r="86" spans="1:30" ht="29.25" customHeight="1" thickBot="1" x14ac:dyDescent="0.35">
      <c r="A86" s="1522"/>
      <c r="B86" s="2463" t="s">
        <v>110</v>
      </c>
      <c r="C86" s="2464"/>
      <c r="D86" s="1635">
        <f>SUM(D87:D107)</f>
        <v>13042866</v>
      </c>
      <c r="E86" s="1670">
        <f>IF(D86&lt;&gt;0,F86*1000/D86,"")</f>
        <v>0.18063999999999997</v>
      </c>
      <c r="F86" s="1636">
        <f>SUM(F87:F107)</f>
        <v>2356.0633142399997</v>
      </c>
      <c r="G86" s="1631"/>
      <c r="H86" s="1631"/>
      <c r="I86" s="2465"/>
      <c r="J86" s="2466"/>
      <c r="K86" s="2467"/>
      <c r="L86" s="1560" t="str">
        <f t="shared" si="3"/>
        <v/>
      </c>
      <c r="M86" s="1514"/>
      <c r="N86" s="1514"/>
      <c r="O86" s="2484" t="str">
        <f>B86</f>
        <v>TOTAL DOMESTIC FROM GREY FLEET/HIRE (i.e. employee owned or hire vehicles) (Scope 3)</v>
      </c>
      <c r="P86" s="2485"/>
      <c r="Q86" s="2485"/>
      <c r="R86" s="2485"/>
      <c r="S86" s="2485"/>
      <c r="T86" s="2485"/>
      <c r="U86" s="2485"/>
      <c r="V86" s="2485"/>
      <c r="W86" s="2486"/>
      <c r="X86" s="2405" t="s">
        <v>381</v>
      </c>
      <c r="Y86" s="2407"/>
      <c r="Z86" s="2419" t="s">
        <v>461</v>
      </c>
      <c r="AA86" s="1514"/>
      <c r="AB86" s="1514"/>
      <c r="AC86" s="1514"/>
      <c r="AD86" s="1514"/>
    </row>
    <row r="87" spans="1:30" ht="15" customHeight="1" x14ac:dyDescent="0.3">
      <c r="A87" s="1522" t="s">
        <v>371</v>
      </c>
      <c r="B87" s="2488" t="s">
        <v>111</v>
      </c>
      <c r="C87" s="1637" t="s">
        <v>85</v>
      </c>
      <c r="D87" s="1567"/>
      <c r="E87" s="1638">
        <f t="shared" ref="E87:E102" si="8">+E65</f>
        <v>0.15565000000000001</v>
      </c>
      <c r="F87" s="1604">
        <f>(D87*E87)/1000</f>
        <v>0</v>
      </c>
      <c r="G87" s="1631"/>
      <c r="H87" s="1631"/>
      <c r="I87" s="2491"/>
      <c r="J87" s="2492"/>
      <c r="K87" s="2493"/>
      <c r="L87" s="1572" t="str">
        <f t="shared" si="3"/>
        <v/>
      </c>
      <c r="M87" s="1514"/>
      <c r="N87" s="1514"/>
      <c r="O87" s="1639"/>
      <c r="P87" s="1640"/>
      <c r="Q87" s="2494" t="s">
        <v>78</v>
      </c>
      <c r="R87" s="2494" t="s">
        <v>80</v>
      </c>
      <c r="S87" s="2497" t="s">
        <v>27</v>
      </c>
      <c r="T87" s="2500" t="s">
        <v>374</v>
      </c>
      <c r="U87" s="2502" t="s">
        <v>24</v>
      </c>
      <c r="V87" s="2503"/>
      <c r="W87" s="2504"/>
      <c r="X87" s="2523" t="s">
        <v>27</v>
      </c>
      <c r="Y87" s="2536" t="s">
        <v>374</v>
      </c>
      <c r="Z87" s="2487"/>
      <c r="AA87" s="1514"/>
      <c r="AB87" s="1514"/>
      <c r="AC87" s="1514"/>
      <c r="AD87" s="1514"/>
    </row>
    <row r="88" spans="1:30" ht="15" customHeight="1" thickBot="1" x14ac:dyDescent="0.35">
      <c r="A88" s="1522" t="s">
        <v>371</v>
      </c>
      <c r="B88" s="2489"/>
      <c r="C88" s="1641" t="s">
        <v>87</v>
      </c>
      <c r="D88" s="1567"/>
      <c r="E88" s="1638">
        <f t="shared" si="8"/>
        <v>0.19386</v>
      </c>
      <c r="F88" s="1608">
        <f t="shared" ref="F88:F107" si="9">(D88*E88)/1000</f>
        <v>0</v>
      </c>
      <c r="G88" s="1631"/>
      <c r="H88" s="1631"/>
      <c r="I88" s="2511"/>
      <c r="J88" s="2512"/>
      <c r="K88" s="2513"/>
      <c r="L88" s="1581" t="str">
        <f t="shared" si="3"/>
        <v/>
      </c>
      <c r="M88" s="1514"/>
      <c r="N88" s="1514"/>
      <c r="O88" s="1642"/>
      <c r="P88" s="1643"/>
      <c r="Q88" s="2495"/>
      <c r="R88" s="2495"/>
      <c r="S88" s="2498"/>
      <c r="T88" s="2501"/>
      <c r="U88" s="2505"/>
      <c r="V88" s="2506"/>
      <c r="W88" s="2507"/>
      <c r="X88" s="2524"/>
      <c r="Y88" s="2537"/>
      <c r="Z88" s="2487"/>
      <c r="AA88" s="1514"/>
      <c r="AB88" s="1514"/>
      <c r="AC88" s="1514"/>
      <c r="AD88" s="1514"/>
    </row>
    <row r="89" spans="1:30" ht="15" customHeight="1" thickBot="1" x14ac:dyDescent="0.35">
      <c r="A89" s="1522" t="s">
        <v>371</v>
      </c>
      <c r="B89" s="2489"/>
      <c r="C89" s="1641" t="s">
        <v>89</v>
      </c>
      <c r="D89" s="1567"/>
      <c r="E89" s="1638">
        <f t="shared" si="8"/>
        <v>0.28410999999999997</v>
      </c>
      <c r="F89" s="1608">
        <f t="shared" si="9"/>
        <v>0</v>
      </c>
      <c r="G89" s="1631"/>
      <c r="H89" s="1631"/>
      <c r="I89" s="2511"/>
      <c r="J89" s="2512"/>
      <c r="K89" s="2513"/>
      <c r="L89" s="1581" t="str">
        <f t="shared" si="3"/>
        <v/>
      </c>
      <c r="M89" s="1514"/>
      <c r="N89" s="1514"/>
      <c r="O89" s="1644"/>
      <c r="P89" s="1645"/>
      <c r="Q89" s="2496"/>
      <c r="R89" s="2496"/>
      <c r="S89" s="2499"/>
      <c r="T89" s="1636">
        <f>SUM(T90:T96)</f>
        <v>0</v>
      </c>
      <c r="U89" s="2508"/>
      <c r="V89" s="2509"/>
      <c r="W89" s="2510"/>
      <c r="X89" s="2525"/>
      <c r="Y89" s="1636">
        <f>SUM(Y90:Y96)</f>
        <v>0</v>
      </c>
      <c r="Z89" s="2420"/>
      <c r="AA89" s="1514"/>
      <c r="AB89" s="1514"/>
      <c r="AC89" s="1514"/>
      <c r="AD89" s="1514"/>
    </row>
    <row r="90" spans="1:30" ht="15" customHeight="1" x14ac:dyDescent="0.3">
      <c r="A90" s="1522" t="s">
        <v>371</v>
      </c>
      <c r="B90" s="2489"/>
      <c r="C90" s="1641" t="s">
        <v>91</v>
      </c>
      <c r="D90" s="1567"/>
      <c r="E90" s="1638">
        <f t="shared" si="8"/>
        <v>0.18368000000000001</v>
      </c>
      <c r="F90" s="1608">
        <f t="shared" si="9"/>
        <v>0</v>
      </c>
      <c r="G90" s="1631"/>
      <c r="H90" s="1631"/>
      <c r="I90" s="2511"/>
      <c r="J90" s="2512"/>
      <c r="K90" s="2513"/>
      <c r="L90" s="1581" t="str">
        <f t="shared" si="3"/>
        <v/>
      </c>
      <c r="M90" s="1514"/>
      <c r="N90" s="1514"/>
      <c r="O90" s="1646" t="s">
        <v>82</v>
      </c>
      <c r="P90" s="1647"/>
      <c r="Q90" s="1648" t="s">
        <v>83</v>
      </c>
      <c r="R90" s="1649"/>
      <c r="S90" s="1650">
        <f>+'Emission Factors'!J36</f>
        <v>2.2030699999999999</v>
      </c>
      <c r="T90" s="1651">
        <f t="shared" ref="T90:T96" si="10">(R90*S90)/1000</f>
        <v>0</v>
      </c>
      <c r="U90" s="2528"/>
      <c r="V90" s="2529"/>
      <c r="W90" s="2530"/>
      <c r="X90" s="1652">
        <f>+'Emission Factors'!J42</f>
        <v>6.8000000000000005E-2</v>
      </c>
      <c r="Y90" s="1653">
        <f t="shared" ref="Y90:Y96" si="11">+X90*R90</f>
        <v>0</v>
      </c>
      <c r="Z90" s="1606" t="str">
        <f t="shared" ref="Z90:Z96" si="12">IF(R90&lt;0,"Error - negative number","")</f>
        <v/>
      </c>
      <c r="AA90" s="1514"/>
      <c r="AB90" s="1514"/>
      <c r="AC90" s="1514"/>
      <c r="AD90" s="1514"/>
    </row>
    <row r="91" spans="1:30" ht="15" customHeight="1" x14ac:dyDescent="0.3">
      <c r="A91" s="1522" t="s">
        <v>371</v>
      </c>
      <c r="B91" s="2489"/>
      <c r="C91" s="1641" t="s">
        <v>94</v>
      </c>
      <c r="D91" s="1567"/>
      <c r="E91" s="1638">
        <f t="shared" si="8"/>
        <v>0.14532999999999999</v>
      </c>
      <c r="F91" s="1608">
        <f t="shared" si="9"/>
        <v>0</v>
      </c>
      <c r="G91" s="1631"/>
      <c r="H91" s="1631"/>
      <c r="I91" s="2511"/>
      <c r="J91" s="2512"/>
      <c r="K91" s="2513"/>
      <c r="L91" s="1581" t="str">
        <f t="shared" si="3"/>
        <v/>
      </c>
      <c r="M91" s="1514"/>
      <c r="N91" s="1514"/>
      <c r="O91" s="1654" t="s">
        <v>86</v>
      </c>
      <c r="P91" s="1655"/>
      <c r="Q91" s="1656" t="s">
        <v>83</v>
      </c>
      <c r="R91" s="1657"/>
      <c r="S91" s="1658">
        <f>+'Emission Factors'!J37</f>
        <v>2.30531</v>
      </c>
      <c r="T91" s="1659">
        <f t="shared" si="10"/>
        <v>0</v>
      </c>
      <c r="U91" s="2520"/>
      <c r="V91" s="2521"/>
      <c r="W91" s="2522"/>
      <c r="X91" s="1652">
        <f>+'Emission Factors'!J43</f>
        <v>0</v>
      </c>
      <c r="Y91" s="1660">
        <f t="shared" si="11"/>
        <v>0</v>
      </c>
      <c r="Z91" s="1581" t="str">
        <f t="shared" si="12"/>
        <v/>
      </c>
      <c r="AA91" s="1514"/>
      <c r="AB91" s="1514"/>
      <c r="AC91" s="1514"/>
      <c r="AD91" s="1514"/>
    </row>
    <row r="92" spans="1:30" ht="15" customHeight="1" x14ac:dyDescent="0.3">
      <c r="A92" s="1522" t="s">
        <v>371</v>
      </c>
      <c r="B92" s="2489"/>
      <c r="C92" s="1641" t="s">
        <v>96</v>
      </c>
      <c r="D92" s="1567"/>
      <c r="E92" s="1638">
        <f t="shared" si="8"/>
        <v>0.17352999999999999</v>
      </c>
      <c r="F92" s="1608">
        <f t="shared" si="9"/>
        <v>0</v>
      </c>
      <c r="G92" s="1631"/>
      <c r="H92" s="1631"/>
      <c r="I92" s="2511"/>
      <c r="J92" s="2512"/>
      <c r="K92" s="2513"/>
      <c r="L92" s="1581" t="str">
        <f t="shared" si="3"/>
        <v/>
      </c>
      <c r="M92" s="1514"/>
      <c r="N92" s="1514"/>
      <c r="O92" s="1654" t="s">
        <v>88</v>
      </c>
      <c r="P92" s="1655"/>
      <c r="Q92" s="1656" t="s">
        <v>83</v>
      </c>
      <c r="R92" s="1657"/>
      <c r="S92" s="1658">
        <f>+'Emission Factors'!J38</f>
        <v>2.6269399999999998</v>
      </c>
      <c r="T92" s="1659">
        <f t="shared" si="10"/>
        <v>0</v>
      </c>
      <c r="U92" s="2520"/>
      <c r="V92" s="2521"/>
      <c r="W92" s="2522"/>
      <c r="X92" s="1652">
        <f>+'Emission Factors'!J44</f>
        <v>5.7200000000000001E-2</v>
      </c>
      <c r="Y92" s="1660">
        <f t="shared" si="11"/>
        <v>0</v>
      </c>
      <c r="Z92" s="1581" t="str">
        <f t="shared" si="12"/>
        <v/>
      </c>
      <c r="AA92" s="1514"/>
      <c r="AB92" s="1514"/>
      <c r="AC92" s="1514"/>
      <c r="AD92" s="1514"/>
    </row>
    <row r="93" spans="1:30" ht="15" customHeight="1" x14ac:dyDescent="0.3">
      <c r="A93" s="1522" t="s">
        <v>371</v>
      </c>
      <c r="B93" s="2489"/>
      <c r="C93" s="1641" t="s">
        <v>97</v>
      </c>
      <c r="D93" s="1567"/>
      <c r="E93" s="1638">
        <f t="shared" si="8"/>
        <v>0.2152</v>
      </c>
      <c r="F93" s="1608">
        <f t="shared" si="9"/>
        <v>0</v>
      </c>
      <c r="G93" s="1631"/>
      <c r="H93" s="1631"/>
      <c r="I93" s="2511"/>
      <c r="J93" s="2512"/>
      <c r="K93" s="2513"/>
      <c r="L93" s="1581" t="str">
        <f t="shared" si="3"/>
        <v/>
      </c>
      <c r="M93" s="1514"/>
      <c r="N93" s="1514"/>
      <c r="O93" s="1654" t="s">
        <v>90</v>
      </c>
      <c r="P93" s="1655"/>
      <c r="Q93" s="1656" t="s">
        <v>83</v>
      </c>
      <c r="R93" s="1657"/>
      <c r="S93" s="1658">
        <f>+'Emission Factors'!J39</f>
        <v>2.6877900000000001</v>
      </c>
      <c r="T93" s="1659">
        <f t="shared" si="10"/>
        <v>0</v>
      </c>
      <c r="U93" s="2520"/>
      <c r="V93" s="2521"/>
      <c r="W93" s="2522"/>
      <c r="X93" s="1652">
        <f>+'Emission Factors'!J45</f>
        <v>0</v>
      </c>
      <c r="Y93" s="1660">
        <f t="shared" si="11"/>
        <v>0</v>
      </c>
      <c r="Z93" s="1581" t="str">
        <f t="shared" si="12"/>
        <v/>
      </c>
      <c r="AA93" s="1514"/>
      <c r="AB93" s="1514"/>
      <c r="AC93" s="1514"/>
      <c r="AD93" s="1514"/>
    </row>
    <row r="94" spans="1:30" ht="15" customHeight="1" x14ac:dyDescent="0.3">
      <c r="A94" s="1522" t="s">
        <v>371</v>
      </c>
      <c r="B94" s="2489"/>
      <c r="C94" s="1641" t="s">
        <v>98</v>
      </c>
      <c r="D94" s="1567"/>
      <c r="E94" s="1638">
        <f t="shared" si="8"/>
        <v>0.17752999999999999</v>
      </c>
      <c r="F94" s="1608">
        <f t="shared" si="9"/>
        <v>0</v>
      </c>
      <c r="G94" s="1631"/>
      <c r="H94" s="1631"/>
      <c r="I94" s="2511"/>
      <c r="J94" s="2512"/>
      <c r="K94" s="2513"/>
      <c r="L94" s="1581" t="str">
        <f t="shared" si="3"/>
        <v/>
      </c>
      <c r="M94" s="1514"/>
      <c r="N94" s="1514"/>
      <c r="O94" s="1654" t="s">
        <v>92</v>
      </c>
      <c r="P94" s="1655"/>
      <c r="Q94" s="1656" t="s">
        <v>93</v>
      </c>
      <c r="R94" s="1657"/>
      <c r="S94" s="1658">
        <f>+'Emission Factors'!J40</f>
        <v>2.7466300000000001</v>
      </c>
      <c r="T94" s="1659">
        <f t="shared" si="10"/>
        <v>0</v>
      </c>
      <c r="U94" s="2520"/>
      <c r="V94" s="2521"/>
      <c r="W94" s="2522"/>
      <c r="X94" s="1652">
        <f>+'Emission Factors'!J46</f>
        <v>0</v>
      </c>
      <c r="Y94" s="1660">
        <f t="shared" si="11"/>
        <v>0</v>
      </c>
      <c r="Z94" s="1581" t="str">
        <f t="shared" si="12"/>
        <v/>
      </c>
      <c r="AA94" s="1514"/>
      <c r="AB94" s="1514"/>
      <c r="AC94" s="1514"/>
      <c r="AD94" s="1514"/>
    </row>
    <row r="95" spans="1:30" ht="15" customHeight="1" x14ac:dyDescent="0.3">
      <c r="A95" s="1522" t="s">
        <v>371</v>
      </c>
      <c r="B95" s="2489"/>
      <c r="C95" s="1641" t="s">
        <v>99</v>
      </c>
      <c r="D95" s="1567"/>
      <c r="E95" s="1638">
        <f t="shared" si="8"/>
        <v>0.11538000000000001</v>
      </c>
      <c r="F95" s="1608">
        <f t="shared" si="9"/>
        <v>0</v>
      </c>
      <c r="G95" s="1631"/>
      <c r="H95" s="1631"/>
      <c r="I95" s="2511"/>
      <c r="J95" s="2512"/>
      <c r="K95" s="2513"/>
      <c r="L95" s="1581" t="str">
        <f t="shared" si="3"/>
        <v/>
      </c>
      <c r="M95" s="1514"/>
      <c r="N95" s="1514"/>
      <c r="O95" s="1654" t="s">
        <v>95</v>
      </c>
      <c r="P95" s="1655"/>
      <c r="Q95" s="1656" t="s">
        <v>83</v>
      </c>
      <c r="R95" s="1657"/>
      <c r="S95" s="1658">
        <f>+'Emission Factors'!J41</f>
        <v>1.5190600000000001</v>
      </c>
      <c r="T95" s="1659">
        <f t="shared" si="10"/>
        <v>0</v>
      </c>
      <c r="U95" s="2520"/>
      <c r="V95" s="2521"/>
      <c r="W95" s="2522"/>
      <c r="X95" s="1652">
        <f>+'Emission Factors'!J47</f>
        <v>0</v>
      </c>
      <c r="Y95" s="1660">
        <f t="shared" si="11"/>
        <v>0</v>
      </c>
      <c r="Z95" s="1581" t="str">
        <f t="shared" si="12"/>
        <v/>
      </c>
      <c r="AA95" s="1514"/>
      <c r="AB95" s="1514"/>
      <c r="AC95" s="1514"/>
      <c r="AD95" s="1514"/>
    </row>
    <row r="96" spans="1:30" ht="15" customHeight="1" thickBot="1" x14ac:dyDescent="0.35">
      <c r="A96" s="1522" t="s">
        <v>371</v>
      </c>
      <c r="B96" s="2489"/>
      <c r="C96" s="1641" t="s">
        <v>100</v>
      </c>
      <c r="D96" s="1567"/>
      <c r="E96" s="1638">
        <f t="shared" si="8"/>
        <v>0.16133999999999998</v>
      </c>
      <c r="F96" s="1608">
        <f t="shared" si="9"/>
        <v>0</v>
      </c>
      <c r="G96" s="1631"/>
      <c r="H96" s="1631"/>
      <c r="I96" s="2511"/>
      <c r="J96" s="2512"/>
      <c r="K96" s="2513"/>
      <c r="L96" s="1581" t="str">
        <f t="shared" si="3"/>
        <v/>
      </c>
      <c r="M96" s="1514"/>
      <c r="N96" s="1514"/>
      <c r="O96" s="1661" t="s">
        <v>409</v>
      </c>
      <c r="P96" s="1662"/>
      <c r="Q96" s="1663"/>
      <c r="R96" s="1664"/>
      <c r="S96" s="1665"/>
      <c r="T96" s="1666">
        <f t="shared" si="10"/>
        <v>0</v>
      </c>
      <c r="U96" s="2533"/>
      <c r="V96" s="2534"/>
      <c r="W96" s="2535"/>
      <c r="X96" s="1665"/>
      <c r="Y96" s="1667">
        <f t="shared" si="11"/>
        <v>0</v>
      </c>
      <c r="Z96" s="1618" t="str">
        <f t="shared" si="12"/>
        <v/>
      </c>
      <c r="AA96" s="1514"/>
      <c r="AB96" s="1514"/>
      <c r="AC96" s="1514"/>
      <c r="AD96" s="1514"/>
    </row>
    <row r="97" spans="1:30" ht="15" customHeight="1" x14ac:dyDescent="0.3">
      <c r="A97" s="1522" t="s">
        <v>371</v>
      </c>
      <c r="B97" s="2489"/>
      <c r="C97" s="1641" t="s">
        <v>529</v>
      </c>
      <c r="D97" s="1567"/>
      <c r="E97" s="1638">
        <f t="shared" si="8"/>
        <v>0.20021999999999998</v>
      </c>
      <c r="F97" s="1608">
        <f t="shared" si="9"/>
        <v>0</v>
      </c>
      <c r="G97" s="1631"/>
      <c r="H97" s="1631"/>
      <c r="I97" s="2511"/>
      <c r="J97" s="2512"/>
      <c r="K97" s="2513"/>
      <c r="L97" s="1581" t="str">
        <f t="shared" si="3"/>
        <v/>
      </c>
      <c r="M97" s="1514"/>
      <c r="N97" s="1514"/>
      <c r="O97" s="2531" t="s">
        <v>367</v>
      </c>
      <c r="P97" s="2531"/>
      <c r="Q97" s="2531"/>
      <c r="R97" s="2531"/>
      <c r="S97" s="2531"/>
      <c r="T97" s="2531"/>
      <c r="U97" s="2531"/>
      <c r="V97" s="2531"/>
      <c r="W97" s="2531"/>
      <c r="X97" s="1514"/>
      <c r="Y97" s="1514"/>
      <c r="Z97" s="1514"/>
      <c r="AA97" s="1514"/>
      <c r="AB97" s="1514"/>
      <c r="AC97" s="1514"/>
      <c r="AD97" s="1514"/>
    </row>
    <row r="98" spans="1:30" ht="15" customHeight="1" x14ac:dyDescent="0.3">
      <c r="A98" s="1522" t="s">
        <v>371</v>
      </c>
      <c r="B98" s="2489"/>
      <c r="C98" s="1641" t="s">
        <v>102</v>
      </c>
      <c r="D98" s="1567">
        <v>13042866</v>
      </c>
      <c r="E98" s="1638">
        <f t="shared" si="8"/>
        <v>0.18064</v>
      </c>
      <c r="F98" s="1608">
        <f t="shared" si="9"/>
        <v>2356.0633142399997</v>
      </c>
      <c r="G98" s="1631"/>
      <c r="H98" s="1631"/>
      <c r="I98" s="2511"/>
      <c r="J98" s="2512"/>
      <c r="K98" s="2513"/>
      <c r="L98" s="1581" t="str">
        <f t="shared" si="3"/>
        <v/>
      </c>
      <c r="M98" s="1514"/>
      <c r="N98" s="1514"/>
      <c r="O98" s="2532"/>
      <c r="P98" s="2532"/>
      <c r="Q98" s="2532"/>
      <c r="R98" s="2532"/>
      <c r="S98" s="2532"/>
      <c r="T98" s="2532"/>
      <c r="U98" s="2532"/>
      <c r="V98" s="2532"/>
      <c r="W98" s="2532"/>
      <c r="X98" s="1514"/>
      <c r="Y98" s="1514"/>
      <c r="Z98" s="1514"/>
      <c r="AA98" s="1514"/>
      <c r="AB98" s="1514"/>
      <c r="AC98" s="1514"/>
      <c r="AD98" s="1514"/>
    </row>
    <row r="99" spans="1:30" ht="15" customHeight="1" x14ac:dyDescent="0.3">
      <c r="A99" s="1522" t="s">
        <v>371</v>
      </c>
      <c r="B99" s="2489"/>
      <c r="C99" s="1641" t="s">
        <v>103</v>
      </c>
      <c r="D99" s="1567"/>
      <c r="E99" s="1638">
        <f t="shared" si="8"/>
        <v>8.4629999999999997E-2</v>
      </c>
      <c r="F99" s="1608">
        <f t="shared" si="9"/>
        <v>0</v>
      </c>
      <c r="G99" s="1631"/>
      <c r="H99" s="1631"/>
      <c r="I99" s="2511"/>
      <c r="J99" s="2512"/>
      <c r="K99" s="2513"/>
      <c r="L99" s="1581" t="str">
        <f t="shared" si="3"/>
        <v/>
      </c>
      <c r="M99" s="1514"/>
      <c r="N99" s="1514"/>
      <c r="O99" s="2532"/>
      <c r="P99" s="2532"/>
      <c r="Q99" s="2532"/>
      <c r="R99" s="2532"/>
      <c r="S99" s="2532"/>
      <c r="T99" s="2532"/>
      <c r="U99" s="2532"/>
      <c r="V99" s="2532"/>
      <c r="W99" s="2532"/>
      <c r="X99" s="1514"/>
      <c r="Y99" s="1514"/>
      <c r="Z99" s="1514"/>
      <c r="AA99" s="1514"/>
      <c r="AB99" s="1514"/>
      <c r="AC99" s="1514"/>
      <c r="AD99" s="1514"/>
    </row>
    <row r="100" spans="1:30" ht="15" customHeight="1" x14ac:dyDescent="0.3">
      <c r="A100" s="1522" t="s">
        <v>371</v>
      </c>
      <c r="B100" s="2489"/>
      <c r="C100" s="1641" t="s">
        <v>104</v>
      </c>
      <c r="D100" s="1567"/>
      <c r="E100" s="1638">
        <f t="shared" si="8"/>
        <v>0.10310000000000001</v>
      </c>
      <c r="F100" s="1608">
        <f t="shared" si="9"/>
        <v>0</v>
      </c>
      <c r="G100" s="1631"/>
      <c r="H100" s="1631"/>
      <c r="I100" s="2511"/>
      <c r="J100" s="2512"/>
      <c r="K100" s="2513"/>
      <c r="L100" s="1581" t="str">
        <f t="shared" si="3"/>
        <v/>
      </c>
      <c r="M100" s="1514"/>
      <c r="N100" s="1514"/>
      <c r="O100" s="2532"/>
      <c r="P100" s="2532"/>
      <c r="Q100" s="2532"/>
      <c r="R100" s="2532"/>
      <c r="S100" s="2532"/>
      <c r="T100" s="2532"/>
      <c r="U100" s="2532"/>
      <c r="V100" s="2532"/>
      <c r="W100" s="2532"/>
      <c r="X100" s="1514"/>
      <c r="Y100" s="1514"/>
      <c r="Z100" s="1514"/>
      <c r="AA100" s="1514"/>
      <c r="AB100" s="1514"/>
      <c r="AC100" s="1514"/>
      <c r="AD100" s="1514"/>
    </row>
    <row r="101" spans="1:30" ht="15" customHeight="1" x14ac:dyDescent="0.3">
      <c r="A101" s="1522" t="s">
        <v>371</v>
      </c>
      <c r="B101" s="2489"/>
      <c r="C101" s="1641" t="s">
        <v>105</v>
      </c>
      <c r="D101" s="1567"/>
      <c r="E101" s="1638">
        <f t="shared" si="8"/>
        <v>0.13528000000000001</v>
      </c>
      <c r="F101" s="1608">
        <f t="shared" si="9"/>
        <v>0</v>
      </c>
      <c r="G101" s="1631"/>
      <c r="H101" s="1631"/>
      <c r="I101" s="2511"/>
      <c r="J101" s="2512"/>
      <c r="K101" s="2513"/>
      <c r="L101" s="1581" t="str">
        <f t="shared" si="3"/>
        <v/>
      </c>
      <c r="M101" s="1514"/>
      <c r="N101" s="1514"/>
      <c r="O101" s="1514"/>
      <c r="P101" s="1514"/>
      <c r="Q101" s="1514"/>
      <c r="R101" s="1514"/>
      <c r="S101" s="1514"/>
      <c r="T101" s="1514"/>
      <c r="U101" s="1514"/>
      <c r="V101" s="1514"/>
      <c r="W101" s="1514"/>
      <c r="X101" s="1514"/>
      <c r="Y101" s="1514"/>
      <c r="Z101" s="1514"/>
      <c r="AA101" s="1514"/>
      <c r="AB101" s="1514"/>
      <c r="AC101" s="1514"/>
      <c r="AD101" s="1514"/>
    </row>
    <row r="102" spans="1:30" ht="15" customHeight="1" x14ac:dyDescent="0.3">
      <c r="A102" s="1522" t="s">
        <v>371</v>
      </c>
      <c r="B102" s="2489"/>
      <c r="C102" s="1641" t="s">
        <v>106</v>
      </c>
      <c r="D102" s="1567"/>
      <c r="E102" s="1638">
        <f t="shared" si="8"/>
        <v>0.11528999999999999</v>
      </c>
      <c r="F102" s="1608">
        <f t="shared" si="9"/>
        <v>0</v>
      </c>
      <c r="G102" s="1631"/>
      <c r="H102" s="1631"/>
      <c r="I102" s="2511"/>
      <c r="J102" s="2512"/>
      <c r="K102" s="2513"/>
      <c r="L102" s="1581" t="str">
        <f t="shared" si="3"/>
        <v/>
      </c>
      <c r="M102" s="1514"/>
      <c r="N102" s="1514"/>
      <c r="O102" s="1514"/>
      <c r="P102" s="1514"/>
      <c r="Q102" s="1514"/>
      <c r="R102" s="1514"/>
      <c r="S102" s="1514"/>
      <c r="T102" s="1514"/>
      <c r="U102" s="1514"/>
      <c r="V102" s="1514"/>
      <c r="W102" s="1514"/>
      <c r="X102" s="1514"/>
      <c r="Y102" s="1514"/>
      <c r="Z102" s="1514"/>
      <c r="AA102" s="1514"/>
      <c r="AB102" s="1514"/>
      <c r="AC102" s="1514"/>
      <c r="AD102" s="1514"/>
    </row>
    <row r="103" spans="1:30" ht="15" customHeight="1" x14ac:dyDescent="0.3">
      <c r="A103" s="1522" t="s">
        <v>371</v>
      </c>
      <c r="B103" s="2489"/>
      <c r="C103" s="1566" t="s">
        <v>410</v>
      </c>
      <c r="D103" s="1567"/>
      <c r="E103" s="1668"/>
      <c r="F103" s="1608">
        <f t="shared" si="9"/>
        <v>0</v>
      </c>
      <c r="G103" s="1631"/>
      <c r="H103" s="1631"/>
      <c r="I103" s="2511"/>
      <c r="J103" s="2512"/>
      <c r="K103" s="2513"/>
      <c r="L103" s="1581" t="str">
        <f t="shared" si="3"/>
        <v/>
      </c>
      <c r="M103" s="1514"/>
      <c r="N103" s="1514"/>
      <c r="O103" s="1514"/>
      <c r="P103" s="1514"/>
      <c r="Q103" s="1514"/>
      <c r="R103" s="1514"/>
      <c r="S103" s="1514"/>
      <c r="T103" s="1514"/>
      <c r="U103" s="1514"/>
      <c r="V103" s="1514"/>
      <c r="W103" s="1514"/>
      <c r="X103" s="1514"/>
      <c r="Y103" s="1514"/>
      <c r="Z103" s="1514"/>
      <c r="AA103" s="1514"/>
      <c r="AB103" s="1514"/>
      <c r="AC103" s="1514"/>
      <c r="AD103" s="1514"/>
    </row>
    <row r="104" spans="1:30" ht="15" customHeight="1" x14ac:dyDescent="0.3">
      <c r="A104" s="1522" t="s">
        <v>371</v>
      </c>
      <c r="B104" s="2489"/>
      <c r="C104" s="1566" t="s">
        <v>411</v>
      </c>
      <c r="D104" s="1567"/>
      <c r="E104" s="1668"/>
      <c r="F104" s="1608">
        <f t="shared" si="9"/>
        <v>0</v>
      </c>
      <c r="G104" s="1631"/>
      <c r="H104" s="1631"/>
      <c r="I104" s="2511"/>
      <c r="J104" s="2512"/>
      <c r="K104" s="2513"/>
      <c r="L104" s="1581" t="str">
        <f t="shared" si="3"/>
        <v/>
      </c>
      <c r="M104" s="1514"/>
      <c r="N104" s="1514"/>
      <c r="O104" s="1514"/>
      <c r="P104" s="1514"/>
      <c r="Q104" s="1514"/>
      <c r="R104" s="1514"/>
      <c r="S104" s="1514"/>
      <c r="T104" s="1514"/>
      <c r="U104" s="1514"/>
      <c r="V104" s="1514"/>
      <c r="W104" s="1514"/>
      <c r="X104" s="1514"/>
      <c r="Y104" s="1514"/>
      <c r="Z104" s="1514"/>
      <c r="AA104" s="1514"/>
      <c r="AB104" s="1514"/>
      <c r="AC104" s="1514"/>
      <c r="AD104" s="1514"/>
    </row>
    <row r="105" spans="1:30" ht="15" customHeight="1" x14ac:dyDescent="0.3">
      <c r="A105" s="1522" t="s">
        <v>371</v>
      </c>
      <c r="B105" s="2489"/>
      <c r="C105" s="1566" t="s">
        <v>412</v>
      </c>
      <c r="D105" s="1567"/>
      <c r="E105" s="1668"/>
      <c r="F105" s="1608">
        <f t="shared" si="9"/>
        <v>0</v>
      </c>
      <c r="G105" s="1631"/>
      <c r="H105" s="1631"/>
      <c r="I105" s="2511"/>
      <c r="J105" s="2512"/>
      <c r="K105" s="2513"/>
      <c r="L105" s="1581" t="str">
        <f t="shared" si="3"/>
        <v/>
      </c>
      <c r="M105" s="1514"/>
      <c r="N105" s="1514"/>
      <c r="O105" s="1514"/>
      <c r="P105" s="1514"/>
      <c r="Q105" s="1514"/>
      <c r="R105" s="1514"/>
      <c r="S105" s="1514"/>
      <c r="T105" s="1514"/>
      <c r="U105" s="1514"/>
      <c r="V105" s="1514"/>
      <c r="W105" s="1514"/>
      <c r="X105" s="1514"/>
      <c r="Y105" s="1514"/>
      <c r="Z105" s="1514"/>
      <c r="AA105" s="1514"/>
      <c r="AB105" s="1514"/>
      <c r="AC105" s="1514"/>
      <c r="AD105" s="1514"/>
    </row>
    <row r="106" spans="1:30" ht="15" customHeight="1" x14ac:dyDescent="0.3">
      <c r="A106" s="1522"/>
      <c r="B106" s="2489"/>
      <c r="C106" s="1566" t="s">
        <v>509</v>
      </c>
      <c r="D106" s="1567"/>
      <c r="E106" s="1668"/>
      <c r="F106" s="1608">
        <f t="shared" si="9"/>
        <v>0</v>
      </c>
      <c r="G106" s="1631"/>
      <c r="H106" s="1631"/>
      <c r="I106" s="2511"/>
      <c r="J106" s="2512"/>
      <c r="K106" s="2513"/>
      <c r="L106" s="1581" t="str">
        <f t="shared" si="3"/>
        <v/>
      </c>
      <c r="M106" s="1514"/>
      <c r="N106" s="1514"/>
      <c r="O106" s="1514"/>
      <c r="P106" s="1514"/>
      <c r="Q106" s="1514"/>
      <c r="R106" s="1514"/>
      <c r="S106" s="1514"/>
      <c r="T106" s="1514"/>
      <c r="U106" s="1514"/>
      <c r="V106" s="1514"/>
      <c r="W106" s="1514"/>
      <c r="X106" s="1514"/>
      <c r="Y106" s="1514"/>
      <c r="Z106" s="1514"/>
      <c r="AA106" s="1514"/>
      <c r="AB106" s="1514"/>
      <c r="AC106" s="1514"/>
      <c r="AD106" s="1514"/>
    </row>
    <row r="107" spans="1:30" ht="15" customHeight="1" thickBot="1" x14ac:dyDescent="0.35">
      <c r="A107" s="1522"/>
      <c r="B107" s="2490"/>
      <c r="C107" s="1566" t="s">
        <v>510</v>
      </c>
      <c r="D107" s="1567"/>
      <c r="E107" s="1669"/>
      <c r="F107" s="1608">
        <f t="shared" si="9"/>
        <v>0</v>
      </c>
      <c r="G107" s="1631"/>
      <c r="H107" s="1631"/>
      <c r="I107" s="2538"/>
      <c r="J107" s="2539"/>
      <c r="K107" s="2540"/>
      <c r="L107" s="1581" t="str">
        <f t="shared" si="3"/>
        <v/>
      </c>
      <c r="M107" s="1514"/>
      <c r="N107" s="1514"/>
      <c r="O107" s="1514"/>
      <c r="P107" s="1514"/>
      <c r="Q107" s="1514"/>
      <c r="R107" s="1514"/>
      <c r="S107" s="1514"/>
      <c r="T107" s="1514"/>
      <c r="U107" s="1514"/>
      <c r="V107" s="1514"/>
      <c r="W107" s="1514"/>
      <c r="X107" s="1514"/>
      <c r="Y107" s="1514"/>
      <c r="Z107" s="1514"/>
      <c r="AA107" s="1514"/>
      <c r="AB107" s="1514"/>
      <c r="AC107" s="1514"/>
      <c r="AD107" s="1514"/>
    </row>
    <row r="108" spans="1:30" ht="15.75" customHeight="1" thickBot="1" x14ac:dyDescent="0.35">
      <c r="A108" s="1522"/>
      <c r="B108" s="2463" t="s">
        <v>112</v>
      </c>
      <c r="C108" s="2464"/>
      <c r="D108" s="1635">
        <f>SUM(D109:D121)</f>
        <v>20791048.699523926</v>
      </c>
      <c r="E108" s="1671">
        <f>IF(D108&lt;&gt;0,F108*1000/D108,"")</f>
        <v>4.6792770654375003E-2</v>
      </c>
      <c r="F108" s="1636">
        <f>SUM(F109:F121)</f>
        <v>972.87077346076467</v>
      </c>
      <c r="G108" s="1631"/>
      <c r="H108" s="1631"/>
      <c r="I108" s="2541"/>
      <c r="J108" s="2542"/>
      <c r="K108" s="2543"/>
      <c r="L108" s="1560" t="str">
        <f t="shared" si="3"/>
        <v/>
      </c>
      <c r="M108" s="1514"/>
      <c r="N108" s="1514"/>
      <c r="O108" s="1514"/>
      <c r="P108" s="1514"/>
      <c r="Q108" s="1514"/>
      <c r="R108" s="1514"/>
      <c r="S108" s="1514"/>
      <c r="T108" s="1514"/>
      <c r="U108" s="1514"/>
      <c r="V108" s="1514"/>
      <c r="W108" s="1514"/>
      <c r="X108" s="1514"/>
      <c r="Y108" s="1514"/>
      <c r="Z108" s="1514"/>
      <c r="AA108" s="1514"/>
      <c r="AB108" s="1514"/>
      <c r="AC108" s="1514"/>
      <c r="AD108" s="1514"/>
    </row>
    <row r="109" spans="1:30" ht="15" customHeight="1" x14ac:dyDescent="0.3">
      <c r="A109" s="1522" t="s">
        <v>371</v>
      </c>
      <c r="B109" s="2425" t="s">
        <v>113</v>
      </c>
      <c r="C109" s="1637" t="s">
        <v>114</v>
      </c>
      <c r="D109" s="1603">
        <v>466893.88702392502</v>
      </c>
      <c r="E109" s="1672">
        <f>+'Emission Factors'!J88</f>
        <v>0.15777000000000002</v>
      </c>
      <c r="F109" s="1673">
        <f t="shared" ref="F109:F121" si="13">(D109*E109)/1000</f>
        <v>73.661848555764664</v>
      </c>
      <c r="G109" s="1631"/>
      <c r="H109" s="1631"/>
      <c r="I109" s="2491"/>
      <c r="J109" s="2492"/>
      <c r="K109" s="2493"/>
      <c r="L109" s="1572" t="str">
        <f t="shared" si="3"/>
        <v/>
      </c>
      <c r="M109" s="1514"/>
      <c r="N109" s="1514"/>
      <c r="O109" s="1514"/>
      <c r="P109" s="1514"/>
      <c r="Q109" s="1514"/>
      <c r="R109" s="1514"/>
      <c r="S109" s="1514"/>
      <c r="T109" s="1514"/>
      <c r="U109" s="1514"/>
      <c r="V109" s="1514"/>
      <c r="W109" s="1514"/>
      <c r="X109" s="1514"/>
      <c r="Y109" s="1514"/>
      <c r="Z109" s="1514"/>
      <c r="AA109" s="1514"/>
      <c r="AB109" s="1514"/>
      <c r="AC109" s="1514"/>
      <c r="AD109" s="1514"/>
    </row>
    <row r="110" spans="1:30" ht="15" customHeight="1" x14ac:dyDescent="0.3">
      <c r="A110" s="1522" t="s">
        <v>371</v>
      </c>
      <c r="B110" s="2426"/>
      <c r="C110" s="1641" t="s">
        <v>115</v>
      </c>
      <c r="D110" s="1607">
        <v>20318532.8125</v>
      </c>
      <c r="E110" s="1638">
        <f>+'Emission Factors'!J89</f>
        <v>4.4239999999999995E-2</v>
      </c>
      <c r="F110" s="1673">
        <f t="shared" si="13"/>
        <v>898.89189162499997</v>
      </c>
      <c r="G110" s="1631"/>
      <c r="H110" s="1631"/>
      <c r="I110" s="2511"/>
      <c r="J110" s="2512"/>
      <c r="K110" s="2513"/>
      <c r="L110" s="1581" t="str">
        <f t="shared" si="3"/>
        <v/>
      </c>
      <c r="M110" s="1514"/>
      <c r="N110" s="1514"/>
      <c r="O110" s="1514"/>
      <c r="P110" s="1514"/>
      <c r="Q110" s="1514"/>
      <c r="R110" s="1514"/>
      <c r="S110" s="1514"/>
      <c r="T110" s="1514"/>
      <c r="U110" s="1514"/>
      <c r="V110" s="1514"/>
      <c r="W110" s="1514"/>
      <c r="X110" s="1514"/>
      <c r="Y110" s="1514"/>
      <c r="Z110" s="1514"/>
      <c r="AA110" s="1514"/>
      <c r="AB110" s="1514"/>
      <c r="AC110" s="1514"/>
      <c r="AD110" s="1514"/>
    </row>
    <row r="111" spans="1:30" ht="15" customHeight="1" x14ac:dyDescent="0.3">
      <c r="A111" s="1522" t="s">
        <v>371</v>
      </c>
      <c r="B111" s="2426"/>
      <c r="C111" s="1641" t="s">
        <v>116</v>
      </c>
      <c r="D111" s="1607"/>
      <c r="E111" s="1638">
        <f>+'Emission Factors'!J90</f>
        <v>3.9670000000000004E-2</v>
      </c>
      <c r="F111" s="1673">
        <f t="shared" si="13"/>
        <v>0</v>
      </c>
      <c r="G111" s="1631"/>
      <c r="H111" s="1631"/>
      <c r="I111" s="2511"/>
      <c r="J111" s="2512"/>
      <c r="K111" s="2513"/>
      <c r="L111" s="1581" t="str">
        <f t="shared" si="3"/>
        <v/>
      </c>
      <c r="M111" s="1514"/>
      <c r="N111" s="1514"/>
      <c r="O111" s="1514"/>
      <c r="P111" s="1514"/>
      <c r="Q111" s="1514"/>
      <c r="R111" s="1514"/>
      <c r="S111" s="1514"/>
      <c r="T111" s="1514"/>
      <c r="U111" s="1514"/>
      <c r="V111" s="1514"/>
      <c r="W111" s="1514"/>
      <c r="X111" s="1514"/>
      <c r="Y111" s="1514"/>
      <c r="Z111" s="1514"/>
      <c r="AA111" s="1514"/>
      <c r="AB111" s="1514"/>
      <c r="AC111" s="1514"/>
      <c r="AD111" s="1514"/>
    </row>
    <row r="112" spans="1:30" ht="15" customHeight="1" x14ac:dyDescent="0.3">
      <c r="A112" s="1522" t="s">
        <v>371</v>
      </c>
      <c r="B112" s="2426"/>
      <c r="C112" s="1641" t="s">
        <v>117</v>
      </c>
      <c r="D112" s="1607">
        <v>4710</v>
      </c>
      <c r="E112" s="1638">
        <f>+'Emission Factors'!J91</f>
        <v>3.7600000000000001E-2</v>
      </c>
      <c r="F112" s="1673">
        <f t="shared" si="13"/>
        <v>0.177096</v>
      </c>
      <c r="G112" s="1631"/>
      <c r="H112" s="1631"/>
      <c r="I112" s="2511" t="s">
        <v>542</v>
      </c>
      <c r="J112" s="2512"/>
      <c r="K112" s="2513"/>
      <c r="L112" s="1581" t="str">
        <f t="shared" si="3"/>
        <v/>
      </c>
      <c r="M112" s="1514"/>
      <c r="N112" s="1514"/>
      <c r="O112" s="1514"/>
      <c r="P112" s="1514"/>
      <c r="Q112" s="1514"/>
      <c r="R112" s="1514"/>
      <c r="S112" s="1514"/>
      <c r="T112" s="1514"/>
      <c r="U112" s="1514"/>
      <c r="V112" s="1514"/>
      <c r="W112" s="1514"/>
      <c r="X112" s="1514"/>
      <c r="Y112" s="1514"/>
      <c r="Z112" s="1514"/>
      <c r="AA112" s="1514"/>
      <c r="AB112" s="1514"/>
      <c r="AC112" s="1514"/>
      <c r="AD112" s="1514"/>
    </row>
    <row r="113" spans="1:30" ht="15" customHeight="1" x14ac:dyDescent="0.3">
      <c r="A113" s="1522" t="s">
        <v>371</v>
      </c>
      <c r="B113" s="2426"/>
      <c r="C113" s="1641" t="s">
        <v>118</v>
      </c>
      <c r="D113" s="1607">
        <v>912</v>
      </c>
      <c r="E113" s="1638">
        <f>+'Emission Factors'!J92</f>
        <v>0.15343999999999999</v>
      </c>
      <c r="F113" s="1673">
        <f t="shared" si="13"/>
        <v>0.13993728</v>
      </c>
      <c r="G113" s="1631"/>
      <c r="H113" s="1631"/>
      <c r="I113" s="2511"/>
      <c r="J113" s="2512"/>
      <c r="K113" s="2513"/>
      <c r="L113" s="1581" t="str">
        <f t="shared" si="3"/>
        <v/>
      </c>
      <c r="M113" s="1514"/>
      <c r="N113" s="1514"/>
      <c r="O113" s="1514"/>
      <c r="P113" s="1514"/>
      <c r="Q113" s="1514"/>
      <c r="R113" s="1514"/>
      <c r="S113" s="1514"/>
      <c r="T113" s="1514"/>
      <c r="U113" s="1514"/>
      <c r="V113" s="1514"/>
      <c r="W113" s="1514"/>
      <c r="X113" s="1514"/>
      <c r="Y113" s="1514"/>
      <c r="Z113" s="1514"/>
      <c r="AA113" s="1514"/>
      <c r="AB113" s="1514"/>
      <c r="AC113" s="1514"/>
      <c r="AD113" s="1514"/>
    </row>
    <row r="114" spans="1:30" ht="15" customHeight="1" x14ac:dyDescent="0.3">
      <c r="A114" s="1522" t="s">
        <v>371</v>
      </c>
      <c r="B114" s="2426"/>
      <c r="C114" s="1641" t="s">
        <v>119</v>
      </c>
      <c r="D114" s="1607"/>
      <c r="E114" s="1638">
        <f>+'Emission Factors'!J93</f>
        <v>0.2142</v>
      </c>
      <c r="F114" s="1673">
        <f t="shared" si="13"/>
        <v>0</v>
      </c>
      <c r="G114" s="1631"/>
      <c r="H114" s="1631"/>
      <c r="I114" s="2511"/>
      <c r="J114" s="2512"/>
      <c r="K114" s="2513"/>
      <c r="L114" s="1581" t="str">
        <f t="shared" si="3"/>
        <v/>
      </c>
      <c r="M114" s="1514"/>
      <c r="N114" s="1514"/>
      <c r="O114" s="1514"/>
      <c r="P114" s="1514"/>
      <c r="Q114" s="1514"/>
      <c r="R114" s="1514"/>
      <c r="S114" s="1514"/>
      <c r="T114" s="1514"/>
      <c r="U114" s="1514"/>
      <c r="V114" s="1514"/>
      <c r="W114" s="1514"/>
      <c r="X114" s="1514"/>
      <c r="Y114" s="1514"/>
      <c r="Z114" s="1514"/>
      <c r="AA114" s="1514"/>
      <c r="AB114" s="1514"/>
      <c r="AC114" s="1514"/>
      <c r="AD114" s="1514"/>
    </row>
    <row r="115" spans="1:30" ht="15" customHeight="1" x14ac:dyDescent="0.3">
      <c r="A115" s="1522" t="s">
        <v>371</v>
      </c>
      <c r="B115" s="2426"/>
      <c r="C115" s="1641" t="s">
        <v>120</v>
      </c>
      <c r="D115" s="1607"/>
      <c r="E115" s="1638">
        <f>+'Emission Factors'!J94</f>
        <v>0.12007</v>
      </c>
      <c r="F115" s="1673">
        <f t="shared" si="13"/>
        <v>0</v>
      </c>
      <c r="G115" s="1631"/>
      <c r="H115" s="1631"/>
      <c r="I115" s="2511"/>
      <c r="J115" s="2512"/>
      <c r="K115" s="2513"/>
      <c r="L115" s="1581" t="str">
        <f t="shared" si="3"/>
        <v/>
      </c>
      <c r="M115" s="1514"/>
      <c r="N115" s="1514"/>
      <c r="O115" s="1514"/>
      <c r="P115" s="1514"/>
      <c r="Q115" s="1514"/>
      <c r="R115" s="1514"/>
      <c r="S115" s="1514"/>
      <c r="T115" s="1514"/>
      <c r="U115" s="1514"/>
      <c r="V115" s="1514"/>
      <c r="W115" s="1514"/>
      <c r="X115" s="1514"/>
      <c r="Y115" s="1514"/>
      <c r="Z115" s="1514"/>
      <c r="AA115" s="1514"/>
      <c r="AB115" s="1514"/>
      <c r="AC115" s="1514"/>
      <c r="AD115" s="1514"/>
    </row>
    <row r="116" spans="1:30" ht="15" customHeight="1" x14ac:dyDescent="0.3">
      <c r="A116" s="1522" t="s">
        <v>371</v>
      </c>
      <c r="B116" s="2426"/>
      <c r="C116" s="1641" t="s">
        <v>121</v>
      </c>
      <c r="D116" s="1607"/>
      <c r="E116" s="1638">
        <f>+'Emission Factors'!J95</f>
        <v>7.2110000000000007E-2</v>
      </c>
      <c r="F116" s="1673">
        <f t="shared" si="13"/>
        <v>0</v>
      </c>
      <c r="G116" s="1631"/>
      <c r="H116" s="1631"/>
      <c r="I116" s="2511"/>
      <c r="J116" s="2512"/>
      <c r="K116" s="2513"/>
      <c r="L116" s="1581" t="str">
        <f t="shared" si="3"/>
        <v/>
      </c>
      <c r="M116" s="1514"/>
      <c r="N116" s="1514"/>
      <c r="O116" s="1514"/>
      <c r="P116" s="1514"/>
      <c r="Q116" s="1514"/>
      <c r="R116" s="1514"/>
      <c r="S116" s="1514"/>
      <c r="T116" s="1514"/>
      <c r="U116" s="1514"/>
      <c r="V116" s="1514"/>
      <c r="W116" s="1514"/>
      <c r="X116" s="1514"/>
      <c r="Y116" s="1514"/>
      <c r="Z116" s="1514"/>
      <c r="AA116" s="1514"/>
      <c r="AB116" s="1514"/>
      <c r="AC116" s="1514"/>
      <c r="AD116" s="1514"/>
    </row>
    <row r="117" spans="1:30" ht="15" customHeight="1" x14ac:dyDescent="0.3">
      <c r="A117" s="1522" t="s">
        <v>371</v>
      </c>
      <c r="B117" s="2426"/>
      <c r="C117" s="1641" t="s">
        <v>122</v>
      </c>
      <c r="D117" s="1607"/>
      <c r="E117" s="1638">
        <f>+'Emission Factors'!J96</f>
        <v>0.10097</v>
      </c>
      <c r="F117" s="1673">
        <f t="shared" si="13"/>
        <v>0</v>
      </c>
      <c r="G117" s="1631"/>
      <c r="H117" s="1631"/>
      <c r="I117" s="2511"/>
      <c r="J117" s="2512"/>
      <c r="K117" s="2513"/>
      <c r="L117" s="1581" t="str">
        <f t="shared" si="3"/>
        <v/>
      </c>
      <c r="M117" s="1514"/>
      <c r="N117" s="1514"/>
      <c r="O117" s="1514"/>
      <c r="P117" s="1514"/>
      <c r="Q117" s="1514"/>
      <c r="R117" s="1514"/>
      <c r="S117" s="1514"/>
      <c r="T117" s="1514"/>
      <c r="U117" s="1514"/>
      <c r="V117" s="1514"/>
      <c r="W117" s="1514"/>
      <c r="X117" s="1514"/>
      <c r="Y117" s="1514"/>
      <c r="Z117" s="1514"/>
      <c r="AA117" s="1514"/>
      <c r="AB117" s="1514"/>
      <c r="AC117" s="1514"/>
      <c r="AD117" s="1514"/>
    </row>
    <row r="118" spans="1:30" ht="15" customHeight="1" x14ac:dyDescent="0.3">
      <c r="A118" s="1522" t="s">
        <v>371</v>
      </c>
      <c r="B118" s="2426"/>
      <c r="C118" s="1641" t="s">
        <v>123</v>
      </c>
      <c r="D118" s="1607"/>
      <c r="E118" s="1638">
        <f>+'Emission Factors'!J97</f>
        <v>2.801E-2</v>
      </c>
      <c r="F118" s="1673">
        <f t="shared" si="13"/>
        <v>0</v>
      </c>
      <c r="G118" s="1631"/>
      <c r="H118" s="1631"/>
      <c r="I118" s="2511"/>
      <c r="J118" s="2512"/>
      <c r="K118" s="2513"/>
      <c r="L118" s="1581" t="str">
        <f t="shared" si="3"/>
        <v/>
      </c>
      <c r="M118" s="1514"/>
      <c r="N118" s="1514"/>
      <c r="O118" s="1514"/>
      <c r="P118" s="1514"/>
      <c r="Q118" s="1514"/>
      <c r="R118" s="1514"/>
      <c r="S118" s="1514"/>
      <c r="T118" s="1514"/>
      <c r="U118" s="1514"/>
      <c r="V118" s="1514"/>
      <c r="W118" s="1514"/>
      <c r="X118" s="1514"/>
      <c r="Y118" s="1514"/>
      <c r="Z118" s="1514"/>
      <c r="AA118" s="1514"/>
      <c r="AB118" s="1514"/>
      <c r="AC118" s="1514"/>
      <c r="AD118" s="1514"/>
    </row>
    <row r="119" spans="1:30" ht="15" customHeight="1" x14ac:dyDescent="0.3">
      <c r="A119" s="1522" t="s">
        <v>371</v>
      </c>
      <c r="B119" s="2426"/>
      <c r="C119" s="1566" t="s">
        <v>410</v>
      </c>
      <c r="D119" s="1607"/>
      <c r="E119" s="1668"/>
      <c r="F119" s="1673">
        <f t="shared" si="13"/>
        <v>0</v>
      </c>
      <c r="G119" s="1631"/>
      <c r="H119" s="1631"/>
      <c r="I119" s="2511"/>
      <c r="J119" s="2512"/>
      <c r="K119" s="2513"/>
      <c r="L119" s="1581" t="str">
        <f t="shared" si="3"/>
        <v/>
      </c>
      <c r="M119" s="1514"/>
      <c r="N119" s="1514"/>
      <c r="O119" s="1514"/>
      <c r="P119" s="1514"/>
      <c r="Q119" s="1514"/>
      <c r="R119" s="1514"/>
      <c r="S119" s="1514"/>
      <c r="T119" s="1514"/>
      <c r="U119" s="1514"/>
      <c r="V119" s="1514"/>
      <c r="W119" s="1514"/>
      <c r="X119" s="1514"/>
      <c r="Y119" s="1514"/>
      <c r="Z119" s="1514"/>
      <c r="AA119" s="1514"/>
      <c r="AB119" s="1514"/>
      <c r="AC119" s="1514"/>
      <c r="AD119" s="1514"/>
    </row>
    <row r="120" spans="1:30" ht="15" customHeight="1" x14ac:dyDescent="0.3">
      <c r="A120" s="1522" t="s">
        <v>371</v>
      </c>
      <c r="B120" s="2426"/>
      <c r="C120" s="1566" t="s">
        <v>411</v>
      </c>
      <c r="D120" s="1607"/>
      <c r="E120" s="1668"/>
      <c r="F120" s="1673">
        <f t="shared" si="13"/>
        <v>0</v>
      </c>
      <c r="G120" s="1631"/>
      <c r="H120" s="1631"/>
      <c r="I120" s="2511"/>
      <c r="J120" s="2512"/>
      <c r="K120" s="2513"/>
      <c r="L120" s="1581" t="str">
        <f t="shared" si="3"/>
        <v/>
      </c>
      <c r="M120" s="1514"/>
      <c r="N120" s="1514"/>
      <c r="O120" s="1514"/>
      <c r="P120" s="1514"/>
      <c r="Q120" s="1514"/>
      <c r="R120" s="1514"/>
      <c r="S120" s="1514"/>
      <c r="T120" s="1514"/>
      <c r="U120" s="1514"/>
      <c r="V120" s="1514"/>
      <c r="W120" s="1514"/>
      <c r="X120" s="1514"/>
      <c r="Y120" s="1514"/>
      <c r="Z120" s="1514"/>
      <c r="AA120" s="1514"/>
      <c r="AB120" s="1514"/>
      <c r="AC120" s="1514"/>
      <c r="AD120" s="1514"/>
    </row>
    <row r="121" spans="1:30" ht="15" customHeight="1" thickBot="1" x14ac:dyDescent="0.35">
      <c r="A121" s="1522" t="s">
        <v>371</v>
      </c>
      <c r="B121" s="2426"/>
      <c r="C121" s="1566" t="s">
        <v>412</v>
      </c>
      <c r="D121" s="1567"/>
      <c r="E121" s="1668"/>
      <c r="F121" s="1608">
        <f t="shared" si="13"/>
        <v>0</v>
      </c>
      <c r="G121" s="1631"/>
      <c r="H121" s="1631"/>
      <c r="I121" s="2511"/>
      <c r="J121" s="2512"/>
      <c r="K121" s="2513"/>
      <c r="L121" s="1581" t="str">
        <f t="shared" si="3"/>
        <v/>
      </c>
      <c r="M121" s="1514"/>
      <c r="N121" s="1514"/>
      <c r="O121" s="1514"/>
      <c r="P121" s="1514"/>
      <c r="Q121" s="1514"/>
      <c r="R121" s="1514"/>
      <c r="S121" s="1514"/>
      <c r="T121" s="1514"/>
      <c r="U121" s="1514"/>
      <c r="V121" s="1514"/>
      <c r="W121" s="1514"/>
      <c r="X121" s="1514"/>
      <c r="Y121" s="1514"/>
      <c r="Z121" s="1514"/>
      <c r="AA121" s="1514"/>
      <c r="AB121" s="1514"/>
      <c r="AC121" s="1514"/>
      <c r="AD121" s="1514"/>
    </row>
    <row r="122" spans="1:30" ht="14.4" thickBot="1" x14ac:dyDescent="0.35">
      <c r="A122" s="1522"/>
      <c r="B122" s="1674" t="s">
        <v>406</v>
      </c>
      <c r="C122" s="1675" t="s">
        <v>405</v>
      </c>
      <c r="D122" s="1623"/>
      <c r="E122" s="1676">
        <v>0</v>
      </c>
      <c r="F122" s="1676"/>
      <c r="G122" s="1677"/>
      <c r="H122" s="1678"/>
      <c r="I122" s="2547"/>
      <c r="J122" s="2548"/>
      <c r="K122" s="2549"/>
      <c r="L122" s="1560" t="str">
        <f t="shared" si="3"/>
        <v/>
      </c>
      <c r="M122" s="1514"/>
      <c r="N122" s="1514"/>
      <c r="O122" s="1514"/>
      <c r="P122" s="1514"/>
      <c r="Q122" s="1514"/>
      <c r="R122" s="1514"/>
      <c r="S122" s="1514"/>
      <c r="T122" s="1514"/>
      <c r="U122" s="1514"/>
      <c r="V122" s="1514"/>
      <c r="W122" s="1514"/>
      <c r="X122" s="1514"/>
      <c r="Y122" s="1514"/>
      <c r="Z122" s="1514"/>
      <c r="AA122" s="1514"/>
      <c r="AB122" s="1514"/>
      <c r="AC122" s="1514"/>
      <c r="AD122" s="1514"/>
    </row>
    <row r="123" spans="1:30" ht="13.5" customHeight="1" thickBot="1" x14ac:dyDescent="0.35">
      <c r="A123" s="1522"/>
      <c r="B123" s="1679" t="s">
        <v>124</v>
      </c>
      <c r="C123" s="1680"/>
      <c r="D123" s="1681"/>
      <c r="E123" s="1670"/>
      <c r="F123" s="1682">
        <f>+F19+F53+F64+T67+F86+T89+F108</f>
        <v>95432.843183031742</v>
      </c>
      <c r="G123" s="1514"/>
      <c r="H123" s="1514"/>
      <c r="I123" s="1514"/>
      <c r="J123" s="1514"/>
      <c r="K123" s="1514"/>
      <c r="L123" s="1514"/>
      <c r="M123" s="1514"/>
      <c r="N123" s="1514"/>
      <c r="O123" s="1514"/>
      <c r="P123" s="1514"/>
      <c r="Q123" s="1514"/>
      <c r="R123" s="1514"/>
      <c r="S123" s="1514"/>
      <c r="T123" s="1514"/>
      <c r="U123" s="1514"/>
      <c r="V123" s="1514"/>
      <c r="W123" s="1514"/>
      <c r="X123" s="1514"/>
      <c r="Y123" s="1514"/>
      <c r="Z123" s="1514"/>
      <c r="AA123" s="1514"/>
      <c r="AB123" s="1514"/>
      <c r="AC123" s="1514"/>
      <c r="AD123" s="1514"/>
    </row>
    <row r="124" spans="1:30" s="1689" customFormat="1" ht="15" thickBot="1" x14ac:dyDescent="0.35">
      <c r="A124" s="1683"/>
      <c r="B124" s="1684" t="s">
        <v>125</v>
      </c>
      <c r="C124" s="1685"/>
      <c r="D124" s="1685"/>
      <c r="E124" s="1685"/>
      <c r="F124" s="1685"/>
      <c r="G124" s="1685"/>
      <c r="H124" s="1686"/>
      <c r="I124" s="1687"/>
      <c r="J124" s="1688"/>
      <c r="K124" s="1688"/>
      <c r="L124" s="1688"/>
      <c r="M124" s="1688"/>
      <c r="N124" s="1688"/>
      <c r="O124" s="1688"/>
      <c r="P124" s="1688"/>
      <c r="Q124" s="1688"/>
      <c r="R124" s="1688"/>
      <c r="S124" s="1688"/>
      <c r="T124" s="1688"/>
      <c r="U124" s="1688"/>
      <c r="V124" s="1688"/>
      <c r="W124" s="1688"/>
      <c r="X124" s="1688"/>
      <c r="Y124" s="1688"/>
      <c r="Z124" s="1688"/>
      <c r="AA124" s="1688"/>
      <c r="AB124" s="1688"/>
      <c r="AC124" s="1688"/>
      <c r="AD124" s="1688"/>
    </row>
    <row r="125" spans="1:30" ht="15.75" customHeight="1" thickBot="1" x14ac:dyDescent="0.35">
      <c r="A125" s="1522"/>
      <c r="B125" s="1690"/>
      <c r="C125" s="1691"/>
      <c r="D125" s="2550" t="s">
        <v>23</v>
      </c>
      <c r="E125" s="2551"/>
      <c r="F125" s="2552"/>
      <c r="G125" s="1692"/>
      <c r="H125" s="1692"/>
      <c r="I125" s="2553" t="s">
        <v>24</v>
      </c>
      <c r="J125" s="2554"/>
      <c r="K125" s="2555"/>
      <c r="L125" s="1622" t="s">
        <v>408</v>
      </c>
      <c r="M125" s="2419" t="s">
        <v>461</v>
      </c>
      <c r="N125" s="1514"/>
      <c r="O125" s="1514"/>
      <c r="P125" s="1514"/>
      <c r="Q125" s="1514"/>
      <c r="R125" s="1514"/>
      <c r="S125" s="1514"/>
      <c r="T125" s="1514"/>
      <c r="U125" s="1514"/>
      <c r="V125" s="1514"/>
      <c r="W125" s="1514"/>
      <c r="X125" s="1514"/>
      <c r="Y125" s="1514"/>
      <c r="Z125" s="1514"/>
      <c r="AA125" s="1514"/>
      <c r="AB125" s="1514"/>
      <c r="AC125" s="1514"/>
      <c r="AD125" s="1514"/>
    </row>
    <row r="126" spans="1:30" ht="15.75" customHeight="1" thickBot="1" x14ac:dyDescent="0.35">
      <c r="A126" s="1522"/>
      <c r="B126" s="1690"/>
      <c r="C126" s="1691"/>
      <c r="D126" s="1693" t="s">
        <v>81</v>
      </c>
      <c r="E126" s="1694" t="s">
        <v>171</v>
      </c>
      <c r="F126" s="1695" t="s">
        <v>174</v>
      </c>
      <c r="G126" s="1631"/>
      <c r="H126" s="1631"/>
      <c r="I126" s="2556"/>
      <c r="J126" s="2557"/>
      <c r="K126" s="2558"/>
      <c r="L126" s="1696" t="s">
        <v>28</v>
      </c>
      <c r="M126" s="2420"/>
      <c r="N126" s="1514"/>
      <c r="O126" s="1514"/>
      <c r="P126" s="1514"/>
      <c r="Q126" s="1514"/>
      <c r="R126" s="1514"/>
      <c r="S126" s="1514"/>
      <c r="T126" s="1514"/>
      <c r="U126" s="1514"/>
      <c r="V126" s="1514"/>
      <c r="W126" s="1514"/>
      <c r="X126" s="1514"/>
      <c r="Y126" s="1514"/>
      <c r="Z126" s="1514"/>
      <c r="AA126" s="1514"/>
      <c r="AB126" s="1514"/>
      <c r="AC126" s="1514"/>
      <c r="AD126" s="1514"/>
    </row>
    <row r="127" spans="1:30" ht="13.5" customHeight="1" thickBot="1" x14ac:dyDescent="0.35">
      <c r="A127" s="1522"/>
      <c r="B127" s="1697" t="s">
        <v>126</v>
      </c>
      <c r="C127" s="1698"/>
      <c r="D127" s="1699">
        <f>SUM(D128:D136)</f>
        <v>930752.68707175297</v>
      </c>
      <c r="E127" s="1700"/>
      <c r="F127" s="1701">
        <f>SUM(F128:F136)</f>
        <v>102.76086932622671</v>
      </c>
      <c r="G127" s="1631"/>
      <c r="H127" s="1631"/>
      <c r="I127" s="2556"/>
      <c r="J127" s="2557"/>
      <c r="K127" s="2558"/>
      <c r="L127" s="1702">
        <f>SUM(L128:L136)</f>
        <v>214.42456091668441</v>
      </c>
      <c r="M127" s="1560" t="str">
        <f>IF(D127&lt;0,"Error - Negative number","")</f>
        <v/>
      </c>
      <c r="N127" s="1514"/>
      <c r="O127" s="1514"/>
      <c r="P127" s="1514"/>
      <c r="Q127" s="1514"/>
      <c r="R127" s="1514"/>
      <c r="S127" s="1514"/>
      <c r="T127" s="1514"/>
      <c r="U127" s="1514"/>
      <c r="V127" s="1514"/>
      <c r="W127" s="1514"/>
      <c r="X127" s="1514"/>
      <c r="Y127" s="1514"/>
      <c r="Z127" s="1514"/>
      <c r="AA127" s="1514"/>
      <c r="AB127" s="1514"/>
      <c r="AC127" s="1514"/>
      <c r="AD127" s="1514"/>
    </row>
    <row r="128" spans="1:30" ht="15" customHeight="1" x14ac:dyDescent="0.3">
      <c r="A128" s="1522" t="s">
        <v>373</v>
      </c>
      <c r="B128" s="1703" t="s">
        <v>127</v>
      </c>
      <c r="C128" s="1704"/>
      <c r="D128" s="1705"/>
      <c r="E128" s="1672">
        <f>+'Emission Factors'!J107</f>
        <v>8.5839999999999986E-2</v>
      </c>
      <c r="F128" s="1706">
        <f>(D128*E128)/1000</f>
        <v>0</v>
      </c>
      <c r="G128" s="1631"/>
      <c r="H128" s="1631"/>
      <c r="I128" s="2559"/>
      <c r="J128" s="2560"/>
      <c r="K128" s="2561"/>
      <c r="L128" s="1707">
        <f>+F128*2.09</f>
        <v>0</v>
      </c>
      <c r="M128" s="1572" t="str">
        <f t="shared" ref="M128:M136" si="14">IF(D128&lt;0,"Error - Negative number","")</f>
        <v/>
      </c>
      <c r="N128" s="1514"/>
      <c r="O128" s="1514"/>
      <c r="P128" s="1514"/>
      <c r="Q128" s="1514"/>
      <c r="R128" s="1514"/>
      <c r="S128" s="1514"/>
      <c r="T128" s="1514"/>
      <c r="U128" s="1514"/>
      <c r="V128" s="1514"/>
      <c r="W128" s="1514"/>
      <c r="X128" s="1514"/>
      <c r="Y128" s="1514"/>
      <c r="Z128" s="1514"/>
      <c r="AA128" s="1514"/>
      <c r="AB128" s="1514"/>
      <c r="AC128" s="1514"/>
      <c r="AD128" s="1514"/>
    </row>
    <row r="129" spans="1:30" ht="15.75" customHeight="1" x14ac:dyDescent="0.3">
      <c r="A129" s="1522" t="s">
        <v>373</v>
      </c>
      <c r="B129" s="1708" t="s">
        <v>128</v>
      </c>
      <c r="C129" s="1709"/>
      <c r="D129" s="1710">
        <v>310799.85205078102</v>
      </c>
      <c r="E129" s="1638">
        <f>+'Emission Factors'!J108</f>
        <v>8.4429999999999991E-2</v>
      </c>
      <c r="F129" s="1711">
        <f t="shared" ref="F129:F136" si="15">(D129*E129)/1000</f>
        <v>26.240831508647439</v>
      </c>
      <c r="G129" s="1631"/>
      <c r="H129" s="1631"/>
      <c r="I129" s="2562"/>
      <c r="J129" s="2563"/>
      <c r="K129" s="2564"/>
      <c r="L129" s="1712">
        <f t="shared" ref="L129:L135" si="16">+F129*2.09</f>
        <v>54.843337853073145</v>
      </c>
      <c r="M129" s="1581" t="str">
        <f t="shared" si="14"/>
        <v/>
      </c>
      <c r="N129" s="1514"/>
      <c r="O129" s="1514"/>
      <c r="P129" s="1514"/>
      <c r="Q129" s="1514"/>
      <c r="R129" s="1514"/>
      <c r="S129" s="1514"/>
      <c r="T129" s="1514"/>
      <c r="U129" s="1514"/>
      <c r="V129" s="1514"/>
      <c r="W129" s="1514"/>
      <c r="X129" s="1514"/>
      <c r="Y129" s="1514"/>
      <c r="Z129" s="1514"/>
      <c r="AA129" s="1514"/>
      <c r="AB129" s="1514"/>
      <c r="AC129" s="1514"/>
      <c r="AD129" s="1514"/>
    </row>
    <row r="130" spans="1:30" ht="15" customHeight="1" x14ac:dyDescent="0.3">
      <c r="A130" s="1522" t="s">
        <v>373</v>
      </c>
      <c r="B130" s="1708" t="s">
        <v>129</v>
      </c>
      <c r="C130" s="1709"/>
      <c r="D130" s="1710">
        <v>21066.2600097656</v>
      </c>
      <c r="E130" s="1638">
        <f>+'Emission Factors'!J109</f>
        <v>0.12665000000000001</v>
      </c>
      <c r="F130" s="1711">
        <f t="shared" si="15"/>
        <v>2.6680418302368136</v>
      </c>
      <c r="G130" s="1631"/>
      <c r="H130" s="1631"/>
      <c r="I130" s="2562"/>
      <c r="J130" s="2563"/>
      <c r="K130" s="2564"/>
      <c r="L130" s="1712">
        <f t="shared" si="16"/>
        <v>5.5762074251949398</v>
      </c>
      <c r="M130" s="1581" t="str">
        <f t="shared" si="14"/>
        <v/>
      </c>
      <c r="N130" s="1514"/>
      <c r="O130" s="1514"/>
      <c r="P130" s="1514"/>
      <c r="Q130" s="1514"/>
      <c r="R130" s="1514"/>
      <c r="S130" s="1514"/>
      <c r="T130" s="1514"/>
      <c r="U130" s="1514"/>
      <c r="V130" s="1514"/>
      <c r="W130" s="1514"/>
      <c r="X130" s="1514"/>
      <c r="Y130" s="1514"/>
      <c r="Z130" s="1514"/>
      <c r="AA130" s="1514"/>
      <c r="AB130" s="1514"/>
      <c r="AC130" s="1514"/>
      <c r="AD130" s="1514"/>
    </row>
    <row r="131" spans="1:30" ht="15.75" customHeight="1" x14ac:dyDescent="0.3">
      <c r="A131" s="1522" t="s">
        <v>373</v>
      </c>
      <c r="B131" s="1708" t="s">
        <v>130</v>
      </c>
      <c r="C131" s="1709"/>
      <c r="D131" s="1710"/>
      <c r="E131" s="1638">
        <f>+'Emission Factors'!J110</f>
        <v>0.11237</v>
      </c>
      <c r="F131" s="1711">
        <f t="shared" si="15"/>
        <v>0</v>
      </c>
      <c r="G131" s="1631"/>
      <c r="H131" s="1631"/>
      <c r="I131" s="2562"/>
      <c r="J131" s="2563"/>
      <c r="K131" s="2564"/>
      <c r="L131" s="1712">
        <f t="shared" si="16"/>
        <v>0</v>
      </c>
      <c r="M131" s="1581" t="str">
        <f t="shared" si="14"/>
        <v/>
      </c>
      <c r="N131" s="1514"/>
      <c r="O131" s="1514"/>
      <c r="P131" s="1514"/>
      <c r="Q131" s="1514"/>
      <c r="R131" s="1514"/>
      <c r="S131" s="1514"/>
      <c r="T131" s="1514"/>
      <c r="U131" s="1514"/>
      <c r="V131" s="1514"/>
      <c r="W131" s="1514"/>
      <c r="X131" s="1514"/>
      <c r="Y131" s="1514"/>
      <c r="Z131" s="1514"/>
      <c r="AA131" s="1514"/>
      <c r="AB131" s="1514"/>
      <c r="AC131" s="1514"/>
      <c r="AD131" s="1514"/>
    </row>
    <row r="132" spans="1:30" ht="15" customHeight="1" x14ac:dyDescent="0.3">
      <c r="A132" s="1522" t="s">
        <v>373</v>
      </c>
      <c r="B132" s="1708" t="s">
        <v>131</v>
      </c>
      <c r="C132" s="1709"/>
      <c r="D132" s="1710">
        <v>365647.77569480002</v>
      </c>
      <c r="E132" s="1638">
        <f>+'Emission Factors'!J111</f>
        <v>8.6070000000000008E-2</v>
      </c>
      <c r="F132" s="1711">
        <f t="shared" si="15"/>
        <v>31.471304054051441</v>
      </c>
      <c r="G132" s="1631"/>
      <c r="H132" s="1631"/>
      <c r="I132" s="2562"/>
      <c r="J132" s="2563"/>
      <c r="K132" s="2564"/>
      <c r="L132" s="1712">
        <f t="shared" si="16"/>
        <v>65.775025472967513</v>
      </c>
      <c r="M132" s="1581" t="str">
        <f t="shared" si="14"/>
        <v/>
      </c>
      <c r="N132" s="1514"/>
      <c r="O132" s="1514"/>
      <c r="P132" s="1514"/>
      <c r="Q132" s="1514"/>
      <c r="R132" s="1514"/>
      <c r="S132" s="1514"/>
      <c r="T132" s="1514"/>
      <c r="U132" s="1514"/>
      <c r="V132" s="1514"/>
      <c r="W132" s="1514"/>
      <c r="X132" s="1514"/>
      <c r="Y132" s="1514"/>
      <c r="Z132" s="1514"/>
      <c r="AA132" s="1514"/>
      <c r="AB132" s="1514"/>
      <c r="AC132" s="1514"/>
      <c r="AD132" s="1514"/>
    </row>
    <row r="133" spans="1:30" ht="15.75" customHeight="1" x14ac:dyDescent="0.3">
      <c r="A133" s="1522" t="s">
        <v>373</v>
      </c>
      <c r="B133" s="1708" t="s">
        <v>132</v>
      </c>
      <c r="C133" s="1709"/>
      <c r="D133" s="1710">
        <v>112885.546875</v>
      </c>
      <c r="E133" s="1638">
        <f>+'Emission Factors'!J112</f>
        <v>0.13770000000000002</v>
      </c>
      <c r="F133" s="1711">
        <f t="shared" si="15"/>
        <v>15.544339804687503</v>
      </c>
      <c r="G133" s="1631"/>
      <c r="H133" s="1631"/>
      <c r="I133" s="2562"/>
      <c r="J133" s="2563"/>
      <c r="K133" s="2564"/>
      <c r="L133" s="1712">
        <f t="shared" si="16"/>
        <v>32.48767019179688</v>
      </c>
      <c r="M133" s="1581" t="str">
        <f t="shared" si="14"/>
        <v/>
      </c>
      <c r="N133" s="1514"/>
      <c r="O133" s="1514"/>
      <c r="P133" s="1514"/>
      <c r="Q133" s="1514"/>
      <c r="R133" s="1514"/>
      <c r="S133" s="1514"/>
      <c r="T133" s="1514"/>
      <c r="U133" s="1514"/>
      <c r="V133" s="1514"/>
      <c r="W133" s="1514"/>
      <c r="X133" s="1514"/>
      <c r="Y133" s="1514"/>
      <c r="Z133" s="1514"/>
      <c r="AA133" s="1514"/>
      <c r="AB133" s="1514"/>
      <c r="AC133" s="1514"/>
      <c r="AD133" s="1514"/>
    </row>
    <row r="134" spans="1:30" ht="15" customHeight="1" x14ac:dyDescent="0.3">
      <c r="A134" s="1522" t="s">
        <v>373</v>
      </c>
      <c r="B134" s="1708" t="s">
        <v>133</v>
      </c>
      <c r="C134" s="1709"/>
      <c r="D134" s="1710">
        <v>106863.396484375</v>
      </c>
      <c r="E134" s="1638">
        <f>+'Emission Factors'!J113</f>
        <v>0.24958</v>
      </c>
      <c r="F134" s="1711">
        <f t="shared" si="15"/>
        <v>26.670966494570312</v>
      </c>
      <c r="G134" s="1631"/>
      <c r="H134" s="1631"/>
      <c r="I134" s="2562"/>
      <c r="J134" s="2563"/>
      <c r="K134" s="2564"/>
      <c r="L134" s="1712">
        <f t="shared" si="16"/>
        <v>55.742319973651945</v>
      </c>
      <c r="M134" s="1581" t="str">
        <f t="shared" si="14"/>
        <v/>
      </c>
      <c r="N134" s="1514"/>
      <c r="O134" s="1514"/>
      <c r="P134" s="1514"/>
      <c r="Q134" s="1514"/>
      <c r="R134" s="1514"/>
      <c r="S134" s="1514"/>
      <c r="T134" s="1514"/>
      <c r="U134" s="1514"/>
      <c r="V134" s="1514"/>
      <c r="W134" s="1514"/>
      <c r="X134" s="1514"/>
      <c r="Y134" s="1514"/>
      <c r="Z134" s="1514"/>
      <c r="AA134" s="1514"/>
      <c r="AB134" s="1514"/>
      <c r="AC134" s="1514"/>
      <c r="AD134" s="1514"/>
    </row>
    <row r="135" spans="1:30" ht="15.75" customHeight="1" thickBot="1" x14ac:dyDescent="0.35">
      <c r="A135" s="1522" t="s">
        <v>373</v>
      </c>
      <c r="B135" s="1708" t="s">
        <v>134</v>
      </c>
      <c r="C135" s="1709"/>
      <c r="D135" s="1710"/>
      <c r="E135" s="1638">
        <f>+'Emission Factors'!J114</f>
        <v>0.34425000000000006</v>
      </c>
      <c r="F135" s="1711">
        <f>(D135*E135)/1000</f>
        <v>0</v>
      </c>
      <c r="G135" s="1631"/>
      <c r="H135" s="1631"/>
      <c r="I135" s="2562"/>
      <c r="J135" s="2563"/>
      <c r="K135" s="2564"/>
      <c r="L135" s="1713">
        <f t="shared" si="16"/>
        <v>0</v>
      </c>
      <c r="M135" s="1581" t="str">
        <f t="shared" si="14"/>
        <v/>
      </c>
      <c r="N135" s="1514"/>
      <c r="O135" s="1514"/>
      <c r="P135" s="1514"/>
      <c r="Q135" s="1514"/>
      <c r="R135" s="1514"/>
      <c r="S135" s="1514"/>
      <c r="T135" s="1514"/>
      <c r="U135" s="1514"/>
      <c r="V135" s="1514"/>
      <c r="W135" s="1514"/>
      <c r="X135" s="1514"/>
      <c r="Y135" s="1514"/>
      <c r="Z135" s="1514"/>
      <c r="AA135" s="1514"/>
      <c r="AB135" s="1514"/>
      <c r="AC135" s="1514"/>
      <c r="AD135" s="1514"/>
    </row>
    <row r="136" spans="1:30" ht="15" customHeight="1" thickBot="1" x14ac:dyDescent="0.35">
      <c r="A136" s="1522" t="s">
        <v>373</v>
      </c>
      <c r="B136" s="1714" t="s">
        <v>135</v>
      </c>
      <c r="C136" s="1715"/>
      <c r="D136" s="1716">
        <v>13489.855957031201</v>
      </c>
      <c r="E136" s="1717">
        <f>+'Emission Factors'!J115</f>
        <v>1.2260000000000002E-2</v>
      </c>
      <c r="F136" s="1718">
        <f t="shared" si="15"/>
        <v>0.16538563403320253</v>
      </c>
      <c r="G136" s="1719"/>
      <c r="H136" s="1719"/>
      <c r="I136" s="2565"/>
      <c r="J136" s="2566"/>
      <c r="K136" s="2567"/>
      <c r="L136" s="1514"/>
      <c r="M136" s="1618" t="str">
        <f t="shared" si="14"/>
        <v/>
      </c>
      <c r="N136" s="1514"/>
      <c r="O136" s="1514"/>
      <c r="P136" s="1514"/>
      <c r="Q136" s="1514"/>
      <c r="R136" s="1514"/>
      <c r="S136" s="1514"/>
      <c r="T136" s="1514"/>
      <c r="U136" s="1514"/>
      <c r="V136" s="1514"/>
      <c r="W136" s="1514"/>
      <c r="X136" s="1514"/>
      <c r="Y136" s="1514"/>
      <c r="Z136" s="1514"/>
      <c r="AA136" s="1514"/>
      <c r="AB136" s="1514"/>
      <c r="AC136" s="1514"/>
      <c r="AD136" s="1514"/>
    </row>
    <row r="137" spans="1:30" ht="15" customHeight="1" x14ac:dyDescent="0.3">
      <c r="A137" s="1514"/>
      <c r="B137" s="1720" t="s">
        <v>407</v>
      </c>
      <c r="C137" s="1721"/>
      <c r="D137" s="1722"/>
      <c r="E137" s="1723"/>
      <c r="F137" s="1724"/>
      <c r="G137" s="1724"/>
      <c r="H137" s="1724"/>
      <c r="I137" s="1725"/>
      <c r="J137" s="1725"/>
      <c r="K137" s="1725"/>
      <c r="L137" s="1726"/>
      <c r="M137" s="1727"/>
      <c r="N137" s="1514"/>
      <c r="O137" s="1514"/>
      <c r="P137" s="1514"/>
      <c r="Q137" s="1514"/>
      <c r="R137" s="1514"/>
      <c r="S137" s="1514"/>
      <c r="T137" s="1514"/>
      <c r="U137" s="1514"/>
      <c r="V137" s="1514"/>
      <c r="W137" s="1514"/>
      <c r="X137" s="1514"/>
      <c r="Y137" s="1514"/>
      <c r="Z137" s="1514"/>
      <c r="AA137" s="1514"/>
      <c r="AB137" s="1514"/>
      <c r="AC137" s="1514"/>
      <c r="AD137" s="1514"/>
    </row>
    <row r="138" spans="1:30" s="1550" customFormat="1" ht="23.4" x14ac:dyDescent="0.3">
      <c r="A138" s="1529"/>
      <c r="B138" s="1530" t="s">
        <v>136</v>
      </c>
      <c r="C138" s="1547"/>
      <c r="D138" s="2387" t="str">
        <f>+$A$1</f>
        <v>Quarter 3 - 2018-2019</v>
      </c>
      <c r="E138" s="2387"/>
      <c r="F138" s="2387"/>
      <c r="G138" s="2387"/>
      <c r="H138" s="2387"/>
      <c r="I138" s="2387"/>
      <c r="J138" s="2387"/>
      <c r="K138" s="1548"/>
      <c r="L138" s="1548"/>
      <c r="M138" s="1548"/>
      <c r="N138" s="1548"/>
      <c r="O138" s="1548"/>
      <c r="P138" s="1548"/>
      <c r="Q138" s="1548"/>
      <c r="R138" s="1548"/>
      <c r="S138" s="1548"/>
      <c r="T138" s="1548"/>
      <c r="U138" s="1548"/>
      <c r="V138" s="1548"/>
      <c r="W138" s="1548"/>
      <c r="X138" s="1548"/>
      <c r="Y138" s="1549"/>
      <c r="Z138" s="1549"/>
      <c r="AA138" s="1549"/>
      <c r="AB138" s="1549"/>
      <c r="AC138" s="1549"/>
      <c r="AD138" s="1549"/>
    </row>
    <row r="139" spans="1:30" ht="15" customHeight="1" thickBot="1" x14ac:dyDescent="0.35">
      <c r="A139" s="1522"/>
      <c r="B139" s="1534" t="s">
        <v>137</v>
      </c>
      <c r="C139" s="1721"/>
      <c r="D139" s="1722"/>
      <c r="E139" s="1723"/>
      <c r="F139" s="1724"/>
      <c r="G139" s="1724"/>
      <c r="H139" s="1724"/>
      <c r="I139" s="1725"/>
      <c r="J139" s="1725"/>
      <c r="K139" s="1725"/>
      <c r="L139" s="1514"/>
      <c r="M139" s="1514"/>
      <c r="N139" s="1514"/>
      <c r="O139" s="1514"/>
      <c r="P139" s="1514"/>
      <c r="Q139" s="1514"/>
      <c r="R139" s="1514"/>
      <c r="S139" s="1514"/>
      <c r="T139" s="1514"/>
      <c r="U139" s="1514"/>
      <c r="V139" s="1514"/>
      <c r="W139" s="1514"/>
      <c r="X139" s="1514"/>
      <c r="Y139" s="1514"/>
      <c r="Z139" s="1514"/>
      <c r="AA139" s="1514"/>
      <c r="AB139" s="1514"/>
      <c r="AC139" s="1514"/>
      <c r="AD139" s="1514"/>
    </row>
    <row r="140" spans="1:30" ht="30.75" customHeight="1" thickBot="1" x14ac:dyDescent="0.35">
      <c r="A140" s="1522"/>
      <c r="B140" s="1514"/>
      <c r="C140" s="1514"/>
      <c r="D140" s="1728"/>
      <c r="E140" s="1721"/>
      <c r="F140" s="1729" t="s">
        <v>23</v>
      </c>
      <c r="G140" s="1730"/>
      <c r="H140" s="1731" t="s">
        <v>144</v>
      </c>
      <c r="I140" s="2568" t="s">
        <v>24</v>
      </c>
      <c r="J140" s="2569"/>
      <c r="K140" s="2570"/>
      <c r="L140" s="1514"/>
      <c r="M140" s="1514"/>
      <c r="N140" s="1514"/>
      <c r="O140" s="1725"/>
      <c r="P140" s="1514"/>
      <c r="Q140" s="1514"/>
      <c r="R140" s="1514"/>
      <c r="S140" s="1514"/>
      <c r="T140" s="1514"/>
      <c r="U140" s="1514"/>
      <c r="V140" s="1514"/>
      <c r="W140" s="1514"/>
      <c r="X140" s="1514"/>
      <c r="Y140" s="1514"/>
      <c r="Z140" s="1514"/>
      <c r="AA140" s="1514"/>
      <c r="AB140" s="1514"/>
      <c r="AC140" s="1514"/>
      <c r="AD140" s="1514"/>
    </row>
    <row r="141" spans="1:30" ht="15" customHeight="1" thickBot="1" x14ac:dyDescent="0.35">
      <c r="A141" s="1522"/>
      <c r="B141" s="1514"/>
      <c r="C141" s="1514"/>
      <c r="D141" s="1534" t="str">
        <f>IF(D33&gt;0,"Please add F7 to relevant to total for relevant scope","")</f>
        <v/>
      </c>
      <c r="E141" s="1721"/>
      <c r="F141" s="1620" t="s">
        <v>28</v>
      </c>
      <c r="G141" s="1730"/>
      <c r="H141" s="1555" t="s">
        <v>28</v>
      </c>
      <c r="I141" s="2571"/>
      <c r="J141" s="2572"/>
      <c r="K141" s="2573"/>
      <c r="L141" s="1514"/>
      <c r="M141" s="1514"/>
      <c r="N141" s="1514"/>
      <c r="O141" s="1725"/>
      <c r="P141" s="1514"/>
      <c r="Q141" s="1514"/>
      <c r="R141" s="1514"/>
      <c r="S141" s="1514"/>
      <c r="T141" s="1514"/>
      <c r="U141" s="1514"/>
      <c r="V141" s="1514"/>
      <c r="W141" s="1514"/>
      <c r="X141" s="1514"/>
      <c r="Y141" s="1514"/>
      <c r="Z141" s="1514"/>
      <c r="AA141" s="1514"/>
      <c r="AB141" s="1514"/>
      <c r="AC141" s="1514"/>
      <c r="AD141" s="1514"/>
    </row>
    <row r="142" spans="1:30" ht="15" customHeight="1" thickBot="1" x14ac:dyDescent="0.35">
      <c r="A142" s="1727"/>
      <c r="B142" s="1514"/>
      <c r="C142" s="1732"/>
      <c r="D142" s="2398" t="s">
        <v>513</v>
      </c>
      <c r="E142" s="2399"/>
      <c r="F142" s="1625">
        <f>F143+F144+F145</f>
        <v>95432.843183031742</v>
      </c>
      <c r="G142" s="1730"/>
      <c r="H142" s="1627">
        <f>H143+H144+H145</f>
        <v>1392.6107724558797</v>
      </c>
      <c r="I142" s="2574"/>
      <c r="J142" s="2575"/>
      <c r="K142" s="2576"/>
      <c r="L142" s="1733"/>
      <c r="M142" s="1727"/>
      <c r="N142" s="1514"/>
      <c r="O142" s="1725"/>
      <c r="P142" s="1514"/>
      <c r="Q142" s="1514"/>
      <c r="R142" s="1514"/>
      <c r="S142" s="1514"/>
      <c r="T142" s="1514"/>
      <c r="U142" s="1514"/>
      <c r="V142" s="1514"/>
      <c r="W142" s="1514"/>
      <c r="X142" s="1514"/>
      <c r="Y142" s="1514"/>
      <c r="Z142" s="1514"/>
      <c r="AA142" s="1514"/>
      <c r="AB142" s="1514"/>
      <c r="AC142" s="1514"/>
      <c r="AD142" s="1514"/>
    </row>
    <row r="143" spans="1:30" ht="15" customHeight="1" x14ac:dyDescent="0.3">
      <c r="A143" s="1727"/>
      <c r="B143" s="1727"/>
      <c r="C143" s="1734"/>
      <c r="D143" s="2582" t="s">
        <v>139</v>
      </c>
      <c r="E143" s="2583"/>
      <c r="F143" s="1735">
        <f>F24+F25+F26+F27+F28+IF(I33="Scope 1",F33,0)+IF(I34="Scope 1",F34,0)+IF(I35="Scope 1",F35,0)+F36+F37+F38+F39+F40+F41+F42+F43+F44+F45+F46+F47+F53+T67+F64</f>
        <v>56087.979181114766</v>
      </c>
      <c r="G143" s="1736"/>
      <c r="H143" s="1612">
        <f>H24+H25+H26+H27+H28+IF(I33="Scope 1",H33,0)+IF(I34="Scope 1",H34,0)+IF(I35="Scope 1",H35,0)+H36+H37+H38+H39+H40+H41+H42+H43+H44+H45+H46+H47+H53</f>
        <v>272.29568765587959</v>
      </c>
      <c r="I143" s="2584"/>
      <c r="J143" s="2585"/>
      <c r="K143" s="2586"/>
      <c r="L143" s="1727"/>
      <c r="M143" s="1727"/>
      <c r="N143" s="1514"/>
      <c r="O143" s="1725"/>
      <c r="P143" s="1514"/>
      <c r="Q143" s="1514"/>
      <c r="R143" s="1514"/>
      <c r="S143" s="1514"/>
      <c r="T143" s="1514"/>
      <c r="U143" s="1514"/>
      <c r="V143" s="1514"/>
      <c r="W143" s="1514"/>
      <c r="X143" s="1514"/>
      <c r="Y143" s="1514"/>
      <c r="Z143" s="1514"/>
      <c r="AA143" s="1514"/>
      <c r="AB143" s="1514"/>
      <c r="AC143" s="1514"/>
      <c r="AD143" s="1514"/>
    </row>
    <row r="144" spans="1:30" ht="15" customHeight="1" x14ac:dyDescent="0.3">
      <c r="A144" s="1727"/>
      <c r="B144" s="1727"/>
      <c r="C144" s="1737"/>
      <c r="D144" s="2587" t="s">
        <v>140</v>
      </c>
      <c r="E144" s="2588"/>
      <c r="F144" s="1735">
        <f>+P20+P21+P22+P23+P29+F30+F31+P32+IF(I33="Scope 2",F33,0)+IF(I34="Scope 2",F34,0)+IF(I35="Scope 2",F35,0)</f>
        <v>33186.944273493435</v>
      </c>
      <c r="G144" s="1738"/>
      <c r="H144" s="1612">
        <f>+V20+V21+V22+V23+V29+H30+H31+V32+IF(I33="Scope 2",H33,0)+IF(I34="Scope 2",H34,0)+IF(I35="Scope 2",H35,0)</f>
        <v>1032.3163771300001</v>
      </c>
      <c r="I144" s="2589"/>
      <c r="J144" s="2590"/>
      <c r="K144" s="2591"/>
      <c r="L144" s="1737"/>
      <c r="M144" s="1727"/>
      <c r="N144" s="1514"/>
      <c r="O144" s="1725"/>
      <c r="P144" s="1514"/>
      <c r="Q144" s="1514"/>
      <c r="R144" s="1514"/>
      <c r="S144" s="1514"/>
      <c r="T144" s="1514"/>
      <c r="U144" s="1514"/>
      <c r="V144" s="1514"/>
      <c r="W144" s="1514"/>
      <c r="X144" s="1514"/>
      <c r="Y144" s="1514"/>
      <c r="Z144" s="1514"/>
      <c r="AA144" s="1514"/>
      <c r="AB144" s="1514"/>
      <c r="AC144" s="1514"/>
      <c r="AD144" s="1514"/>
    </row>
    <row r="145" spans="1:30" ht="15" customHeight="1" thickBot="1" x14ac:dyDescent="0.35">
      <c r="A145" s="1727"/>
      <c r="B145" s="1727"/>
      <c r="C145" s="1737"/>
      <c r="D145" s="2592" t="s">
        <v>141</v>
      </c>
      <c r="E145" s="2593"/>
      <c r="F145" s="1739">
        <f>+R20+R21+R22+R23+R29+R32+IF(I33="Scope 3",F33,0)+IF(I34="Scope 3",F34,0)+IF(I35="Scope 3",F35,0)+F86+T89+F108</f>
        <v>6157.9197284235415</v>
      </c>
      <c r="G145" s="1740"/>
      <c r="H145" s="1741">
        <f>+X20+X21+X22+X23+X29+X32+IF(I33="Scope 3",H33,0)+IF(I34="Scope 3",H34,0)+IF(I35="Scope 3",H35,0)</f>
        <v>87.998707669999988</v>
      </c>
      <c r="I145" s="2594"/>
      <c r="J145" s="2595"/>
      <c r="K145" s="2596"/>
      <c r="L145" s="1737"/>
      <c r="M145" s="1727"/>
      <c r="N145" s="1514"/>
      <c r="O145" s="1725"/>
      <c r="P145" s="1514"/>
      <c r="Q145" s="1514"/>
      <c r="R145" s="1514"/>
      <c r="S145" s="1514"/>
      <c r="T145" s="1514"/>
      <c r="U145" s="1514"/>
      <c r="V145" s="1514"/>
      <c r="W145" s="1514"/>
      <c r="X145" s="1514"/>
      <c r="Y145" s="1514"/>
      <c r="Z145" s="1514"/>
      <c r="AA145" s="1514"/>
      <c r="AB145" s="1514"/>
      <c r="AC145" s="1514"/>
      <c r="AD145" s="1514"/>
    </row>
    <row r="146" spans="1:30" ht="15" customHeight="1" thickBot="1" x14ac:dyDescent="0.35">
      <c r="A146" s="1727"/>
      <c r="B146" s="1727"/>
      <c r="C146" s="1726"/>
      <c r="D146" s="2577" t="s">
        <v>172</v>
      </c>
      <c r="E146" s="2578"/>
      <c r="F146" s="1742">
        <f>+Y67+Y89+F127</f>
        <v>3029.6212693262269</v>
      </c>
      <c r="G146" s="1743"/>
      <c r="H146" s="1626"/>
      <c r="I146" s="1744"/>
      <c r="J146" s="1745"/>
      <c r="K146" s="1746"/>
      <c r="L146" s="1514"/>
      <c r="M146" s="1727"/>
      <c r="N146" s="1514"/>
      <c r="O146" s="1725"/>
      <c r="P146" s="1514"/>
      <c r="Q146" s="1514"/>
      <c r="R146" s="1514"/>
      <c r="S146" s="1514"/>
      <c r="T146" s="1514"/>
      <c r="U146" s="1514"/>
      <c r="V146" s="1514"/>
      <c r="W146" s="1514"/>
      <c r="X146" s="1514"/>
      <c r="Y146" s="1514"/>
      <c r="Z146" s="1514"/>
      <c r="AA146" s="1514"/>
      <c r="AB146" s="1514"/>
      <c r="AC146" s="1514"/>
      <c r="AD146" s="1514"/>
    </row>
    <row r="147" spans="1:30" ht="27.75" customHeight="1" x14ac:dyDescent="0.3">
      <c r="A147" s="1522"/>
      <c r="B147" s="2579" t="s">
        <v>142</v>
      </c>
      <c r="C147" s="2579"/>
      <c r="D147" s="2579"/>
      <c r="E147" s="2579"/>
      <c r="F147" s="2579"/>
      <c r="G147" s="2579"/>
      <c r="H147" s="2579"/>
      <c r="I147" s="2579"/>
      <c r="J147" s="2579"/>
      <c r="K147" s="2579"/>
      <c r="L147" s="2579"/>
      <c r="M147" s="1514"/>
      <c r="N147" s="1514"/>
      <c r="O147" s="1514"/>
      <c r="P147" s="1514"/>
      <c r="Q147" s="1514"/>
      <c r="R147" s="1514"/>
      <c r="S147" s="1514"/>
      <c r="T147" s="1514"/>
      <c r="U147" s="1514"/>
      <c r="V147" s="1514"/>
      <c r="W147" s="1514"/>
      <c r="X147" s="1514"/>
      <c r="Y147" s="1514"/>
      <c r="Z147" s="1514"/>
      <c r="AA147" s="1514"/>
      <c r="AB147" s="1514"/>
      <c r="AC147" s="1514"/>
      <c r="AD147" s="1514"/>
    </row>
    <row r="148" spans="1:30" ht="27.75" customHeight="1" x14ac:dyDescent="0.3">
      <c r="A148" s="1522"/>
      <c r="B148" s="1747"/>
      <c r="C148" s="1747"/>
      <c r="D148" s="1747"/>
      <c r="E148" s="1747"/>
      <c r="F148" s="1747"/>
      <c r="G148" s="1747"/>
      <c r="H148" s="1747"/>
      <c r="I148" s="1747"/>
      <c r="J148" s="1747"/>
      <c r="K148" s="1747"/>
      <c r="L148" s="1747"/>
      <c r="M148" s="1514"/>
      <c r="N148" s="1514"/>
      <c r="O148" s="1514"/>
      <c r="P148" s="1514"/>
      <c r="Q148" s="1514"/>
      <c r="R148" s="1514"/>
      <c r="S148" s="1514"/>
      <c r="T148" s="1514"/>
      <c r="U148" s="1514"/>
      <c r="V148" s="1514"/>
      <c r="W148" s="1514"/>
      <c r="X148" s="1514"/>
      <c r="Y148" s="1514"/>
      <c r="Z148" s="1514"/>
      <c r="AA148" s="1514"/>
      <c r="AB148" s="1514"/>
      <c r="AC148" s="1514"/>
      <c r="AD148" s="1514"/>
    </row>
    <row r="149" spans="1:30" s="1550" customFormat="1" ht="23.4" x14ac:dyDescent="0.3">
      <c r="A149" s="1529"/>
      <c r="B149" s="1530" t="s">
        <v>462</v>
      </c>
      <c r="C149" s="1547"/>
      <c r="D149" s="2387" t="str">
        <f>+$A$1</f>
        <v>Quarter 3 - 2018-2019</v>
      </c>
      <c r="E149" s="2387"/>
      <c r="F149" s="2387"/>
      <c r="G149" s="2387"/>
      <c r="H149" s="2387"/>
      <c r="I149" s="2387"/>
      <c r="J149" s="2387"/>
      <c r="K149" s="1548"/>
      <c r="L149" s="1548"/>
      <c r="M149" s="1548"/>
      <c r="N149" s="1548"/>
      <c r="O149" s="1548"/>
      <c r="P149" s="1548"/>
      <c r="Q149" s="1548"/>
      <c r="R149" s="1548"/>
      <c r="S149" s="1548"/>
      <c r="T149" s="1548"/>
      <c r="U149" s="1548"/>
      <c r="V149" s="1548"/>
      <c r="W149" s="1548"/>
      <c r="X149" s="1548"/>
      <c r="Y149" s="1549"/>
      <c r="Z149" s="1549"/>
      <c r="AA149" s="1549"/>
      <c r="AB149" s="1549"/>
      <c r="AC149" s="1549"/>
      <c r="AD149" s="1549"/>
    </row>
    <row r="150" spans="1:30" ht="15" customHeight="1" x14ac:dyDescent="0.3">
      <c r="A150" s="1522"/>
      <c r="B150" s="1534" t="s">
        <v>480</v>
      </c>
      <c r="C150" s="1721"/>
      <c r="D150" s="1722"/>
      <c r="E150" s="1723"/>
      <c r="F150" s="1724"/>
      <c r="G150" s="1724"/>
      <c r="H150" s="1724"/>
      <c r="I150" s="1725"/>
      <c r="J150" s="1725"/>
      <c r="K150" s="1725"/>
      <c r="L150" s="1514"/>
      <c r="M150" s="1514"/>
      <c r="N150" s="1514"/>
      <c r="O150" s="1514"/>
      <c r="P150" s="1514"/>
      <c r="Q150" s="1514"/>
      <c r="R150" s="1514"/>
      <c r="S150" s="1514"/>
      <c r="T150" s="1514"/>
      <c r="U150" s="1514"/>
      <c r="V150" s="1514"/>
      <c r="W150" s="1514"/>
      <c r="X150" s="1514"/>
      <c r="Y150" s="1514"/>
      <c r="Z150" s="1514"/>
      <c r="AA150" s="1514"/>
      <c r="AB150" s="1514"/>
      <c r="AC150" s="1514"/>
      <c r="AD150" s="1514"/>
    </row>
    <row r="151" spans="1:30" ht="15" customHeight="1" thickBot="1" x14ac:dyDescent="0.35">
      <c r="A151" s="1522"/>
      <c r="B151" s="1514"/>
      <c r="C151" s="1514"/>
      <c r="D151" s="1728"/>
      <c r="E151" s="1721"/>
      <c r="F151" s="1721"/>
      <c r="G151" s="1721"/>
      <c r="H151" s="1721"/>
      <c r="I151" s="1721"/>
      <c r="J151" s="1721"/>
      <c r="K151" s="1721"/>
      <c r="L151" s="1514"/>
      <c r="M151" s="1514"/>
      <c r="N151" s="1514"/>
      <c r="O151" s="1725"/>
      <c r="P151" s="1514"/>
      <c r="Q151" s="1514"/>
      <c r="R151" s="1514"/>
      <c r="S151" s="1514"/>
      <c r="T151" s="1514"/>
      <c r="U151" s="1514"/>
      <c r="V151" s="1514"/>
      <c r="W151" s="1514"/>
      <c r="X151" s="1514"/>
      <c r="Y151" s="1514"/>
      <c r="Z151" s="1514"/>
      <c r="AA151" s="1514"/>
      <c r="AB151" s="1514"/>
      <c r="AC151" s="1514"/>
      <c r="AD151" s="1514"/>
    </row>
    <row r="152" spans="1:30" ht="15" customHeight="1" thickBot="1" x14ac:dyDescent="0.35">
      <c r="A152" s="1522"/>
      <c r="B152" s="1514"/>
      <c r="C152" s="1514"/>
      <c r="D152" s="2434" t="s">
        <v>23</v>
      </c>
      <c r="E152" s="2435"/>
      <c r="F152" s="2436"/>
      <c r="G152" s="2434" t="s">
        <v>24</v>
      </c>
      <c r="H152" s="2435"/>
      <c r="I152" s="2436"/>
      <c r="J152" s="1721"/>
      <c r="K152" s="1721"/>
      <c r="L152" s="1514"/>
      <c r="M152" s="1514"/>
      <c r="N152" s="1514"/>
      <c r="O152" s="1725"/>
      <c r="P152" s="1514"/>
      <c r="Q152" s="1514"/>
      <c r="R152" s="1514"/>
      <c r="S152" s="1514"/>
      <c r="T152" s="1514"/>
      <c r="U152" s="1514"/>
      <c r="V152" s="1514"/>
      <c r="W152" s="1514"/>
      <c r="X152" s="1514"/>
      <c r="Y152" s="1514"/>
      <c r="Z152" s="1514"/>
      <c r="AA152" s="1514"/>
      <c r="AB152" s="1514"/>
      <c r="AC152" s="1514"/>
      <c r="AD152" s="1514"/>
    </row>
    <row r="153" spans="1:30" ht="15" customHeight="1" thickBot="1" x14ac:dyDescent="0.35">
      <c r="A153" s="1522"/>
      <c r="B153" s="2580" t="s">
        <v>463</v>
      </c>
      <c r="C153" s="2581"/>
      <c r="D153" s="2465"/>
      <c r="E153" s="2466"/>
      <c r="F153" s="2467"/>
      <c r="G153" s="2428"/>
      <c r="H153" s="2429"/>
      <c r="I153" s="2430"/>
      <c r="J153" s="1721"/>
      <c r="K153" s="1721"/>
      <c r="L153" s="1733"/>
      <c r="M153" s="1727"/>
      <c r="N153" s="1514"/>
      <c r="O153" s="1725"/>
      <c r="P153" s="1514"/>
      <c r="Q153" s="1514"/>
      <c r="R153" s="1514"/>
      <c r="S153" s="1514"/>
      <c r="T153" s="1514"/>
      <c r="U153" s="1514"/>
      <c r="V153" s="1514"/>
      <c r="W153" s="1514"/>
      <c r="X153" s="1514"/>
      <c r="Y153" s="1514"/>
      <c r="Z153" s="1514"/>
      <c r="AA153" s="1514"/>
      <c r="AB153" s="1514"/>
      <c r="AC153" s="1514"/>
      <c r="AD153" s="1514"/>
    </row>
    <row r="154" spans="1:30" ht="15" customHeight="1" thickBot="1" x14ac:dyDescent="0.35">
      <c r="A154" s="1522"/>
      <c r="B154" s="2580" t="s">
        <v>464</v>
      </c>
      <c r="C154" s="2581"/>
      <c r="D154" s="1748" t="s">
        <v>466</v>
      </c>
      <c r="E154" s="2600"/>
      <c r="F154" s="2601"/>
      <c r="G154" s="2428"/>
      <c r="H154" s="2429"/>
      <c r="I154" s="2430"/>
      <c r="J154" s="1721"/>
      <c r="K154" s="1721"/>
      <c r="L154" s="1727"/>
      <c r="M154" s="1727"/>
      <c r="N154" s="1514"/>
      <c r="O154" s="1725"/>
      <c r="P154" s="1514"/>
      <c r="Q154" s="1514"/>
      <c r="R154" s="1514"/>
      <c r="S154" s="1514"/>
      <c r="T154" s="1514"/>
      <c r="U154" s="1514"/>
      <c r="V154" s="1514"/>
      <c r="W154" s="1514"/>
      <c r="X154" s="1514"/>
      <c r="Y154" s="1514"/>
      <c r="Z154" s="1514"/>
      <c r="AA154" s="1514"/>
      <c r="AB154" s="1514"/>
      <c r="AC154" s="1514"/>
      <c r="AD154" s="1514"/>
    </row>
    <row r="155" spans="1:30" ht="45" customHeight="1" thickBot="1" x14ac:dyDescent="0.35">
      <c r="A155" s="1522"/>
      <c r="B155" s="2580" t="s">
        <v>465</v>
      </c>
      <c r="C155" s="2581"/>
      <c r="D155" s="2547"/>
      <c r="E155" s="2548"/>
      <c r="F155" s="2549"/>
      <c r="G155" s="2400"/>
      <c r="H155" s="2401"/>
      <c r="I155" s="2402"/>
      <c r="J155" s="1721"/>
      <c r="K155" s="1721"/>
      <c r="L155" s="1737"/>
      <c r="M155" s="1727"/>
      <c r="N155" s="1514"/>
      <c r="O155" s="1725"/>
      <c r="P155" s="1514"/>
      <c r="Q155" s="1514"/>
      <c r="R155" s="1514"/>
      <c r="S155" s="1514"/>
      <c r="T155" s="1514"/>
      <c r="U155" s="1514"/>
      <c r="V155" s="1514"/>
      <c r="W155" s="1514"/>
      <c r="X155" s="1514"/>
      <c r="Y155" s="1514"/>
      <c r="Z155" s="1514"/>
      <c r="AA155" s="1514"/>
      <c r="AB155" s="1514"/>
      <c r="AC155" s="1514"/>
      <c r="AD155" s="1514"/>
    </row>
    <row r="156" spans="1:30" ht="15" customHeight="1" x14ac:dyDescent="0.3">
      <c r="A156" s="1522"/>
      <c r="B156" s="1747"/>
      <c r="C156" s="1747"/>
      <c r="D156" s="1747"/>
      <c r="E156" s="1747"/>
      <c r="F156" s="1747"/>
      <c r="G156" s="1747"/>
      <c r="H156" s="1747"/>
      <c r="I156" s="1747"/>
      <c r="J156" s="1747"/>
      <c r="K156" s="1747"/>
      <c r="L156" s="1747"/>
      <c r="M156" s="1514"/>
      <c r="N156" s="1514"/>
      <c r="O156" s="1514"/>
      <c r="P156" s="1514"/>
      <c r="Q156" s="1514"/>
      <c r="R156" s="1514"/>
      <c r="S156" s="1514"/>
      <c r="T156" s="1514"/>
      <c r="U156" s="1514"/>
      <c r="V156" s="1514"/>
      <c r="W156" s="1514"/>
      <c r="X156" s="1514"/>
      <c r="Y156" s="1514"/>
      <c r="Z156" s="1514"/>
      <c r="AA156" s="1514"/>
      <c r="AB156" s="1514"/>
      <c r="AC156" s="1514"/>
      <c r="AD156" s="1514"/>
    </row>
    <row r="157" spans="1:30" ht="27.75" customHeight="1" x14ac:dyDescent="0.3">
      <c r="A157" s="1529">
        <v>3</v>
      </c>
      <c r="B157" s="1530" t="s">
        <v>143</v>
      </c>
      <c r="C157" s="1531"/>
      <c r="D157" s="2387" t="str">
        <f>+$A$1</f>
        <v>Quarter 3 - 2018-2019</v>
      </c>
      <c r="E157" s="2387"/>
      <c r="F157" s="2387"/>
      <c r="G157" s="2387"/>
      <c r="H157" s="2387"/>
      <c r="I157" s="2387"/>
      <c r="J157" s="2387"/>
      <c r="K157" s="1532"/>
      <c r="L157" s="1532"/>
      <c r="M157" s="1532"/>
      <c r="N157" s="1519"/>
      <c r="O157" s="1519"/>
      <c r="P157" s="1533"/>
      <c r="Q157" s="1533"/>
      <c r="R157" s="1519"/>
      <c r="S157" s="1519"/>
      <c r="T157" s="1519"/>
      <c r="U157" s="1519"/>
      <c r="V157" s="1519"/>
      <c r="W157" s="1519"/>
      <c r="X157" s="1519"/>
      <c r="Y157" s="1519"/>
      <c r="Z157" s="1519"/>
      <c r="AA157" s="1519"/>
      <c r="AB157" s="1519"/>
      <c r="AC157" s="1519"/>
      <c r="AD157" s="1519"/>
    </row>
    <row r="158" spans="1:30" x14ac:dyDescent="0.3">
      <c r="A158" s="1522"/>
      <c r="B158" s="1514"/>
      <c r="C158" s="1514"/>
      <c r="D158" s="1551"/>
      <c r="E158" s="1535"/>
      <c r="F158" s="1535"/>
      <c r="G158" s="1535"/>
      <c r="H158" s="1535"/>
      <c r="I158" s="1535"/>
      <c r="J158" s="1543"/>
      <c r="K158" s="1749"/>
      <c r="L158" s="1535"/>
      <c r="M158" s="1535"/>
      <c r="N158" s="1514"/>
      <c r="O158" s="1514"/>
      <c r="P158" s="1514"/>
      <c r="Q158" s="1514"/>
      <c r="R158" s="1514"/>
      <c r="S158" s="1514"/>
      <c r="T158" s="1514"/>
      <c r="U158" s="1514"/>
      <c r="V158" s="1514"/>
      <c r="W158" s="1514"/>
      <c r="X158" s="1514"/>
      <c r="Y158" s="1514"/>
      <c r="Z158" s="1514"/>
      <c r="AA158" s="1514"/>
      <c r="AB158" s="1514"/>
      <c r="AC158" s="1514"/>
      <c r="AD158" s="1514"/>
    </row>
    <row r="159" spans="1:30" x14ac:dyDescent="0.3">
      <c r="A159" s="1522"/>
      <c r="B159" s="1514"/>
      <c r="C159" s="1514"/>
      <c r="D159" s="1551"/>
      <c r="E159" s="1725"/>
      <c r="F159" s="1725"/>
      <c r="G159" s="1725"/>
      <c r="H159" s="1725"/>
      <c r="I159" s="1725"/>
      <c r="J159" s="1725"/>
      <c r="K159" s="1725"/>
      <c r="L159" s="1535"/>
      <c r="M159" s="1535"/>
      <c r="N159" s="1514"/>
      <c r="O159" s="1514"/>
      <c r="P159" s="1514"/>
      <c r="Q159" s="1514"/>
      <c r="R159" s="1514"/>
      <c r="S159" s="1514"/>
      <c r="T159" s="1514"/>
      <c r="U159" s="1514"/>
      <c r="V159" s="1514"/>
      <c r="W159" s="1514"/>
      <c r="X159" s="1514"/>
      <c r="Y159" s="1514"/>
      <c r="Z159" s="1514"/>
      <c r="AA159" s="1514"/>
      <c r="AB159" s="1514"/>
      <c r="AC159" s="1514"/>
      <c r="AD159" s="1514"/>
    </row>
    <row r="160" spans="1:30" ht="18.75" customHeight="1" x14ac:dyDescent="0.3">
      <c r="A160" s="1522"/>
      <c r="B160" s="1534"/>
      <c r="C160" s="30"/>
      <c r="D160" s="1534"/>
      <c r="E160" s="1725"/>
      <c r="F160" s="1725"/>
      <c r="G160" s="1725"/>
      <c r="H160" s="1725"/>
      <c r="I160" s="1725"/>
      <c r="J160" s="1725"/>
      <c r="K160" s="1725"/>
      <c r="L160" s="1725"/>
      <c r="M160" s="1725"/>
      <c r="N160" s="1725"/>
      <c r="O160" s="1725"/>
      <c r="P160" s="1725"/>
      <c r="Q160" s="1725"/>
      <c r="R160" s="1725"/>
      <c r="S160" s="1725"/>
      <c r="T160" s="1725"/>
      <c r="U160" s="1725"/>
      <c r="V160" s="1725"/>
      <c r="W160" s="1725"/>
      <c r="X160" s="1725"/>
      <c r="Y160" s="1725"/>
      <c r="Z160" s="1725"/>
      <c r="AA160" s="1725"/>
      <c r="AB160" s="1725"/>
      <c r="AC160" s="1725"/>
      <c r="AD160" s="1725"/>
    </row>
    <row r="161" spans="1:30" ht="15.75" customHeight="1" thickBot="1" x14ac:dyDescent="0.35">
      <c r="A161" s="1522"/>
      <c r="B161" s="1514"/>
      <c r="C161" s="1514"/>
      <c r="D161" s="1534"/>
      <c r="E161" s="1514"/>
      <c r="F161" s="1551"/>
      <c r="G161" s="1551"/>
      <c r="H161" s="1551"/>
      <c r="I161" s="1725"/>
      <c r="J161" s="1725"/>
      <c r="K161" s="1725"/>
      <c r="L161" s="1725"/>
      <c r="M161" s="1725"/>
      <c r="N161" s="1725"/>
      <c r="O161" s="1725"/>
      <c r="P161" s="1725"/>
      <c r="Q161" s="1725"/>
      <c r="R161" s="1725"/>
      <c r="S161" s="1725"/>
      <c r="T161" s="1725"/>
      <c r="U161" s="1725"/>
      <c r="V161" s="1725"/>
      <c r="W161" s="1725"/>
      <c r="X161" s="1725"/>
      <c r="Y161" s="1725"/>
      <c r="Z161" s="1725"/>
      <c r="AA161" s="1725"/>
      <c r="AB161" s="1725"/>
      <c r="AC161" s="1725"/>
      <c r="AD161" s="1725"/>
    </row>
    <row r="162" spans="1:30" ht="15.75" customHeight="1" thickBot="1" x14ac:dyDescent="0.35">
      <c r="A162" s="1522"/>
      <c r="B162" s="1514"/>
      <c r="C162" s="1534"/>
      <c r="D162" s="1536" t="s">
        <v>23</v>
      </c>
      <c r="E162" s="2597" t="s">
        <v>144</v>
      </c>
      <c r="F162" s="2598"/>
      <c r="G162" s="2598"/>
      <c r="H162" s="2599"/>
      <c r="I162" s="2388" t="s">
        <v>24</v>
      </c>
      <c r="J162" s="2389"/>
      <c r="K162" s="2390"/>
      <c r="L162" s="2419" t="s">
        <v>461</v>
      </c>
      <c r="M162" s="1725"/>
      <c r="N162" s="1725"/>
      <c r="O162" s="1725"/>
      <c r="P162" s="1725"/>
      <c r="Q162" s="1725"/>
      <c r="R162" s="1725"/>
      <c r="S162" s="1725"/>
      <c r="T162" s="1725"/>
      <c r="U162" s="1725"/>
      <c r="V162" s="1725"/>
      <c r="W162" s="1725"/>
      <c r="X162" s="1725"/>
      <c r="Y162" s="1725"/>
      <c r="Z162" s="1725"/>
      <c r="AA162" s="1725"/>
      <c r="AB162" s="1725"/>
      <c r="AC162" s="1725"/>
      <c r="AD162" s="1725"/>
    </row>
    <row r="163" spans="1:30" ht="39.75" customHeight="1" thickBot="1" x14ac:dyDescent="0.35">
      <c r="A163" s="1522"/>
      <c r="B163" s="1538"/>
      <c r="C163" s="1514"/>
      <c r="D163" s="1539" t="s">
        <v>145</v>
      </c>
      <c r="E163" s="1540" t="s">
        <v>173</v>
      </c>
      <c r="F163" s="1540" t="s">
        <v>376</v>
      </c>
      <c r="G163" s="1555" t="s">
        <v>145</v>
      </c>
      <c r="H163" s="1540" t="s">
        <v>469</v>
      </c>
      <c r="I163" s="2391"/>
      <c r="J163" s="2392"/>
      <c r="K163" s="2393"/>
      <c r="L163" s="2420"/>
      <c r="M163" s="1725"/>
      <c r="N163" s="1725"/>
      <c r="O163" s="1725"/>
      <c r="P163" s="1725"/>
      <c r="Q163" s="1725"/>
      <c r="R163" s="1725"/>
      <c r="S163" s="1725"/>
      <c r="T163" s="1725"/>
      <c r="U163" s="1725"/>
      <c r="V163" s="1725"/>
      <c r="W163" s="1725"/>
      <c r="X163" s="1725"/>
      <c r="Y163" s="1725"/>
      <c r="Z163" s="1725"/>
      <c r="AA163" s="1725"/>
      <c r="AB163" s="1725"/>
      <c r="AC163" s="1725"/>
      <c r="AD163" s="1725"/>
    </row>
    <row r="164" spans="1:30" ht="15.75" customHeight="1" thickBot="1" x14ac:dyDescent="0.35">
      <c r="A164" s="1522"/>
      <c r="B164" s="2398" t="s">
        <v>146</v>
      </c>
      <c r="C164" s="2399"/>
      <c r="D164" s="1541">
        <v>2272430.1143495701</v>
      </c>
      <c r="E164" s="1541">
        <v>3304</v>
      </c>
      <c r="F164" s="1542">
        <v>11256.907888894501</v>
      </c>
      <c r="G164" s="1750">
        <f>IF(Performance!$L$2="Y",D164,F164)</f>
        <v>11256.907888894501</v>
      </c>
      <c r="H164" s="1751">
        <f>IF(AND(E164&lt;&gt;0,E164&lt;&gt;""),G164/E164,"")</f>
        <v>3.4070544457913137</v>
      </c>
      <c r="I164" s="2400" t="s">
        <v>553</v>
      </c>
      <c r="J164" s="2401"/>
      <c r="K164" s="2402"/>
      <c r="L164" s="1560" t="str">
        <f>IF(OR(D164&lt;0,E164&lt;0,F164&lt;0),"Error - negative number",IF(F164&gt;D164,"Offices only &gt; Total Estate",IF(AND(H164&lt;'QA config'!D2,H164&lt;&gt;""),CONCATENATE("&lt; ",'QA config'!D2," m3/FTE"),IF(AND(H164&gt;'QA config'!C2,H164&lt;&gt;""),CONCATENATE("&gt; ",'QA config'!C2," m3/FTE"),""))))</f>
        <v/>
      </c>
      <c r="M164" s="1725"/>
      <c r="N164" s="1725"/>
      <c r="O164" s="1725"/>
      <c r="P164" s="1725"/>
      <c r="Q164" s="1725"/>
      <c r="R164" s="1725"/>
      <c r="S164" s="1725"/>
      <c r="T164" s="1725"/>
      <c r="U164" s="1725"/>
      <c r="V164" s="1725"/>
      <c r="W164" s="1725"/>
      <c r="X164" s="1725"/>
      <c r="Y164" s="1725"/>
      <c r="Z164" s="1725"/>
      <c r="AA164" s="1725"/>
      <c r="AB164" s="1725"/>
      <c r="AC164" s="1725"/>
      <c r="AD164" s="1725"/>
    </row>
    <row r="165" spans="1:30" ht="13.5" customHeight="1" x14ac:dyDescent="0.3">
      <c r="A165" s="1522"/>
      <c r="B165" s="1514" t="s">
        <v>175</v>
      </c>
      <c r="C165" s="1514"/>
      <c r="D165" s="1514"/>
      <c r="E165" s="1514"/>
      <c r="F165" s="1514"/>
      <c r="G165" s="1514"/>
      <c r="H165" s="1514"/>
      <c r="I165" s="1725"/>
      <c r="J165" s="1725"/>
      <c r="K165" s="1725"/>
      <c r="L165" s="1725"/>
      <c r="M165" s="1725"/>
      <c r="N165" s="1725"/>
      <c r="O165" s="1725"/>
      <c r="P165" s="1725"/>
      <c r="Q165" s="1725"/>
      <c r="R165" s="1725"/>
      <c r="S165" s="1725"/>
      <c r="T165" s="1725"/>
      <c r="U165" s="1725"/>
      <c r="V165" s="1725"/>
      <c r="W165" s="1725"/>
      <c r="X165" s="1725"/>
      <c r="Y165" s="1725"/>
      <c r="Z165" s="1725"/>
      <c r="AA165" s="1725"/>
      <c r="AB165" s="1725"/>
      <c r="AC165" s="1725"/>
      <c r="AD165" s="1725"/>
    </row>
    <row r="166" spans="1:30" x14ac:dyDescent="0.3">
      <c r="A166" s="1522"/>
      <c r="B166" s="1514"/>
      <c r="C166" s="1514"/>
      <c r="D166" s="1619"/>
      <c r="E166" s="1535"/>
      <c r="F166" s="1535"/>
      <c r="G166" s="1535"/>
      <c r="H166" s="1535"/>
      <c r="I166" s="1535"/>
      <c r="J166" s="1725"/>
      <c r="K166" s="1725"/>
      <c r="L166" s="1535"/>
      <c r="M166" s="1535"/>
      <c r="N166" s="1752"/>
      <c r="O166" s="1535"/>
      <c r="P166" s="1514"/>
      <c r="Q166" s="1514"/>
      <c r="R166" s="1522"/>
      <c r="S166" s="1514"/>
      <c r="T166" s="1514"/>
      <c r="U166" s="1514"/>
      <c r="V166" s="1514"/>
      <c r="W166" s="1514"/>
      <c r="X166" s="1514"/>
      <c r="Y166" s="1514"/>
      <c r="Z166" s="1514"/>
      <c r="AA166" s="1514"/>
      <c r="AB166" s="1514"/>
      <c r="AC166" s="1514"/>
      <c r="AD166" s="1514"/>
    </row>
    <row r="167" spans="1:30" ht="27.75" customHeight="1" x14ac:dyDescent="0.3">
      <c r="A167" s="1529">
        <v>4</v>
      </c>
      <c r="B167" s="1530" t="s">
        <v>147</v>
      </c>
      <c r="C167" s="1531"/>
      <c r="D167" s="2387" t="str">
        <f>+$A$1</f>
        <v>Quarter 3 - 2018-2019</v>
      </c>
      <c r="E167" s="2387"/>
      <c r="F167" s="2387"/>
      <c r="G167" s="2387"/>
      <c r="H167" s="2387"/>
      <c r="I167" s="2387"/>
      <c r="J167" s="2387"/>
      <c r="K167" s="1532"/>
      <c r="L167" s="1532"/>
      <c r="M167" s="1519"/>
      <c r="N167" s="1519"/>
      <c r="O167" s="1519"/>
      <c r="P167" s="1533"/>
      <c r="Q167" s="1519"/>
      <c r="R167" s="1519"/>
      <c r="S167" s="1519"/>
      <c r="T167" s="1519"/>
      <c r="U167" s="1519"/>
      <c r="V167" s="1519"/>
      <c r="W167" s="1519"/>
      <c r="X167" s="1519"/>
      <c r="Y167" s="1519"/>
      <c r="Z167" s="1519"/>
      <c r="AA167" s="1519"/>
      <c r="AB167" s="1519"/>
      <c r="AC167" s="1519"/>
      <c r="AD167" s="1519"/>
    </row>
    <row r="168" spans="1:30" ht="15.75" customHeight="1" thickBot="1" x14ac:dyDescent="0.35">
      <c r="A168" s="1522"/>
      <c r="B168" s="1514"/>
      <c r="C168" s="1514"/>
      <c r="D168" s="1551"/>
      <c r="E168" s="1551"/>
      <c r="F168" s="1551"/>
      <c r="G168" s="1551"/>
      <c r="H168" s="1551"/>
      <c r="I168" s="1551"/>
      <c r="J168" s="1551"/>
      <c r="K168" s="1551"/>
      <c r="L168" s="1514"/>
      <c r="M168" s="1514"/>
      <c r="N168" s="1514"/>
      <c r="O168" s="1514"/>
      <c r="P168" s="1514"/>
      <c r="Q168" s="1514"/>
      <c r="R168" s="1514"/>
      <c r="S168" s="1514"/>
      <c r="T168" s="1514"/>
      <c r="U168" s="1514"/>
      <c r="V168" s="1514"/>
      <c r="W168" s="1514"/>
      <c r="X168" s="1514"/>
      <c r="Y168" s="1514"/>
      <c r="Z168" s="1514"/>
      <c r="AA168" s="1514"/>
      <c r="AB168" s="1514"/>
      <c r="AC168" s="1514"/>
      <c r="AD168" s="1514"/>
    </row>
    <row r="169" spans="1:30" ht="13.5" customHeight="1" thickBot="1" x14ac:dyDescent="0.35">
      <c r="A169" s="1522"/>
      <c r="B169" s="1514"/>
      <c r="C169" s="1534"/>
      <c r="D169" s="1535"/>
      <c r="E169" s="2602" t="s">
        <v>23</v>
      </c>
      <c r="F169" s="2603"/>
      <c r="G169" s="2604" t="s">
        <v>144</v>
      </c>
      <c r="H169" s="2605"/>
      <c r="I169" s="2388" t="s">
        <v>24</v>
      </c>
      <c r="J169" s="2389"/>
      <c r="K169" s="2390"/>
      <c r="L169" s="2419" t="s">
        <v>461</v>
      </c>
      <c r="M169" s="1514"/>
      <c r="N169" s="1514"/>
      <c r="O169" s="1514"/>
      <c r="P169" s="1514"/>
      <c r="Q169" s="1514"/>
      <c r="R169" s="1514"/>
      <c r="S169" s="1514"/>
      <c r="T169" s="1514"/>
      <c r="U169" s="1514"/>
      <c r="V169" s="1514"/>
      <c r="W169" s="1514"/>
      <c r="X169" s="1514"/>
      <c r="Y169" s="1514"/>
      <c r="Z169" s="1514"/>
      <c r="AA169" s="1514"/>
      <c r="AB169" s="1514"/>
      <c r="AC169" s="1514"/>
      <c r="AD169" s="1514"/>
    </row>
    <row r="170" spans="1:30" ht="16.5" customHeight="1" thickBot="1" x14ac:dyDescent="0.35">
      <c r="A170" s="1522"/>
      <c r="B170" s="1514"/>
      <c r="C170" s="1538"/>
      <c r="D170" s="1514"/>
      <c r="E170" s="1753" t="s">
        <v>148</v>
      </c>
      <c r="F170" s="1754" t="s">
        <v>149</v>
      </c>
      <c r="G170" s="1555" t="s">
        <v>148</v>
      </c>
      <c r="H170" s="1555" t="s">
        <v>149</v>
      </c>
      <c r="I170" s="2391"/>
      <c r="J170" s="2392"/>
      <c r="K170" s="2393"/>
      <c r="L170" s="2420"/>
      <c r="M170" s="1514"/>
      <c r="N170" s="1514"/>
      <c r="O170" s="1514"/>
      <c r="P170" s="1514"/>
      <c r="Q170" s="1514"/>
      <c r="R170" s="1514"/>
      <c r="S170" s="1514"/>
      <c r="T170" s="1514"/>
      <c r="U170" s="1514"/>
      <c r="V170" s="1514"/>
      <c r="W170" s="1514"/>
      <c r="X170" s="1514"/>
      <c r="Y170" s="1514"/>
      <c r="Z170" s="1514"/>
      <c r="AA170" s="1514"/>
      <c r="AB170" s="1514"/>
      <c r="AC170" s="1514"/>
      <c r="AD170" s="1514"/>
    </row>
    <row r="171" spans="1:30" ht="15.75" customHeight="1" x14ac:dyDescent="0.3">
      <c r="A171" s="1522"/>
      <c r="B171" s="1755" t="s">
        <v>150</v>
      </c>
      <c r="C171" s="1756"/>
      <c r="D171" s="1757"/>
      <c r="E171" s="1758">
        <v>9587.2362859801106</v>
      </c>
      <c r="F171" s="1759">
        <f>IF($E$184&gt;0,E171/$E$184,"")</f>
        <v>0.77374465349467691</v>
      </c>
      <c r="G171" s="1570">
        <v>311.27616338948701</v>
      </c>
      <c r="H171" s="1760">
        <f>IF($G$184&gt;0,G171/$G$184,"")</f>
        <v>0.82594921672120092</v>
      </c>
      <c r="I171" s="2428" t="s">
        <v>553</v>
      </c>
      <c r="J171" s="2429"/>
      <c r="K171" s="2430"/>
      <c r="L171" s="1606" t="str">
        <f>IF(OR(E171&lt;0,G171&lt;0),"Error - negative number",IF(G171&gt;E171,"Offices only &gt; Total Estate",""))</f>
        <v/>
      </c>
      <c r="M171" s="1514"/>
      <c r="N171" s="1514"/>
      <c r="O171" s="1514"/>
      <c r="P171" s="1514"/>
      <c r="Q171" s="1514"/>
      <c r="R171" s="1514"/>
      <c r="S171" s="1514"/>
      <c r="T171" s="1514"/>
      <c r="U171" s="1514"/>
      <c r="V171" s="1514"/>
      <c r="W171" s="1514"/>
      <c r="X171" s="1514"/>
      <c r="Y171" s="1514"/>
      <c r="Z171" s="1514"/>
      <c r="AA171" s="1514"/>
      <c r="AB171" s="1514"/>
      <c r="AC171" s="1514"/>
      <c r="AD171" s="1514"/>
    </row>
    <row r="172" spans="1:30" ht="15.75" customHeight="1" x14ac:dyDescent="0.3">
      <c r="A172" s="1522"/>
      <c r="B172" s="1761" t="s">
        <v>365</v>
      </c>
      <c r="C172" s="1762"/>
      <c r="D172" s="1763"/>
      <c r="E172" s="1758">
        <v>410.24924185660399</v>
      </c>
      <c r="F172" s="1764"/>
      <c r="G172" s="1570"/>
      <c r="H172" s="1765"/>
      <c r="I172" s="2431"/>
      <c r="J172" s="2432"/>
      <c r="K172" s="2433"/>
      <c r="L172" s="1581" t="str">
        <f t="shared" ref="L172:L185" si="17">IF(OR(E172&lt;0,G172&lt;0),"Error - negative number",IF(G172&gt;E172,"Offices only &gt; Total Estate",""))</f>
        <v/>
      </c>
      <c r="M172" s="1514"/>
      <c r="N172" s="1514"/>
      <c r="O172" s="1514"/>
      <c r="P172" s="1514"/>
      <c r="Q172" s="1514"/>
      <c r="R172" s="1514"/>
      <c r="S172" s="1514"/>
      <c r="T172" s="1514"/>
      <c r="U172" s="1514"/>
      <c r="V172" s="1514"/>
      <c r="W172" s="1514"/>
      <c r="X172" s="1514"/>
      <c r="Y172" s="1514"/>
      <c r="Z172" s="1514"/>
      <c r="AA172" s="1514"/>
      <c r="AB172" s="1514"/>
      <c r="AC172" s="1514"/>
      <c r="AD172" s="1514"/>
    </row>
    <row r="173" spans="1:30" ht="15.75" customHeight="1" x14ac:dyDescent="0.3">
      <c r="A173" s="1522"/>
      <c r="B173" s="1766" t="s">
        <v>151</v>
      </c>
      <c r="C173" s="1767"/>
      <c r="D173" s="1768"/>
      <c r="E173" s="1758">
        <v>8.1000000000000003E-2</v>
      </c>
      <c r="F173" s="1769">
        <f>IF($E$184&gt;0,E173/$E$184,"")</f>
        <v>6.5371620207920729E-6</v>
      </c>
      <c r="G173" s="1570"/>
      <c r="H173" s="1770">
        <f>IF($G$184&gt;0,G173/$G$184,"")</f>
        <v>0</v>
      </c>
      <c r="I173" s="2431"/>
      <c r="J173" s="2432"/>
      <c r="K173" s="2433"/>
      <c r="L173" s="1581" t="str">
        <f t="shared" si="17"/>
        <v/>
      </c>
      <c r="M173" s="1514"/>
      <c r="N173" s="1514"/>
      <c r="O173" s="1514"/>
      <c r="P173" s="1514"/>
      <c r="Q173" s="1514"/>
      <c r="R173" s="1514"/>
      <c r="S173" s="1514"/>
      <c r="T173" s="1514"/>
      <c r="U173" s="1514"/>
      <c r="V173" s="1514"/>
      <c r="W173" s="1514"/>
      <c r="X173" s="1514"/>
      <c r="Y173" s="1514"/>
      <c r="Z173" s="1514"/>
      <c r="AA173" s="1514"/>
      <c r="AB173" s="1514"/>
      <c r="AC173" s="1514"/>
      <c r="AD173" s="1514"/>
    </row>
    <row r="174" spans="1:30" ht="15.75" customHeight="1" x14ac:dyDescent="0.3">
      <c r="A174" s="1522"/>
      <c r="B174" s="1766" t="s">
        <v>185</v>
      </c>
      <c r="C174" s="1767"/>
      <c r="D174" s="1768"/>
      <c r="E174" s="1758"/>
      <c r="F174" s="1764"/>
      <c r="G174" s="1570"/>
      <c r="H174" s="1765"/>
      <c r="I174" s="2431"/>
      <c r="J174" s="2432"/>
      <c r="K174" s="2433"/>
      <c r="L174" s="1581" t="str">
        <f t="shared" si="17"/>
        <v/>
      </c>
      <c r="M174" s="1514"/>
      <c r="N174" s="1514"/>
      <c r="O174" s="1514"/>
      <c r="P174" s="1514"/>
      <c r="Q174" s="1514"/>
      <c r="R174" s="1514"/>
      <c r="S174" s="1514"/>
      <c r="T174" s="1514"/>
      <c r="U174" s="1514"/>
      <c r="V174" s="1514"/>
      <c r="W174" s="1514"/>
      <c r="X174" s="1514"/>
      <c r="Y174" s="1514"/>
      <c r="Z174" s="1514"/>
      <c r="AA174" s="1514"/>
      <c r="AB174" s="1514"/>
      <c r="AC174" s="1514"/>
      <c r="AD174" s="1514"/>
    </row>
    <row r="175" spans="1:30" ht="15.75" customHeight="1" x14ac:dyDescent="0.3">
      <c r="A175" s="1522"/>
      <c r="B175" s="1766" t="s">
        <v>152</v>
      </c>
      <c r="C175" s="1767"/>
      <c r="D175" s="1768"/>
      <c r="E175" s="1758"/>
      <c r="F175" s="1769">
        <f>IF($E$184&gt;0,E175/$E$184,"")</f>
        <v>0</v>
      </c>
      <c r="G175" s="1570"/>
      <c r="H175" s="1770">
        <f>IF($G$184&gt;0,G175/$G$184,"")</f>
        <v>0</v>
      </c>
      <c r="I175" s="2431"/>
      <c r="J175" s="2432"/>
      <c r="K175" s="2433"/>
      <c r="L175" s="1581" t="str">
        <f t="shared" si="17"/>
        <v/>
      </c>
      <c r="M175" s="1514"/>
      <c r="N175" s="1514"/>
      <c r="O175" s="1514"/>
      <c r="P175" s="1514"/>
      <c r="Q175" s="1514"/>
      <c r="R175" s="1514"/>
      <c r="S175" s="1514"/>
      <c r="T175" s="1514"/>
      <c r="U175" s="1514"/>
      <c r="V175" s="1514"/>
      <c r="W175" s="1514"/>
      <c r="X175" s="1514"/>
      <c r="Y175" s="1514"/>
      <c r="Z175" s="1514"/>
      <c r="AA175" s="1514"/>
      <c r="AB175" s="1514"/>
      <c r="AC175" s="1514"/>
      <c r="AD175" s="1514"/>
    </row>
    <row r="176" spans="1:30" ht="15.75" customHeight="1" x14ac:dyDescent="0.3">
      <c r="A176" s="1522"/>
      <c r="B176" s="1761" t="s">
        <v>153</v>
      </c>
      <c r="C176" s="1762"/>
      <c r="D176" s="1763"/>
      <c r="E176" s="1758">
        <v>670.14179040354395</v>
      </c>
      <c r="F176" s="1769">
        <f>IF($E$184&gt;0,E176/$E$184,"")</f>
        <v>5.4084264947798139E-2</v>
      </c>
      <c r="G176" s="1570">
        <v>10.0823475271756</v>
      </c>
      <c r="H176" s="1770">
        <f>IF($G$184&gt;0,G176/$G$184,"")</f>
        <v>2.6752793892418154E-2</v>
      </c>
      <c r="I176" s="2431"/>
      <c r="J176" s="2432"/>
      <c r="K176" s="2433"/>
      <c r="L176" s="1581" t="str">
        <f t="shared" si="17"/>
        <v/>
      </c>
      <c r="M176" s="1514"/>
      <c r="N176" s="1514"/>
      <c r="O176" s="1514"/>
      <c r="P176" s="1514"/>
      <c r="Q176" s="1514"/>
      <c r="R176" s="1514"/>
      <c r="S176" s="1514"/>
      <c r="T176" s="1514"/>
      <c r="U176" s="1514"/>
      <c r="V176" s="1514"/>
      <c r="W176" s="1514"/>
      <c r="X176" s="1514"/>
      <c r="Y176" s="1514"/>
      <c r="Z176" s="1514"/>
      <c r="AA176" s="1514"/>
      <c r="AB176" s="1514"/>
      <c r="AC176" s="1514"/>
      <c r="AD176" s="1514"/>
    </row>
    <row r="177" spans="1:30" ht="15.75" customHeight="1" x14ac:dyDescent="0.3">
      <c r="A177" s="1522"/>
      <c r="B177" s="1761" t="s">
        <v>154</v>
      </c>
      <c r="C177" s="1762"/>
      <c r="D177" s="1763"/>
      <c r="E177" s="1758">
        <v>1781.3726693828835</v>
      </c>
      <c r="F177" s="1769">
        <f>IF($E$184&gt;0,E177/$E$184,"")</f>
        <v>0.1437669352983553</v>
      </c>
      <c r="G177" s="1570"/>
      <c r="H177" s="1770">
        <f>IF($G$184&gt;0,G177/$G$184,"")</f>
        <v>0</v>
      </c>
      <c r="I177" s="2431"/>
      <c r="J177" s="2432"/>
      <c r="K177" s="2433"/>
      <c r="L177" s="1581" t="str">
        <f t="shared" si="17"/>
        <v/>
      </c>
      <c r="M177" s="1514"/>
      <c r="N177" s="1514"/>
      <c r="O177" s="1514"/>
      <c r="P177" s="1514"/>
      <c r="Q177" s="1514"/>
      <c r="R177" s="1514"/>
      <c r="S177" s="1514"/>
      <c r="T177" s="1514"/>
      <c r="U177" s="1514"/>
      <c r="V177" s="1514"/>
      <c r="W177" s="1514"/>
      <c r="X177" s="1514"/>
      <c r="Y177" s="1514"/>
      <c r="Z177" s="1514"/>
      <c r="AA177" s="1514"/>
      <c r="AB177" s="1514"/>
      <c r="AC177" s="1514"/>
      <c r="AD177" s="1514"/>
    </row>
    <row r="178" spans="1:30" ht="15.75" customHeight="1" thickBot="1" x14ac:dyDescent="0.35">
      <c r="A178" s="1522"/>
      <c r="B178" s="1771" t="s">
        <v>155</v>
      </c>
      <c r="C178" s="1772"/>
      <c r="D178" s="1773"/>
      <c r="E178" s="1774">
        <v>4.0000000000000001E-3</v>
      </c>
      <c r="F178" s="1775">
        <f>IF($E$184&gt;0,E178/$E$184,"")</f>
        <v>3.2282281584158385E-7</v>
      </c>
      <c r="G178" s="1776"/>
      <c r="H178" s="1777">
        <f>IF($G$184&gt;0,G178/$G$184,"")</f>
        <v>0</v>
      </c>
      <c r="I178" s="2611"/>
      <c r="J178" s="2612"/>
      <c r="K178" s="2613"/>
      <c r="L178" s="1778" t="str">
        <f t="shared" si="17"/>
        <v/>
      </c>
      <c r="M178" s="1514"/>
      <c r="N178" s="1514"/>
      <c r="O178" s="1514"/>
      <c r="P178" s="1514"/>
      <c r="Q178" s="1514"/>
      <c r="R178" s="1514"/>
      <c r="S178" s="1514"/>
      <c r="T178" s="1514"/>
      <c r="U178" s="1514"/>
      <c r="V178" s="1514"/>
      <c r="W178" s="1514"/>
      <c r="X178" s="1514"/>
      <c r="Y178" s="1514"/>
      <c r="Z178" s="1514"/>
      <c r="AA178" s="1514"/>
      <c r="AB178" s="1514"/>
      <c r="AC178" s="1514"/>
      <c r="AD178" s="1514"/>
    </row>
    <row r="179" spans="1:30" ht="15.75" customHeight="1" thickBot="1" x14ac:dyDescent="0.35">
      <c r="A179" s="1522"/>
      <c r="B179" s="1779" t="s">
        <v>156</v>
      </c>
      <c r="C179" s="1780"/>
      <c r="D179" s="1781"/>
      <c r="E179" s="1782"/>
      <c r="F179" s="1748"/>
      <c r="G179" s="1626"/>
      <c r="H179" s="1783"/>
      <c r="I179" s="2400"/>
      <c r="J179" s="2401"/>
      <c r="K179" s="2402"/>
      <c r="L179" s="1560" t="str">
        <f t="shared" si="17"/>
        <v/>
      </c>
      <c r="M179" s="1514"/>
      <c r="N179" s="1514"/>
      <c r="O179" s="1514"/>
      <c r="P179" s="1514"/>
      <c r="Q179" s="1514"/>
      <c r="R179" s="1514"/>
      <c r="S179" s="1514"/>
      <c r="T179" s="1514"/>
      <c r="U179" s="1514"/>
      <c r="V179" s="1514"/>
      <c r="W179" s="1514"/>
      <c r="X179" s="1514"/>
      <c r="Y179" s="1514"/>
      <c r="Z179" s="1514"/>
      <c r="AA179" s="1514"/>
      <c r="AB179" s="1514"/>
      <c r="AC179" s="1514"/>
      <c r="AD179" s="1514"/>
    </row>
    <row r="180" spans="1:30" ht="15.75" customHeight="1" thickBot="1" x14ac:dyDescent="0.35">
      <c r="A180" s="1522"/>
      <c r="B180" s="1784" t="s">
        <v>157</v>
      </c>
      <c r="C180" s="1785"/>
      <c r="D180" s="1786"/>
      <c r="E180" s="1787">
        <f>+E171+E173+E176</f>
        <v>10257.459076383655</v>
      </c>
      <c r="F180" s="1748">
        <f>IF(E184=0,"",+E180/E184)</f>
        <v>0.82783545560449578</v>
      </c>
      <c r="G180" s="1788">
        <f>IF(Performance!$L$2="y",E180,G171+G173+G176)</f>
        <v>321.35851091666262</v>
      </c>
      <c r="H180" s="1789">
        <f>IF(G184=0,"",+G180/G184)</f>
        <v>0.85270201061361917</v>
      </c>
      <c r="I180" s="2614"/>
      <c r="J180" s="2615"/>
      <c r="K180" s="2616"/>
      <c r="L180" s="1560" t="str">
        <f t="shared" si="17"/>
        <v/>
      </c>
      <c r="M180" s="1514"/>
      <c r="N180" s="1514"/>
      <c r="O180" s="1514"/>
      <c r="P180" s="1514"/>
      <c r="Q180" s="1514"/>
      <c r="R180" s="1514"/>
      <c r="S180" s="1514"/>
      <c r="T180" s="1514"/>
      <c r="U180" s="1514"/>
      <c r="V180" s="1514"/>
      <c r="W180" s="1514"/>
      <c r="X180" s="1514"/>
      <c r="Y180" s="1514"/>
      <c r="Z180" s="1514"/>
      <c r="AA180" s="1514"/>
      <c r="AB180" s="1514"/>
      <c r="AC180" s="1514"/>
      <c r="AD180" s="1514"/>
    </row>
    <row r="181" spans="1:30" ht="15.75" customHeight="1" thickBot="1" x14ac:dyDescent="0.35">
      <c r="A181" s="1522"/>
      <c r="B181" s="1790" t="s">
        <v>521</v>
      </c>
      <c r="C181" s="1791"/>
      <c r="D181" s="1792"/>
      <c r="E181" s="1793">
        <f>E173+E175</f>
        <v>8.1000000000000003E-2</v>
      </c>
      <c r="F181" s="1794">
        <f>IF($E$184&gt;0,E181/$E$184,"")</f>
        <v>6.5371620207920729E-6</v>
      </c>
      <c r="G181" s="1795">
        <f>IF(Performance!$L$2="y",E181,G173+G175)</f>
        <v>0</v>
      </c>
      <c r="H181" s="1796">
        <f>IF($G$184&gt;0,G181/$G$184,"")</f>
        <v>0</v>
      </c>
      <c r="I181" s="2400"/>
      <c r="J181" s="2401"/>
      <c r="K181" s="2402"/>
      <c r="L181" s="1560" t="str">
        <f t="shared" si="17"/>
        <v/>
      </c>
      <c r="M181" s="1514"/>
      <c r="N181" s="1514"/>
      <c r="O181" s="1514"/>
      <c r="P181" s="1514"/>
      <c r="Q181" s="1514"/>
      <c r="R181" s="1514"/>
      <c r="S181" s="1514"/>
      <c r="T181" s="1514"/>
      <c r="U181" s="1514"/>
      <c r="V181" s="1514"/>
      <c r="W181" s="1514"/>
      <c r="X181" s="1514"/>
      <c r="Y181" s="1514"/>
      <c r="Z181" s="1514"/>
      <c r="AA181" s="1514"/>
      <c r="AB181" s="1514"/>
      <c r="AC181" s="1514"/>
      <c r="AD181" s="1514"/>
    </row>
    <row r="182" spans="1:30" ht="15.75" customHeight="1" thickBot="1" x14ac:dyDescent="0.35">
      <c r="A182" s="1522"/>
      <c r="B182" s="1784" t="s">
        <v>522</v>
      </c>
      <c r="C182" s="1785"/>
      <c r="D182" s="1786"/>
      <c r="E182" s="1793">
        <f>SUM(E171:E178)-E172-E174</f>
        <v>12038.835745766539</v>
      </c>
      <c r="F182" s="1748">
        <f>IF($E$184&gt;0,E182/$E$184,"")</f>
        <v>0.97160271372566698</v>
      </c>
      <c r="G182" s="1795">
        <f>IF(Performance!$L$2="y",E182,SUM(G171:G178)-G172-G174)</f>
        <v>321.35851091666262</v>
      </c>
      <c r="H182" s="1783">
        <f>IF($G$184&gt;0,G182/$G$184,"")</f>
        <v>0.85270201061361917</v>
      </c>
      <c r="I182" s="2400"/>
      <c r="J182" s="2401"/>
      <c r="K182" s="2402"/>
      <c r="L182" s="1560" t="str">
        <f t="shared" si="17"/>
        <v/>
      </c>
      <c r="M182" s="1514"/>
      <c r="N182" s="1514"/>
      <c r="O182" s="1514"/>
      <c r="P182" s="1514"/>
      <c r="Q182" s="1514"/>
      <c r="R182" s="1514"/>
      <c r="S182" s="1514"/>
      <c r="T182" s="1514"/>
      <c r="U182" s="1514"/>
      <c r="V182" s="1514"/>
      <c r="W182" s="1514"/>
      <c r="X182" s="1514"/>
      <c r="Y182" s="1514"/>
      <c r="Z182" s="1514"/>
      <c r="AA182" s="1514"/>
      <c r="AB182" s="1514"/>
      <c r="AC182" s="1514"/>
      <c r="AD182" s="1514"/>
    </row>
    <row r="183" spans="1:30" ht="15.75" customHeight="1" thickBot="1" x14ac:dyDescent="0.35">
      <c r="A183" s="1522"/>
      <c r="B183" s="1790" t="s">
        <v>160</v>
      </c>
      <c r="C183" s="1791"/>
      <c r="D183" s="1792"/>
      <c r="E183" s="1758">
        <v>351.86219660840999</v>
      </c>
      <c r="F183" s="1748">
        <f>IF($E$184&gt;0,E183/$E$184,"")</f>
        <v>2.8397286274332977E-2</v>
      </c>
      <c r="G183" s="1570">
        <v>55.5123149013831</v>
      </c>
      <c r="H183" s="1783">
        <f>IF($G$184&gt;0,G183/$G$184,"")</f>
        <v>0.14729798938638089</v>
      </c>
      <c r="I183" s="2614"/>
      <c r="J183" s="2615"/>
      <c r="K183" s="2616"/>
      <c r="L183" s="1560" t="str">
        <f t="shared" si="17"/>
        <v/>
      </c>
      <c r="M183" s="1514"/>
      <c r="N183" s="1514"/>
      <c r="O183" s="1514"/>
      <c r="P183" s="1514"/>
      <c r="Q183" s="1514"/>
      <c r="R183" s="1514"/>
      <c r="S183" s="1514"/>
      <c r="T183" s="1514"/>
      <c r="U183" s="1514"/>
      <c r="V183" s="1514"/>
      <c r="W183" s="1514"/>
      <c r="X183" s="1514"/>
      <c r="Y183" s="1514"/>
      <c r="Z183" s="1514"/>
      <c r="AA183" s="1514"/>
      <c r="AB183" s="1514"/>
      <c r="AC183" s="1514"/>
      <c r="AD183" s="1514"/>
    </row>
    <row r="184" spans="1:30" ht="15.75" customHeight="1" thickBot="1" x14ac:dyDescent="0.35">
      <c r="A184" s="1522"/>
      <c r="B184" s="1797" t="s">
        <v>523</v>
      </c>
      <c r="C184" s="1798"/>
      <c r="D184" s="1799"/>
      <c r="E184" s="1793">
        <f>E183+E182</f>
        <v>12390.697942374949</v>
      </c>
      <c r="F184" s="1800"/>
      <c r="G184" s="1801">
        <f>IF(Performance!$L$2="y",E184,G183+G182)</f>
        <v>376.87082581804572</v>
      </c>
      <c r="H184" s="1802"/>
      <c r="I184" s="2400"/>
      <c r="J184" s="2401"/>
      <c r="K184" s="2402"/>
      <c r="L184" s="1560" t="str">
        <f t="shared" si="17"/>
        <v/>
      </c>
      <c r="M184" s="1514"/>
      <c r="N184" s="1514"/>
      <c r="O184" s="1514"/>
      <c r="P184" s="1514"/>
      <c r="Q184" s="1514"/>
      <c r="R184" s="1514"/>
      <c r="S184" s="1514"/>
      <c r="T184" s="1514"/>
      <c r="U184" s="1514"/>
      <c r="V184" s="1514"/>
      <c r="W184" s="1514"/>
      <c r="X184" s="1514"/>
      <c r="Y184" s="1514"/>
      <c r="Z184" s="1514"/>
      <c r="AA184" s="1514"/>
      <c r="AB184" s="1514"/>
      <c r="AC184" s="1514"/>
      <c r="AD184" s="1514"/>
    </row>
    <row r="185" spans="1:30" ht="17.25" customHeight="1" thickBot="1" x14ac:dyDescent="0.35">
      <c r="A185" s="1522"/>
      <c r="B185" s="1803" t="s">
        <v>162</v>
      </c>
      <c r="C185" s="1804"/>
      <c r="D185" s="1805"/>
      <c r="E185" s="1806"/>
      <c r="F185" s="1748">
        <f>IF($E$184&gt;0,E185/$E$184,"")</f>
        <v>0</v>
      </c>
      <c r="G185" s="1626"/>
      <c r="H185" s="1783">
        <f>IF($E$184&gt;0,G185/$E$184,"")</f>
        <v>0</v>
      </c>
      <c r="I185" s="2606"/>
      <c r="J185" s="2607"/>
      <c r="K185" s="2608"/>
      <c r="L185" s="1560" t="str">
        <f t="shared" si="17"/>
        <v/>
      </c>
      <c r="M185" s="1514"/>
      <c r="N185" s="1514"/>
      <c r="O185" s="1514"/>
      <c r="P185" s="1514"/>
      <c r="Q185" s="1514"/>
      <c r="R185" s="1514"/>
      <c r="S185" s="1514"/>
      <c r="T185" s="1514"/>
      <c r="U185" s="1514"/>
      <c r="V185" s="1514"/>
      <c r="W185" s="1514"/>
      <c r="X185" s="1514"/>
      <c r="Y185" s="1514"/>
      <c r="Z185" s="1514"/>
      <c r="AA185" s="1514"/>
      <c r="AB185" s="1514"/>
      <c r="AC185" s="1514"/>
      <c r="AD185" s="1514"/>
    </row>
    <row r="186" spans="1:30" ht="31.5" customHeight="1" x14ac:dyDescent="0.3">
      <c r="A186" s="1522"/>
      <c r="B186" s="1514"/>
      <c r="C186" s="2609" t="s">
        <v>163</v>
      </c>
      <c r="D186" s="2610"/>
      <c r="E186" s="2610"/>
      <c r="F186" s="2610"/>
      <c r="G186" s="2610"/>
      <c r="H186" s="2610"/>
      <c r="I186" s="2610"/>
      <c r="J186" s="2610"/>
      <c r="K186" s="1543"/>
      <c r="L186" s="1749"/>
      <c r="M186" s="1535"/>
      <c r="N186" s="1535"/>
      <c r="O186" s="1514"/>
      <c r="P186" s="1514"/>
      <c r="Q186" s="1514"/>
      <c r="R186" s="1514"/>
      <c r="S186" s="1514"/>
      <c r="T186" s="1514"/>
      <c r="U186" s="1514"/>
      <c r="V186" s="1514"/>
      <c r="W186" s="1514"/>
      <c r="X186" s="1514"/>
      <c r="Y186" s="1514"/>
      <c r="Z186" s="1514"/>
      <c r="AA186" s="1514"/>
      <c r="AB186" s="1514"/>
      <c r="AC186" s="1514"/>
      <c r="AD186" s="1514"/>
    </row>
    <row r="187" spans="1:30" ht="27.75" customHeight="1" x14ac:dyDescent="0.3">
      <c r="A187" s="1529">
        <v>5</v>
      </c>
      <c r="B187" s="1530" t="s">
        <v>164</v>
      </c>
      <c r="C187" s="1531"/>
      <c r="D187" s="2387" t="str">
        <f>+$A$1</f>
        <v>Quarter 3 - 2018-2019</v>
      </c>
      <c r="E187" s="2387"/>
      <c r="F187" s="2387"/>
      <c r="G187" s="2387"/>
      <c r="H187" s="2387"/>
      <c r="I187" s="2387"/>
      <c r="J187" s="2387"/>
      <c r="K187" s="1532"/>
      <c r="L187" s="1532"/>
      <c r="M187" s="1532"/>
      <c r="N187" s="1519"/>
      <c r="O187" s="1519"/>
      <c r="P187" s="1533"/>
      <c r="Q187" s="1533"/>
      <c r="R187" s="1519"/>
      <c r="S187" s="1519"/>
      <c r="T187" s="1519"/>
      <c r="U187" s="1519"/>
      <c r="V187" s="1519"/>
      <c r="W187" s="1519"/>
      <c r="X187" s="1519"/>
      <c r="Y187" s="1519"/>
      <c r="Z187" s="1519"/>
      <c r="AA187" s="1519"/>
      <c r="AB187" s="1519"/>
      <c r="AC187" s="1519"/>
      <c r="AD187" s="1519"/>
    </row>
    <row r="188" spans="1:30" ht="15.75" customHeight="1" thickBot="1" x14ac:dyDescent="0.35">
      <c r="A188" s="1522"/>
      <c r="B188" s="1534"/>
      <c r="C188" s="1514"/>
      <c r="D188" s="1551"/>
      <c r="E188" s="1551"/>
      <c r="F188" s="1551"/>
      <c r="G188" s="1551"/>
      <c r="H188" s="1551"/>
      <c r="I188" s="1551"/>
      <c r="J188" s="1551"/>
      <c r="K188" s="1551"/>
      <c r="L188" s="1514"/>
      <c r="M188" s="1514"/>
      <c r="N188" s="1514"/>
      <c r="O188" s="1514"/>
      <c r="P188" s="1514"/>
      <c r="Q188" s="1514"/>
      <c r="R188" s="1514"/>
      <c r="S188" s="1514"/>
      <c r="T188" s="1514"/>
      <c r="U188" s="1514"/>
      <c r="V188" s="1514"/>
      <c r="W188" s="1514"/>
      <c r="X188" s="1514"/>
      <c r="Y188" s="1514"/>
      <c r="Z188" s="1514"/>
      <c r="AA188" s="1514"/>
      <c r="AB188" s="1514"/>
      <c r="AC188" s="1514"/>
      <c r="AD188" s="1514"/>
    </row>
    <row r="189" spans="1:30" ht="15.75" customHeight="1" thickBot="1" x14ac:dyDescent="0.35">
      <c r="A189" s="1522"/>
      <c r="B189" s="2434" t="s">
        <v>23</v>
      </c>
      <c r="C189" s="2435"/>
      <c r="D189" s="2435"/>
      <c r="E189" s="2436"/>
      <c r="F189" s="2388" t="s">
        <v>24</v>
      </c>
      <c r="G189" s="2389"/>
      <c r="H189" s="2390"/>
      <c r="I189" s="2394" t="s">
        <v>461</v>
      </c>
      <c r="J189" s="2395"/>
      <c r="K189" s="1514"/>
      <c r="L189" s="1514"/>
      <c r="M189" s="1514"/>
      <c r="N189" s="1514"/>
      <c r="O189" s="1514"/>
      <c r="P189" s="1514"/>
      <c r="Q189" s="1514"/>
      <c r="R189" s="1514"/>
      <c r="S189" s="1514"/>
      <c r="T189" s="1514"/>
      <c r="U189" s="1514"/>
      <c r="V189" s="1514"/>
      <c r="W189" s="1514"/>
      <c r="X189" s="1514"/>
      <c r="Y189" s="1514"/>
      <c r="Z189" s="1514"/>
      <c r="AA189" s="1514"/>
      <c r="AB189" s="1514"/>
      <c r="AC189" s="1514"/>
      <c r="AD189" s="1514"/>
    </row>
    <row r="190" spans="1:30" ht="24.6" thickBot="1" x14ac:dyDescent="0.35">
      <c r="A190" s="1522"/>
      <c r="B190" s="1807" t="s">
        <v>165</v>
      </c>
      <c r="C190" s="1808" t="s">
        <v>166</v>
      </c>
      <c r="D190" s="1809" t="s">
        <v>167</v>
      </c>
      <c r="E190" s="1810" t="s">
        <v>168</v>
      </c>
      <c r="F190" s="2391"/>
      <c r="G190" s="2392"/>
      <c r="H190" s="2393"/>
      <c r="I190" s="2396"/>
      <c r="J190" s="2397"/>
      <c r="K190" s="1514"/>
      <c r="L190" s="1514"/>
      <c r="M190" s="1514"/>
      <c r="N190" s="1514"/>
      <c r="O190" s="1514"/>
      <c r="P190" s="1514"/>
      <c r="Q190" s="1514"/>
      <c r="R190" s="1514"/>
      <c r="S190" s="1514"/>
      <c r="T190" s="1514"/>
      <c r="U190" s="1514"/>
      <c r="V190" s="1514"/>
      <c r="W190" s="1514"/>
      <c r="X190" s="1514"/>
      <c r="Y190" s="1514"/>
      <c r="Z190" s="1514"/>
      <c r="AA190" s="1514"/>
      <c r="AB190" s="1514"/>
      <c r="AC190" s="1514"/>
      <c r="AD190" s="1514"/>
    </row>
    <row r="191" spans="1:30" ht="14.4" thickBot="1" x14ac:dyDescent="0.35">
      <c r="A191" s="1522"/>
      <c r="B191" s="1623">
        <v>250271</v>
      </c>
      <c r="C191" s="1623">
        <v>2069</v>
      </c>
      <c r="D191" s="1623">
        <v>458</v>
      </c>
      <c r="E191" s="1811">
        <f>B191+(C191*2)+(D191/2)</f>
        <v>254638</v>
      </c>
      <c r="F191" s="2400"/>
      <c r="G191" s="2401"/>
      <c r="H191" s="2402"/>
      <c r="I191" s="2403" t="str">
        <f>IF(OR(B191&lt;0,C191&lt;0,D191&lt;0),"Error - Negative number","")</f>
        <v/>
      </c>
      <c r="J191" s="2404"/>
      <c r="K191" s="1514"/>
      <c r="L191" s="1514"/>
      <c r="M191" s="1514"/>
      <c r="N191" s="1514"/>
      <c r="O191" s="1514"/>
      <c r="P191" s="1514"/>
      <c r="Q191" s="1514"/>
      <c r="R191" s="1514"/>
      <c r="S191" s="1514"/>
      <c r="T191" s="1514"/>
      <c r="U191" s="1514"/>
      <c r="V191" s="1514"/>
      <c r="W191" s="1514"/>
      <c r="X191" s="1514"/>
      <c r="Y191" s="1514"/>
      <c r="Z191" s="1514"/>
      <c r="AA191" s="1514"/>
      <c r="AB191" s="1514"/>
      <c r="AC191" s="1514"/>
      <c r="AD191" s="1514"/>
    </row>
    <row r="192" spans="1:30" x14ac:dyDescent="0.3">
      <c r="A192" s="1522"/>
      <c r="B192" s="1535"/>
      <c r="C192" s="1535"/>
      <c r="D192" s="1535"/>
      <c r="E192" s="1535"/>
      <c r="F192" s="1535"/>
      <c r="G192" s="1535"/>
      <c r="H192" s="1535"/>
      <c r="I192" s="1535"/>
      <c r="J192" s="1535"/>
      <c r="K192" s="1535"/>
      <c r="L192" s="1535"/>
      <c r="M192" s="1535"/>
      <c r="N192" s="1514"/>
      <c r="O192" s="1514"/>
      <c r="P192" s="1514"/>
      <c r="Q192" s="1514"/>
      <c r="R192" s="1514"/>
      <c r="S192" s="1514"/>
      <c r="T192" s="1514"/>
      <c r="U192" s="1514"/>
      <c r="V192" s="1514"/>
      <c r="W192" s="1514"/>
      <c r="X192" s="1514"/>
      <c r="Y192" s="1514"/>
      <c r="Z192" s="1514"/>
      <c r="AA192" s="1514"/>
      <c r="AB192" s="1514"/>
      <c r="AC192" s="1514"/>
      <c r="AD192" s="1514"/>
    </row>
    <row r="193" spans="1:30" ht="27.75" customHeight="1" x14ac:dyDescent="0.3">
      <c r="A193" s="1529">
        <v>6</v>
      </c>
      <c r="B193" s="1530" t="s">
        <v>169</v>
      </c>
      <c r="C193" s="1531"/>
      <c r="D193" s="2387" t="str">
        <f>+$A$1</f>
        <v>Quarter 3 - 2018-2019</v>
      </c>
      <c r="E193" s="2387"/>
      <c r="F193" s="2387"/>
      <c r="G193" s="2387"/>
      <c r="H193" s="2387"/>
      <c r="I193" s="2387"/>
      <c r="J193" s="2387"/>
      <c r="K193" s="1532"/>
      <c r="L193" s="1532"/>
      <c r="M193" s="1532"/>
      <c r="N193" s="1519"/>
      <c r="O193" s="1519"/>
      <c r="P193" s="1533"/>
      <c r="Q193" s="1533"/>
      <c r="R193" s="1519"/>
      <c r="S193" s="1519"/>
      <c r="T193" s="1519"/>
      <c r="U193" s="1519"/>
      <c r="V193" s="1519"/>
      <c r="W193" s="1519"/>
      <c r="X193" s="1519"/>
      <c r="Y193" s="1519"/>
      <c r="Z193" s="1519"/>
      <c r="AA193" s="1519"/>
      <c r="AB193" s="1519"/>
      <c r="AC193" s="1519"/>
      <c r="AD193" s="1519"/>
    </row>
    <row r="194" spans="1:30" ht="27.75" customHeight="1" x14ac:dyDescent="0.3">
      <c r="A194" s="1522"/>
      <c r="B194" s="1514"/>
      <c r="C194" s="1514"/>
      <c r="D194" s="1514"/>
      <c r="E194" s="1514"/>
      <c r="F194" s="1514"/>
      <c r="G194" s="1514"/>
      <c r="H194" s="1514"/>
      <c r="I194" s="1514"/>
      <c r="J194" s="1514"/>
      <c r="K194" s="1514"/>
      <c r="L194" s="1514"/>
      <c r="M194" s="1514"/>
      <c r="N194" s="1514"/>
      <c r="O194" s="1514"/>
      <c r="P194" s="1812"/>
      <c r="Q194" s="1812"/>
      <c r="R194" s="1514"/>
      <c r="S194" s="1514"/>
      <c r="T194" s="1514"/>
      <c r="U194" s="1514"/>
      <c r="V194" s="1514"/>
      <c r="W194" s="1514"/>
      <c r="X194" s="1514"/>
      <c r="Y194" s="1514"/>
      <c r="Z194" s="1514"/>
      <c r="AA194" s="1514"/>
      <c r="AB194" s="1514"/>
      <c r="AC194" s="1514"/>
      <c r="AD194" s="1514"/>
    </row>
    <row r="195" spans="1:30" ht="14.4" thickBot="1" x14ac:dyDescent="0.35">
      <c r="A195" s="1522"/>
      <c r="B195" s="1534"/>
      <c r="C195" s="1535"/>
      <c r="D195" s="1535"/>
      <c r="E195" s="1535"/>
      <c r="F195" s="1535"/>
      <c r="G195" s="1535"/>
      <c r="H195" s="1535"/>
      <c r="I195" s="1535"/>
      <c r="J195" s="1535"/>
      <c r="K195" s="1535"/>
      <c r="L195" s="1535"/>
      <c r="M195" s="1535"/>
      <c r="N195" s="1535"/>
      <c r="O195" s="1535"/>
      <c r="P195" s="1535"/>
      <c r="Q195" s="1535"/>
      <c r="R195" s="1535"/>
      <c r="S195" s="1535"/>
      <c r="T195" s="1535"/>
      <c r="U195" s="1535"/>
      <c r="V195" s="1535"/>
      <c r="W195" s="1535"/>
      <c r="X195" s="1535"/>
      <c r="Y195" s="1514"/>
      <c r="Z195" s="1514"/>
      <c r="AA195" s="1514"/>
      <c r="AB195" s="1514"/>
      <c r="AC195" s="1514"/>
      <c r="AD195" s="1514"/>
    </row>
    <row r="196" spans="1:30" ht="15.75" customHeight="1" thickBot="1" x14ac:dyDescent="0.35">
      <c r="A196" s="1522"/>
      <c r="B196" s="2434" t="s">
        <v>23</v>
      </c>
      <c r="C196" s="2435"/>
      <c r="D196" s="2436"/>
      <c r="E196" s="2434" t="s">
        <v>24</v>
      </c>
      <c r="F196" s="2435"/>
      <c r="G196" s="2436"/>
      <c r="H196" s="2423" t="s">
        <v>461</v>
      </c>
      <c r="I196" s="2621"/>
      <c r="J196" s="2424"/>
      <c r="K196" s="1535"/>
      <c r="L196" s="1535"/>
      <c r="M196" s="1535"/>
      <c r="N196" s="1535"/>
      <c r="O196" s="1535"/>
      <c r="P196" s="1535"/>
      <c r="Q196" s="1535"/>
      <c r="R196" s="1535"/>
      <c r="S196" s="1535"/>
      <c r="T196" s="1535"/>
      <c r="U196" s="1535"/>
      <c r="V196" s="1535"/>
      <c r="W196" s="1535"/>
      <c r="X196" s="1535"/>
      <c r="Y196" s="1514"/>
      <c r="Z196" s="1514"/>
      <c r="AA196" s="1514"/>
      <c r="AB196" s="1514"/>
      <c r="AC196" s="1514"/>
      <c r="AD196" s="1514"/>
    </row>
    <row r="197" spans="1:30" ht="13.5" customHeight="1" thickBot="1" x14ac:dyDescent="0.35">
      <c r="A197" s="1522"/>
      <c r="B197" s="2580" t="s">
        <v>170</v>
      </c>
      <c r="C197" s="2581"/>
      <c r="D197" s="1623">
        <v>1075</v>
      </c>
      <c r="E197" s="2428"/>
      <c r="F197" s="2429"/>
      <c r="G197" s="2430"/>
      <c r="H197" s="2403" t="str">
        <f>IF(D197&lt;0,"Error - Negative number","")</f>
        <v/>
      </c>
      <c r="I197" s="2617"/>
      <c r="J197" s="2404"/>
      <c r="K197" s="1535"/>
      <c r="L197" s="1535"/>
      <c r="M197" s="1535"/>
      <c r="N197" s="1535"/>
      <c r="O197" s="1535"/>
      <c r="P197" s="1535"/>
      <c r="Q197" s="1535"/>
      <c r="R197" s="1535"/>
      <c r="S197" s="1535"/>
      <c r="T197" s="1535"/>
      <c r="U197" s="1535"/>
      <c r="V197" s="1535"/>
      <c r="W197" s="1535"/>
      <c r="X197" s="1535"/>
      <c r="Y197" s="1514"/>
      <c r="Z197" s="1514"/>
      <c r="AA197" s="1514"/>
      <c r="AB197" s="1514"/>
      <c r="AC197" s="1514"/>
      <c r="AD197" s="1514"/>
    </row>
    <row r="198" spans="1:30" ht="13.5" customHeight="1" thickBot="1" x14ac:dyDescent="0.35">
      <c r="A198" s="1522"/>
      <c r="B198" s="2580" t="s">
        <v>468</v>
      </c>
      <c r="C198" s="2581"/>
      <c r="D198" s="1811">
        <f>IF(D197=0,"",+D109/D197)</f>
        <v>434.31989490597675</v>
      </c>
      <c r="E198" s="2400"/>
      <c r="F198" s="2401"/>
      <c r="G198" s="2402"/>
      <c r="H198" s="2618" t="str">
        <f>IF(AND(D198&lt;'QA config'!D3,D198&lt;&gt;""),CONCATENATE("Average distance less than ",'QA config'!D3," km"),IF(AND(D198&gt;'QA config'!C3,D198&lt;&gt;""),CONCATENATE("Average distance more than ",'QA config'!C3," km"),""))</f>
        <v/>
      </c>
      <c r="I198" s="2619"/>
      <c r="J198" s="2620"/>
      <c r="K198" s="1535"/>
      <c r="L198" s="1535"/>
      <c r="M198" s="1535"/>
      <c r="N198" s="1535"/>
      <c r="O198" s="1535"/>
      <c r="P198" s="1535"/>
      <c r="Q198" s="1535"/>
      <c r="R198" s="1535"/>
      <c r="S198" s="1535"/>
      <c r="T198" s="1535"/>
      <c r="U198" s="1535"/>
      <c r="V198" s="1535"/>
      <c r="W198" s="1535"/>
      <c r="X198" s="1535"/>
      <c r="Y198" s="1514"/>
      <c r="Z198" s="1514"/>
      <c r="AA198" s="1514"/>
      <c r="AB198" s="1514"/>
      <c r="AC198" s="1514"/>
      <c r="AD198" s="1514"/>
    </row>
    <row r="199" spans="1:30" x14ac:dyDescent="0.3">
      <c r="A199" s="1522"/>
      <c r="B199" s="1535"/>
      <c r="C199" s="1535"/>
      <c r="D199" s="1535"/>
      <c r="E199" s="1535"/>
      <c r="F199" s="1535"/>
      <c r="G199" s="1535"/>
      <c r="H199" s="1535"/>
      <c r="I199" s="1535"/>
      <c r="J199" s="1543"/>
      <c r="K199" s="1544"/>
      <c r="L199" s="1535"/>
      <c r="M199" s="1535"/>
      <c r="N199" s="1514"/>
      <c r="O199" s="1514"/>
      <c r="P199" s="1514"/>
      <c r="Q199" s="1514"/>
      <c r="R199" s="1514"/>
      <c r="S199" s="1514"/>
      <c r="T199" s="1514"/>
      <c r="U199" s="1514"/>
      <c r="V199" s="1514"/>
      <c r="W199" s="1514"/>
      <c r="X199" s="1514"/>
      <c r="Y199" s="1514"/>
      <c r="Z199" s="1514"/>
      <c r="AA199" s="1514"/>
      <c r="AB199" s="1514"/>
      <c r="AC199" s="1514"/>
      <c r="AD199" s="1514"/>
    </row>
    <row r="200" spans="1:30" ht="27.75" customHeight="1" x14ac:dyDescent="0.3">
      <c r="A200" s="1517"/>
      <c r="J200" s="1517"/>
      <c r="K200" s="1517"/>
    </row>
    <row r="201" spans="1:30" x14ac:dyDescent="0.3">
      <c r="A201" s="1517"/>
      <c r="J201" s="1517"/>
      <c r="K201" s="1517"/>
    </row>
    <row r="202" spans="1:30" ht="15.75" customHeight="1" x14ac:dyDescent="0.3">
      <c r="A202" s="1517"/>
      <c r="J202" s="1517"/>
      <c r="K202" s="1517"/>
    </row>
    <row r="203" spans="1:30" ht="13.5" customHeight="1" x14ac:dyDescent="0.3">
      <c r="A203" s="1517"/>
      <c r="J203" s="1517"/>
      <c r="K203" s="1517"/>
    </row>
    <row r="204" spans="1:30" ht="13.5" customHeight="1" x14ac:dyDescent="0.3">
      <c r="A204" s="1517"/>
      <c r="J204" s="1517"/>
      <c r="K204" s="1517"/>
    </row>
    <row r="205" spans="1:30" x14ac:dyDescent="0.3">
      <c r="A205" s="1517"/>
      <c r="J205" s="1517"/>
      <c r="K205" s="1517"/>
    </row>
    <row r="206" spans="1:30" x14ac:dyDescent="0.3">
      <c r="A206" s="1517"/>
      <c r="J206" s="1517"/>
      <c r="K206" s="1517"/>
    </row>
    <row r="207" spans="1:30" x14ac:dyDescent="0.3">
      <c r="AA207" s="1514"/>
      <c r="AB207" s="1514"/>
      <c r="AC207" s="1514"/>
      <c r="AD207" s="1514"/>
    </row>
    <row r="208" spans="1:30" x14ac:dyDescent="0.3">
      <c r="AA208" s="1514"/>
      <c r="AB208" s="1514"/>
      <c r="AC208" s="1514"/>
      <c r="AD208" s="1514"/>
    </row>
  </sheetData>
  <sheetProtection algorithmName="SHA-512" hashValue="aVsggubZooXCSJNozNRKVwo0Pe2cuKb3MmflnMXWLFIJfzqjzTB75e4mXLdFZV6D9aGvaqHuw8PnIi27f4kYmw==" saltValue="rJT04H0VPy4Tce4nO//KdQ==" spinCount="100000" sheet="1" objects="1" scenarios="1"/>
  <mergeCells count="261">
    <mergeCell ref="B197:C197"/>
    <mergeCell ref="E197:G197"/>
    <mergeCell ref="H197:J197"/>
    <mergeCell ref="B198:C198"/>
    <mergeCell ref="E198:G198"/>
    <mergeCell ref="H198:J198"/>
    <mergeCell ref="F191:H191"/>
    <mergeCell ref="I191:J191"/>
    <mergeCell ref="D193:J193"/>
    <mergeCell ref="B196:D196"/>
    <mergeCell ref="E196:G196"/>
    <mergeCell ref="H196:J196"/>
    <mergeCell ref="I184:K184"/>
    <mergeCell ref="I185:K185"/>
    <mergeCell ref="C186:J186"/>
    <mergeCell ref="D187:J187"/>
    <mergeCell ref="B189:E189"/>
    <mergeCell ref="F189:H190"/>
    <mergeCell ref="I189:J190"/>
    <mergeCell ref="I178:K178"/>
    <mergeCell ref="I179:K179"/>
    <mergeCell ref="I180:K180"/>
    <mergeCell ref="I181:K181"/>
    <mergeCell ref="I182:K182"/>
    <mergeCell ref="I183:K183"/>
    <mergeCell ref="I172:K172"/>
    <mergeCell ref="I173:K173"/>
    <mergeCell ref="I174:K174"/>
    <mergeCell ref="I175:K175"/>
    <mergeCell ref="I176:K176"/>
    <mergeCell ref="I177:K177"/>
    <mergeCell ref="D167:J167"/>
    <mergeCell ref="E169:F169"/>
    <mergeCell ref="G169:H169"/>
    <mergeCell ref="I169:K170"/>
    <mergeCell ref="L169:L170"/>
    <mergeCell ref="I171:K171"/>
    <mergeCell ref="D157:J157"/>
    <mergeCell ref="E162:H162"/>
    <mergeCell ref="I162:K163"/>
    <mergeCell ref="L162:L163"/>
    <mergeCell ref="B164:C164"/>
    <mergeCell ref="I164:K164"/>
    <mergeCell ref="B154:C154"/>
    <mergeCell ref="E154:F154"/>
    <mergeCell ref="G154:I154"/>
    <mergeCell ref="B155:C155"/>
    <mergeCell ref="D155:F155"/>
    <mergeCell ref="G155:I155"/>
    <mergeCell ref="D146:E146"/>
    <mergeCell ref="B147:L147"/>
    <mergeCell ref="D149:J149"/>
    <mergeCell ref="D152:F152"/>
    <mergeCell ref="G152:I152"/>
    <mergeCell ref="B153:C153"/>
    <mergeCell ref="D153:F153"/>
    <mergeCell ref="G153:I153"/>
    <mergeCell ref="D143:E143"/>
    <mergeCell ref="I143:K143"/>
    <mergeCell ref="D144:E144"/>
    <mergeCell ref="I144:K144"/>
    <mergeCell ref="D145:E145"/>
    <mergeCell ref="I145:K145"/>
    <mergeCell ref="I135:K135"/>
    <mergeCell ref="I136:K136"/>
    <mergeCell ref="D138:J138"/>
    <mergeCell ref="I140:K141"/>
    <mergeCell ref="D142:E142"/>
    <mergeCell ref="I142:K142"/>
    <mergeCell ref="I129:K129"/>
    <mergeCell ref="I130:K130"/>
    <mergeCell ref="I131:K131"/>
    <mergeCell ref="I132:K132"/>
    <mergeCell ref="I133:K133"/>
    <mergeCell ref="I134:K134"/>
    <mergeCell ref="I122:K122"/>
    <mergeCell ref="D125:F125"/>
    <mergeCell ref="I125:K127"/>
    <mergeCell ref="M125:M126"/>
    <mergeCell ref="I128:K128"/>
    <mergeCell ref="I115:K115"/>
    <mergeCell ref="I116:K116"/>
    <mergeCell ref="I117:K117"/>
    <mergeCell ref="I118:K118"/>
    <mergeCell ref="I119:K119"/>
    <mergeCell ref="I120:K120"/>
    <mergeCell ref="I107:K107"/>
    <mergeCell ref="B108:C108"/>
    <mergeCell ref="I108:K108"/>
    <mergeCell ref="B109:B121"/>
    <mergeCell ref="I109:K109"/>
    <mergeCell ref="I110:K110"/>
    <mergeCell ref="I111:K111"/>
    <mergeCell ref="I112:K112"/>
    <mergeCell ref="I113:K113"/>
    <mergeCell ref="I114:K114"/>
    <mergeCell ref="I121:K121"/>
    <mergeCell ref="I101:K101"/>
    <mergeCell ref="I102:K102"/>
    <mergeCell ref="I103:K103"/>
    <mergeCell ref="I104:K104"/>
    <mergeCell ref="I105:K105"/>
    <mergeCell ref="I106:K106"/>
    <mergeCell ref="I96:K96"/>
    <mergeCell ref="U96:W96"/>
    <mergeCell ref="I97:K97"/>
    <mergeCell ref="O97:W100"/>
    <mergeCell ref="I98:K98"/>
    <mergeCell ref="I99:K99"/>
    <mergeCell ref="I100:K100"/>
    <mergeCell ref="I94:K94"/>
    <mergeCell ref="U94:W94"/>
    <mergeCell ref="I95:K95"/>
    <mergeCell ref="U95:W95"/>
    <mergeCell ref="I90:K90"/>
    <mergeCell ref="U90:W90"/>
    <mergeCell ref="I91:K91"/>
    <mergeCell ref="U91:W91"/>
    <mergeCell ref="I92:K92"/>
    <mergeCell ref="U92:W92"/>
    <mergeCell ref="Z86:Z89"/>
    <mergeCell ref="B87:B107"/>
    <mergeCell ref="I87:K87"/>
    <mergeCell ref="Q87:Q89"/>
    <mergeCell ref="R87:R89"/>
    <mergeCell ref="S87:S89"/>
    <mergeCell ref="I80:K80"/>
    <mergeCell ref="I81:K81"/>
    <mergeCell ref="I82:K82"/>
    <mergeCell ref="I83:K83"/>
    <mergeCell ref="I84:K84"/>
    <mergeCell ref="I85:K85"/>
    <mergeCell ref="T87:T88"/>
    <mergeCell ref="U87:W89"/>
    <mergeCell ref="X87:X89"/>
    <mergeCell ref="Y87:Y88"/>
    <mergeCell ref="I88:K88"/>
    <mergeCell ref="I89:K89"/>
    <mergeCell ref="B86:C86"/>
    <mergeCell ref="I86:K86"/>
    <mergeCell ref="O86:W86"/>
    <mergeCell ref="X86:Y86"/>
    <mergeCell ref="I93:K93"/>
    <mergeCell ref="U93:W93"/>
    <mergeCell ref="I76:K76"/>
    <mergeCell ref="I77:K77"/>
    <mergeCell ref="I78:K78"/>
    <mergeCell ref="I79:K79"/>
    <mergeCell ref="I72:K72"/>
    <mergeCell ref="U72:W72"/>
    <mergeCell ref="I73:K73"/>
    <mergeCell ref="U73:W73"/>
    <mergeCell ref="I74:K74"/>
    <mergeCell ref="U74:W74"/>
    <mergeCell ref="O64:W64"/>
    <mergeCell ref="X64:Y64"/>
    <mergeCell ref="Z64:Z67"/>
    <mergeCell ref="B65:B85"/>
    <mergeCell ref="I65:K65"/>
    <mergeCell ref="Q65:Q67"/>
    <mergeCell ref="R65:R67"/>
    <mergeCell ref="S65:S67"/>
    <mergeCell ref="T65:T66"/>
    <mergeCell ref="U65:W67"/>
    <mergeCell ref="I69:K69"/>
    <mergeCell ref="U69:W69"/>
    <mergeCell ref="I70:K70"/>
    <mergeCell ref="U70:W70"/>
    <mergeCell ref="I71:K71"/>
    <mergeCell ref="U71:W71"/>
    <mergeCell ref="X65:X67"/>
    <mergeCell ref="Y65:Y66"/>
    <mergeCell ref="I66:K66"/>
    <mergeCell ref="I67:K67"/>
    <mergeCell ref="I68:K68"/>
    <mergeCell ref="U68:W68"/>
    <mergeCell ref="I75:K75"/>
    <mergeCell ref="O75:W78"/>
    <mergeCell ref="J35:K35"/>
    <mergeCell ref="D55:J55"/>
    <mergeCell ref="B62:C63"/>
    <mergeCell ref="D62:F62"/>
    <mergeCell ref="I62:K63"/>
    <mergeCell ref="L62:L63"/>
    <mergeCell ref="B64:C64"/>
    <mergeCell ref="I64:K64"/>
    <mergeCell ref="D49:J49"/>
    <mergeCell ref="D51:F51"/>
    <mergeCell ref="G51:H51"/>
    <mergeCell ref="I51:K52"/>
    <mergeCell ref="L51:L52"/>
    <mergeCell ref="B53:C53"/>
    <mergeCell ref="I53:K53"/>
    <mergeCell ref="I30:K30"/>
    <mergeCell ref="I27:K27"/>
    <mergeCell ref="O27:O28"/>
    <mergeCell ref="P27:P28"/>
    <mergeCell ref="Q27:Q28"/>
    <mergeCell ref="R27:R28"/>
    <mergeCell ref="U27:U28"/>
    <mergeCell ref="B36:B47"/>
    <mergeCell ref="I36:K36"/>
    <mergeCell ref="I37:K37"/>
    <mergeCell ref="I38:K38"/>
    <mergeCell ref="I39:K39"/>
    <mergeCell ref="I40:K40"/>
    <mergeCell ref="I41:K41"/>
    <mergeCell ref="I31:K31"/>
    <mergeCell ref="O31:P31"/>
    <mergeCell ref="I42:K42"/>
    <mergeCell ref="I43:K43"/>
    <mergeCell ref="I44:K44"/>
    <mergeCell ref="I45:K45"/>
    <mergeCell ref="I46:K46"/>
    <mergeCell ref="I47:K47"/>
    <mergeCell ref="J33:K33"/>
    <mergeCell ref="J34:K34"/>
    <mergeCell ref="B19:C19"/>
    <mergeCell ref="B20:B35"/>
    <mergeCell ref="I20:K20"/>
    <mergeCell ref="I21:K21"/>
    <mergeCell ref="I22:K22"/>
    <mergeCell ref="I23:K23"/>
    <mergeCell ref="I24:K24"/>
    <mergeCell ref="O24:R24"/>
    <mergeCell ref="U24:X24"/>
    <mergeCell ref="I25:K25"/>
    <mergeCell ref="I26:K26"/>
    <mergeCell ref="O26:P26"/>
    <mergeCell ref="Q26:R26"/>
    <mergeCell ref="U26:V26"/>
    <mergeCell ref="W26:X26"/>
    <mergeCell ref="Q31:R31"/>
    <mergeCell ref="U31:V31"/>
    <mergeCell ref="W31:X31"/>
    <mergeCell ref="I32:K32"/>
    <mergeCell ref="V27:V28"/>
    <mergeCell ref="W27:W28"/>
    <mergeCell ref="X27:X28"/>
    <mergeCell ref="I28:K28"/>
    <mergeCell ref="I29:K29"/>
    <mergeCell ref="U16:X16"/>
    <mergeCell ref="D17:F17"/>
    <mergeCell ref="G17:H17"/>
    <mergeCell ref="I17:K19"/>
    <mergeCell ref="L17:L18"/>
    <mergeCell ref="O17:R17"/>
    <mergeCell ref="U17:X17"/>
    <mergeCell ref="O18:P18"/>
    <mergeCell ref="Q18:R18"/>
    <mergeCell ref="U18:V18"/>
    <mergeCell ref="W18:X18"/>
    <mergeCell ref="D6:J6"/>
    <mergeCell ref="F8:H9"/>
    <mergeCell ref="I8:J9"/>
    <mergeCell ref="B10:C10"/>
    <mergeCell ref="F10:H10"/>
    <mergeCell ref="I10:J10"/>
    <mergeCell ref="D13:J13"/>
    <mergeCell ref="D14:J14"/>
    <mergeCell ref="O16:R16"/>
  </mergeCells>
  <conditionalFormatting sqref="H17697">
    <cfRule type="expression" dxfId="33" priority="17">
      <formula>$H$197&lt;&gt;""</formula>
    </cfRule>
  </conditionalFormatting>
  <conditionalFormatting sqref="H198 L64:L121">
    <cfRule type="expression" dxfId="32" priority="16">
      <formula>H64&lt;&gt;""</formula>
    </cfRule>
  </conditionalFormatting>
  <conditionalFormatting sqref="H197">
    <cfRule type="expression" dxfId="31" priority="15">
      <formula>H197&lt;&gt;""</formula>
    </cfRule>
  </conditionalFormatting>
  <conditionalFormatting sqref="L171:L185">
    <cfRule type="expression" dxfId="30" priority="14">
      <formula>L171&lt;&gt;""</formula>
    </cfRule>
  </conditionalFormatting>
  <conditionalFormatting sqref="L19:L47">
    <cfRule type="expression" dxfId="29" priority="13">
      <formula>L19&lt;&gt;""</formula>
    </cfRule>
  </conditionalFormatting>
  <conditionalFormatting sqref="L164">
    <cfRule type="expression" dxfId="28" priority="12">
      <formula>L164&lt;&gt;""</formula>
    </cfRule>
  </conditionalFormatting>
  <conditionalFormatting sqref="I191">
    <cfRule type="expression" dxfId="27" priority="10">
      <formula>I191&lt;&gt;""</formula>
    </cfRule>
  </conditionalFormatting>
  <conditionalFormatting sqref="M127:M136">
    <cfRule type="expression" dxfId="26" priority="11">
      <formula>M127&lt;&gt;""</formula>
    </cfRule>
  </conditionalFormatting>
  <conditionalFormatting sqref="I10">
    <cfRule type="expression" dxfId="25" priority="9">
      <formula>I10&lt;&gt;""</formula>
    </cfRule>
  </conditionalFormatting>
  <conditionalFormatting sqref="Z68:Z72">
    <cfRule type="expression" dxfId="24" priority="8">
      <formula>Z68&lt;&gt;""</formula>
    </cfRule>
  </conditionalFormatting>
  <conditionalFormatting sqref="L53">
    <cfRule type="expression" dxfId="23" priority="7">
      <formula>L53&lt;&gt;""</formula>
    </cfRule>
  </conditionalFormatting>
  <conditionalFormatting sqref="Z95">
    <cfRule type="expression" dxfId="22" priority="2">
      <formula>Z95&lt;&gt;""</formula>
    </cfRule>
  </conditionalFormatting>
  <conditionalFormatting sqref="Z74">
    <cfRule type="expression" dxfId="21" priority="6">
      <formula>Z74&lt;&gt;""</formula>
    </cfRule>
  </conditionalFormatting>
  <conditionalFormatting sqref="Z73">
    <cfRule type="expression" dxfId="20" priority="5">
      <formula>Z73&lt;&gt;""</formula>
    </cfRule>
  </conditionalFormatting>
  <conditionalFormatting sqref="Z90:Z94">
    <cfRule type="expression" dxfId="19" priority="4">
      <formula>Z90&lt;&gt;""</formula>
    </cfRule>
  </conditionalFormatting>
  <conditionalFormatting sqref="Z96">
    <cfRule type="expression" dxfId="18" priority="3">
      <formula>Z96&lt;&gt;""</formula>
    </cfRule>
  </conditionalFormatting>
  <conditionalFormatting sqref="L122">
    <cfRule type="expression" dxfId="17" priority="1">
      <formula>L122&lt;&gt;""</formula>
    </cfRule>
  </conditionalFormatting>
  <dataValidations count="6">
    <dataValidation allowBlank="1" sqref="G50:G52 H50 D108:E108 G17:G19 N189:V189 I189 K190:V194 J50 E184 I50:I51 E50:F50 I17 E18:E19 R19 I139:I140 F191:F192 D187:J187 B169:E170 B186:E186 G188:J188 I142:I146 J139 C9:E9 F170:F186 W18 O13:R14 P15:R15 P20:R23 E138:J138 B86:B87 D123:D127 E49:J49 D86:E86 E139:H139 G184 G169:G170 G181:G182 B187:B190 C190:D190 K48:K50 J48 H170 G48 D49:D52 D54:D64 I53:I54 J54 H52:H54 K186:V188 G186:J186 C187:C188 D188:E188 F10 C192:D195 E190:E192 G192:J192 G194:J194 E193:J193 B171:B185 D137 E13:K16 H171:I185 E181:E182 X122:Y122 J124:K124 A147:K148 I62 E55:J60 K54:K60 E61:K61 Q68:Q73 B123:C137 C64:C122 I169 H164:I164 U19:X59 B108:B109 B64:B65 P25:R59 E54:G54 E52:F53 D42:E48 S68:S73 O65:U65 T67:T74 X65:Y65 X64 U69:U74 H18:H48 C20:C61 F18:F48 L19:L51 Y89:Y121 J123:XFD123 F140:G146 E194:F195 L53:L62 B122 I128:I137 K137:K139 G137:H137 J137 F188:F189 G195 E196:E198 M127:M155 M169:V185 L169 G152:G155 E149:J149 K149:K155 E150:I151 J150:J155 B156:XFD156 E140:E141 I191 K195:K198 E126:F137 I195:J195 A166:XFD168 L164:L165 F157:K161 C163:D163 B157:E162 B163:B164 B165:K165 I162 G163:H163 E163:F164 M157:XFD165 L157:L162 I199:L199 D154:D155 G123:H124 L124:L155 N124:XFD155 M124:M125 L171:L185 D199:G199 C197:C199 H195:H199 I8 I10 K8:K10 H140:H145 B8:F8 E63:E85 E87:E107 M195:V199 L195 Z64 B1:AD7 N8:AD10 W169:XFD199 C11:AD12 AE200:XFD206 B192:B199 A169:A199 A207:XFD1048576 B138:D146 A156:A165 P19 Q18:Q19 O68:O75 X68:X86 I20:I32 I36:I48 A149:C155 D149:D152 O79:W85 S90:S95 Q90:Q95 U90:U95 O87:U87 T89:T96 X87:Y87 U96:W96 O86 R74:S74 X90:X121 O64 O15:O59 Y67:Y85 Z68:Z86 O90:O97 R96:S96 B36:B62 I64:I125 E109:E124 O101:W122 Z90:Z122 L64:L122 F63:F124 A1:A146 AA13:AD122 M13:N122 AE1:XFD122 D13:D19 B9:B20 Y13:Z59 S13:T59 L13:L17 V13:X15 U13:U18 C13:C18"/>
    <dataValidation allowBlank="1" showInputMessage="1" sqref="L196:L198"/>
    <dataValidation type="decimal" operator="greaterThan" allowBlank="1" showInputMessage="1" showErrorMessage="1" error="Must be a positive number" sqref="D10:E10">
      <formula1>0</formula1>
    </dataValidation>
    <dataValidation type="list" allowBlank="1" showInputMessage="1" showErrorMessage="1" errorTitle="Invalid data" error="Please enter &quot;Scope 1&quot;, &quot;Scope 2&quot; or &quot;Scope 3&quot;." promptTitle="Reporting scope" prompt="Please enter the reporting scope of the data in this row." sqref="I33:I35">
      <formula1>"Scope 1,Scope 2,Scope 3"</formula1>
    </dataValidation>
    <dataValidation type="list" allowBlank="1" showErrorMessage="1" errorTitle="Invalid input" error="Please enter &quot;yes&quot; or &quot;no&quot;." sqref="D153:F153">
      <formula1>"yes,no"</formula1>
    </dataValidation>
    <dataValidation type="decimal" operator="greaterThan" allowBlank="1" showInputMessage="1" showErrorMessage="1" errorTitle="Invalid input" error="Must be a positive number" sqref="E154:F154">
      <formula1>0</formula1>
    </dataValidation>
  </dataValidations>
  <hyperlinks>
    <hyperlink ref="C42:C47" location="CHP!A1" display="CHP1 Electricity"/>
    <hyperlink ref="B60" location="'conversion factors'!A1" display="If you need to convert from miles to km, go to the Conversions tab or click here"/>
    <hyperlink ref="C42" location="CHP!T4" display="CHP1 Electricity"/>
    <hyperlink ref="C43" location="CHP!T4" display="CHP1 Heat"/>
    <hyperlink ref="C44" location="CHP!T31" display="CHP2 Electricity"/>
    <hyperlink ref="C45" location="CHP!T31" display="CHP2 Heat"/>
    <hyperlink ref="C46" location="CHP!T58" display="CHP3 Electricity"/>
    <hyperlink ref="C47" location="CHP!T58" display="CHP3 Heat"/>
  </hyperlinks>
  <pageMargins left="0.7" right="0.7" top="0.75" bottom="0.75" header="0.3" footer="0.3"/>
  <pageSetup paperSize="9"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151ED"/>
  </sheetPr>
  <dimension ref="A1:AD208"/>
  <sheetViews>
    <sheetView topLeftCell="B64" zoomScaleNormal="100" workbookViewId="0">
      <selection activeCell="I85" sqref="I85:K85"/>
    </sheetView>
  </sheetViews>
  <sheetFormatPr defaultColWidth="9.109375" defaultRowHeight="13.8" x14ac:dyDescent="0.3"/>
  <cols>
    <col min="1" max="1" width="10.33203125" style="1813" customWidth="1"/>
    <col min="2" max="2" width="12.6640625" style="1517" customWidth="1"/>
    <col min="3" max="3" width="44.109375" style="1517" bestFit="1" customWidth="1"/>
    <col min="4" max="4" width="16.33203125" style="1517" customWidth="1"/>
    <col min="5" max="8" width="14" style="1517" customWidth="1"/>
    <col min="9" max="9" width="13.109375" style="1517" customWidth="1"/>
    <col min="10" max="10" width="12.33203125" style="1814" customWidth="1"/>
    <col min="11" max="11" width="14.33203125" style="1815" customWidth="1"/>
    <col min="12" max="12" width="29.77734375" style="1517" customWidth="1"/>
    <col min="13" max="13" width="25.77734375" style="1517" customWidth="1"/>
    <col min="14" max="14" width="11.77734375" style="1517" customWidth="1"/>
    <col min="15" max="15" width="11" style="1517" customWidth="1"/>
    <col min="16" max="16" width="19.109375" style="1517" customWidth="1"/>
    <col min="17" max="17" width="11" style="1517" customWidth="1"/>
    <col min="18" max="18" width="14" style="1517" customWidth="1"/>
    <col min="19" max="20" width="9.109375" style="1517"/>
    <col min="21" max="21" width="9.109375" style="1517" customWidth="1"/>
    <col min="22" max="22" width="15.77734375" style="1517" customWidth="1"/>
    <col min="23" max="23" width="9.109375" style="1517" customWidth="1"/>
    <col min="24" max="24" width="13.77734375" style="1517" customWidth="1"/>
    <col min="25" max="25" width="9.109375" style="1517"/>
    <col min="26" max="26" width="22.77734375" style="1517" customWidth="1"/>
    <col min="27" max="16384" width="9.109375" style="1517"/>
  </cols>
  <sheetData>
    <row r="1" spans="1:30" ht="23.4" x14ac:dyDescent="0.45">
      <c r="A1" s="1512" t="s">
        <v>532</v>
      </c>
      <c r="B1" s="1513"/>
      <c r="C1" s="1514"/>
      <c r="D1" s="1514"/>
      <c r="E1" s="1514"/>
      <c r="F1" s="1514"/>
      <c r="G1" s="1514"/>
      <c r="H1" s="1514"/>
      <c r="I1" s="1514"/>
      <c r="J1" s="1515"/>
      <c r="K1" s="1516"/>
      <c r="L1" s="1514"/>
      <c r="M1" s="1514"/>
      <c r="N1" s="1514"/>
      <c r="O1" s="1514"/>
      <c r="P1" s="1514"/>
      <c r="Q1" s="1514"/>
      <c r="R1" s="1514"/>
      <c r="S1" s="1514"/>
      <c r="T1" s="1514"/>
      <c r="U1" s="1514"/>
      <c r="V1" s="1514"/>
      <c r="W1" s="1514"/>
      <c r="X1" s="1514"/>
      <c r="Y1" s="1514"/>
      <c r="Z1" s="1514"/>
      <c r="AA1" s="1514"/>
      <c r="AB1" s="1514"/>
      <c r="AC1" s="1514"/>
      <c r="AD1" s="1514"/>
    </row>
    <row r="2" spans="1:30" x14ac:dyDescent="0.3">
      <c r="A2" s="1518"/>
      <c r="B2" s="1519"/>
      <c r="C2" s="1519"/>
      <c r="D2" s="1519"/>
      <c r="E2" s="1519"/>
      <c r="F2" s="1519"/>
      <c r="G2" s="1519"/>
      <c r="H2" s="1519"/>
      <c r="I2" s="1519"/>
      <c r="J2" s="1520"/>
      <c r="K2" s="1521"/>
      <c r="L2" s="1521"/>
      <c r="M2" s="1521"/>
      <c r="N2" s="1521"/>
      <c r="O2" s="1519"/>
      <c r="P2" s="1519"/>
      <c r="Q2" s="1519"/>
      <c r="R2" s="1519"/>
      <c r="S2" s="1519"/>
      <c r="T2" s="1519"/>
      <c r="U2" s="1519"/>
      <c r="V2" s="1519"/>
      <c r="W2" s="1519"/>
      <c r="X2" s="1519"/>
      <c r="Y2" s="1519"/>
      <c r="Z2" s="1519"/>
      <c r="AA2" s="1519"/>
      <c r="AB2" s="1519"/>
      <c r="AC2" s="1519"/>
      <c r="AD2" s="1519"/>
    </row>
    <row r="3" spans="1:30" x14ac:dyDescent="0.3">
      <c r="A3" s="1522"/>
      <c r="B3" s="1514"/>
      <c r="C3" s="1514"/>
      <c r="D3" s="1514"/>
      <c r="E3" s="1514"/>
      <c r="F3" s="1514"/>
      <c r="G3" s="1514"/>
      <c r="H3" s="1514"/>
      <c r="I3" s="1514"/>
      <c r="J3" s="1515"/>
      <c r="K3" s="1523"/>
      <c r="L3" s="1514"/>
      <c r="M3" s="1514"/>
      <c r="N3" s="1514"/>
      <c r="O3" s="1514"/>
      <c r="P3" s="1514"/>
      <c r="Q3" s="1514"/>
      <c r="R3" s="1514"/>
      <c r="S3" s="1514"/>
      <c r="T3" s="1514"/>
      <c r="U3" s="1514"/>
      <c r="V3" s="1514"/>
      <c r="W3" s="1514"/>
      <c r="X3" s="1514"/>
      <c r="Y3" s="1514"/>
      <c r="Z3" s="1514"/>
      <c r="AA3" s="1514"/>
      <c r="AB3" s="1514"/>
      <c r="AC3" s="1514"/>
      <c r="AD3" s="1514"/>
    </row>
    <row r="4" spans="1:30" s="1526" customFormat="1" ht="21" x14ac:dyDescent="0.3">
      <c r="A4" s="1524" t="s">
        <v>20</v>
      </c>
      <c r="B4" s="1525" t="str">
        <f>+Performance!C2</f>
        <v>MINISTRY OF JUSTICE (MoJ)</v>
      </c>
      <c r="C4" s="1525"/>
      <c r="D4" s="1525"/>
      <c r="E4" s="1525"/>
      <c r="F4" s="1525"/>
      <c r="G4" s="1525"/>
      <c r="H4" s="1525"/>
      <c r="I4" s="1525"/>
      <c r="J4" s="1525"/>
      <c r="K4" s="1525"/>
      <c r="L4" s="1525"/>
      <c r="M4" s="1525"/>
      <c r="N4" s="1525"/>
      <c r="O4" s="1525"/>
      <c r="P4" s="1525"/>
      <c r="Q4" s="1525"/>
      <c r="R4" s="1525"/>
      <c r="S4" s="1525"/>
      <c r="T4" s="1525"/>
      <c r="U4" s="1525"/>
      <c r="V4" s="1525"/>
      <c r="W4" s="1525"/>
      <c r="X4" s="1525"/>
      <c r="Y4" s="1525"/>
      <c r="Z4" s="1525"/>
      <c r="AA4" s="1525"/>
      <c r="AB4" s="1525"/>
      <c r="AC4" s="1525"/>
      <c r="AD4" s="1525"/>
    </row>
    <row r="5" spans="1:30" ht="21" x14ac:dyDescent="0.3">
      <c r="A5" s="1522"/>
      <c r="B5" s="1527"/>
      <c r="C5" s="1527"/>
      <c r="D5" s="1527"/>
      <c r="E5" s="1527"/>
      <c r="F5" s="1527"/>
      <c r="G5" s="1527"/>
      <c r="H5" s="1527"/>
      <c r="I5" s="1527"/>
      <c r="J5" s="1527"/>
      <c r="K5" s="1528"/>
      <c r="L5" s="1528"/>
      <c r="M5" s="1528"/>
      <c r="N5" s="1528"/>
      <c r="O5" s="1514"/>
      <c r="P5" s="1514"/>
      <c r="Q5" s="1514"/>
      <c r="R5" s="1514"/>
      <c r="S5" s="1514"/>
      <c r="T5" s="1514"/>
      <c r="U5" s="1514"/>
      <c r="V5" s="1514"/>
      <c r="W5" s="1514"/>
      <c r="X5" s="1514"/>
      <c r="Y5" s="1514"/>
      <c r="Z5" s="1514"/>
      <c r="AA5" s="1514"/>
      <c r="AB5" s="1514"/>
      <c r="AC5" s="1514"/>
      <c r="AD5" s="1514"/>
    </row>
    <row r="6" spans="1:30" ht="23.4" x14ac:dyDescent="0.3">
      <c r="A6" s="1529">
        <v>1</v>
      </c>
      <c r="B6" s="1530" t="s">
        <v>476</v>
      </c>
      <c r="C6" s="1531"/>
      <c r="D6" s="2387" t="str">
        <f>+$A$1</f>
        <v>Quarter 4 - 2018-2019</v>
      </c>
      <c r="E6" s="2387"/>
      <c r="F6" s="2387"/>
      <c r="G6" s="2387"/>
      <c r="H6" s="2387"/>
      <c r="I6" s="2387"/>
      <c r="J6" s="2387"/>
      <c r="K6" s="1532"/>
      <c r="L6" s="1532"/>
      <c r="M6" s="1532"/>
      <c r="N6" s="1519"/>
      <c r="O6" s="1519"/>
      <c r="P6" s="1533"/>
      <c r="Q6" s="1533"/>
      <c r="R6" s="1519"/>
      <c r="S6" s="1519"/>
      <c r="T6" s="1519"/>
      <c r="U6" s="1519"/>
      <c r="V6" s="1519"/>
      <c r="W6" s="1519"/>
      <c r="X6" s="1519"/>
      <c r="Y6" s="1519"/>
      <c r="Z6" s="1519"/>
      <c r="AA6" s="1519"/>
      <c r="AB6" s="1519"/>
      <c r="AC6" s="1519"/>
      <c r="AD6" s="1519"/>
    </row>
    <row r="7" spans="1:30" ht="14.4" thickBot="1" x14ac:dyDescent="0.35">
      <c r="A7" s="1522"/>
      <c r="B7" s="1534"/>
      <c r="C7" s="1535"/>
      <c r="D7" s="1535"/>
      <c r="E7" s="1535"/>
      <c r="F7" s="1535"/>
      <c r="G7" s="1535"/>
      <c r="H7" s="1535"/>
      <c r="I7" s="1535"/>
      <c r="J7" s="1535"/>
      <c r="K7" s="1535"/>
      <c r="L7" s="1535"/>
      <c r="M7" s="1535"/>
      <c r="N7" s="1535"/>
      <c r="O7" s="1535"/>
      <c r="P7" s="1535"/>
      <c r="Q7" s="1535"/>
      <c r="R7" s="1535"/>
      <c r="S7" s="1535"/>
      <c r="T7" s="1535"/>
      <c r="U7" s="1535"/>
      <c r="V7" s="1535"/>
      <c r="W7" s="1535"/>
      <c r="X7" s="1535"/>
      <c r="Y7" s="1514"/>
      <c r="Z7" s="1514"/>
      <c r="AA7" s="1514"/>
      <c r="AB7" s="1514"/>
      <c r="AC7" s="1514"/>
      <c r="AD7" s="1514"/>
    </row>
    <row r="8" spans="1:30" ht="14.4" thickBot="1" x14ac:dyDescent="0.35">
      <c r="A8" s="1522"/>
      <c r="B8" s="1514"/>
      <c r="C8" s="1534"/>
      <c r="D8" s="1536" t="s">
        <v>23</v>
      </c>
      <c r="E8" s="1537" t="s">
        <v>144</v>
      </c>
      <c r="F8" s="2388" t="s">
        <v>24</v>
      </c>
      <c r="G8" s="2389"/>
      <c r="H8" s="2390"/>
      <c r="I8" s="2394" t="s">
        <v>461</v>
      </c>
      <c r="J8" s="2395"/>
      <c r="K8" s="1535"/>
      <c r="L8" s="1535"/>
      <c r="M8" s="1535"/>
      <c r="N8" s="1535"/>
      <c r="O8" s="1535"/>
      <c r="P8" s="1535"/>
      <c r="Q8" s="1535"/>
      <c r="R8" s="1535"/>
      <c r="S8" s="1535"/>
      <c r="T8" s="1535"/>
      <c r="U8" s="1535"/>
      <c r="V8" s="1535"/>
      <c r="W8" s="1535"/>
      <c r="X8" s="1535"/>
      <c r="Y8" s="1514"/>
      <c r="Z8" s="1514"/>
      <c r="AA8" s="1535"/>
      <c r="AB8" s="1535"/>
      <c r="AC8" s="1535"/>
      <c r="AD8" s="1535"/>
    </row>
    <row r="9" spans="1:30" ht="14.4" thickBot="1" x14ac:dyDescent="0.35">
      <c r="A9" s="1522"/>
      <c r="B9" s="1538"/>
      <c r="C9" s="1514"/>
      <c r="D9" s="1539" t="s">
        <v>477</v>
      </c>
      <c r="E9" s="1540" t="s">
        <v>477</v>
      </c>
      <c r="F9" s="2391"/>
      <c r="G9" s="2392"/>
      <c r="H9" s="2393"/>
      <c r="I9" s="2396"/>
      <c r="J9" s="2397"/>
      <c r="K9" s="1535"/>
      <c r="L9" s="1535"/>
      <c r="M9" s="1535"/>
      <c r="N9" s="1535"/>
      <c r="O9" s="1535"/>
      <c r="P9" s="1535"/>
      <c r="Q9" s="1535"/>
      <c r="R9" s="1535"/>
      <c r="S9" s="1535"/>
      <c r="T9" s="1535"/>
      <c r="U9" s="1535"/>
      <c r="V9" s="1535"/>
      <c r="W9" s="1535"/>
      <c r="X9" s="1535"/>
      <c r="Y9" s="1514"/>
      <c r="Z9" s="1514"/>
      <c r="AA9" s="1535"/>
      <c r="AB9" s="1535"/>
      <c r="AC9" s="1535"/>
      <c r="AD9" s="1535"/>
    </row>
    <row r="10" spans="1:30" ht="14.4" thickBot="1" x14ac:dyDescent="0.35">
      <c r="A10" s="1522"/>
      <c r="B10" s="2398" t="s">
        <v>478</v>
      </c>
      <c r="C10" s="2399"/>
      <c r="D10" s="1541"/>
      <c r="E10" s="1542"/>
      <c r="F10" s="2400"/>
      <c r="G10" s="2401"/>
      <c r="H10" s="2402"/>
      <c r="I10" s="2403" t="str">
        <f>IF(OR(D10&lt;0,E10&lt;0),"Error - Negative number",IF(E10&gt;D10,"Offices only&gt;Total Estate",""))</f>
        <v/>
      </c>
      <c r="J10" s="2404"/>
      <c r="K10" s="1535"/>
      <c r="L10" s="1535"/>
      <c r="M10" s="1535"/>
      <c r="N10" s="1535"/>
      <c r="O10" s="1535"/>
      <c r="P10" s="1535"/>
      <c r="Q10" s="1535"/>
      <c r="R10" s="1535"/>
      <c r="S10" s="1535"/>
      <c r="T10" s="1535"/>
      <c r="U10" s="1535"/>
      <c r="V10" s="1535"/>
      <c r="W10" s="1535"/>
      <c r="X10" s="1535"/>
      <c r="Y10" s="1514"/>
      <c r="Z10" s="1514"/>
      <c r="AA10" s="1535"/>
      <c r="AB10" s="1535"/>
      <c r="AC10" s="1535"/>
      <c r="AD10" s="1535"/>
    </row>
    <row r="11" spans="1:30" x14ac:dyDescent="0.3">
      <c r="A11" s="1522"/>
      <c r="B11" s="1535"/>
      <c r="C11" s="1535"/>
      <c r="D11" s="1535"/>
      <c r="E11" s="1535"/>
      <c r="F11" s="1535"/>
      <c r="G11" s="1535"/>
      <c r="H11" s="1535"/>
      <c r="I11" s="1535"/>
      <c r="J11" s="1543"/>
      <c r="K11" s="1544"/>
      <c r="L11" s="1535"/>
      <c r="M11" s="1535"/>
      <c r="N11" s="1514"/>
      <c r="O11" s="1514"/>
      <c r="P11" s="1514"/>
      <c r="Q11" s="1514"/>
      <c r="R11" s="1514"/>
      <c r="S11" s="1514"/>
      <c r="T11" s="1514"/>
      <c r="U11" s="1514"/>
      <c r="V11" s="1514"/>
      <c r="W11" s="1514"/>
      <c r="X11" s="1514"/>
      <c r="Y11" s="1514"/>
      <c r="Z11" s="1514"/>
      <c r="AA11" s="1514"/>
      <c r="AB11" s="1514"/>
      <c r="AC11" s="1514"/>
      <c r="AD11" s="1514"/>
    </row>
    <row r="12" spans="1:30" x14ac:dyDescent="0.3">
      <c r="A12" s="1522"/>
      <c r="B12" s="1535"/>
      <c r="C12" s="1535"/>
      <c r="D12" s="1535"/>
      <c r="E12" s="1535"/>
      <c r="F12" s="1535"/>
      <c r="G12" s="1535"/>
      <c r="H12" s="1535"/>
      <c r="I12" s="1535"/>
      <c r="J12" s="1543"/>
      <c r="K12" s="1544"/>
      <c r="L12" s="1535"/>
      <c r="M12" s="1535"/>
      <c r="N12" s="1514"/>
      <c r="O12" s="1514"/>
      <c r="P12" s="1514"/>
      <c r="Q12" s="1514"/>
      <c r="R12" s="1514"/>
      <c r="S12" s="1514"/>
      <c r="T12" s="1514"/>
      <c r="U12" s="1514"/>
      <c r="V12" s="1514"/>
      <c r="W12" s="1514"/>
      <c r="X12" s="1514"/>
      <c r="Y12" s="1514"/>
      <c r="Z12" s="1514"/>
      <c r="AA12" s="1514"/>
      <c r="AB12" s="1514"/>
      <c r="AC12" s="1514"/>
      <c r="AD12" s="1514"/>
    </row>
    <row r="13" spans="1:30" ht="27.75" customHeight="1" x14ac:dyDescent="0.3">
      <c r="A13" s="1529">
        <v>2</v>
      </c>
      <c r="B13" s="1530" t="s">
        <v>21</v>
      </c>
      <c r="C13" s="1531"/>
      <c r="D13" s="2387" t="str">
        <f>+$A$1</f>
        <v>Quarter 4 - 2018-2019</v>
      </c>
      <c r="E13" s="2387"/>
      <c r="F13" s="2387"/>
      <c r="G13" s="2387"/>
      <c r="H13" s="2387"/>
      <c r="I13" s="2387"/>
      <c r="J13" s="2387"/>
      <c r="K13" s="1532"/>
      <c r="L13" s="1532"/>
      <c r="M13" s="1532"/>
      <c r="N13" s="1532"/>
      <c r="O13" s="1519"/>
      <c r="P13" s="1533"/>
      <c r="Q13" s="1533"/>
      <c r="R13" s="1519"/>
      <c r="S13" s="1519"/>
      <c r="T13" s="1519"/>
      <c r="U13" s="1519"/>
      <c r="V13" s="1519"/>
      <c r="W13" s="1519"/>
      <c r="X13" s="1519"/>
      <c r="Y13" s="1519"/>
      <c r="Z13" s="1519"/>
      <c r="AA13" s="1519"/>
      <c r="AB13" s="1519"/>
      <c r="AC13" s="1519"/>
      <c r="AD13" s="1519"/>
    </row>
    <row r="14" spans="1:30" s="1550" customFormat="1" ht="23.4" x14ac:dyDescent="0.3">
      <c r="A14" s="1545" t="s">
        <v>505</v>
      </c>
      <c r="B14" s="1546" t="s">
        <v>22</v>
      </c>
      <c r="C14" s="1547"/>
      <c r="D14" s="2387"/>
      <c r="E14" s="2387"/>
      <c r="F14" s="2387"/>
      <c r="G14" s="2387"/>
      <c r="H14" s="2387"/>
      <c r="I14" s="2387"/>
      <c r="J14" s="2387"/>
      <c r="K14" s="1548"/>
      <c r="L14" s="1548"/>
      <c r="M14" s="1548"/>
      <c r="N14" s="1548"/>
      <c r="O14" s="1548"/>
      <c r="P14" s="1548"/>
      <c r="Q14" s="1548"/>
      <c r="R14" s="1548"/>
      <c r="S14" s="1548"/>
      <c r="T14" s="1548"/>
      <c r="U14" s="1548"/>
      <c r="V14" s="1548"/>
      <c r="W14" s="1548"/>
      <c r="X14" s="1548"/>
      <c r="Y14" s="1549"/>
      <c r="Z14" s="1549"/>
      <c r="AA14" s="1549"/>
      <c r="AB14" s="1549"/>
      <c r="AC14" s="1549"/>
      <c r="AD14" s="1549"/>
    </row>
    <row r="15" spans="1:30" ht="15.75" customHeight="1" thickBot="1" x14ac:dyDescent="0.35">
      <c r="A15" s="1522"/>
      <c r="B15" s="1534"/>
      <c r="C15" s="30"/>
      <c r="D15" s="1534"/>
      <c r="E15" s="1551"/>
      <c r="F15" s="1551"/>
      <c r="G15" s="1551"/>
      <c r="H15" s="1551"/>
      <c r="I15" s="1551"/>
      <c r="J15" s="1551"/>
      <c r="K15" s="1551"/>
      <c r="L15" s="1514"/>
      <c r="M15" s="1514"/>
      <c r="N15" s="1514"/>
      <c r="O15" s="1514"/>
      <c r="P15" s="1514"/>
      <c r="Q15" s="1514"/>
      <c r="R15" s="1514"/>
      <c r="S15" s="1514"/>
      <c r="T15" s="1514"/>
      <c r="U15" s="1514"/>
      <c r="V15" s="1514"/>
      <c r="W15" s="1514"/>
      <c r="X15" s="1514"/>
      <c r="Y15" s="1514"/>
      <c r="Z15" s="1514"/>
      <c r="AA15" s="1514"/>
      <c r="AB15" s="1514"/>
      <c r="AC15" s="1514"/>
      <c r="AD15" s="1514"/>
    </row>
    <row r="16" spans="1:30" ht="15.75" customHeight="1" thickBot="1" x14ac:dyDescent="0.35">
      <c r="A16" s="1522"/>
      <c r="B16" s="1535"/>
      <c r="C16" s="1535"/>
      <c r="D16" s="1535"/>
      <c r="E16" s="1535"/>
      <c r="F16" s="1535"/>
      <c r="G16" s="1535"/>
      <c r="H16" s="1535"/>
      <c r="I16" s="1535"/>
      <c r="J16" s="1535"/>
      <c r="K16" s="1535"/>
      <c r="L16" s="1514"/>
      <c r="M16" s="1514"/>
      <c r="N16" s="1514"/>
      <c r="O16" s="2405" t="s">
        <v>23</v>
      </c>
      <c r="P16" s="2406"/>
      <c r="Q16" s="2406"/>
      <c r="R16" s="2407"/>
      <c r="S16" s="1514"/>
      <c r="T16" s="1514"/>
      <c r="U16" s="2408" t="s">
        <v>144</v>
      </c>
      <c r="V16" s="2409"/>
      <c r="W16" s="2409"/>
      <c r="X16" s="2410"/>
      <c r="Y16" s="1514"/>
      <c r="Z16" s="1514"/>
      <c r="AA16" s="1514"/>
      <c r="AB16" s="1514"/>
      <c r="AC16" s="1514"/>
      <c r="AD16" s="1514"/>
    </row>
    <row r="17" spans="1:30" ht="28.2" customHeight="1" thickBot="1" x14ac:dyDescent="0.35">
      <c r="A17" s="1522"/>
      <c r="B17" s="1535"/>
      <c r="C17" s="1535"/>
      <c r="D17" s="2411" t="s">
        <v>23</v>
      </c>
      <c r="E17" s="2412"/>
      <c r="F17" s="2413"/>
      <c r="G17" s="2414" t="s">
        <v>144</v>
      </c>
      <c r="H17" s="2415"/>
      <c r="I17" s="2388" t="s">
        <v>24</v>
      </c>
      <c r="J17" s="2389"/>
      <c r="K17" s="2390"/>
      <c r="L17" s="2419" t="s">
        <v>461</v>
      </c>
      <c r="M17" s="1514"/>
      <c r="N17" s="1514"/>
      <c r="O17" s="2405" t="s">
        <v>25</v>
      </c>
      <c r="P17" s="2406"/>
      <c r="Q17" s="2406"/>
      <c r="R17" s="2407"/>
      <c r="S17" s="1514"/>
      <c r="T17" s="1514"/>
      <c r="U17" s="2408" t="s">
        <v>25</v>
      </c>
      <c r="V17" s="2409"/>
      <c r="W17" s="2409"/>
      <c r="X17" s="2410"/>
      <c r="Y17" s="1514"/>
      <c r="Z17" s="1514"/>
      <c r="AA17" s="1514"/>
      <c r="AB17" s="1514"/>
      <c r="AC17" s="1514"/>
      <c r="AD17" s="1514"/>
    </row>
    <row r="18" spans="1:30" ht="15.75" customHeight="1" thickBot="1" x14ac:dyDescent="0.35">
      <c r="A18" s="1522"/>
      <c r="B18" s="1535"/>
      <c r="C18" s="1535"/>
      <c r="D18" s="1552" t="s">
        <v>26</v>
      </c>
      <c r="E18" s="1553" t="s">
        <v>27</v>
      </c>
      <c r="F18" s="1554" t="s">
        <v>28</v>
      </c>
      <c r="G18" s="1555" t="s">
        <v>29</v>
      </c>
      <c r="H18" s="1555" t="s">
        <v>28</v>
      </c>
      <c r="I18" s="2391"/>
      <c r="J18" s="2392"/>
      <c r="K18" s="2393"/>
      <c r="L18" s="2420"/>
      <c r="M18" s="1514"/>
      <c r="N18" s="1514"/>
      <c r="O18" s="2421" t="s">
        <v>30</v>
      </c>
      <c r="P18" s="2422"/>
      <c r="Q18" s="2421" t="s">
        <v>31</v>
      </c>
      <c r="R18" s="2422"/>
      <c r="S18" s="1514"/>
      <c r="T18" s="1514"/>
      <c r="U18" s="2414" t="s">
        <v>30</v>
      </c>
      <c r="V18" s="2415"/>
      <c r="W18" s="2414" t="s">
        <v>31</v>
      </c>
      <c r="X18" s="2415"/>
      <c r="Y18" s="1514"/>
      <c r="Z18" s="1514"/>
      <c r="AA18" s="1514"/>
      <c r="AB18" s="1514"/>
      <c r="AC18" s="1514"/>
      <c r="AD18" s="1514"/>
    </row>
    <row r="19" spans="1:30" ht="28.95" customHeight="1" thickBot="1" x14ac:dyDescent="0.35">
      <c r="A19" s="1522"/>
      <c r="B19" s="2423" t="s">
        <v>32</v>
      </c>
      <c r="C19" s="2424"/>
      <c r="D19" s="1556">
        <f>SUM(D20:D47)</f>
        <v>482342086.93393362</v>
      </c>
      <c r="E19" s="1557">
        <f>IF(D19&lt;&gt;0,F19*1000/D19,"")</f>
        <v>0.21819583199403692</v>
      </c>
      <c r="F19" s="1558">
        <f>SUM(F20:F47)</f>
        <v>105245.03296428973</v>
      </c>
      <c r="G19" s="1559">
        <f>SUM(G20:G47)</f>
        <v>5472091.390625</v>
      </c>
      <c r="H19" s="1559">
        <f>SUM(H20:H47)</f>
        <v>1428.8666651793749</v>
      </c>
      <c r="I19" s="2416"/>
      <c r="J19" s="2417"/>
      <c r="K19" s="2418"/>
      <c r="L19" s="1560" t="str">
        <f>IF(OR(D19&lt;0,G19&lt;0),"Error - negative number",IF(G19&gt;D19,"Offices only &gt; Total Estate",IF(AND(D19&gt;0,E19=""),"Please enter CO2e factor","")))</f>
        <v/>
      </c>
      <c r="M19" s="1514"/>
      <c r="N19" s="1514"/>
      <c r="O19" s="1561" t="s">
        <v>33</v>
      </c>
      <c r="P19" s="1562" t="s">
        <v>34</v>
      </c>
      <c r="Q19" s="1561" t="s">
        <v>35</v>
      </c>
      <c r="R19" s="1562" t="s">
        <v>34</v>
      </c>
      <c r="S19" s="1563"/>
      <c r="T19" s="1514"/>
      <c r="U19" s="1564" t="s">
        <v>33</v>
      </c>
      <c r="V19" s="1565" t="s">
        <v>34</v>
      </c>
      <c r="W19" s="1564" t="s">
        <v>35</v>
      </c>
      <c r="X19" s="1565" t="s">
        <v>34</v>
      </c>
      <c r="Y19" s="1514"/>
      <c r="Z19" s="1514"/>
      <c r="AA19" s="1514"/>
      <c r="AB19" s="1514"/>
      <c r="AC19" s="1514"/>
      <c r="AD19" s="1514"/>
    </row>
    <row r="20" spans="1:30" ht="15" customHeight="1" thickBot="1" x14ac:dyDescent="0.35">
      <c r="A20" s="1522" t="s">
        <v>372</v>
      </c>
      <c r="B20" s="2425" t="s">
        <v>36</v>
      </c>
      <c r="C20" s="1566" t="s">
        <v>37</v>
      </c>
      <c r="D20" s="1567">
        <v>96807243.177263305</v>
      </c>
      <c r="E20" s="1568">
        <f>+O20+Q20</f>
        <v>0.30719999999999997</v>
      </c>
      <c r="F20" s="1569">
        <f>P20+R20</f>
        <v>29739.185104055287</v>
      </c>
      <c r="G20" s="1570">
        <v>668313</v>
      </c>
      <c r="H20" s="1571">
        <f>IF(Performance!$L$2="y",F20,E20*G20/1000)</f>
        <v>205.3057536</v>
      </c>
      <c r="I20" s="2428" t="s">
        <v>546</v>
      </c>
      <c r="J20" s="2429"/>
      <c r="K20" s="2430"/>
      <c r="L20" s="1572" t="str">
        <f t="shared" ref="L20:L47" si="0">IF(OR(D20&lt;0,G20&lt;0),"Error - negative number",IF(G20&gt;D20,"Offices only &gt; Total Estate",IF(AND(D20&gt;0,E20=""),"Please enter CO2e factor","")))</f>
        <v/>
      </c>
      <c r="M20" s="1514"/>
      <c r="N20" s="1514"/>
      <c r="O20" s="1573">
        <f>+'Emission Factors'!J7</f>
        <v>0.28306999999999999</v>
      </c>
      <c r="P20" s="1574">
        <f>(D20*O20)/1000</f>
        <v>27403.226326187923</v>
      </c>
      <c r="Q20" s="1575">
        <f>+'Emission Factors'!J8</f>
        <v>2.4129999999999999E-2</v>
      </c>
      <c r="R20" s="1574">
        <f>(D20*Q20)/1000</f>
        <v>2335.9587778673631</v>
      </c>
      <c r="S20" s="1563"/>
      <c r="T20" s="1514"/>
      <c r="U20" s="1576">
        <f>+O20</f>
        <v>0.28306999999999999</v>
      </c>
      <c r="V20" s="1577">
        <f>IF(Performance!$L$2="y",P20,$G20*U20/1000)</f>
        <v>189.17936090999999</v>
      </c>
      <c r="W20" s="1576">
        <f>+Q20</f>
        <v>2.4129999999999999E-2</v>
      </c>
      <c r="X20" s="1578">
        <f>IF(Performance!$L$2="y",R20,$G20*W20/1000)</f>
        <v>16.126392689999999</v>
      </c>
      <c r="Y20" s="1514"/>
      <c r="Z20" s="1514"/>
      <c r="AA20" s="1514"/>
      <c r="AB20" s="1514"/>
      <c r="AC20" s="1514"/>
      <c r="AD20" s="1514"/>
    </row>
    <row r="21" spans="1:30" ht="15" customHeight="1" x14ac:dyDescent="0.3">
      <c r="A21" s="1522" t="s">
        <v>372</v>
      </c>
      <c r="B21" s="2426"/>
      <c r="C21" s="1566" t="s">
        <v>38</v>
      </c>
      <c r="D21" s="1567">
        <v>23655629</v>
      </c>
      <c r="E21" s="1579">
        <f>+O21+Q21</f>
        <v>0.30719999999999997</v>
      </c>
      <c r="F21" s="1569">
        <f>P21+R21</f>
        <v>7267.0092287999996</v>
      </c>
      <c r="G21" s="1570">
        <v>2757691</v>
      </c>
      <c r="H21" s="1580">
        <f>IF(Performance!$L$2="y",F21,E21*G21/1000)</f>
        <v>847.16267519999997</v>
      </c>
      <c r="I21" s="2428" t="s">
        <v>546</v>
      </c>
      <c r="J21" s="2429"/>
      <c r="K21" s="2430"/>
      <c r="L21" s="1581" t="str">
        <f t="shared" si="0"/>
        <v/>
      </c>
      <c r="M21" s="1514"/>
      <c r="N21" s="1514"/>
      <c r="O21" s="1573">
        <f>+O20</f>
        <v>0.28306999999999999</v>
      </c>
      <c r="P21" s="1574">
        <f>(D21*O21)/1000</f>
        <v>6696.1989010299994</v>
      </c>
      <c r="Q21" s="1575">
        <f>+Q20</f>
        <v>2.4129999999999999E-2</v>
      </c>
      <c r="R21" s="1574">
        <f>(D21*Q21)/1000</f>
        <v>570.81032776999996</v>
      </c>
      <c r="S21" s="1563"/>
      <c r="T21" s="1514"/>
      <c r="U21" s="1582">
        <f>+O21</f>
        <v>0.28306999999999999</v>
      </c>
      <c r="V21" s="1583">
        <f>IF(Performance!$L$2="y",P21,$G21*U21/1000)</f>
        <v>780.61959136999997</v>
      </c>
      <c r="W21" s="1582">
        <f>+Q21</f>
        <v>2.4129999999999999E-2</v>
      </c>
      <c r="X21" s="1584">
        <f>IF(Performance!$L$2="y",R21,$G21*W21/1000)</f>
        <v>66.54308383</v>
      </c>
      <c r="Y21" s="1514"/>
      <c r="Z21" s="1514"/>
      <c r="AA21" s="1514"/>
      <c r="AB21" s="1514"/>
      <c r="AC21" s="1514"/>
      <c r="AD21" s="1514"/>
    </row>
    <row r="22" spans="1:30" ht="17.25" customHeight="1" x14ac:dyDescent="0.3">
      <c r="A22" s="1522" t="s">
        <v>372</v>
      </c>
      <c r="B22" s="2426"/>
      <c r="C22" s="1566" t="s">
        <v>39</v>
      </c>
      <c r="D22" s="1567"/>
      <c r="E22" s="1579">
        <f>+O22+Q22</f>
        <v>0.30719999999999997</v>
      </c>
      <c r="F22" s="1569">
        <f>P22+R22</f>
        <v>0</v>
      </c>
      <c r="G22" s="1570"/>
      <c r="H22" s="1580">
        <f>IF(Performance!$L$2="y",F22,E22*G22/1000)</f>
        <v>0</v>
      </c>
      <c r="I22" s="2431"/>
      <c r="J22" s="2432"/>
      <c r="K22" s="2433"/>
      <c r="L22" s="1581" t="str">
        <f t="shared" si="0"/>
        <v/>
      </c>
      <c r="M22" s="1514"/>
      <c r="N22" s="1514"/>
      <c r="O22" s="1573">
        <f>+O21</f>
        <v>0.28306999999999999</v>
      </c>
      <c r="P22" s="1574">
        <f>(D22*O22)/1000</f>
        <v>0</v>
      </c>
      <c r="Q22" s="1575">
        <f>+Q21</f>
        <v>2.4129999999999999E-2</v>
      </c>
      <c r="R22" s="1574">
        <f>(D22*Q22)/1000</f>
        <v>0</v>
      </c>
      <c r="S22" s="1563"/>
      <c r="T22" s="1514"/>
      <c r="U22" s="1582">
        <f>+O22</f>
        <v>0.28306999999999999</v>
      </c>
      <c r="V22" s="1583">
        <f>IF(Performance!$L$2="y",P22,$G22*U22/1000)</f>
        <v>0</v>
      </c>
      <c r="W22" s="1582">
        <f>+Q22</f>
        <v>2.4129999999999999E-2</v>
      </c>
      <c r="X22" s="1584">
        <f>IF(Performance!$L$2="y",R22,$G22*W22/1000)</f>
        <v>0</v>
      </c>
      <c r="Y22" s="1514"/>
      <c r="Z22" s="1514"/>
      <c r="AA22" s="1514"/>
      <c r="AB22" s="1514"/>
      <c r="AC22" s="1514"/>
      <c r="AD22" s="1514"/>
    </row>
    <row r="23" spans="1:30" ht="17.25" customHeight="1" thickBot="1" x14ac:dyDescent="0.35">
      <c r="A23" s="1522" t="s">
        <v>372</v>
      </c>
      <c r="B23" s="2426"/>
      <c r="C23" s="1566" t="s">
        <v>40</v>
      </c>
      <c r="D23" s="1567"/>
      <c r="E23" s="1579">
        <f>+O23+Q23</f>
        <v>0.30719999999999997</v>
      </c>
      <c r="F23" s="1569">
        <f>P23+R23</f>
        <v>0</v>
      </c>
      <c r="G23" s="1570"/>
      <c r="H23" s="1580">
        <f>IF(Performance!$L$2="y",F23,E23*G23/1000)</f>
        <v>0</v>
      </c>
      <c r="I23" s="2431"/>
      <c r="J23" s="2432"/>
      <c r="K23" s="2433"/>
      <c r="L23" s="1581" t="str">
        <f t="shared" si="0"/>
        <v/>
      </c>
      <c r="M23" s="1514"/>
      <c r="N23" s="1514"/>
      <c r="O23" s="1585">
        <f>+O22</f>
        <v>0.28306999999999999</v>
      </c>
      <c r="P23" s="1586">
        <f>(D23*O23)/1000</f>
        <v>0</v>
      </c>
      <c r="Q23" s="1587">
        <f>+Q22</f>
        <v>2.4129999999999999E-2</v>
      </c>
      <c r="R23" s="1586">
        <f>(D23*Q23)/1000</f>
        <v>0</v>
      </c>
      <c r="S23" s="1563"/>
      <c r="T23" s="1514"/>
      <c r="U23" s="1588">
        <f>+O23</f>
        <v>0.28306999999999999</v>
      </c>
      <c r="V23" s="1589">
        <f>IF(Performance!$L$2="y",P23,$G23*U23/1000)</f>
        <v>0</v>
      </c>
      <c r="W23" s="1588">
        <f>+Q23</f>
        <v>2.4129999999999999E-2</v>
      </c>
      <c r="X23" s="1590">
        <f>IF(Performance!$L$2="y",R23,$G23*W23/1000)</f>
        <v>0</v>
      </c>
      <c r="Y23" s="1514"/>
      <c r="Z23" s="1514"/>
      <c r="AA23" s="1514"/>
      <c r="AB23" s="1514"/>
      <c r="AC23" s="1514"/>
      <c r="AD23" s="1514"/>
    </row>
    <row r="24" spans="1:30" ht="15.75" customHeight="1" thickBot="1" x14ac:dyDescent="0.35">
      <c r="A24" s="1522" t="s">
        <v>370</v>
      </c>
      <c r="B24" s="2426"/>
      <c r="C24" s="1591" t="s">
        <v>41</v>
      </c>
      <c r="D24" s="1567">
        <v>342734657.59192502</v>
      </c>
      <c r="E24" s="1592">
        <f>+'Emission Factors'!J11</f>
        <v>0.18396000000000001</v>
      </c>
      <c r="F24" s="1569">
        <f>(D24*E24)/1000</f>
        <v>63049.467610610533</v>
      </c>
      <c r="G24" s="1570">
        <v>2046087.390625</v>
      </c>
      <c r="H24" s="1580">
        <f>IF(Performance!$L$2="y",F24,E24*G24/1000)</f>
        <v>376.39823637937502</v>
      </c>
      <c r="I24" s="2431" t="s">
        <v>551</v>
      </c>
      <c r="J24" s="2432"/>
      <c r="K24" s="2433"/>
      <c r="L24" s="1581" t="str">
        <f t="shared" si="0"/>
        <v/>
      </c>
      <c r="M24" s="1514"/>
      <c r="N24" s="1514"/>
      <c r="O24" s="2434" t="s">
        <v>23</v>
      </c>
      <c r="P24" s="2435"/>
      <c r="Q24" s="2435"/>
      <c r="R24" s="2436"/>
      <c r="S24" s="1514"/>
      <c r="T24" s="1514"/>
      <c r="U24" s="2437" t="s">
        <v>144</v>
      </c>
      <c r="V24" s="2438"/>
      <c r="W24" s="2438"/>
      <c r="X24" s="2439"/>
      <c r="Y24" s="1514"/>
      <c r="Z24" s="1514"/>
      <c r="AA24" s="1514"/>
      <c r="AB24" s="1514"/>
      <c r="AC24" s="1514"/>
      <c r="AD24" s="1514"/>
    </row>
    <row r="25" spans="1:30" ht="15.75" customHeight="1" thickBot="1" x14ac:dyDescent="0.35">
      <c r="A25" s="1522" t="s">
        <v>370</v>
      </c>
      <c r="B25" s="2426"/>
      <c r="C25" s="1591" t="s">
        <v>42</v>
      </c>
      <c r="D25" s="1567">
        <v>18334192.238652799</v>
      </c>
      <c r="E25" s="1592">
        <f>+'Emission Factors'!J12</f>
        <v>0.27651999999999999</v>
      </c>
      <c r="F25" s="1569">
        <f t="shared" ref="F25:F47" si="1">(D25*E25)/1000</f>
        <v>5069.7708378322723</v>
      </c>
      <c r="G25" s="1570">
        <v>0</v>
      </c>
      <c r="H25" s="1580">
        <f>IF(Performance!$L$2="y",F25,E25*G25/1000)</f>
        <v>0</v>
      </c>
      <c r="I25" s="2431"/>
      <c r="J25" s="2432"/>
      <c r="K25" s="2433"/>
      <c r="L25" s="1581" t="str">
        <f t="shared" si="0"/>
        <v/>
      </c>
      <c r="M25" s="1514"/>
      <c r="N25" s="1514"/>
      <c r="O25" s="1514"/>
      <c r="P25" s="1514"/>
      <c r="Q25" s="1514"/>
      <c r="R25" s="1514"/>
      <c r="S25" s="1514"/>
      <c r="T25" s="1514"/>
      <c r="U25" s="1514"/>
      <c r="V25" s="1514"/>
      <c r="W25" s="1514"/>
      <c r="X25" s="1514"/>
      <c r="Y25" s="1514"/>
      <c r="Z25" s="1514"/>
      <c r="AA25" s="1514"/>
      <c r="AB25" s="1514"/>
      <c r="AC25" s="1514"/>
      <c r="AD25" s="1514"/>
    </row>
    <row r="26" spans="1:30" ht="13.5" customHeight="1" thickBot="1" x14ac:dyDescent="0.35">
      <c r="A26" s="1522" t="s">
        <v>370</v>
      </c>
      <c r="B26" s="2426"/>
      <c r="C26" s="1591" t="s">
        <v>43</v>
      </c>
      <c r="D26" s="1567">
        <v>514003.592759119</v>
      </c>
      <c r="E26" s="1592">
        <f>+'Emission Factors'!J13</f>
        <v>0.21448</v>
      </c>
      <c r="F26" s="1569">
        <f t="shared" si="1"/>
        <v>110.24349057497585</v>
      </c>
      <c r="G26" s="1570"/>
      <c r="H26" s="1580">
        <f>IF(Performance!$L$2="y",F26,E26*G26/1000)</f>
        <v>0</v>
      </c>
      <c r="I26" s="2431"/>
      <c r="J26" s="2432"/>
      <c r="K26" s="2433"/>
      <c r="L26" s="1581" t="str">
        <f t="shared" si="0"/>
        <v/>
      </c>
      <c r="M26" s="1514"/>
      <c r="N26" s="1514"/>
      <c r="O26" s="2421" t="s">
        <v>44</v>
      </c>
      <c r="P26" s="2422"/>
      <c r="Q26" s="2421" t="s">
        <v>45</v>
      </c>
      <c r="R26" s="2422"/>
      <c r="S26" s="1514"/>
      <c r="T26" s="1514"/>
      <c r="U26" s="2414" t="s">
        <v>44</v>
      </c>
      <c r="V26" s="2415"/>
      <c r="W26" s="2414" t="s">
        <v>45</v>
      </c>
      <c r="X26" s="2415"/>
      <c r="Y26" s="1514"/>
      <c r="Z26" s="1514"/>
      <c r="AA26" s="1514"/>
      <c r="AB26" s="1514"/>
      <c r="AC26" s="1514"/>
      <c r="AD26" s="1514"/>
    </row>
    <row r="27" spans="1:30" ht="15.75" customHeight="1" x14ac:dyDescent="0.3">
      <c r="A27" s="1522" t="s">
        <v>370</v>
      </c>
      <c r="B27" s="2426"/>
      <c r="C27" s="1591" t="s">
        <v>46</v>
      </c>
      <c r="D27" s="1567"/>
      <c r="E27" s="1592">
        <f>+'Emission Factors'!J14</f>
        <v>0.34472999999999998</v>
      </c>
      <c r="F27" s="1569">
        <f t="shared" si="1"/>
        <v>0</v>
      </c>
      <c r="G27" s="1570"/>
      <c r="H27" s="1580">
        <f>IF(Performance!$L$2="y",F27,E27*G27/1000)</f>
        <v>0</v>
      </c>
      <c r="I27" s="2431"/>
      <c r="J27" s="2432"/>
      <c r="K27" s="2433"/>
      <c r="L27" s="1581" t="str">
        <f t="shared" si="0"/>
        <v/>
      </c>
      <c r="M27" s="1514"/>
      <c r="N27" s="1514"/>
      <c r="O27" s="2444" t="s">
        <v>33</v>
      </c>
      <c r="P27" s="2446" t="s">
        <v>34</v>
      </c>
      <c r="Q27" s="2444" t="s">
        <v>35</v>
      </c>
      <c r="R27" s="2446" t="s">
        <v>34</v>
      </c>
      <c r="S27" s="1514"/>
      <c r="T27" s="1514"/>
      <c r="U27" s="2442" t="s">
        <v>33</v>
      </c>
      <c r="V27" s="2440" t="s">
        <v>34</v>
      </c>
      <c r="W27" s="2442" t="s">
        <v>35</v>
      </c>
      <c r="X27" s="2440" t="s">
        <v>34</v>
      </c>
      <c r="Y27" s="1514"/>
      <c r="Z27" s="1514"/>
      <c r="AA27" s="1514"/>
      <c r="AB27" s="1514"/>
      <c r="AC27" s="1514"/>
      <c r="AD27" s="1514"/>
    </row>
    <row r="28" spans="1:30" ht="15.75" customHeight="1" thickBot="1" x14ac:dyDescent="0.35">
      <c r="A28" s="1522" t="s">
        <v>370</v>
      </c>
      <c r="B28" s="2426"/>
      <c r="C28" s="1591" t="s">
        <v>47</v>
      </c>
      <c r="D28" s="1567">
        <v>271000</v>
      </c>
      <c r="E28" s="1592">
        <f>+'Emission Factors'!J15</f>
        <v>1.506E-2</v>
      </c>
      <c r="F28" s="1569">
        <f t="shared" si="1"/>
        <v>4.0812600000000003</v>
      </c>
      <c r="G28" s="1570"/>
      <c r="H28" s="1580">
        <f>IF(Performance!$L$2="y",F28,E28*G28/1000)</f>
        <v>0</v>
      </c>
      <c r="I28" s="2431"/>
      <c r="J28" s="2432"/>
      <c r="K28" s="2433"/>
      <c r="L28" s="1581" t="str">
        <f t="shared" si="0"/>
        <v/>
      </c>
      <c r="M28" s="1514"/>
      <c r="N28" s="1514"/>
      <c r="O28" s="2445"/>
      <c r="P28" s="2447"/>
      <c r="Q28" s="2445"/>
      <c r="R28" s="2447"/>
      <c r="S28" s="1514"/>
      <c r="T28" s="1514"/>
      <c r="U28" s="2443"/>
      <c r="V28" s="2441"/>
      <c r="W28" s="2443"/>
      <c r="X28" s="2441"/>
      <c r="Y28" s="1514"/>
      <c r="Z28" s="1514"/>
      <c r="AA28" s="1514"/>
      <c r="AB28" s="1514"/>
      <c r="AC28" s="1514"/>
      <c r="AD28" s="1514"/>
    </row>
    <row r="29" spans="1:30" ht="15.75" customHeight="1" thickBot="1" x14ac:dyDescent="0.35">
      <c r="A29" s="1522" t="s">
        <v>372</v>
      </c>
      <c r="B29" s="2426"/>
      <c r="C29" s="1566" t="s">
        <v>48</v>
      </c>
      <c r="D29" s="1567"/>
      <c r="E29" s="1592">
        <f>+O29+Q29</f>
        <v>0.19732631578947368</v>
      </c>
      <c r="F29" s="1569">
        <f>P29+R29</f>
        <v>0</v>
      </c>
      <c r="G29" s="1570"/>
      <c r="H29" s="1580">
        <f>IF(Performance!$L$2="y",F29,E29*G29/1000)</f>
        <v>0</v>
      </c>
      <c r="I29" s="2431"/>
      <c r="J29" s="2432"/>
      <c r="K29" s="2433"/>
      <c r="L29" s="1581" t="str">
        <f t="shared" si="0"/>
        <v/>
      </c>
      <c r="M29" s="1514"/>
      <c r="N29" s="1514"/>
      <c r="O29" s="1593">
        <f>+'Emission Factors'!J33</f>
        <v>0.18745999999999999</v>
      </c>
      <c r="P29" s="1594">
        <f>(D29*O29)/1000</f>
        <v>0</v>
      </c>
      <c r="Q29" s="1595">
        <f>+'Emission Factors'!J34</f>
        <v>9.8663157894736953E-3</v>
      </c>
      <c r="R29" s="1594">
        <f>(D29*Q29)/1000</f>
        <v>0</v>
      </c>
      <c r="S29" s="1514"/>
      <c r="T29" s="1514"/>
      <c r="U29" s="1596">
        <f>+O29</f>
        <v>0.18745999999999999</v>
      </c>
      <c r="V29" s="1597">
        <f>IF(Performance!$L$2="y",P29,$G29*U29/1000)</f>
        <v>0</v>
      </c>
      <c r="W29" s="1598">
        <f>+Q29</f>
        <v>9.8663157894736953E-3</v>
      </c>
      <c r="X29" s="1597">
        <f>IF(Performance!$L$2="y",R29,$G29*W29/1000)</f>
        <v>0</v>
      </c>
      <c r="Y29" s="1514"/>
      <c r="Z29" s="1514"/>
      <c r="AA29" s="1514"/>
      <c r="AB29" s="1514"/>
      <c r="AC29" s="1514"/>
      <c r="AD29" s="1514"/>
    </row>
    <row r="30" spans="1:30" ht="15.75" customHeight="1" thickBot="1" x14ac:dyDescent="0.35">
      <c r="A30" s="1522" t="s">
        <v>372</v>
      </c>
      <c r="B30" s="2426"/>
      <c r="C30" s="1591" t="s">
        <v>49</v>
      </c>
      <c r="D30" s="1567"/>
      <c r="E30" s="1592">
        <f>+'Emission Factors'!J17</f>
        <v>0</v>
      </c>
      <c r="F30" s="1569">
        <f>(D30*E30)/1000</f>
        <v>0</v>
      </c>
      <c r="G30" s="1570"/>
      <c r="H30" s="1580">
        <f>IF(Performance!$L$2="y",F30,E30*G30/1000)</f>
        <v>0</v>
      </c>
      <c r="I30" s="2431"/>
      <c r="J30" s="2432"/>
      <c r="K30" s="2433"/>
      <c r="L30" s="1581" t="str">
        <f t="shared" si="0"/>
        <v/>
      </c>
      <c r="M30" s="1514"/>
      <c r="N30" s="1514"/>
      <c r="O30" s="1514"/>
      <c r="P30" s="1514"/>
      <c r="Q30" s="1514"/>
      <c r="R30" s="1514"/>
      <c r="S30" s="1514"/>
      <c r="T30" s="1514"/>
      <c r="U30" s="1514"/>
      <c r="V30" s="1514"/>
      <c r="W30" s="1514"/>
      <c r="X30" s="1514"/>
      <c r="Y30" s="1514"/>
      <c r="Z30" s="1514"/>
      <c r="AA30" s="1514"/>
      <c r="AB30" s="1514"/>
      <c r="AC30" s="1514"/>
      <c r="AD30" s="1514"/>
    </row>
    <row r="31" spans="1:30" ht="23.25" customHeight="1" thickBot="1" x14ac:dyDescent="0.35">
      <c r="A31" s="1522" t="s">
        <v>372</v>
      </c>
      <c r="B31" s="2426"/>
      <c r="C31" s="1591" t="s">
        <v>50</v>
      </c>
      <c r="D31" s="1567"/>
      <c r="E31" s="1599"/>
      <c r="F31" s="1569">
        <f t="shared" si="1"/>
        <v>0</v>
      </c>
      <c r="G31" s="1570"/>
      <c r="H31" s="1580">
        <f>IF(Performance!$L$2="y",F31,E31*G31/1000)</f>
        <v>0</v>
      </c>
      <c r="I31" s="2431"/>
      <c r="J31" s="2432"/>
      <c r="K31" s="2433"/>
      <c r="L31" s="1581" t="str">
        <f>IF(OR(D31&lt;0,G31&lt;0),"Error - negative number",IF(G31&gt;D31,"Offices only &gt; Total Estate",IF(AND(D31&gt;0,E31=""),"Please enter CO2e factor","")))</f>
        <v/>
      </c>
      <c r="M31" s="1514"/>
      <c r="N31" s="1514"/>
      <c r="O31" s="2421" t="s">
        <v>511</v>
      </c>
      <c r="P31" s="2422"/>
      <c r="Q31" s="2421" t="s">
        <v>512</v>
      </c>
      <c r="R31" s="2422"/>
      <c r="S31" s="1514"/>
      <c r="T31" s="1514"/>
      <c r="U31" s="2414" t="s">
        <v>511</v>
      </c>
      <c r="V31" s="2415"/>
      <c r="W31" s="2414" t="s">
        <v>512</v>
      </c>
      <c r="X31" s="2415"/>
      <c r="Y31" s="1514"/>
      <c r="Z31" s="1514"/>
      <c r="AA31" s="1514"/>
      <c r="AB31" s="1514"/>
      <c r="AC31" s="1514"/>
      <c r="AD31" s="1514"/>
    </row>
    <row r="32" spans="1:30" ht="15" customHeight="1" thickBot="1" x14ac:dyDescent="0.35">
      <c r="A32" s="1522" t="s">
        <v>372</v>
      </c>
      <c r="B32" s="2426"/>
      <c r="C32" s="1591" t="s">
        <v>369</v>
      </c>
      <c r="D32" s="1567"/>
      <c r="E32" s="1592">
        <f>+O32+Q32</f>
        <v>0.26563604119443424</v>
      </c>
      <c r="F32" s="1569">
        <f>P32+R32</f>
        <v>0</v>
      </c>
      <c r="G32" s="1570"/>
      <c r="H32" s="1580">
        <f>IF(Performance!$L$2="y",F32,E32*G32/1000)</f>
        <v>0</v>
      </c>
      <c r="I32" s="2431"/>
      <c r="J32" s="2432"/>
      <c r="K32" s="2433"/>
      <c r="L32" s="1581" t="str">
        <f t="shared" si="0"/>
        <v/>
      </c>
      <c r="M32" s="1514"/>
      <c r="N32" s="1514"/>
      <c r="O32" s="1593">
        <f>+'Emission Factors'!J31</f>
        <v>0.26563604119443424</v>
      </c>
      <c r="P32" s="1594">
        <f>(D32*O32)/1000</f>
        <v>0</v>
      </c>
      <c r="Q32" s="1595">
        <f>+'Emission Factors'!J32</f>
        <v>0</v>
      </c>
      <c r="R32" s="1594">
        <f>(D32*Q32)/1000</f>
        <v>0</v>
      </c>
      <c r="S32" s="1514"/>
      <c r="T32" s="1514"/>
      <c r="U32" s="1596">
        <f>+O32</f>
        <v>0.26563604119443424</v>
      </c>
      <c r="V32" s="1597">
        <f>IF(Performance!$L$2="y",P32,$G32*U32/1000)</f>
        <v>0</v>
      </c>
      <c r="W32" s="1598">
        <f>+Q32</f>
        <v>0</v>
      </c>
      <c r="X32" s="1597">
        <f>IF(Performance!$L$2="y",R32,$G32*W32/1000)</f>
        <v>0</v>
      </c>
      <c r="Y32" s="1514"/>
      <c r="Z32" s="1514"/>
      <c r="AA32" s="1514"/>
      <c r="AB32" s="1514"/>
      <c r="AC32" s="1514"/>
      <c r="AD32" s="1514"/>
    </row>
    <row r="33" spans="1:30" ht="15.75" customHeight="1" x14ac:dyDescent="0.3">
      <c r="A33" s="1522" t="s">
        <v>370</v>
      </c>
      <c r="B33" s="2426"/>
      <c r="C33" s="1591" t="s">
        <v>514</v>
      </c>
      <c r="D33" s="1567"/>
      <c r="E33" s="1567"/>
      <c r="F33" s="1569">
        <f>(D33*E33)/1000</f>
        <v>0</v>
      </c>
      <c r="G33" s="1570"/>
      <c r="H33" s="1580">
        <f>IF(Performance!$L$2="y",F33,E33*G33/1000)</f>
        <v>0</v>
      </c>
      <c r="I33" s="1600"/>
      <c r="J33" s="2451"/>
      <c r="K33" s="2452"/>
      <c r="L33" s="1581" t="str">
        <f t="shared" si="0"/>
        <v/>
      </c>
      <c r="M33" s="1514"/>
      <c r="N33" s="1514"/>
      <c r="O33" s="1514"/>
      <c r="P33" s="1514"/>
      <c r="Q33" s="1514"/>
      <c r="R33" s="1514"/>
      <c r="S33" s="1514"/>
      <c r="T33" s="1514"/>
      <c r="U33" s="1514"/>
      <c r="V33" s="1514"/>
      <c r="W33" s="1514"/>
      <c r="X33" s="1514"/>
      <c r="Y33" s="1514"/>
      <c r="Z33" s="1514"/>
      <c r="AA33" s="1514"/>
      <c r="AB33" s="1514"/>
      <c r="AC33" s="1514"/>
      <c r="AD33" s="1514"/>
    </row>
    <row r="34" spans="1:30" ht="15.75" customHeight="1" x14ac:dyDescent="0.3">
      <c r="A34" s="1522"/>
      <c r="B34" s="2426"/>
      <c r="C34" s="1591" t="s">
        <v>515</v>
      </c>
      <c r="D34" s="1567"/>
      <c r="E34" s="1567"/>
      <c r="F34" s="1569">
        <f t="shared" ref="F34:F35" si="2">(D34*E34)/1000</f>
        <v>0</v>
      </c>
      <c r="G34" s="1570"/>
      <c r="H34" s="1580">
        <f>IF(Performance!$L$2="y",F34,E34*G34/1000)</f>
        <v>0</v>
      </c>
      <c r="I34" s="1600"/>
      <c r="J34" s="2453"/>
      <c r="K34" s="2452"/>
      <c r="L34" s="1581" t="str">
        <f t="shared" si="0"/>
        <v/>
      </c>
      <c r="M34" s="1514"/>
      <c r="N34" s="1514"/>
      <c r="O34" s="1514"/>
      <c r="P34" s="1514"/>
      <c r="Q34" s="1514"/>
      <c r="R34" s="1514"/>
      <c r="S34" s="1514"/>
      <c r="T34" s="1514"/>
      <c r="U34" s="1514"/>
      <c r="V34" s="1514"/>
      <c r="W34" s="1514"/>
      <c r="X34" s="1514"/>
      <c r="Y34" s="1514"/>
      <c r="Z34" s="1514"/>
      <c r="AA34" s="1514"/>
      <c r="AB34" s="1514"/>
      <c r="AC34" s="1514"/>
      <c r="AD34" s="1514"/>
    </row>
    <row r="35" spans="1:30" ht="15.75" customHeight="1" thickBot="1" x14ac:dyDescent="0.35">
      <c r="A35" s="1522"/>
      <c r="B35" s="2427"/>
      <c r="C35" s="1566" t="s">
        <v>516</v>
      </c>
      <c r="D35" s="1567">
        <v>21388.333333333299</v>
      </c>
      <c r="E35" s="1567">
        <v>0.24665000000000001</v>
      </c>
      <c r="F35" s="1569">
        <f t="shared" si="2"/>
        <v>5.275432416666658</v>
      </c>
      <c r="G35" s="1570"/>
      <c r="H35" s="1580">
        <f>IF(Performance!$L$2="y",F35,E35*G35/1000)</f>
        <v>0</v>
      </c>
      <c r="I35" s="1601" t="s">
        <v>139</v>
      </c>
      <c r="J35" s="2454" t="s">
        <v>541</v>
      </c>
      <c r="K35" s="2455"/>
      <c r="L35" s="1581" t="str">
        <f t="shared" si="0"/>
        <v/>
      </c>
      <c r="M35" s="1514"/>
      <c r="N35" s="1514"/>
      <c r="O35" s="1514"/>
      <c r="P35" s="1514"/>
      <c r="Q35" s="1514"/>
      <c r="R35" s="1514"/>
      <c r="S35" s="1514"/>
      <c r="T35" s="1514"/>
      <c r="U35" s="1514"/>
      <c r="V35" s="1514"/>
      <c r="W35" s="1514"/>
      <c r="X35" s="1514"/>
      <c r="Y35" s="1514"/>
      <c r="Z35" s="1514"/>
      <c r="AA35" s="1514"/>
      <c r="AB35" s="1514"/>
      <c r="AC35" s="1514"/>
      <c r="AD35" s="1514"/>
    </row>
    <row r="36" spans="1:30" ht="15" customHeight="1" x14ac:dyDescent="0.3">
      <c r="A36" s="1522" t="s">
        <v>370</v>
      </c>
      <c r="B36" s="2425" t="s">
        <v>53</v>
      </c>
      <c r="C36" s="1602" t="s">
        <v>54</v>
      </c>
      <c r="D36" s="1603">
        <v>3973</v>
      </c>
      <c r="E36" s="1568">
        <f>+'Emission Factors'!J21</f>
        <v>0</v>
      </c>
      <c r="F36" s="1604">
        <f t="shared" si="1"/>
        <v>0</v>
      </c>
      <c r="G36" s="1605"/>
      <c r="H36" s="1571">
        <f>IF(Performance!$L$2="y",F36,E36*G36/1000)</f>
        <v>0</v>
      </c>
      <c r="I36" s="2428" t="s">
        <v>537</v>
      </c>
      <c r="J36" s="2429"/>
      <c r="K36" s="2430"/>
      <c r="L36" s="1606" t="str">
        <f t="shared" si="0"/>
        <v/>
      </c>
      <c r="M36" s="1514"/>
      <c r="N36" s="1514"/>
      <c r="O36" s="1514"/>
      <c r="P36" s="1514"/>
      <c r="Q36" s="1514"/>
      <c r="R36" s="1514"/>
      <c r="S36" s="1514"/>
      <c r="T36" s="1514"/>
      <c r="U36" s="1514"/>
      <c r="V36" s="1514"/>
      <c r="W36" s="1514"/>
      <c r="X36" s="1514"/>
      <c r="Y36" s="1514"/>
      <c r="Z36" s="1514"/>
      <c r="AA36" s="1514"/>
      <c r="AB36" s="1514"/>
      <c r="AC36" s="1514"/>
      <c r="AD36" s="1514"/>
    </row>
    <row r="37" spans="1:30" ht="15" customHeight="1" x14ac:dyDescent="0.3">
      <c r="A37" s="1522" t="s">
        <v>370</v>
      </c>
      <c r="B37" s="2426"/>
      <c r="C37" s="1591" t="s">
        <v>55</v>
      </c>
      <c r="D37" s="1607"/>
      <c r="E37" s="1592">
        <f>+'Emission Factors'!J22</f>
        <v>0</v>
      </c>
      <c r="F37" s="1608">
        <f t="shared" si="1"/>
        <v>0</v>
      </c>
      <c r="G37" s="1609"/>
      <c r="H37" s="1580">
        <f>IF(Performance!$L$2="y",F37,E37*G37/1000)</f>
        <v>0</v>
      </c>
      <c r="I37" s="2431"/>
      <c r="J37" s="2432"/>
      <c r="K37" s="2433"/>
      <c r="L37" s="1581" t="str">
        <f t="shared" si="0"/>
        <v/>
      </c>
      <c r="M37" s="1514"/>
      <c r="N37" s="1514"/>
      <c r="O37" s="1514"/>
      <c r="P37" s="1514"/>
      <c r="Q37" s="1514"/>
      <c r="R37" s="1514"/>
      <c r="S37" s="1514"/>
      <c r="T37" s="1514"/>
      <c r="U37" s="1514"/>
      <c r="V37" s="1514"/>
      <c r="W37" s="1514"/>
      <c r="X37" s="1514"/>
      <c r="Y37" s="1514"/>
      <c r="Z37" s="1514"/>
      <c r="AA37" s="1514"/>
      <c r="AB37" s="1514"/>
      <c r="AC37" s="1514"/>
      <c r="AD37" s="1514"/>
    </row>
    <row r="38" spans="1:30" ht="15" customHeight="1" x14ac:dyDescent="0.3">
      <c r="A38" s="1522" t="s">
        <v>370</v>
      </c>
      <c r="B38" s="2426"/>
      <c r="C38" s="1591" t="s">
        <v>56</v>
      </c>
      <c r="D38" s="1607"/>
      <c r="E38" s="1592">
        <f>+'Emission Factors'!J23</f>
        <v>0</v>
      </c>
      <c r="F38" s="1608">
        <f t="shared" si="1"/>
        <v>0</v>
      </c>
      <c r="G38" s="1609"/>
      <c r="H38" s="1580">
        <f>IF(Performance!$L$2="y",F38,E38*G38/1000)</f>
        <v>0</v>
      </c>
      <c r="I38" s="2431"/>
      <c r="J38" s="2432"/>
      <c r="K38" s="2433"/>
      <c r="L38" s="1581" t="str">
        <f t="shared" si="0"/>
        <v/>
      </c>
      <c r="M38" s="1514"/>
      <c r="N38" s="1514"/>
      <c r="O38" s="1514"/>
      <c r="P38" s="1514"/>
      <c r="Q38" s="1514"/>
      <c r="R38" s="1514"/>
      <c r="S38" s="1514"/>
      <c r="T38" s="1514"/>
      <c r="U38" s="1514"/>
      <c r="V38" s="1514"/>
      <c r="W38" s="1514"/>
      <c r="X38" s="1514"/>
      <c r="Y38" s="1514"/>
      <c r="Z38" s="1514"/>
      <c r="AA38" s="1514"/>
      <c r="AB38" s="1514"/>
      <c r="AC38" s="1514"/>
      <c r="AD38" s="1514"/>
    </row>
    <row r="39" spans="1:30" ht="15" customHeight="1" x14ac:dyDescent="0.3">
      <c r="A39" s="1522" t="s">
        <v>370</v>
      </c>
      <c r="B39" s="2426"/>
      <c r="C39" s="1591" t="s">
        <v>410</v>
      </c>
      <c r="D39" s="1607"/>
      <c r="E39" s="1610"/>
      <c r="F39" s="1608">
        <f t="shared" si="1"/>
        <v>0</v>
      </c>
      <c r="G39" s="1609"/>
      <c r="H39" s="1580">
        <f>IF(Performance!$L$2="y",F39,E39*G39/1000)</f>
        <v>0</v>
      </c>
      <c r="I39" s="2431"/>
      <c r="J39" s="2432"/>
      <c r="K39" s="2433"/>
      <c r="L39" s="1581" t="str">
        <f t="shared" si="0"/>
        <v/>
      </c>
      <c r="M39" s="1514"/>
      <c r="N39" s="1514"/>
      <c r="O39" s="1514"/>
      <c r="P39" s="1514"/>
      <c r="Q39" s="1514"/>
      <c r="R39" s="1514"/>
      <c r="S39" s="1514"/>
      <c r="T39" s="1514"/>
      <c r="U39" s="1514"/>
      <c r="V39" s="1514"/>
      <c r="W39" s="1514"/>
      <c r="X39" s="1514"/>
      <c r="Y39" s="1514"/>
      <c r="Z39" s="1514"/>
      <c r="AA39" s="1514"/>
      <c r="AB39" s="1514"/>
      <c r="AC39" s="1514"/>
      <c r="AD39" s="1514"/>
    </row>
    <row r="40" spans="1:30" ht="15" customHeight="1" x14ac:dyDescent="0.3">
      <c r="A40" s="1522"/>
      <c r="B40" s="2426"/>
      <c r="C40" s="1591" t="s">
        <v>411</v>
      </c>
      <c r="D40" s="1607"/>
      <c r="E40" s="1610"/>
      <c r="F40" s="1608">
        <f t="shared" si="1"/>
        <v>0</v>
      </c>
      <c r="G40" s="1609"/>
      <c r="H40" s="1580">
        <f>IF(Performance!$L$2="y",F40,E40*G40/1000)</f>
        <v>0</v>
      </c>
      <c r="I40" s="2431"/>
      <c r="J40" s="2432"/>
      <c r="K40" s="2433"/>
      <c r="L40" s="1581"/>
      <c r="M40" s="1514"/>
      <c r="N40" s="1514"/>
      <c r="O40" s="1514"/>
      <c r="P40" s="1514"/>
      <c r="Q40" s="1514"/>
      <c r="R40" s="1514"/>
      <c r="S40" s="1514"/>
      <c r="T40" s="1514"/>
      <c r="U40" s="1514"/>
      <c r="V40" s="1514"/>
      <c r="W40" s="1514"/>
      <c r="X40" s="1514"/>
      <c r="Y40" s="1514"/>
      <c r="Z40" s="1514"/>
      <c r="AA40" s="1514"/>
      <c r="AB40" s="1514"/>
      <c r="AC40" s="1514"/>
      <c r="AD40" s="1514"/>
    </row>
    <row r="41" spans="1:30" ht="15" customHeight="1" x14ac:dyDescent="0.3">
      <c r="A41" s="1522"/>
      <c r="B41" s="2426"/>
      <c r="C41" s="1591" t="s">
        <v>412</v>
      </c>
      <c r="D41" s="1607"/>
      <c r="E41" s="1610"/>
      <c r="F41" s="1608">
        <f t="shared" si="1"/>
        <v>0</v>
      </c>
      <c r="G41" s="1609"/>
      <c r="H41" s="1580">
        <f>IF(Performance!$L$2="y",F41,E41*G41/1000)</f>
        <v>0</v>
      </c>
      <c r="I41" s="2431"/>
      <c r="J41" s="2432"/>
      <c r="K41" s="2433"/>
      <c r="L41" s="1581"/>
      <c r="M41" s="1514"/>
      <c r="N41" s="1514"/>
      <c r="O41" s="1514"/>
      <c r="P41" s="1514"/>
      <c r="Q41" s="1514"/>
      <c r="R41" s="1514"/>
      <c r="S41" s="1514"/>
      <c r="T41" s="1514"/>
      <c r="U41" s="1514"/>
      <c r="V41" s="1514"/>
      <c r="W41" s="1514"/>
      <c r="X41" s="1514"/>
      <c r="Y41" s="1514"/>
      <c r="Z41" s="1514"/>
      <c r="AA41" s="1514"/>
      <c r="AB41" s="1514"/>
      <c r="AC41" s="1514"/>
      <c r="AD41" s="1514"/>
    </row>
    <row r="42" spans="1:30" ht="15" customHeight="1" x14ac:dyDescent="0.3">
      <c r="A42" s="1522" t="s">
        <v>370</v>
      </c>
      <c r="B42" s="2426"/>
      <c r="C42" s="357" t="s">
        <v>57</v>
      </c>
      <c r="D42" s="1611">
        <f>+CHP!CN22</f>
        <v>0</v>
      </c>
      <c r="E42" s="1592">
        <f>+CHP!AY17</f>
        <v>0</v>
      </c>
      <c r="F42" s="1608">
        <f>(D42*E42)/1000</f>
        <v>0</v>
      </c>
      <c r="G42" s="1609"/>
      <c r="H42" s="1612">
        <f>IF(Performance!$L$2="y",F42,E42*G42/1000)</f>
        <v>0</v>
      </c>
      <c r="I42" s="2431"/>
      <c r="J42" s="2432"/>
      <c r="K42" s="2433"/>
      <c r="L42" s="1581" t="str">
        <f t="shared" si="0"/>
        <v/>
      </c>
      <c r="M42" s="1514"/>
      <c r="N42" s="1514"/>
      <c r="O42" s="1514"/>
      <c r="P42" s="1514"/>
      <c r="Q42" s="1514"/>
      <c r="R42" s="1514"/>
      <c r="S42" s="1514"/>
      <c r="T42" s="1514"/>
      <c r="U42" s="1514"/>
      <c r="V42" s="1514"/>
      <c r="W42" s="1514"/>
      <c r="X42" s="1514"/>
      <c r="Y42" s="1514"/>
      <c r="Z42" s="1514"/>
      <c r="AA42" s="1514"/>
      <c r="AB42" s="1514"/>
      <c r="AC42" s="1514"/>
      <c r="AD42" s="1514"/>
    </row>
    <row r="43" spans="1:30" ht="15" customHeight="1" x14ac:dyDescent="0.3">
      <c r="A43" s="1522" t="s">
        <v>370</v>
      </c>
      <c r="B43" s="2426"/>
      <c r="C43" s="357" t="s">
        <v>58</v>
      </c>
      <c r="D43" s="1611">
        <f>+CHP!CN23</f>
        <v>0</v>
      </c>
      <c r="E43" s="1592">
        <f>+CHP!AY18</f>
        <v>0</v>
      </c>
      <c r="F43" s="1608">
        <f t="shared" si="1"/>
        <v>0</v>
      </c>
      <c r="G43" s="1609"/>
      <c r="H43" s="1612">
        <f>IF(Performance!$L$2="y",F43,E43*G43/1000)</f>
        <v>0</v>
      </c>
      <c r="I43" s="2431"/>
      <c r="J43" s="2432"/>
      <c r="K43" s="2433"/>
      <c r="L43" s="1581" t="str">
        <f t="shared" si="0"/>
        <v/>
      </c>
      <c r="M43" s="1514"/>
      <c r="N43" s="1514"/>
      <c r="O43" s="1514"/>
      <c r="P43" s="1514"/>
      <c r="Q43" s="1514"/>
      <c r="R43" s="1514"/>
      <c r="S43" s="1514"/>
      <c r="T43" s="1514"/>
      <c r="U43" s="1514"/>
      <c r="V43" s="1514"/>
      <c r="W43" s="1514"/>
      <c r="X43" s="1514"/>
      <c r="Y43" s="1514"/>
      <c r="Z43" s="1514"/>
      <c r="AA43" s="1514"/>
      <c r="AB43" s="1514"/>
      <c r="AC43" s="1514"/>
      <c r="AD43" s="1514"/>
    </row>
    <row r="44" spans="1:30" ht="15" customHeight="1" x14ac:dyDescent="0.3">
      <c r="A44" s="1522" t="s">
        <v>370</v>
      </c>
      <c r="B44" s="2426"/>
      <c r="C44" s="357" t="s">
        <v>59</v>
      </c>
      <c r="D44" s="1611">
        <f>+CHP!CN49</f>
        <v>0</v>
      </c>
      <c r="E44" s="1592">
        <f>+CHP!AY44</f>
        <v>0</v>
      </c>
      <c r="F44" s="1608">
        <f t="shared" si="1"/>
        <v>0</v>
      </c>
      <c r="G44" s="1609"/>
      <c r="H44" s="1612">
        <f>IF(Performance!$L$2="y",F44,E44*G44/1000)</f>
        <v>0</v>
      </c>
      <c r="I44" s="2431"/>
      <c r="J44" s="2432"/>
      <c r="K44" s="2433"/>
      <c r="L44" s="1581" t="str">
        <f t="shared" si="0"/>
        <v/>
      </c>
      <c r="M44" s="1514"/>
      <c r="N44" s="1514"/>
      <c r="O44" s="1514"/>
      <c r="P44" s="1514"/>
      <c r="Q44" s="1514"/>
      <c r="R44" s="1514"/>
      <c r="S44" s="1514"/>
      <c r="T44" s="1514"/>
      <c r="U44" s="1514"/>
      <c r="V44" s="1514"/>
      <c r="W44" s="1514"/>
      <c r="X44" s="1514"/>
      <c r="Y44" s="1514"/>
      <c r="Z44" s="1514"/>
      <c r="AA44" s="1514"/>
      <c r="AB44" s="1514"/>
      <c r="AC44" s="1514"/>
      <c r="AD44" s="1514"/>
    </row>
    <row r="45" spans="1:30" ht="15" customHeight="1" x14ac:dyDescent="0.3">
      <c r="A45" s="1522" t="s">
        <v>370</v>
      </c>
      <c r="B45" s="2426"/>
      <c r="C45" s="357" t="s">
        <v>60</v>
      </c>
      <c r="D45" s="1611">
        <f>+CHP!CN50</f>
        <v>0</v>
      </c>
      <c r="E45" s="1592">
        <f>+CHP!AY45</f>
        <v>0</v>
      </c>
      <c r="F45" s="1608">
        <f t="shared" si="1"/>
        <v>0</v>
      </c>
      <c r="G45" s="1609"/>
      <c r="H45" s="1612">
        <f>IF(Performance!$L$2="y",F45,E45*G45/1000)</f>
        <v>0</v>
      </c>
      <c r="I45" s="2431"/>
      <c r="J45" s="2432"/>
      <c r="K45" s="2433"/>
      <c r="L45" s="1581" t="str">
        <f t="shared" si="0"/>
        <v/>
      </c>
      <c r="M45" s="1514"/>
      <c r="N45" s="1514"/>
      <c r="O45" s="1514"/>
      <c r="P45" s="1514"/>
      <c r="Q45" s="1514"/>
      <c r="R45" s="1514"/>
      <c r="S45" s="1514"/>
      <c r="T45" s="1514"/>
      <c r="U45" s="1514"/>
      <c r="V45" s="1514"/>
      <c r="W45" s="1514"/>
      <c r="X45" s="1514"/>
      <c r="Y45" s="1514"/>
      <c r="Z45" s="1514"/>
      <c r="AA45" s="1514"/>
      <c r="AB45" s="1514"/>
      <c r="AC45" s="1514"/>
      <c r="AD45" s="1514"/>
    </row>
    <row r="46" spans="1:30" ht="15" customHeight="1" x14ac:dyDescent="0.3">
      <c r="A46" s="1522" t="s">
        <v>370</v>
      </c>
      <c r="B46" s="2426"/>
      <c r="C46" s="357" t="s">
        <v>61</v>
      </c>
      <c r="D46" s="1611">
        <f>+CHP!CN76</f>
        <v>0</v>
      </c>
      <c r="E46" s="1592">
        <f>+CHP!AY71</f>
        <v>0</v>
      </c>
      <c r="F46" s="1608">
        <f t="shared" si="1"/>
        <v>0</v>
      </c>
      <c r="G46" s="1609"/>
      <c r="H46" s="1612">
        <f>IF(Performance!$L$2="y",F46,E46*G46/1000)</f>
        <v>0</v>
      </c>
      <c r="I46" s="2431"/>
      <c r="J46" s="2432"/>
      <c r="K46" s="2433"/>
      <c r="L46" s="1581" t="str">
        <f t="shared" si="0"/>
        <v/>
      </c>
      <c r="M46" s="1514"/>
      <c r="N46" s="1514"/>
      <c r="O46" s="1514"/>
      <c r="P46" s="1514"/>
      <c r="Q46" s="1514"/>
      <c r="R46" s="1514"/>
      <c r="S46" s="1514"/>
      <c r="T46" s="1514"/>
      <c r="U46" s="1514"/>
      <c r="V46" s="1514"/>
      <c r="W46" s="1514"/>
      <c r="X46" s="1514"/>
      <c r="Y46" s="1514"/>
      <c r="Z46" s="1514"/>
      <c r="AA46" s="1514"/>
      <c r="AB46" s="1514"/>
      <c r="AC46" s="1514"/>
      <c r="AD46" s="1514"/>
    </row>
    <row r="47" spans="1:30" ht="15.75" customHeight="1" thickBot="1" x14ac:dyDescent="0.35">
      <c r="A47" s="1522" t="s">
        <v>370</v>
      </c>
      <c r="B47" s="2427"/>
      <c r="C47" s="358" t="s">
        <v>62</v>
      </c>
      <c r="D47" s="1613">
        <f>+CHP!CN77</f>
        <v>0</v>
      </c>
      <c r="E47" s="1614">
        <f>+CHP!AY72</f>
        <v>0</v>
      </c>
      <c r="F47" s="1615">
        <f t="shared" si="1"/>
        <v>0</v>
      </c>
      <c r="G47" s="1616"/>
      <c r="H47" s="1617">
        <f>IF(Performance!$L$2="y",F47,E47*G47/1000)</f>
        <v>0</v>
      </c>
      <c r="I47" s="2448"/>
      <c r="J47" s="2449"/>
      <c r="K47" s="2450"/>
      <c r="L47" s="1618" t="str">
        <f t="shared" si="0"/>
        <v/>
      </c>
      <c r="M47" s="1514"/>
      <c r="N47" s="1514"/>
      <c r="O47" s="1514"/>
      <c r="P47" s="1514"/>
      <c r="Q47" s="1514"/>
      <c r="R47" s="1514"/>
      <c r="S47" s="1514"/>
      <c r="T47" s="1514"/>
      <c r="U47" s="1514"/>
      <c r="V47" s="1514"/>
      <c r="W47" s="1514"/>
      <c r="X47" s="1514"/>
      <c r="Y47" s="1514"/>
      <c r="Z47" s="1514"/>
      <c r="AA47" s="1514"/>
      <c r="AB47" s="1514"/>
      <c r="AC47" s="1514"/>
      <c r="AD47" s="1514"/>
    </row>
    <row r="48" spans="1:30" x14ac:dyDescent="0.3">
      <c r="A48" s="1522"/>
      <c r="B48" s="1514" t="s">
        <v>63</v>
      </c>
      <c r="C48" s="1535"/>
      <c r="D48" s="1535"/>
      <c r="E48" s="1535"/>
      <c r="F48" s="1535"/>
      <c r="G48" s="1535"/>
      <c r="H48" s="1535"/>
      <c r="I48" s="1535"/>
      <c r="J48" s="1535"/>
      <c r="K48" s="1535"/>
      <c r="L48" s="1514"/>
      <c r="M48" s="1514"/>
      <c r="N48" s="1514"/>
      <c r="O48" s="1514"/>
      <c r="P48" s="1514"/>
      <c r="Q48" s="1514"/>
      <c r="R48" s="1514"/>
      <c r="S48" s="1514"/>
      <c r="T48" s="1514"/>
      <c r="U48" s="1514"/>
      <c r="V48" s="1514"/>
      <c r="W48" s="1514"/>
      <c r="X48" s="1514"/>
      <c r="Y48" s="1514"/>
      <c r="Z48" s="1514"/>
      <c r="AA48" s="1514"/>
      <c r="AB48" s="1514"/>
      <c r="AC48" s="1514"/>
      <c r="AD48" s="1514"/>
    </row>
    <row r="49" spans="1:30" s="1550" customFormat="1" ht="23.4" x14ac:dyDescent="0.3">
      <c r="A49" s="1545" t="s">
        <v>506</v>
      </c>
      <c r="B49" s="1546" t="s">
        <v>65</v>
      </c>
      <c r="C49" s="1547"/>
      <c r="D49" s="2387" t="str">
        <f>+$A$1</f>
        <v>Quarter 4 - 2018-2019</v>
      </c>
      <c r="E49" s="2387"/>
      <c r="F49" s="2387"/>
      <c r="G49" s="2387"/>
      <c r="H49" s="2387"/>
      <c r="I49" s="2387"/>
      <c r="J49" s="2387"/>
      <c r="K49" s="1548"/>
      <c r="L49" s="1548"/>
      <c r="M49" s="1548"/>
      <c r="N49" s="1548"/>
      <c r="O49" s="1548"/>
      <c r="P49" s="1548"/>
      <c r="Q49" s="1548"/>
      <c r="R49" s="1548"/>
      <c r="S49" s="1548"/>
      <c r="T49" s="1548"/>
      <c r="U49" s="1548"/>
      <c r="V49" s="1548"/>
      <c r="W49" s="1548"/>
      <c r="X49" s="1548"/>
      <c r="Y49" s="1549"/>
      <c r="Z49" s="1549"/>
      <c r="AA49" s="1549"/>
      <c r="AB49" s="1549"/>
      <c r="AC49" s="1549"/>
      <c r="AD49" s="1549"/>
    </row>
    <row r="50" spans="1:30" ht="14.4" thickBot="1" x14ac:dyDescent="0.35">
      <c r="A50" s="1522"/>
      <c r="B50" s="1534" t="s">
        <v>66</v>
      </c>
      <c r="C50" s="1538"/>
      <c r="D50" s="1535"/>
      <c r="E50" s="1535"/>
      <c r="F50" s="1535"/>
      <c r="G50" s="1535"/>
      <c r="H50" s="1535"/>
      <c r="I50" s="1535"/>
      <c r="J50" s="1535"/>
      <c r="K50" s="1535"/>
      <c r="L50" s="1514"/>
      <c r="M50" s="1514"/>
      <c r="N50" s="1514"/>
      <c r="O50" s="1514"/>
      <c r="P50" s="1514"/>
      <c r="Q50" s="1514"/>
      <c r="R50" s="1514"/>
      <c r="S50" s="1514"/>
      <c r="T50" s="1514"/>
      <c r="U50" s="1514"/>
      <c r="V50" s="1514"/>
      <c r="W50" s="1514"/>
      <c r="X50" s="1514"/>
      <c r="Y50" s="1514"/>
      <c r="Z50" s="1514"/>
      <c r="AA50" s="1514"/>
      <c r="AB50" s="1514"/>
      <c r="AC50" s="1514"/>
      <c r="AD50" s="1514"/>
    </row>
    <row r="51" spans="1:30" ht="30" customHeight="1" thickBot="1" x14ac:dyDescent="0.35">
      <c r="A51" s="1522"/>
      <c r="B51" s="1514"/>
      <c r="C51" s="1514"/>
      <c r="D51" s="2468" t="s">
        <v>23</v>
      </c>
      <c r="E51" s="2469"/>
      <c r="F51" s="2470"/>
      <c r="G51" s="2471" t="s">
        <v>144</v>
      </c>
      <c r="H51" s="2472"/>
      <c r="I51" s="2473" t="s">
        <v>24</v>
      </c>
      <c r="J51" s="2474"/>
      <c r="K51" s="2475"/>
      <c r="L51" s="2419" t="s">
        <v>461</v>
      </c>
      <c r="M51" s="1514"/>
      <c r="N51" s="1514"/>
      <c r="O51" s="1514"/>
      <c r="P51" s="1514"/>
      <c r="Q51" s="1514"/>
      <c r="R51" s="1514"/>
      <c r="S51" s="1514"/>
      <c r="T51" s="1514"/>
      <c r="U51" s="1514"/>
      <c r="V51" s="1514"/>
      <c r="W51" s="1514"/>
      <c r="X51" s="1514"/>
      <c r="Y51" s="1514"/>
      <c r="Z51" s="1514"/>
      <c r="AA51" s="1514"/>
      <c r="AB51" s="1514"/>
      <c r="AC51" s="1514"/>
      <c r="AD51" s="1514"/>
    </row>
    <row r="52" spans="1:30" ht="39" customHeight="1" thickBot="1" x14ac:dyDescent="0.35">
      <c r="A52" s="1522"/>
      <c r="B52" s="1619"/>
      <c r="C52" s="1538"/>
      <c r="D52" s="1620" t="s">
        <v>67</v>
      </c>
      <c r="E52" s="1621" t="s">
        <v>68</v>
      </c>
      <c r="F52" s="1622" t="s">
        <v>28</v>
      </c>
      <c r="G52" s="1555" t="s">
        <v>67</v>
      </c>
      <c r="H52" s="1555" t="s">
        <v>28</v>
      </c>
      <c r="I52" s="2476"/>
      <c r="J52" s="2477"/>
      <c r="K52" s="2478"/>
      <c r="L52" s="2420"/>
      <c r="M52" s="1514"/>
      <c r="N52" s="1514"/>
      <c r="O52" s="1514"/>
      <c r="P52" s="1514"/>
      <c r="Q52" s="1514"/>
      <c r="R52" s="1514"/>
      <c r="S52" s="1514"/>
      <c r="T52" s="1514"/>
      <c r="U52" s="1514"/>
      <c r="V52" s="1514"/>
      <c r="W52" s="1514"/>
      <c r="X52" s="1514"/>
      <c r="Y52" s="1514"/>
      <c r="Z52" s="1514"/>
      <c r="AA52" s="1514"/>
      <c r="AB52" s="1514"/>
      <c r="AC52" s="1514"/>
      <c r="AD52" s="1514"/>
    </row>
    <row r="53" spans="1:30" ht="13.5" customHeight="1" thickBot="1" x14ac:dyDescent="0.35">
      <c r="A53" s="1522" t="s">
        <v>370</v>
      </c>
      <c r="B53" s="2479" t="s">
        <v>69</v>
      </c>
      <c r="C53" s="2480"/>
      <c r="D53" s="1623"/>
      <c r="E53" s="1624"/>
      <c r="F53" s="1625">
        <f>D53/1000</f>
        <v>0</v>
      </c>
      <c r="G53" s="1626">
        <v>728049.589172362</v>
      </c>
      <c r="H53" s="1627">
        <f>IF(Performance!L2="y",F53,G53/1000)</f>
        <v>728.04958917236195</v>
      </c>
      <c r="I53" s="2481"/>
      <c r="J53" s="2482"/>
      <c r="K53" s="2483"/>
      <c r="L53" s="1560" t="str">
        <f>IF(OR(D53&lt;0,G53&lt;0),"Error - negative number",IF(G53&gt;D53,"Offices only &gt; Total Estate",IF(AND(D53&gt;0,E53=""),"Please enter method used","")))</f>
        <v>Offices only &gt; Total Estate</v>
      </c>
      <c r="M53" s="1514"/>
      <c r="N53" s="1514"/>
      <c r="O53" s="1514"/>
      <c r="P53" s="1514"/>
      <c r="Q53" s="1514"/>
      <c r="R53" s="1514"/>
      <c r="S53" s="1514"/>
      <c r="T53" s="1514"/>
      <c r="U53" s="1514"/>
      <c r="V53" s="1514"/>
      <c r="W53" s="1514"/>
      <c r="X53" s="1514"/>
      <c r="Y53" s="1514"/>
      <c r="Z53" s="1514"/>
      <c r="AA53" s="1514"/>
      <c r="AB53" s="1514"/>
      <c r="AC53" s="1514"/>
      <c r="AD53" s="1514"/>
    </row>
    <row r="54" spans="1:30" x14ac:dyDescent="0.3">
      <c r="A54" s="1628"/>
      <c r="B54" s="1535"/>
      <c r="C54" s="1535"/>
      <c r="D54" s="1535"/>
      <c r="E54" s="1535"/>
      <c r="F54" s="1629"/>
      <c r="G54" s="1535"/>
      <c r="H54" s="1535"/>
      <c r="I54" s="1535"/>
      <c r="J54" s="1535"/>
      <c r="K54" s="1535"/>
      <c r="L54" s="1514"/>
      <c r="M54" s="1514"/>
      <c r="N54" s="1514"/>
      <c r="O54" s="1514"/>
      <c r="P54" s="1514"/>
      <c r="Q54" s="1514"/>
      <c r="R54" s="1514"/>
      <c r="S54" s="1514"/>
      <c r="T54" s="1514"/>
      <c r="U54" s="1514"/>
      <c r="V54" s="1514"/>
      <c r="W54" s="1514"/>
      <c r="X54" s="1514"/>
      <c r="Y54" s="1514"/>
      <c r="Z54" s="1514"/>
      <c r="AA54" s="1514"/>
      <c r="AB54" s="1514"/>
      <c r="AC54" s="1514"/>
      <c r="AD54" s="1514"/>
    </row>
    <row r="55" spans="1:30" s="1550" customFormat="1" ht="23.4" x14ac:dyDescent="0.3">
      <c r="A55" s="1545" t="s">
        <v>507</v>
      </c>
      <c r="B55" s="1546" t="s">
        <v>71</v>
      </c>
      <c r="C55" s="1547"/>
      <c r="D55" s="2387" t="str">
        <f>+$A$1</f>
        <v>Quarter 4 - 2018-2019</v>
      </c>
      <c r="E55" s="2387"/>
      <c r="F55" s="2387"/>
      <c r="G55" s="2387"/>
      <c r="H55" s="2387"/>
      <c r="I55" s="2387"/>
      <c r="J55" s="2387"/>
      <c r="K55" s="1548"/>
      <c r="L55" s="1548"/>
      <c r="M55" s="1548"/>
      <c r="N55" s="1548"/>
      <c r="O55" s="1548"/>
      <c r="P55" s="1548"/>
      <c r="Q55" s="1548"/>
      <c r="R55" s="1548"/>
      <c r="S55" s="1548"/>
      <c r="T55" s="1548"/>
      <c r="U55" s="1548"/>
      <c r="V55" s="1548"/>
      <c r="W55" s="1548"/>
      <c r="X55" s="1548"/>
      <c r="Y55" s="1549"/>
      <c r="Z55" s="1549"/>
      <c r="AA55" s="1549"/>
      <c r="AB55" s="1549"/>
      <c r="AC55" s="1549"/>
      <c r="AD55" s="1549"/>
    </row>
    <row r="56" spans="1:30" x14ac:dyDescent="0.3">
      <c r="A56" s="1522"/>
      <c r="B56" s="1534" t="s">
        <v>72</v>
      </c>
      <c r="C56" s="1538"/>
      <c r="D56" s="1535"/>
      <c r="E56" s="1535"/>
      <c r="F56" s="1535"/>
      <c r="G56" s="1535"/>
      <c r="H56" s="1535"/>
      <c r="I56" s="1535"/>
      <c r="J56" s="1535"/>
      <c r="K56" s="1535"/>
      <c r="L56" s="1514"/>
      <c r="M56" s="1514"/>
      <c r="N56" s="1514"/>
      <c r="O56" s="1514"/>
      <c r="P56" s="1514"/>
      <c r="Q56" s="1514"/>
      <c r="R56" s="1514"/>
      <c r="S56" s="1514"/>
      <c r="T56" s="1514"/>
      <c r="U56" s="1514"/>
      <c r="V56" s="1514"/>
      <c r="W56" s="1514"/>
      <c r="X56" s="1514"/>
      <c r="Y56" s="1514"/>
      <c r="Z56" s="1514"/>
      <c r="AA56" s="1514"/>
      <c r="AB56" s="1514"/>
      <c r="AC56" s="1514"/>
      <c r="AD56" s="1514"/>
    </row>
    <row r="57" spans="1:30" x14ac:dyDescent="0.3">
      <c r="A57" s="1522"/>
      <c r="B57" s="1534" t="s">
        <v>73</v>
      </c>
      <c r="C57" s="1538"/>
      <c r="D57" s="1535"/>
      <c r="E57" s="1535"/>
      <c r="F57" s="1535"/>
      <c r="G57" s="1535"/>
      <c r="H57" s="1535"/>
      <c r="I57" s="1535"/>
      <c r="J57" s="1535"/>
      <c r="K57" s="1535"/>
      <c r="L57" s="1514"/>
      <c r="M57" s="1514"/>
      <c r="N57" s="1514"/>
      <c r="O57" s="1514"/>
      <c r="P57" s="1514"/>
      <c r="Q57" s="1514"/>
      <c r="R57" s="1514"/>
      <c r="S57" s="1514"/>
      <c r="T57" s="1514"/>
      <c r="U57" s="1514"/>
      <c r="V57" s="1514"/>
      <c r="W57" s="1514"/>
      <c r="X57" s="1514"/>
      <c r="Y57" s="1514"/>
      <c r="Z57" s="1514"/>
      <c r="AA57" s="1514"/>
      <c r="AB57" s="1514"/>
      <c r="AC57" s="1514"/>
      <c r="AD57" s="1514"/>
    </row>
    <row r="58" spans="1:30" x14ac:dyDescent="0.3">
      <c r="A58" s="1522"/>
      <c r="B58" s="1534" t="s">
        <v>528</v>
      </c>
      <c r="C58" s="1538"/>
      <c r="D58" s="1535"/>
      <c r="E58" s="1535"/>
      <c r="F58" s="1535"/>
      <c r="G58" s="1535"/>
      <c r="H58" s="1535"/>
      <c r="I58" s="1535"/>
      <c r="J58" s="1535"/>
      <c r="K58" s="1535"/>
      <c r="L58" s="1514"/>
      <c r="M58" s="1514"/>
      <c r="N58" s="1514"/>
      <c r="O58" s="1514"/>
      <c r="P58" s="1514"/>
      <c r="Q58" s="1514"/>
      <c r="R58" s="1514"/>
      <c r="S58" s="1514"/>
      <c r="T58" s="1514"/>
      <c r="U58" s="1514"/>
      <c r="V58" s="1514"/>
      <c r="W58" s="1514"/>
      <c r="X58" s="1514"/>
      <c r="Y58" s="1514"/>
      <c r="Z58" s="1514"/>
      <c r="AA58" s="1514"/>
      <c r="AB58" s="1514"/>
      <c r="AC58" s="1514"/>
      <c r="AD58" s="1514"/>
    </row>
    <row r="59" spans="1:30" x14ac:dyDescent="0.3">
      <c r="A59" s="1522"/>
      <c r="B59" s="1534" t="s">
        <v>76</v>
      </c>
      <c r="C59" s="1538"/>
      <c r="D59" s="1535"/>
      <c r="E59" s="1535"/>
      <c r="F59" s="1535"/>
      <c r="G59" s="1535"/>
      <c r="H59" s="1535"/>
      <c r="I59" s="1535"/>
      <c r="J59" s="1535"/>
      <c r="K59" s="1535"/>
      <c r="L59" s="1514"/>
      <c r="M59" s="1514"/>
      <c r="N59" s="1514"/>
      <c r="O59" s="1514"/>
      <c r="P59" s="1514"/>
      <c r="Q59" s="1514"/>
      <c r="R59" s="1514"/>
      <c r="S59" s="1514"/>
      <c r="T59" s="1514"/>
      <c r="U59" s="1514"/>
      <c r="V59" s="1514"/>
      <c r="W59" s="1514"/>
      <c r="X59" s="1514"/>
      <c r="Y59" s="1514"/>
      <c r="Z59" s="1514"/>
      <c r="AA59" s="1514"/>
      <c r="AB59" s="1514"/>
      <c r="AC59" s="1514"/>
      <c r="AD59" s="1514"/>
    </row>
    <row r="60" spans="1:30" ht="13.5" customHeight="1" x14ac:dyDescent="0.3">
      <c r="A60" s="1522"/>
      <c r="B60" s="143" t="s">
        <v>363</v>
      </c>
      <c r="C60" s="1538"/>
      <c r="D60" s="1535"/>
      <c r="E60" s="1535"/>
      <c r="F60" s="1535"/>
      <c r="G60" s="1535"/>
      <c r="H60" s="1535"/>
      <c r="I60" s="1535"/>
      <c r="J60" s="1535"/>
      <c r="K60" s="1535"/>
      <c r="L60" s="1514"/>
      <c r="M60" s="1514"/>
      <c r="N60" s="1514"/>
      <c r="O60" s="1514"/>
      <c r="P60" s="1514"/>
      <c r="Q60" s="1514"/>
      <c r="R60" s="1514"/>
      <c r="S60" s="1514"/>
      <c r="T60" s="1514"/>
      <c r="U60" s="1514"/>
      <c r="V60" s="1514"/>
      <c r="W60" s="1514"/>
      <c r="X60" s="1514"/>
      <c r="Y60" s="1514"/>
      <c r="Z60" s="1514"/>
      <c r="AA60" s="1514"/>
      <c r="AB60" s="1514"/>
      <c r="AC60" s="1514"/>
      <c r="AD60" s="1514"/>
    </row>
    <row r="61" spans="1:30" ht="15.75" customHeight="1" thickBot="1" x14ac:dyDescent="0.35">
      <c r="A61" s="1522" t="s">
        <v>370</v>
      </c>
      <c r="B61" s="1534"/>
      <c r="C61" s="1538"/>
      <c r="D61" s="1535"/>
      <c r="E61" s="1535"/>
      <c r="F61" s="1630"/>
      <c r="G61" s="1535"/>
      <c r="H61" s="1535"/>
      <c r="I61" s="1535"/>
      <c r="J61" s="1535"/>
      <c r="K61" s="1514"/>
      <c r="L61" s="1514"/>
      <c r="M61" s="1514"/>
      <c r="N61" s="1514"/>
      <c r="O61" s="1514"/>
      <c r="P61" s="1514"/>
      <c r="Q61" s="1514"/>
      <c r="R61" s="1514"/>
      <c r="S61" s="1514"/>
      <c r="T61" s="1514"/>
      <c r="U61" s="1514"/>
      <c r="V61" s="1514"/>
      <c r="W61" s="1514"/>
      <c r="X61" s="1514"/>
      <c r="Y61" s="1514"/>
      <c r="Z61" s="1514"/>
      <c r="AA61" s="1514"/>
      <c r="AB61" s="1514"/>
      <c r="AC61" s="1514"/>
      <c r="AD61" s="1514"/>
    </row>
    <row r="62" spans="1:30" ht="26.25" customHeight="1" thickBot="1" x14ac:dyDescent="0.35">
      <c r="A62" s="1522"/>
      <c r="B62" s="2456" t="s">
        <v>79</v>
      </c>
      <c r="C62" s="2457"/>
      <c r="D62" s="2460" t="s">
        <v>23</v>
      </c>
      <c r="E62" s="2461"/>
      <c r="F62" s="2462"/>
      <c r="G62" s="1631"/>
      <c r="H62" s="1631"/>
      <c r="I62" s="2388" t="s">
        <v>24</v>
      </c>
      <c r="J62" s="2389"/>
      <c r="K62" s="2390"/>
      <c r="L62" s="2419" t="s">
        <v>461</v>
      </c>
      <c r="M62" s="1514"/>
      <c r="N62" s="1514"/>
      <c r="O62" s="1514"/>
      <c r="P62" s="1514"/>
      <c r="Q62" s="1514"/>
      <c r="R62" s="1514"/>
      <c r="S62" s="1514"/>
      <c r="T62" s="1514"/>
      <c r="U62" s="1514"/>
      <c r="V62" s="1514"/>
      <c r="W62" s="1514"/>
      <c r="X62" s="1514"/>
      <c r="Y62" s="1514"/>
      <c r="Z62" s="1514"/>
      <c r="AA62" s="1514"/>
      <c r="AB62" s="1514"/>
      <c r="AC62" s="1514"/>
      <c r="AD62" s="1514"/>
    </row>
    <row r="63" spans="1:30" ht="15.75" customHeight="1" thickBot="1" x14ac:dyDescent="0.35">
      <c r="A63" s="1522"/>
      <c r="B63" s="2458"/>
      <c r="C63" s="2459"/>
      <c r="D63" s="1632" t="s">
        <v>81</v>
      </c>
      <c r="E63" s="1633" t="s">
        <v>27</v>
      </c>
      <c r="F63" s="1634" t="s">
        <v>28</v>
      </c>
      <c r="G63" s="1631"/>
      <c r="H63" s="1631"/>
      <c r="I63" s="2391"/>
      <c r="J63" s="2392"/>
      <c r="K63" s="2393"/>
      <c r="L63" s="2420"/>
      <c r="M63" s="1514"/>
      <c r="N63" s="1514"/>
      <c r="O63" s="1514"/>
      <c r="P63" s="1514"/>
      <c r="Q63" s="1514"/>
      <c r="R63" s="1514"/>
      <c r="S63" s="1514"/>
      <c r="T63" s="1514"/>
      <c r="U63" s="1514"/>
      <c r="V63" s="1514"/>
      <c r="W63" s="1514"/>
      <c r="X63" s="1514"/>
      <c r="Y63" s="1514"/>
      <c r="Z63" s="1514"/>
      <c r="AA63" s="1514"/>
      <c r="AB63" s="1514"/>
      <c r="AC63" s="1514"/>
      <c r="AD63" s="1514"/>
    </row>
    <row r="64" spans="1:30" ht="31.5" customHeight="1" thickBot="1" x14ac:dyDescent="0.35">
      <c r="A64" s="1522"/>
      <c r="B64" s="2463" t="s">
        <v>77</v>
      </c>
      <c r="C64" s="2464"/>
      <c r="D64" s="1635">
        <f>SUM(D65:D85)</f>
        <v>4632492.45567476</v>
      </c>
      <c r="E64" s="1557">
        <f>IF(D64&lt;&gt;0,F64*1000/D64,"")</f>
        <v>0.55596931082405732</v>
      </c>
      <c r="F64" s="1636">
        <f>SUM(F65:F85)</f>
        <v>2575.5236379791413</v>
      </c>
      <c r="G64" s="1631"/>
      <c r="H64" s="1631"/>
      <c r="I64" s="2465"/>
      <c r="J64" s="2466"/>
      <c r="K64" s="2467"/>
      <c r="L64" s="1560" t="str">
        <f t="shared" ref="L64:L122" si="3">IF(OR(D64&lt;0,G64&lt;0),"Error - negative number",IF(G64&gt;D64,"Offices only &gt; Total Estate",IF(AND(D64&gt;0,E64=""),"Please enter CO2e factor","")))</f>
        <v/>
      </c>
      <c r="M64" s="1514"/>
      <c r="N64" s="1514"/>
      <c r="O64" s="2484" t="str">
        <f>B64</f>
        <v>TOTAL DOMESTIC FROM FLEET (i.e. vehicles owned or leased by the department) (Scope 1)</v>
      </c>
      <c r="P64" s="2485"/>
      <c r="Q64" s="2485"/>
      <c r="R64" s="2485"/>
      <c r="S64" s="2485"/>
      <c r="T64" s="2485"/>
      <c r="U64" s="2485"/>
      <c r="V64" s="2485"/>
      <c r="W64" s="2486"/>
      <c r="X64" s="2405" t="s">
        <v>381</v>
      </c>
      <c r="Y64" s="2407"/>
      <c r="Z64" s="2419" t="s">
        <v>461</v>
      </c>
      <c r="AA64" s="1514"/>
      <c r="AB64" s="1514"/>
      <c r="AC64" s="1514"/>
      <c r="AD64" s="1514"/>
    </row>
    <row r="65" spans="1:30" ht="15" customHeight="1" x14ac:dyDescent="0.3">
      <c r="A65" s="1522" t="s">
        <v>370</v>
      </c>
      <c r="B65" s="2488" t="s">
        <v>84</v>
      </c>
      <c r="C65" s="1637" t="s">
        <v>85</v>
      </c>
      <c r="D65" s="1567">
        <v>16704</v>
      </c>
      <c r="E65" s="1638">
        <f>+'Emission Factors'!J48</f>
        <v>0.15565000000000001</v>
      </c>
      <c r="F65" s="1604">
        <f>(D65*E65)/1000</f>
        <v>2.5999776000000003</v>
      </c>
      <c r="G65" s="1631"/>
      <c r="H65" s="1631"/>
      <c r="I65" s="2491" t="s">
        <v>545</v>
      </c>
      <c r="J65" s="2492"/>
      <c r="K65" s="2493"/>
      <c r="L65" s="1572" t="str">
        <f t="shared" si="3"/>
        <v/>
      </c>
      <c r="M65" s="1514"/>
      <c r="N65" s="1514"/>
      <c r="O65" s="1639"/>
      <c r="P65" s="1640"/>
      <c r="Q65" s="2494" t="s">
        <v>78</v>
      </c>
      <c r="R65" s="2494" t="s">
        <v>80</v>
      </c>
      <c r="S65" s="2497" t="s">
        <v>27</v>
      </c>
      <c r="T65" s="2500" t="s">
        <v>374</v>
      </c>
      <c r="U65" s="2502" t="s">
        <v>24</v>
      </c>
      <c r="V65" s="2503"/>
      <c r="W65" s="2504"/>
      <c r="X65" s="2523" t="s">
        <v>27</v>
      </c>
      <c r="Y65" s="2526" t="s">
        <v>374</v>
      </c>
      <c r="Z65" s="2487"/>
      <c r="AA65" s="1514"/>
      <c r="AB65" s="1514"/>
      <c r="AC65" s="1514"/>
      <c r="AD65" s="1514"/>
    </row>
    <row r="66" spans="1:30" ht="15" customHeight="1" thickBot="1" x14ac:dyDescent="0.35">
      <c r="A66" s="1522" t="s">
        <v>370</v>
      </c>
      <c r="B66" s="2489"/>
      <c r="C66" s="1641" t="s">
        <v>87</v>
      </c>
      <c r="D66" s="1567"/>
      <c r="E66" s="1638">
        <f>+'Emission Factors'!J49</f>
        <v>0.19386</v>
      </c>
      <c r="F66" s="1608">
        <f t="shared" ref="F66:F85" si="4">(D66*E66)/1000</f>
        <v>0</v>
      </c>
      <c r="G66" s="1631"/>
      <c r="H66" s="1631"/>
      <c r="I66" s="2511"/>
      <c r="J66" s="2512"/>
      <c r="K66" s="2513"/>
      <c r="L66" s="1581" t="str">
        <f t="shared" si="3"/>
        <v/>
      </c>
      <c r="M66" s="1514"/>
      <c r="N66" s="1514"/>
      <c r="O66" s="1642"/>
      <c r="P66" s="1643"/>
      <c r="Q66" s="2495"/>
      <c r="R66" s="2495"/>
      <c r="S66" s="2498"/>
      <c r="T66" s="2501"/>
      <c r="U66" s="2505"/>
      <c r="V66" s="2506"/>
      <c r="W66" s="2507"/>
      <c r="X66" s="2524"/>
      <c r="Y66" s="2527"/>
      <c r="Z66" s="2487"/>
      <c r="AA66" s="1514"/>
      <c r="AB66" s="1514"/>
      <c r="AC66" s="1514"/>
      <c r="AD66" s="1514"/>
    </row>
    <row r="67" spans="1:30" ht="15" customHeight="1" thickBot="1" x14ac:dyDescent="0.35">
      <c r="A67" s="1522" t="s">
        <v>370</v>
      </c>
      <c r="B67" s="2489"/>
      <c r="C67" s="1641" t="s">
        <v>89</v>
      </c>
      <c r="D67" s="1567"/>
      <c r="E67" s="1638">
        <f>+'Emission Factors'!J50</f>
        <v>0.28410999999999997</v>
      </c>
      <c r="F67" s="1608">
        <f t="shared" si="4"/>
        <v>0</v>
      </c>
      <c r="G67" s="1631"/>
      <c r="H67" s="1631"/>
      <c r="I67" s="2511"/>
      <c r="J67" s="2512"/>
      <c r="K67" s="2513"/>
      <c r="L67" s="1581" t="str">
        <f t="shared" si="3"/>
        <v/>
      </c>
      <c r="M67" s="1514"/>
      <c r="N67" s="1514"/>
      <c r="O67" s="1644"/>
      <c r="P67" s="1645"/>
      <c r="Q67" s="2496"/>
      <c r="R67" s="2496"/>
      <c r="S67" s="2499"/>
      <c r="T67" s="1636">
        <f>SUM(T68:T74)</f>
        <v>303.17472366999993</v>
      </c>
      <c r="U67" s="2508"/>
      <c r="V67" s="2509"/>
      <c r="W67" s="2510"/>
      <c r="X67" s="2525"/>
      <c r="Y67" s="1636">
        <f>SUM(Y68:Y74)</f>
        <v>6740.9884000000002</v>
      </c>
      <c r="Z67" s="2420"/>
      <c r="AA67" s="1514"/>
      <c r="AB67" s="1514"/>
      <c r="AC67" s="1514"/>
      <c r="AD67" s="1514"/>
    </row>
    <row r="68" spans="1:30" ht="15" customHeight="1" x14ac:dyDescent="0.3">
      <c r="A68" s="1522" t="s">
        <v>370</v>
      </c>
      <c r="B68" s="2489"/>
      <c r="C68" s="1641" t="s">
        <v>91</v>
      </c>
      <c r="D68" s="1567"/>
      <c r="E68" s="1638">
        <f>+'Emission Factors'!J51</f>
        <v>0.18368000000000001</v>
      </c>
      <c r="F68" s="1608">
        <f t="shared" si="4"/>
        <v>0</v>
      </c>
      <c r="G68" s="1631"/>
      <c r="H68" s="1631"/>
      <c r="I68" s="2511"/>
      <c r="J68" s="2512"/>
      <c r="K68" s="2513"/>
      <c r="L68" s="1581" t="str">
        <f t="shared" si="3"/>
        <v/>
      </c>
      <c r="M68" s="1514"/>
      <c r="N68" s="1514"/>
      <c r="O68" s="1646" t="s">
        <v>82</v>
      </c>
      <c r="P68" s="1647"/>
      <c r="Q68" s="1648" t="s">
        <v>83</v>
      </c>
      <c r="R68" s="1649">
        <v>6967</v>
      </c>
      <c r="S68" s="1650">
        <f>+'Emission Factors'!J36</f>
        <v>2.2030699999999999</v>
      </c>
      <c r="T68" s="1651">
        <f t="shared" ref="T68:T74" si="5">(R68*S68)/1000</f>
        <v>15.348788689999999</v>
      </c>
      <c r="U68" s="2528" t="s">
        <v>549</v>
      </c>
      <c r="V68" s="2529"/>
      <c r="W68" s="2530"/>
      <c r="X68" s="1652">
        <f>+'Emission Factors'!J42</f>
        <v>6.8000000000000005E-2</v>
      </c>
      <c r="Y68" s="1653">
        <f t="shared" ref="Y68:Y74" si="6">+X68*R68</f>
        <v>473.75600000000003</v>
      </c>
      <c r="Z68" s="1606" t="str">
        <f t="shared" ref="Z68:Z73" si="7">IF(R68&lt;0,"Error - negative number",IF(AND(R68&gt;0,S68=""),"Please enter CO2e factor",""))</f>
        <v/>
      </c>
      <c r="AA68" s="1514"/>
      <c r="AB68" s="1514"/>
      <c r="AC68" s="1514"/>
      <c r="AD68" s="1514"/>
    </row>
    <row r="69" spans="1:30" ht="15" customHeight="1" thickBot="1" x14ac:dyDescent="0.35">
      <c r="A69" s="1522" t="s">
        <v>370</v>
      </c>
      <c r="B69" s="2489"/>
      <c r="C69" s="1641" t="s">
        <v>94</v>
      </c>
      <c r="D69" s="1567">
        <v>1115679</v>
      </c>
      <c r="E69" s="1638">
        <f>+'Emission Factors'!J52</f>
        <v>0.14532999999999999</v>
      </c>
      <c r="F69" s="1608">
        <f t="shared" si="4"/>
        <v>162.14162906999999</v>
      </c>
      <c r="G69" s="1631"/>
      <c r="H69" s="1631"/>
      <c r="I69" s="2511"/>
      <c r="J69" s="2512"/>
      <c r="K69" s="2513"/>
      <c r="L69" s="1581" t="str">
        <f t="shared" si="3"/>
        <v/>
      </c>
      <c r="M69" s="1514"/>
      <c r="N69" s="1514"/>
      <c r="O69" s="1654" t="s">
        <v>86</v>
      </c>
      <c r="P69" s="1655"/>
      <c r="Q69" s="1656" t="s">
        <v>83</v>
      </c>
      <c r="R69" s="1657"/>
      <c r="S69" s="1658">
        <f>+'Emission Factors'!J37</f>
        <v>2.30531</v>
      </c>
      <c r="T69" s="1659">
        <f t="shared" si="5"/>
        <v>0</v>
      </c>
      <c r="U69" s="2533"/>
      <c r="V69" s="2534"/>
      <c r="W69" s="2535"/>
      <c r="X69" s="1658">
        <f>+'Emission Factors'!J43</f>
        <v>0</v>
      </c>
      <c r="Y69" s="1660">
        <f t="shared" si="6"/>
        <v>0</v>
      </c>
      <c r="Z69" s="1581" t="str">
        <f t="shared" si="7"/>
        <v/>
      </c>
      <c r="AA69" s="1514"/>
      <c r="AB69" s="1514"/>
      <c r="AC69" s="1514"/>
      <c r="AD69" s="1514"/>
    </row>
    <row r="70" spans="1:30" ht="15" customHeight="1" x14ac:dyDescent="0.3">
      <c r="A70" s="1522" t="s">
        <v>370</v>
      </c>
      <c r="B70" s="2489"/>
      <c r="C70" s="1641" t="s">
        <v>96</v>
      </c>
      <c r="D70" s="1567">
        <v>364905</v>
      </c>
      <c r="E70" s="1638">
        <f>+'Emission Factors'!J53</f>
        <v>0.17352999999999999</v>
      </c>
      <c r="F70" s="1608">
        <f t="shared" si="4"/>
        <v>63.321964649999991</v>
      </c>
      <c r="G70" s="1631"/>
      <c r="H70" s="1631"/>
      <c r="I70" s="2511"/>
      <c r="J70" s="2512"/>
      <c r="K70" s="2513"/>
      <c r="L70" s="1581" t="str">
        <f t="shared" si="3"/>
        <v/>
      </c>
      <c r="M70" s="1514"/>
      <c r="N70" s="1514"/>
      <c r="O70" s="1654" t="s">
        <v>88</v>
      </c>
      <c r="P70" s="1655"/>
      <c r="Q70" s="1656" t="s">
        <v>83</v>
      </c>
      <c r="R70" s="1657">
        <v>109567</v>
      </c>
      <c r="S70" s="1658">
        <f>+'Emission Factors'!J38</f>
        <v>2.6269399999999998</v>
      </c>
      <c r="T70" s="1659">
        <f t="shared" si="5"/>
        <v>287.82593497999994</v>
      </c>
      <c r="U70" s="2528" t="s">
        <v>549</v>
      </c>
      <c r="V70" s="2529"/>
      <c r="W70" s="2530"/>
      <c r="X70" s="1658">
        <f>+'Emission Factors'!J44</f>
        <v>5.7200000000000001E-2</v>
      </c>
      <c r="Y70" s="1660">
        <f t="shared" si="6"/>
        <v>6267.2323999999999</v>
      </c>
      <c r="Z70" s="1581" t="str">
        <f t="shared" si="7"/>
        <v/>
      </c>
      <c r="AA70" s="1514"/>
      <c r="AB70" s="1514"/>
      <c r="AC70" s="1514"/>
      <c r="AD70" s="1514"/>
    </row>
    <row r="71" spans="1:30" ht="15" customHeight="1" x14ac:dyDescent="0.3">
      <c r="A71" s="1522" t="s">
        <v>370</v>
      </c>
      <c r="B71" s="2489"/>
      <c r="C71" s="1641" t="s">
        <v>97</v>
      </c>
      <c r="D71" s="1567">
        <v>9625</v>
      </c>
      <c r="E71" s="1638">
        <f>+'Emission Factors'!J54</f>
        <v>0.2152</v>
      </c>
      <c r="F71" s="1608">
        <f t="shared" si="4"/>
        <v>2.0713000000000004</v>
      </c>
      <c r="G71" s="1631"/>
      <c r="H71" s="1631"/>
      <c r="I71" s="2511"/>
      <c r="J71" s="2512"/>
      <c r="K71" s="2513"/>
      <c r="L71" s="1581" t="str">
        <f t="shared" si="3"/>
        <v/>
      </c>
      <c r="M71" s="1514"/>
      <c r="N71" s="1514"/>
      <c r="O71" s="1654" t="s">
        <v>90</v>
      </c>
      <c r="P71" s="1655"/>
      <c r="Q71" s="1656" t="s">
        <v>83</v>
      </c>
      <c r="R71" s="1657"/>
      <c r="S71" s="1658">
        <f>+'Emission Factors'!J39</f>
        <v>2.6877900000000001</v>
      </c>
      <c r="T71" s="1659">
        <f t="shared" si="5"/>
        <v>0</v>
      </c>
      <c r="U71" s="2520"/>
      <c r="V71" s="2521"/>
      <c r="W71" s="2522"/>
      <c r="X71" s="1658">
        <f>+'Emission Factors'!J45</f>
        <v>0</v>
      </c>
      <c r="Y71" s="1660">
        <f t="shared" si="6"/>
        <v>0</v>
      </c>
      <c r="Z71" s="1581" t="str">
        <f t="shared" si="7"/>
        <v/>
      </c>
      <c r="AA71" s="1514"/>
      <c r="AB71" s="1514"/>
      <c r="AC71" s="1514"/>
      <c r="AD71" s="1514"/>
    </row>
    <row r="72" spans="1:30" ht="15" customHeight="1" x14ac:dyDescent="0.3">
      <c r="A72" s="1522" t="s">
        <v>370</v>
      </c>
      <c r="B72" s="2489"/>
      <c r="C72" s="1641" t="s">
        <v>98</v>
      </c>
      <c r="D72" s="1567"/>
      <c r="E72" s="1638">
        <f>+'Emission Factors'!J55</f>
        <v>0.17752999999999999</v>
      </c>
      <c r="F72" s="1608">
        <f t="shared" si="4"/>
        <v>0</v>
      </c>
      <c r="G72" s="1631"/>
      <c r="H72" s="1631"/>
      <c r="I72" s="2511"/>
      <c r="J72" s="2512"/>
      <c r="K72" s="2513"/>
      <c r="L72" s="1581" t="str">
        <f t="shared" si="3"/>
        <v/>
      </c>
      <c r="M72" s="1514"/>
      <c r="N72" s="1514"/>
      <c r="O72" s="1654" t="s">
        <v>92</v>
      </c>
      <c r="P72" s="1655"/>
      <c r="Q72" s="1656" t="s">
        <v>93</v>
      </c>
      <c r="R72" s="1657"/>
      <c r="S72" s="1658">
        <f>+'Emission Factors'!J40</f>
        <v>2.7466300000000001</v>
      </c>
      <c r="T72" s="1659">
        <f t="shared" si="5"/>
        <v>0</v>
      </c>
      <c r="U72" s="2520"/>
      <c r="V72" s="2521"/>
      <c r="W72" s="2522"/>
      <c r="X72" s="1658">
        <f>+'Emission Factors'!J46</f>
        <v>0</v>
      </c>
      <c r="Y72" s="1660">
        <f t="shared" si="6"/>
        <v>0</v>
      </c>
      <c r="Z72" s="1581" t="str">
        <f t="shared" si="7"/>
        <v/>
      </c>
      <c r="AA72" s="1514"/>
      <c r="AB72" s="1514"/>
      <c r="AC72" s="1514"/>
      <c r="AD72" s="1514"/>
    </row>
    <row r="73" spans="1:30" ht="15" customHeight="1" x14ac:dyDescent="0.3">
      <c r="A73" s="1522" t="s">
        <v>370</v>
      </c>
      <c r="B73" s="2489"/>
      <c r="C73" s="1641" t="s">
        <v>99</v>
      </c>
      <c r="D73" s="1567">
        <v>211836</v>
      </c>
      <c r="E73" s="1638">
        <f>+'Emission Factors'!J56</f>
        <v>0.11538000000000001</v>
      </c>
      <c r="F73" s="1608">
        <f t="shared" si="4"/>
        <v>24.441637680000003</v>
      </c>
      <c r="G73" s="1631"/>
      <c r="H73" s="1631"/>
      <c r="I73" s="2511"/>
      <c r="J73" s="2512"/>
      <c r="K73" s="2513"/>
      <c r="L73" s="1581" t="str">
        <f t="shared" si="3"/>
        <v/>
      </c>
      <c r="M73" s="1514"/>
      <c r="N73" s="1514"/>
      <c r="O73" s="1654" t="s">
        <v>95</v>
      </c>
      <c r="P73" s="1655"/>
      <c r="Q73" s="1656" t="s">
        <v>83</v>
      </c>
      <c r="R73" s="1657"/>
      <c r="S73" s="1658">
        <f>+'Emission Factors'!J41</f>
        <v>1.5190600000000001</v>
      </c>
      <c r="T73" s="1659">
        <f t="shared" si="5"/>
        <v>0</v>
      </c>
      <c r="U73" s="2520"/>
      <c r="V73" s="2521"/>
      <c r="W73" s="2522"/>
      <c r="X73" s="1658">
        <f>+'Emission Factors'!J47</f>
        <v>0</v>
      </c>
      <c r="Y73" s="1660">
        <f t="shared" si="6"/>
        <v>0</v>
      </c>
      <c r="Z73" s="1581" t="str">
        <f t="shared" si="7"/>
        <v/>
      </c>
      <c r="AA73" s="1514"/>
      <c r="AB73" s="1514"/>
      <c r="AC73" s="1514"/>
      <c r="AD73" s="1514"/>
    </row>
    <row r="74" spans="1:30" ht="15" customHeight="1" thickBot="1" x14ac:dyDescent="0.35">
      <c r="A74" s="1522" t="s">
        <v>370</v>
      </c>
      <c r="B74" s="2489"/>
      <c r="C74" s="1641" t="s">
        <v>100</v>
      </c>
      <c r="D74" s="1567"/>
      <c r="E74" s="1638">
        <f>+'Emission Factors'!J57</f>
        <v>0.16133999999999998</v>
      </c>
      <c r="F74" s="1608">
        <f t="shared" si="4"/>
        <v>0</v>
      </c>
      <c r="G74" s="1631"/>
      <c r="H74" s="1631"/>
      <c r="I74" s="2511"/>
      <c r="J74" s="2512"/>
      <c r="K74" s="2513"/>
      <c r="L74" s="1581" t="str">
        <f t="shared" si="3"/>
        <v/>
      </c>
      <c r="M74" s="1514"/>
      <c r="N74" s="1514"/>
      <c r="O74" s="1661" t="s">
        <v>409</v>
      </c>
      <c r="P74" s="1662"/>
      <c r="Q74" s="1663"/>
      <c r="R74" s="1664"/>
      <c r="S74" s="1665"/>
      <c r="T74" s="1666">
        <f t="shared" si="5"/>
        <v>0</v>
      </c>
      <c r="U74" s="2533"/>
      <c r="V74" s="2534"/>
      <c r="W74" s="2535"/>
      <c r="X74" s="1665"/>
      <c r="Y74" s="1667">
        <f t="shared" si="6"/>
        <v>0</v>
      </c>
      <c r="Z74" s="1618" t="str">
        <f>IF(R74&lt;0,"Error - negative number",IF(AND(R74&gt;0,S74=""),"Please enter CO2e factor",""))</f>
        <v/>
      </c>
      <c r="AA74" s="1514"/>
      <c r="AB74" s="1514"/>
      <c r="AC74" s="1514"/>
      <c r="AD74" s="1514"/>
    </row>
    <row r="75" spans="1:30" ht="15" customHeight="1" x14ac:dyDescent="0.3">
      <c r="A75" s="1522" t="s">
        <v>370</v>
      </c>
      <c r="B75" s="2489"/>
      <c r="C75" s="1641" t="s">
        <v>529</v>
      </c>
      <c r="D75" s="1567"/>
      <c r="E75" s="1638">
        <f>+'Emission Factors'!J58</f>
        <v>0.20021999999999998</v>
      </c>
      <c r="F75" s="1608">
        <f t="shared" si="4"/>
        <v>0</v>
      </c>
      <c r="G75" s="1631"/>
      <c r="H75" s="1631"/>
      <c r="I75" s="2511"/>
      <c r="J75" s="2512"/>
      <c r="K75" s="2513"/>
      <c r="L75" s="1581" t="str">
        <f t="shared" si="3"/>
        <v/>
      </c>
      <c r="M75" s="1514"/>
      <c r="N75" s="1514"/>
      <c r="O75" s="2531" t="s">
        <v>367</v>
      </c>
      <c r="P75" s="2531"/>
      <c r="Q75" s="2531"/>
      <c r="R75" s="2531"/>
      <c r="S75" s="2531"/>
      <c r="T75" s="2531"/>
      <c r="U75" s="2531"/>
      <c r="V75" s="2531"/>
      <c r="W75" s="2531"/>
      <c r="X75" s="1514"/>
      <c r="Y75" s="1514"/>
      <c r="Z75" s="1514"/>
      <c r="AA75" s="1514"/>
      <c r="AB75" s="1514"/>
      <c r="AC75" s="1514"/>
      <c r="AD75" s="1514"/>
    </row>
    <row r="76" spans="1:30" ht="15" customHeight="1" x14ac:dyDescent="0.3">
      <c r="A76" s="1522" t="s">
        <v>370</v>
      </c>
      <c r="B76" s="2489"/>
      <c r="C76" s="1641" t="s">
        <v>102</v>
      </c>
      <c r="D76" s="1567">
        <v>50707</v>
      </c>
      <c r="E76" s="1638">
        <f>+'Emission Factors'!J59</f>
        <v>0.18064</v>
      </c>
      <c r="F76" s="1608">
        <f t="shared" si="4"/>
        <v>9.1597124799999996</v>
      </c>
      <c r="G76" s="1631"/>
      <c r="H76" s="1631"/>
      <c r="I76" s="2511"/>
      <c r="J76" s="2512"/>
      <c r="K76" s="2513"/>
      <c r="L76" s="1581" t="str">
        <f t="shared" si="3"/>
        <v/>
      </c>
      <c r="M76" s="1514"/>
      <c r="N76" s="1514"/>
      <c r="O76" s="2532"/>
      <c r="P76" s="2532"/>
      <c r="Q76" s="2532"/>
      <c r="R76" s="2532"/>
      <c r="S76" s="2532"/>
      <c r="T76" s="2532"/>
      <c r="U76" s="2532"/>
      <c r="V76" s="2532"/>
      <c r="W76" s="2532"/>
      <c r="X76" s="1514"/>
      <c r="Y76" s="1514"/>
      <c r="Z76" s="1514"/>
      <c r="AA76" s="1514"/>
      <c r="AB76" s="1514"/>
      <c r="AC76" s="1514"/>
      <c r="AD76" s="1514"/>
    </row>
    <row r="77" spans="1:30" ht="15" customHeight="1" x14ac:dyDescent="0.3">
      <c r="A77" s="1522" t="s">
        <v>370</v>
      </c>
      <c r="B77" s="2489"/>
      <c r="C77" s="1641" t="s">
        <v>103</v>
      </c>
      <c r="D77" s="1567"/>
      <c r="E77" s="1638">
        <f>+'Emission Factors'!J60</f>
        <v>8.4629999999999997E-2</v>
      </c>
      <c r="F77" s="1608">
        <f t="shared" si="4"/>
        <v>0</v>
      </c>
      <c r="G77" s="1631"/>
      <c r="H77" s="1631"/>
      <c r="I77" s="2511"/>
      <c r="J77" s="2512"/>
      <c r="K77" s="2513"/>
      <c r="L77" s="1581" t="str">
        <f t="shared" si="3"/>
        <v/>
      </c>
      <c r="M77" s="1514"/>
      <c r="N77" s="1514"/>
      <c r="O77" s="2532"/>
      <c r="P77" s="2532"/>
      <c r="Q77" s="2532"/>
      <c r="R77" s="2532"/>
      <c r="S77" s="2532"/>
      <c r="T77" s="2532"/>
      <c r="U77" s="2532"/>
      <c r="V77" s="2532"/>
      <c r="W77" s="2532"/>
      <c r="X77" s="1514"/>
      <c r="Y77" s="1514"/>
      <c r="Z77" s="1514"/>
      <c r="AA77" s="1514"/>
      <c r="AB77" s="1514"/>
      <c r="AC77" s="1514"/>
      <c r="AD77" s="1514"/>
    </row>
    <row r="78" spans="1:30" ht="15" customHeight="1" x14ac:dyDescent="0.3">
      <c r="A78" s="1522" t="s">
        <v>370</v>
      </c>
      <c r="B78" s="2489"/>
      <c r="C78" s="1641" t="s">
        <v>104</v>
      </c>
      <c r="D78" s="1567"/>
      <c r="E78" s="1638">
        <f>+'Emission Factors'!J61</f>
        <v>0.10310000000000001</v>
      </c>
      <c r="F78" s="1608">
        <f t="shared" si="4"/>
        <v>0</v>
      </c>
      <c r="G78" s="1631"/>
      <c r="H78" s="1631"/>
      <c r="I78" s="2511"/>
      <c r="J78" s="2512"/>
      <c r="K78" s="2513"/>
      <c r="L78" s="1581" t="str">
        <f t="shared" si="3"/>
        <v/>
      </c>
      <c r="M78" s="1514"/>
      <c r="N78" s="1514"/>
      <c r="O78" s="2532"/>
      <c r="P78" s="2532"/>
      <c r="Q78" s="2532"/>
      <c r="R78" s="2532"/>
      <c r="S78" s="2532"/>
      <c r="T78" s="2532"/>
      <c r="U78" s="2532"/>
      <c r="V78" s="2532"/>
      <c r="W78" s="2532"/>
      <c r="X78" s="1514"/>
      <c r="Y78" s="1514"/>
      <c r="Z78" s="1514"/>
      <c r="AA78" s="1514"/>
      <c r="AB78" s="1514"/>
      <c r="AC78" s="1514"/>
      <c r="AD78" s="1514"/>
    </row>
    <row r="79" spans="1:30" ht="15" customHeight="1" x14ac:dyDescent="0.3">
      <c r="A79" s="1522" t="s">
        <v>370</v>
      </c>
      <c r="B79" s="2489"/>
      <c r="C79" s="1641" t="s">
        <v>105</v>
      </c>
      <c r="D79" s="1567"/>
      <c r="E79" s="1638">
        <f>+'Emission Factors'!J62</f>
        <v>0.13528000000000001</v>
      </c>
      <c r="F79" s="1608">
        <f t="shared" si="4"/>
        <v>0</v>
      </c>
      <c r="G79" s="1631"/>
      <c r="H79" s="1631"/>
      <c r="I79" s="2511"/>
      <c r="J79" s="2512"/>
      <c r="K79" s="2513"/>
      <c r="L79" s="1581" t="str">
        <f t="shared" si="3"/>
        <v/>
      </c>
      <c r="M79" s="1514"/>
      <c r="N79" s="1514"/>
      <c r="O79" s="1514"/>
      <c r="P79" s="1514"/>
      <c r="Q79" s="1514"/>
      <c r="R79" s="1514"/>
      <c r="S79" s="1514"/>
      <c r="T79" s="1514"/>
      <c r="U79" s="1514"/>
      <c r="V79" s="1514"/>
      <c r="W79" s="1514"/>
      <c r="X79" s="1514"/>
      <c r="Y79" s="1514"/>
      <c r="Z79" s="1514"/>
      <c r="AA79" s="1514"/>
      <c r="AB79" s="1514"/>
      <c r="AC79" s="1514"/>
      <c r="AD79" s="1514"/>
    </row>
    <row r="80" spans="1:30" ht="15" customHeight="1" x14ac:dyDescent="0.3">
      <c r="A80" s="1522" t="s">
        <v>370</v>
      </c>
      <c r="B80" s="2489"/>
      <c r="C80" s="1641" t="s">
        <v>106</v>
      </c>
      <c r="D80" s="1567"/>
      <c r="E80" s="1638">
        <f>+'Emission Factors'!J63</f>
        <v>0.11528999999999999</v>
      </c>
      <c r="F80" s="1608">
        <f t="shared" si="4"/>
        <v>0</v>
      </c>
      <c r="G80" s="1631"/>
      <c r="H80" s="1631"/>
      <c r="I80" s="2511"/>
      <c r="J80" s="2512"/>
      <c r="K80" s="2513"/>
      <c r="L80" s="1581" t="str">
        <f t="shared" si="3"/>
        <v/>
      </c>
      <c r="M80" s="1514"/>
      <c r="N80" s="1514"/>
      <c r="O80" s="1514"/>
      <c r="P80" s="1514"/>
      <c r="Q80" s="1514"/>
      <c r="R80" s="1514"/>
      <c r="S80" s="1514"/>
      <c r="T80" s="1514"/>
      <c r="U80" s="1514"/>
      <c r="V80" s="1514"/>
      <c r="W80" s="1514"/>
      <c r="X80" s="1514"/>
      <c r="Y80" s="1514"/>
      <c r="Z80" s="1514"/>
      <c r="AA80" s="1514"/>
      <c r="AB80" s="1514"/>
      <c r="AC80" s="1514"/>
      <c r="AD80" s="1514"/>
    </row>
    <row r="81" spans="1:30" ht="15" customHeight="1" x14ac:dyDescent="0.3">
      <c r="A81" s="1522" t="s">
        <v>370</v>
      </c>
      <c r="B81" s="2489"/>
      <c r="C81" s="1566" t="s">
        <v>410</v>
      </c>
      <c r="D81" s="1567">
        <v>2443325.45567476</v>
      </c>
      <c r="E81" s="1668">
        <v>0.80745999999999996</v>
      </c>
      <c r="F81" s="1608">
        <f t="shared" si="4"/>
        <v>1972.8875724391416</v>
      </c>
      <c r="G81" s="1631"/>
      <c r="H81" s="1631"/>
      <c r="I81" s="2511" t="s">
        <v>547</v>
      </c>
      <c r="J81" s="2512"/>
      <c r="K81" s="2513"/>
      <c r="L81" s="1581" t="str">
        <f t="shared" si="3"/>
        <v/>
      </c>
      <c r="M81" s="1514"/>
      <c r="N81" s="1514"/>
      <c r="O81" s="1514"/>
      <c r="P81" s="1514"/>
      <c r="Q81" s="1514"/>
      <c r="R81" s="1514"/>
      <c r="S81" s="1514"/>
      <c r="T81" s="1514"/>
      <c r="U81" s="1514"/>
      <c r="V81" s="1514"/>
      <c r="W81" s="1514"/>
      <c r="X81" s="1514"/>
      <c r="Y81" s="1514"/>
      <c r="Z81" s="1514"/>
      <c r="AA81" s="1514"/>
      <c r="AB81" s="1514"/>
      <c r="AC81" s="1514"/>
      <c r="AD81" s="1514"/>
    </row>
    <row r="82" spans="1:30" ht="15" customHeight="1" x14ac:dyDescent="0.3">
      <c r="A82" s="1522" t="s">
        <v>370</v>
      </c>
      <c r="B82" s="2489"/>
      <c r="C82" s="1566" t="s">
        <v>411</v>
      </c>
      <c r="D82" s="1567">
        <v>419711</v>
      </c>
      <c r="E82" s="1668">
        <v>0.80745999999999996</v>
      </c>
      <c r="F82" s="1608">
        <f t="shared" si="4"/>
        <v>338.89984405999996</v>
      </c>
      <c r="G82" s="1631"/>
      <c r="H82" s="1631"/>
      <c r="I82" s="2511" t="s">
        <v>548</v>
      </c>
      <c r="J82" s="2512"/>
      <c r="K82" s="2513"/>
      <c r="L82" s="1581" t="str">
        <f>IF(OR(D82&lt;0,G82&lt;0),"Error - negative number",IF(G82&gt;D82,"Offices only &gt; Total Estate",IF(AND(D82&gt;0,E82=""),"Please enter CO2e factor","")))</f>
        <v/>
      </c>
      <c r="M82" s="1514"/>
      <c r="N82" s="1514"/>
      <c r="O82" s="1514"/>
      <c r="P82" s="1514"/>
      <c r="Q82" s="1514"/>
      <c r="R82" s="1514"/>
      <c r="S82" s="1514"/>
      <c r="T82" s="1514"/>
      <c r="U82" s="1514"/>
      <c r="V82" s="1514"/>
      <c r="W82" s="1514"/>
      <c r="X82" s="1514"/>
      <c r="Y82" s="1514"/>
      <c r="Z82" s="1514"/>
      <c r="AA82" s="1514"/>
      <c r="AB82" s="1514"/>
      <c r="AC82" s="1514"/>
      <c r="AD82" s="1514"/>
    </row>
    <row r="83" spans="1:30" ht="15" customHeight="1" x14ac:dyDescent="0.3">
      <c r="A83" s="1522" t="s">
        <v>370</v>
      </c>
      <c r="B83" s="2489"/>
      <c r="C83" s="1566" t="s">
        <v>412</v>
      </c>
      <c r="D83" s="1567"/>
      <c r="E83" s="1668"/>
      <c r="F83" s="1608">
        <f t="shared" si="4"/>
        <v>0</v>
      </c>
      <c r="G83" s="1631"/>
      <c r="H83" s="1631"/>
      <c r="I83" s="2511"/>
      <c r="J83" s="2512"/>
      <c r="K83" s="2513"/>
      <c r="L83" s="1581" t="str">
        <f t="shared" si="3"/>
        <v/>
      </c>
      <c r="M83" s="1514"/>
      <c r="N83" s="1514"/>
      <c r="O83" s="1514"/>
      <c r="P83" s="1514"/>
      <c r="Q83" s="1514"/>
      <c r="R83" s="1514"/>
      <c r="S83" s="1514"/>
      <c r="T83" s="1514"/>
      <c r="U83" s="1514"/>
      <c r="V83" s="1514"/>
      <c r="W83" s="1514"/>
      <c r="X83" s="1514"/>
      <c r="Y83" s="1514"/>
      <c r="Z83" s="1514"/>
      <c r="AA83" s="1514"/>
      <c r="AB83" s="1514"/>
      <c r="AC83" s="1514"/>
      <c r="AD83" s="1514"/>
    </row>
    <row r="84" spans="1:30" ht="15" customHeight="1" x14ac:dyDescent="0.3">
      <c r="A84" s="1522"/>
      <c r="B84" s="2489"/>
      <c r="C84" s="1566" t="s">
        <v>509</v>
      </c>
      <c r="D84" s="1567"/>
      <c r="E84" s="1668"/>
      <c r="F84" s="1608">
        <f t="shared" si="4"/>
        <v>0</v>
      </c>
      <c r="G84" s="1631"/>
      <c r="H84" s="1631"/>
      <c r="I84" s="2511"/>
      <c r="J84" s="2512"/>
      <c r="K84" s="2513"/>
      <c r="L84" s="1581" t="str">
        <f t="shared" si="3"/>
        <v/>
      </c>
      <c r="M84" s="1514"/>
      <c r="N84" s="1514"/>
      <c r="O84" s="1514"/>
      <c r="P84" s="1514"/>
      <c r="Q84" s="1514"/>
      <c r="R84" s="1514"/>
      <c r="S84" s="1514"/>
      <c r="T84" s="1514"/>
      <c r="U84" s="1514"/>
      <c r="V84" s="1514"/>
      <c r="W84" s="1514"/>
      <c r="X84" s="1514"/>
      <c r="Y84" s="1514"/>
      <c r="Z84" s="1514"/>
      <c r="AA84" s="1514"/>
      <c r="AB84" s="1514"/>
      <c r="AC84" s="1514"/>
      <c r="AD84" s="1514"/>
    </row>
    <row r="85" spans="1:30" ht="15" customHeight="1" thickBot="1" x14ac:dyDescent="0.35">
      <c r="A85" s="1522"/>
      <c r="B85" s="2490"/>
      <c r="C85" s="1566" t="s">
        <v>510</v>
      </c>
      <c r="D85" s="1567"/>
      <c r="E85" s="1669"/>
      <c r="F85" s="1608">
        <f t="shared" si="4"/>
        <v>0</v>
      </c>
      <c r="G85" s="1631"/>
      <c r="H85" s="1631"/>
      <c r="I85" s="2511"/>
      <c r="J85" s="2512"/>
      <c r="K85" s="2513"/>
      <c r="L85" s="1581" t="str">
        <f t="shared" si="3"/>
        <v/>
      </c>
      <c r="M85" s="1514"/>
      <c r="N85" s="1514"/>
      <c r="O85" s="1514"/>
      <c r="P85" s="1514"/>
      <c r="Q85" s="1514"/>
      <c r="R85" s="1514"/>
      <c r="S85" s="1514"/>
      <c r="T85" s="1514"/>
      <c r="U85" s="1514"/>
      <c r="V85" s="1514"/>
      <c r="W85" s="1514"/>
      <c r="X85" s="1514"/>
      <c r="Y85" s="1514"/>
      <c r="Z85" s="1514"/>
      <c r="AA85" s="1514"/>
      <c r="AB85" s="1514"/>
      <c r="AC85" s="1514"/>
      <c r="AD85" s="1514"/>
    </row>
    <row r="86" spans="1:30" ht="29.25" customHeight="1" thickBot="1" x14ac:dyDescent="0.35">
      <c r="A86" s="1522"/>
      <c r="B86" s="2463" t="s">
        <v>110</v>
      </c>
      <c r="C86" s="2464"/>
      <c r="D86" s="1635">
        <f>SUM(D87:D107)</f>
        <v>12365451.85</v>
      </c>
      <c r="E86" s="1670">
        <f>IF(D86&lt;&gt;0,F86*1000/D86,"")</f>
        <v>0.18064000000000002</v>
      </c>
      <c r="F86" s="1636">
        <f>SUM(F87:F107)</f>
        <v>2233.6952221840002</v>
      </c>
      <c r="G86" s="1631"/>
      <c r="H86" s="1631"/>
      <c r="I86" s="2465"/>
      <c r="J86" s="2466"/>
      <c r="K86" s="2467"/>
      <c r="L86" s="1560" t="str">
        <f t="shared" si="3"/>
        <v/>
      </c>
      <c r="M86" s="1514"/>
      <c r="N86" s="1514"/>
      <c r="O86" s="2484" t="str">
        <f>B86</f>
        <v>TOTAL DOMESTIC FROM GREY FLEET/HIRE (i.e. employee owned or hire vehicles) (Scope 3)</v>
      </c>
      <c r="P86" s="2485"/>
      <c r="Q86" s="2485"/>
      <c r="R86" s="2485"/>
      <c r="S86" s="2485"/>
      <c r="T86" s="2485"/>
      <c r="U86" s="2485"/>
      <c r="V86" s="2485"/>
      <c r="W86" s="2486"/>
      <c r="X86" s="2405" t="s">
        <v>381</v>
      </c>
      <c r="Y86" s="2407"/>
      <c r="Z86" s="2419" t="s">
        <v>461</v>
      </c>
      <c r="AA86" s="1514"/>
      <c r="AB86" s="1514"/>
      <c r="AC86" s="1514"/>
      <c r="AD86" s="1514"/>
    </row>
    <row r="87" spans="1:30" ht="15" customHeight="1" x14ac:dyDescent="0.3">
      <c r="A87" s="1522" t="s">
        <v>371</v>
      </c>
      <c r="B87" s="2488" t="s">
        <v>111</v>
      </c>
      <c r="C87" s="1637" t="s">
        <v>85</v>
      </c>
      <c r="D87" s="1567"/>
      <c r="E87" s="1638">
        <f t="shared" ref="E87:E102" si="8">+E65</f>
        <v>0.15565000000000001</v>
      </c>
      <c r="F87" s="1604">
        <f>(D87*E87)/1000</f>
        <v>0</v>
      </c>
      <c r="G87" s="1631"/>
      <c r="H87" s="1631"/>
      <c r="I87" s="2491"/>
      <c r="J87" s="2492"/>
      <c r="K87" s="2493"/>
      <c r="L87" s="1572" t="str">
        <f t="shared" si="3"/>
        <v/>
      </c>
      <c r="M87" s="1514"/>
      <c r="N87" s="1514"/>
      <c r="O87" s="1639"/>
      <c r="P87" s="1640"/>
      <c r="Q87" s="2494" t="s">
        <v>78</v>
      </c>
      <c r="R87" s="2494" t="s">
        <v>80</v>
      </c>
      <c r="S87" s="2497" t="s">
        <v>27</v>
      </c>
      <c r="T87" s="2500" t="s">
        <v>374</v>
      </c>
      <c r="U87" s="2502" t="s">
        <v>24</v>
      </c>
      <c r="V87" s="2503"/>
      <c r="W87" s="2504"/>
      <c r="X87" s="2523" t="s">
        <v>27</v>
      </c>
      <c r="Y87" s="2536" t="s">
        <v>374</v>
      </c>
      <c r="Z87" s="2487"/>
      <c r="AA87" s="1514"/>
      <c r="AB87" s="1514"/>
      <c r="AC87" s="1514"/>
      <c r="AD87" s="1514"/>
    </row>
    <row r="88" spans="1:30" ht="15" customHeight="1" thickBot="1" x14ac:dyDescent="0.35">
      <c r="A88" s="1522" t="s">
        <v>371</v>
      </c>
      <c r="B88" s="2489"/>
      <c r="C88" s="1641" t="s">
        <v>87</v>
      </c>
      <c r="D88" s="1567"/>
      <c r="E88" s="1638">
        <f t="shared" si="8"/>
        <v>0.19386</v>
      </c>
      <c r="F88" s="1608">
        <f t="shared" ref="F88:F107" si="9">(D88*E88)/1000</f>
        <v>0</v>
      </c>
      <c r="G88" s="1631"/>
      <c r="H88" s="1631"/>
      <c r="I88" s="2511"/>
      <c r="J88" s="2512"/>
      <c r="K88" s="2513"/>
      <c r="L88" s="1581" t="str">
        <f t="shared" si="3"/>
        <v/>
      </c>
      <c r="M88" s="1514"/>
      <c r="N88" s="1514"/>
      <c r="O88" s="1642"/>
      <c r="P88" s="1643"/>
      <c r="Q88" s="2495"/>
      <c r="R88" s="2495"/>
      <c r="S88" s="2498"/>
      <c r="T88" s="2501"/>
      <c r="U88" s="2505"/>
      <c r="V88" s="2506"/>
      <c r="W88" s="2507"/>
      <c r="X88" s="2524"/>
      <c r="Y88" s="2537"/>
      <c r="Z88" s="2487"/>
      <c r="AA88" s="1514"/>
      <c r="AB88" s="1514"/>
      <c r="AC88" s="1514"/>
      <c r="AD88" s="1514"/>
    </row>
    <row r="89" spans="1:30" ht="15" customHeight="1" thickBot="1" x14ac:dyDescent="0.35">
      <c r="A89" s="1522" t="s">
        <v>371</v>
      </c>
      <c r="B89" s="2489"/>
      <c r="C89" s="1641" t="s">
        <v>89</v>
      </c>
      <c r="D89" s="1567"/>
      <c r="E89" s="1638">
        <f t="shared" si="8"/>
        <v>0.28410999999999997</v>
      </c>
      <c r="F89" s="1608">
        <f t="shared" si="9"/>
        <v>0</v>
      </c>
      <c r="G89" s="1631"/>
      <c r="H89" s="1631"/>
      <c r="I89" s="2511"/>
      <c r="J89" s="2512"/>
      <c r="K89" s="2513"/>
      <c r="L89" s="1581" t="str">
        <f t="shared" si="3"/>
        <v/>
      </c>
      <c r="M89" s="1514"/>
      <c r="N89" s="1514"/>
      <c r="O89" s="1644"/>
      <c r="P89" s="1645"/>
      <c r="Q89" s="2496"/>
      <c r="R89" s="2496"/>
      <c r="S89" s="2499"/>
      <c r="T89" s="1636">
        <f>SUM(T90:T96)</f>
        <v>0</v>
      </c>
      <c r="U89" s="2508"/>
      <c r="V89" s="2509"/>
      <c r="W89" s="2510"/>
      <c r="X89" s="2525"/>
      <c r="Y89" s="1636">
        <f>SUM(Y90:Y96)</f>
        <v>0</v>
      </c>
      <c r="Z89" s="2420"/>
      <c r="AA89" s="1514"/>
      <c r="AB89" s="1514"/>
      <c r="AC89" s="1514"/>
      <c r="AD89" s="1514"/>
    </row>
    <row r="90" spans="1:30" ht="15" customHeight="1" x14ac:dyDescent="0.3">
      <c r="A90" s="1522" t="s">
        <v>371</v>
      </c>
      <c r="B90" s="2489"/>
      <c r="C90" s="1641" t="s">
        <v>91</v>
      </c>
      <c r="D90" s="1567"/>
      <c r="E90" s="1638">
        <f t="shared" si="8"/>
        <v>0.18368000000000001</v>
      </c>
      <c r="F90" s="1608">
        <f t="shared" si="9"/>
        <v>0</v>
      </c>
      <c r="G90" s="1631"/>
      <c r="H90" s="1631"/>
      <c r="I90" s="2511"/>
      <c r="J90" s="2512"/>
      <c r="K90" s="2513"/>
      <c r="L90" s="1581" t="str">
        <f t="shared" si="3"/>
        <v/>
      </c>
      <c r="M90" s="1514"/>
      <c r="N90" s="1514"/>
      <c r="O90" s="1646" t="s">
        <v>82</v>
      </c>
      <c r="P90" s="1647"/>
      <c r="Q90" s="1648" t="s">
        <v>83</v>
      </c>
      <c r="R90" s="1649"/>
      <c r="S90" s="1650">
        <f>+'Emission Factors'!J36</f>
        <v>2.2030699999999999</v>
      </c>
      <c r="T90" s="1651">
        <f t="shared" ref="T90:T96" si="10">(R90*S90)/1000</f>
        <v>0</v>
      </c>
      <c r="U90" s="2528"/>
      <c r="V90" s="2529"/>
      <c r="W90" s="2530"/>
      <c r="X90" s="1652">
        <f>+'Emission Factors'!J42</f>
        <v>6.8000000000000005E-2</v>
      </c>
      <c r="Y90" s="1653">
        <f t="shared" ref="Y90:Y96" si="11">+X90*R90</f>
        <v>0</v>
      </c>
      <c r="Z90" s="1606" t="str">
        <f t="shared" ref="Z90:Z95" si="12">IF(R90&lt;0,"Error - negative number",IF(AND(R90&gt;0,S90=""),"Please enter CO2e factor",""))</f>
        <v/>
      </c>
      <c r="AA90" s="1514"/>
      <c r="AB90" s="1514"/>
      <c r="AC90" s="1514"/>
      <c r="AD90" s="1514"/>
    </row>
    <row r="91" spans="1:30" ht="15" customHeight="1" x14ac:dyDescent="0.3">
      <c r="A91" s="1522" t="s">
        <v>371</v>
      </c>
      <c r="B91" s="2489"/>
      <c r="C91" s="1641" t="s">
        <v>94</v>
      </c>
      <c r="D91" s="1567"/>
      <c r="E91" s="1638">
        <f t="shared" si="8"/>
        <v>0.14532999999999999</v>
      </c>
      <c r="F91" s="1608">
        <f t="shared" si="9"/>
        <v>0</v>
      </c>
      <c r="G91" s="1631"/>
      <c r="H91" s="1631"/>
      <c r="I91" s="2511"/>
      <c r="J91" s="2512"/>
      <c r="K91" s="2513"/>
      <c r="L91" s="1581" t="str">
        <f t="shared" si="3"/>
        <v/>
      </c>
      <c r="M91" s="1514"/>
      <c r="N91" s="1514"/>
      <c r="O91" s="1654" t="s">
        <v>86</v>
      </c>
      <c r="P91" s="1655"/>
      <c r="Q91" s="1656" t="s">
        <v>83</v>
      </c>
      <c r="R91" s="1657"/>
      <c r="S91" s="1658">
        <f>+'Emission Factors'!J37</f>
        <v>2.30531</v>
      </c>
      <c r="T91" s="1659">
        <f t="shared" si="10"/>
        <v>0</v>
      </c>
      <c r="U91" s="2520"/>
      <c r="V91" s="2521"/>
      <c r="W91" s="2522"/>
      <c r="X91" s="1652">
        <f>+'Emission Factors'!J43</f>
        <v>0</v>
      </c>
      <c r="Y91" s="1660">
        <f t="shared" si="11"/>
        <v>0</v>
      </c>
      <c r="Z91" s="1581" t="str">
        <f t="shared" si="12"/>
        <v/>
      </c>
      <c r="AA91" s="1514"/>
      <c r="AB91" s="1514"/>
      <c r="AC91" s="1514"/>
      <c r="AD91" s="1514"/>
    </row>
    <row r="92" spans="1:30" ht="15" customHeight="1" x14ac:dyDescent="0.3">
      <c r="A92" s="1522" t="s">
        <v>371</v>
      </c>
      <c r="B92" s="2489"/>
      <c r="C92" s="1641" t="s">
        <v>96</v>
      </c>
      <c r="D92" s="1567"/>
      <c r="E92" s="1638">
        <f t="shared" si="8"/>
        <v>0.17352999999999999</v>
      </c>
      <c r="F92" s="1608">
        <f t="shared" si="9"/>
        <v>0</v>
      </c>
      <c r="G92" s="1631"/>
      <c r="H92" s="1631"/>
      <c r="I92" s="2511"/>
      <c r="J92" s="2512"/>
      <c r="K92" s="2513"/>
      <c r="L92" s="1581" t="str">
        <f t="shared" si="3"/>
        <v/>
      </c>
      <c r="M92" s="1514"/>
      <c r="N92" s="1514"/>
      <c r="O92" s="1654" t="s">
        <v>88</v>
      </c>
      <c r="P92" s="1655"/>
      <c r="Q92" s="1656" t="s">
        <v>83</v>
      </c>
      <c r="R92" s="1657"/>
      <c r="S92" s="1658">
        <f>+'Emission Factors'!J38</f>
        <v>2.6269399999999998</v>
      </c>
      <c r="T92" s="1659">
        <f t="shared" si="10"/>
        <v>0</v>
      </c>
      <c r="U92" s="2520"/>
      <c r="V92" s="2521"/>
      <c r="W92" s="2522"/>
      <c r="X92" s="1652">
        <f>+'Emission Factors'!J44</f>
        <v>5.7200000000000001E-2</v>
      </c>
      <c r="Y92" s="1660">
        <f t="shared" si="11"/>
        <v>0</v>
      </c>
      <c r="Z92" s="1581" t="str">
        <f t="shared" si="12"/>
        <v/>
      </c>
      <c r="AA92" s="1514"/>
      <c r="AB92" s="1514"/>
      <c r="AC92" s="1514"/>
      <c r="AD92" s="1514"/>
    </row>
    <row r="93" spans="1:30" ht="15" customHeight="1" x14ac:dyDescent="0.3">
      <c r="A93" s="1522" t="s">
        <v>371</v>
      </c>
      <c r="B93" s="2489"/>
      <c r="C93" s="1641" t="s">
        <v>97</v>
      </c>
      <c r="D93" s="1567"/>
      <c r="E93" s="1638">
        <f t="shared" si="8"/>
        <v>0.2152</v>
      </c>
      <c r="F93" s="1608">
        <f t="shared" si="9"/>
        <v>0</v>
      </c>
      <c r="G93" s="1631"/>
      <c r="H93" s="1631"/>
      <c r="I93" s="2511"/>
      <c r="J93" s="2512"/>
      <c r="K93" s="2513"/>
      <c r="L93" s="1581" t="str">
        <f t="shared" si="3"/>
        <v/>
      </c>
      <c r="M93" s="1514"/>
      <c r="N93" s="1514"/>
      <c r="O93" s="1654" t="s">
        <v>90</v>
      </c>
      <c r="P93" s="1655"/>
      <c r="Q93" s="1656" t="s">
        <v>83</v>
      </c>
      <c r="R93" s="1657"/>
      <c r="S93" s="1658">
        <f>+'Emission Factors'!J39</f>
        <v>2.6877900000000001</v>
      </c>
      <c r="T93" s="1659">
        <f t="shared" si="10"/>
        <v>0</v>
      </c>
      <c r="U93" s="2520"/>
      <c r="V93" s="2521"/>
      <c r="W93" s="2522"/>
      <c r="X93" s="1652">
        <f>+'Emission Factors'!J45</f>
        <v>0</v>
      </c>
      <c r="Y93" s="1660">
        <f t="shared" si="11"/>
        <v>0</v>
      </c>
      <c r="Z93" s="1581" t="str">
        <f t="shared" si="12"/>
        <v/>
      </c>
      <c r="AA93" s="1514"/>
      <c r="AB93" s="1514"/>
      <c r="AC93" s="1514"/>
      <c r="AD93" s="1514"/>
    </row>
    <row r="94" spans="1:30" ht="15" customHeight="1" x14ac:dyDescent="0.3">
      <c r="A94" s="1522" t="s">
        <v>371</v>
      </c>
      <c r="B94" s="2489"/>
      <c r="C94" s="1641" t="s">
        <v>98</v>
      </c>
      <c r="D94" s="1567"/>
      <c r="E94" s="1638">
        <f t="shared" si="8"/>
        <v>0.17752999999999999</v>
      </c>
      <c r="F94" s="1608">
        <f t="shared" si="9"/>
        <v>0</v>
      </c>
      <c r="G94" s="1631"/>
      <c r="H94" s="1631"/>
      <c r="I94" s="2511"/>
      <c r="J94" s="2512"/>
      <c r="K94" s="2513"/>
      <c r="L94" s="1581" t="str">
        <f t="shared" si="3"/>
        <v/>
      </c>
      <c r="M94" s="1514"/>
      <c r="N94" s="1514"/>
      <c r="O94" s="1654" t="s">
        <v>92</v>
      </c>
      <c r="P94" s="1655"/>
      <c r="Q94" s="1656" t="s">
        <v>93</v>
      </c>
      <c r="R94" s="1657"/>
      <c r="S94" s="1658">
        <f>+'Emission Factors'!J40</f>
        <v>2.7466300000000001</v>
      </c>
      <c r="T94" s="1659">
        <f t="shared" si="10"/>
        <v>0</v>
      </c>
      <c r="U94" s="2520"/>
      <c r="V94" s="2521"/>
      <c r="W94" s="2522"/>
      <c r="X94" s="1652">
        <f>+'Emission Factors'!J46</f>
        <v>0</v>
      </c>
      <c r="Y94" s="1660">
        <f t="shared" si="11"/>
        <v>0</v>
      </c>
      <c r="Z94" s="1581" t="str">
        <f t="shared" si="12"/>
        <v/>
      </c>
      <c r="AA94" s="1514"/>
      <c r="AB94" s="1514"/>
      <c r="AC94" s="1514"/>
      <c r="AD94" s="1514"/>
    </row>
    <row r="95" spans="1:30" ht="15" customHeight="1" x14ac:dyDescent="0.3">
      <c r="A95" s="1522" t="s">
        <v>371</v>
      </c>
      <c r="B95" s="2489"/>
      <c r="C95" s="1641" t="s">
        <v>99</v>
      </c>
      <c r="D95" s="1567"/>
      <c r="E95" s="1638">
        <f t="shared" si="8"/>
        <v>0.11538000000000001</v>
      </c>
      <c r="F95" s="1608">
        <f t="shared" si="9"/>
        <v>0</v>
      </c>
      <c r="G95" s="1631"/>
      <c r="H95" s="1631"/>
      <c r="I95" s="2511"/>
      <c r="J95" s="2512"/>
      <c r="K95" s="2513"/>
      <c r="L95" s="1581" t="str">
        <f t="shared" si="3"/>
        <v/>
      </c>
      <c r="M95" s="1514"/>
      <c r="N95" s="1514"/>
      <c r="O95" s="1654" t="s">
        <v>95</v>
      </c>
      <c r="P95" s="1655"/>
      <c r="Q95" s="1656" t="s">
        <v>83</v>
      </c>
      <c r="R95" s="1657"/>
      <c r="S95" s="1658">
        <f>+'Emission Factors'!J41</f>
        <v>1.5190600000000001</v>
      </c>
      <c r="T95" s="1659">
        <f t="shared" si="10"/>
        <v>0</v>
      </c>
      <c r="U95" s="2520"/>
      <c r="V95" s="2521"/>
      <c r="W95" s="2522"/>
      <c r="X95" s="1652">
        <f>+'Emission Factors'!J47</f>
        <v>0</v>
      </c>
      <c r="Y95" s="1660">
        <f t="shared" si="11"/>
        <v>0</v>
      </c>
      <c r="Z95" s="1581" t="str">
        <f t="shared" si="12"/>
        <v/>
      </c>
      <c r="AA95" s="1514"/>
      <c r="AB95" s="1514"/>
      <c r="AC95" s="1514"/>
      <c r="AD95" s="1514"/>
    </row>
    <row r="96" spans="1:30" ht="15" customHeight="1" thickBot="1" x14ac:dyDescent="0.35">
      <c r="A96" s="1522" t="s">
        <v>371</v>
      </c>
      <c r="B96" s="2489"/>
      <c r="C96" s="1641" t="s">
        <v>100</v>
      </c>
      <c r="D96" s="1567"/>
      <c r="E96" s="1638">
        <f t="shared" si="8"/>
        <v>0.16133999999999998</v>
      </c>
      <c r="F96" s="1608">
        <f t="shared" si="9"/>
        <v>0</v>
      </c>
      <c r="G96" s="1631"/>
      <c r="H96" s="1631"/>
      <c r="I96" s="2511"/>
      <c r="J96" s="2512"/>
      <c r="K96" s="2513"/>
      <c r="L96" s="1581" t="str">
        <f t="shared" si="3"/>
        <v/>
      </c>
      <c r="M96" s="1514"/>
      <c r="N96" s="1514"/>
      <c r="O96" s="1661" t="s">
        <v>409</v>
      </c>
      <c r="P96" s="1662"/>
      <c r="Q96" s="1663"/>
      <c r="R96" s="1664"/>
      <c r="S96" s="1665"/>
      <c r="T96" s="1666">
        <f t="shared" si="10"/>
        <v>0</v>
      </c>
      <c r="U96" s="2533"/>
      <c r="V96" s="2534"/>
      <c r="W96" s="2535"/>
      <c r="X96" s="1665"/>
      <c r="Y96" s="1667">
        <f t="shared" si="11"/>
        <v>0</v>
      </c>
      <c r="Z96" s="1618" t="str">
        <f>IF(R96&lt;0,"Error - negative number",IF(AND(R96&gt;0,S96=""),"Please enter CO2e factor",""))</f>
        <v/>
      </c>
      <c r="AA96" s="1514"/>
      <c r="AB96" s="1514"/>
      <c r="AC96" s="1514"/>
      <c r="AD96" s="1514"/>
    </row>
    <row r="97" spans="1:30" ht="15" customHeight="1" x14ac:dyDescent="0.3">
      <c r="A97" s="1522" t="s">
        <v>371</v>
      </c>
      <c r="B97" s="2489"/>
      <c r="C97" s="1641" t="s">
        <v>529</v>
      </c>
      <c r="D97" s="1567"/>
      <c r="E97" s="1638">
        <f t="shared" si="8"/>
        <v>0.20021999999999998</v>
      </c>
      <c r="F97" s="1608">
        <f t="shared" si="9"/>
        <v>0</v>
      </c>
      <c r="G97" s="1631"/>
      <c r="H97" s="1631"/>
      <c r="I97" s="2511"/>
      <c r="J97" s="2512"/>
      <c r="K97" s="2513"/>
      <c r="L97" s="1581" t="str">
        <f t="shared" si="3"/>
        <v/>
      </c>
      <c r="M97" s="1514"/>
      <c r="N97" s="1514"/>
      <c r="O97" s="2531" t="s">
        <v>367</v>
      </c>
      <c r="P97" s="2531"/>
      <c r="Q97" s="2531"/>
      <c r="R97" s="2531"/>
      <c r="S97" s="2531"/>
      <c r="T97" s="2531"/>
      <c r="U97" s="2531"/>
      <c r="V97" s="2531"/>
      <c r="W97" s="2531"/>
      <c r="X97" s="1514"/>
      <c r="Y97" s="1514"/>
      <c r="Z97" s="1514"/>
      <c r="AA97" s="1514"/>
      <c r="AB97" s="1514"/>
      <c r="AC97" s="1514"/>
      <c r="AD97" s="1514"/>
    </row>
    <row r="98" spans="1:30" ht="15" customHeight="1" x14ac:dyDescent="0.3">
      <c r="A98" s="1522" t="s">
        <v>371</v>
      </c>
      <c r="B98" s="2489"/>
      <c r="C98" s="1641" t="s">
        <v>102</v>
      </c>
      <c r="D98" s="1567">
        <v>12365451.85</v>
      </c>
      <c r="E98" s="1638">
        <f t="shared" si="8"/>
        <v>0.18064</v>
      </c>
      <c r="F98" s="1608">
        <f t="shared" si="9"/>
        <v>2233.6952221840002</v>
      </c>
      <c r="G98" s="1631"/>
      <c r="H98" s="1631"/>
      <c r="I98" s="2511" t="s">
        <v>550</v>
      </c>
      <c r="J98" s="2512"/>
      <c r="K98" s="2513"/>
      <c r="L98" s="1581" t="str">
        <f t="shared" si="3"/>
        <v/>
      </c>
      <c r="M98" s="1514"/>
      <c r="N98" s="1514"/>
      <c r="O98" s="2532"/>
      <c r="P98" s="2532"/>
      <c r="Q98" s="2532"/>
      <c r="R98" s="2532"/>
      <c r="S98" s="2532"/>
      <c r="T98" s="2532"/>
      <c r="U98" s="2532"/>
      <c r="V98" s="2532"/>
      <c r="W98" s="2532"/>
      <c r="X98" s="1514"/>
      <c r="Y98" s="1514"/>
      <c r="Z98" s="1514"/>
      <c r="AA98" s="1514"/>
      <c r="AB98" s="1514"/>
      <c r="AC98" s="1514"/>
      <c r="AD98" s="1514"/>
    </row>
    <row r="99" spans="1:30" ht="15" customHeight="1" x14ac:dyDescent="0.3">
      <c r="A99" s="1522" t="s">
        <v>371</v>
      </c>
      <c r="B99" s="2489"/>
      <c r="C99" s="1641" t="s">
        <v>103</v>
      </c>
      <c r="D99" s="1567"/>
      <c r="E99" s="1638">
        <f t="shared" si="8"/>
        <v>8.4629999999999997E-2</v>
      </c>
      <c r="F99" s="1608">
        <f t="shared" si="9"/>
        <v>0</v>
      </c>
      <c r="G99" s="1631"/>
      <c r="H99" s="1631"/>
      <c r="I99" s="2511"/>
      <c r="J99" s="2512"/>
      <c r="K99" s="2513"/>
      <c r="L99" s="1581" t="str">
        <f t="shared" si="3"/>
        <v/>
      </c>
      <c r="M99" s="1514"/>
      <c r="N99" s="1514"/>
      <c r="O99" s="2532"/>
      <c r="P99" s="2532"/>
      <c r="Q99" s="2532"/>
      <c r="R99" s="2532"/>
      <c r="S99" s="2532"/>
      <c r="T99" s="2532"/>
      <c r="U99" s="2532"/>
      <c r="V99" s="2532"/>
      <c r="W99" s="2532"/>
      <c r="X99" s="1514"/>
      <c r="Y99" s="1514"/>
      <c r="Z99" s="1514"/>
      <c r="AA99" s="1514"/>
      <c r="AB99" s="1514"/>
      <c r="AC99" s="1514"/>
      <c r="AD99" s="1514"/>
    </row>
    <row r="100" spans="1:30" ht="15" customHeight="1" x14ac:dyDescent="0.3">
      <c r="A100" s="1522" t="s">
        <v>371</v>
      </c>
      <c r="B100" s="2489"/>
      <c r="C100" s="1641" t="s">
        <v>104</v>
      </c>
      <c r="D100" s="1567"/>
      <c r="E100" s="1638">
        <f t="shared" si="8"/>
        <v>0.10310000000000001</v>
      </c>
      <c r="F100" s="1608">
        <f t="shared" si="9"/>
        <v>0</v>
      </c>
      <c r="G100" s="1631"/>
      <c r="H100" s="1631"/>
      <c r="I100" s="2511"/>
      <c r="J100" s="2512"/>
      <c r="K100" s="2513"/>
      <c r="L100" s="1581" t="str">
        <f t="shared" si="3"/>
        <v/>
      </c>
      <c r="M100" s="1514"/>
      <c r="N100" s="1514"/>
      <c r="O100" s="2532"/>
      <c r="P100" s="2532"/>
      <c r="Q100" s="2532"/>
      <c r="R100" s="2532"/>
      <c r="S100" s="2532"/>
      <c r="T100" s="2532"/>
      <c r="U100" s="2532"/>
      <c r="V100" s="2532"/>
      <c r="W100" s="2532"/>
      <c r="X100" s="1514"/>
      <c r="Y100" s="1514"/>
      <c r="Z100" s="1514"/>
      <c r="AA100" s="1514"/>
      <c r="AB100" s="1514"/>
      <c r="AC100" s="1514"/>
      <c r="AD100" s="1514"/>
    </row>
    <row r="101" spans="1:30" ht="15" customHeight="1" x14ac:dyDescent="0.3">
      <c r="A101" s="1522" t="s">
        <v>371</v>
      </c>
      <c r="B101" s="2489"/>
      <c r="C101" s="1641" t="s">
        <v>105</v>
      </c>
      <c r="D101" s="1567"/>
      <c r="E101" s="1638">
        <f t="shared" si="8"/>
        <v>0.13528000000000001</v>
      </c>
      <c r="F101" s="1608">
        <f t="shared" si="9"/>
        <v>0</v>
      </c>
      <c r="G101" s="1631"/>
      <c r="H101" s="1631"/>
      <c r="I101" s="2511"/>
      <c r="J101" s="2512"/>
      <c r="K101" s="2513"/>
      <c r="L101" s="1581" t="str">
        <f t="shared" si="3"/>
        <v/>
      </c>
      <c r="M101" s="1514"/>
      <c r="N101" s="1514"/>
      <c r="O101" s="1514"/>
      <c r="P101" s="1514"/>
      <c r="Q101" s="1514"/>
      <c r="R101" s="1514"/>
      <c r="S101" s="1514"/>
      <c r="T101" s="1514"/>
      <c r="U101" s="1514"/>
      <c r="V101" s="1514"/>
      <c r="W101" s="1514"/>
      <c r="X101" s="1514"/>
      <c r="Y101" s="1514"/>
      <c r="Z101" s="1514"/>
      <c r="AA101" s="1514"/>
      <c r="AB101" s="1514"/>
      <c r="AC101" s="1514"/>
      <c r="AD101" s="1514"/>
    </row>
    <row r="102" spans="1:30" ht="15" customHeight="1" x14ac:dyDescent="0.3">
      <c r="A102" s="1522" t="s">
        <v>371</v>
      </c>
      <c r="B102" s="2489"/>
      <c r="C102" s="1641" t="s">
        <v>106</v>
      </c>
      <c r="D102" s="1567"/>
      <c r="E102" s="1638">
        <f t="shared" si="8"/>
        <v>0.11528999999999999</v>
      </c>
      <c r="F102" s="1608">
        <f t="shared" si="9"/>
        <v>0</v>
      </c>
      <c r="G102" s="1631"/>
      <c r="H102" s="1631"/>
      <c r="I102" s="2511"/>
      <c r="J102" s="2512"/>
      <c r="K102" s="2513"/>
      <c r="L102" s="1581" t="str">
        <f t="shared" si="3"/>
        <v/>
      </c>
      <c r="M102" s="1514"/>
      <c r="N102" s="1514"/>
      <c r="O102" s="1514"/>
      <c r="P102" s="1514"/>
      <c r="Q102" s="1514"/>
      <c r="R102" s="1514"/>
      <c r="S102" s="1514"/>
      <c r="T102" s="1514"/>
      <c r="U102" s="1514"/>
      <c r="V102" s="1514"/>
      <c r="W102" s="1514"/>
      <c r="X102" s="1514"/>
      <c r="Y102" s="1514"/>
      <c r="Z102" s="1514"/>
      <c r="AA102" s="1514"/>
      <c r="AB102" s="1514"/>
      <c r="AC102" s="1514"/>
      <c r="AD102" s="1514"/>
    </row>
    <row r="103" spans="1:30" ht="15" customHeight="1" x14ac:dyDescent="0.3">
      <c r="A103" s="1522" t="s">
        <v>371</v>
      </c>
      <c r="B103" s="2489"/>
      <c r="C103" s="1566" t="s">
        <v>410</v>
      </c>
      <c r="D103" s="1567"/>
      <c r="E103" s="1668"/>
      <c r="F103" s="1608">
        <f t="shared" si="9"/>
        <v>0</v>
      </c>
      <c r="G103" s="1631"/>
      <c r="H103" s="1631"/>
      <c r="I103" s="2511"/>
      <c r="J103" s="2512"/>
      <c r="K103" s="2513"/>
      <c r="L103" s="1581" t="str">
        <f t="shared" si="3"/>
        <v/>
      </c>
      <c r="M103" s="1514"/>
      <c r="N103" s="1514"/>
      <c r="O103" s="1514"/>
      <c r="P103" s="1514"/>
      <c r="Q103" s="1514"/>
      <c r="R103" s="1514"/>
      <c r="S103" s="1514"/>
      <c r="T103" s="1514"/>
      <c r="U103" s="1514"/>
      <c r="V103" s="1514"/>
      <c r="W103" s="1514"/>
      <c r="X103" s="1514"/>
      <c r="Y103" s="1514"/>
      <c r="Z103" s="1514"/>
      <c r="AA103" s="1514"/>
      <c r="AB103" s="1514"/>
      <c r="AC103" s="1514"/>
      <c r="AD103" s="1514"/>
    </row>
    <row r="104" spans="1:30" ht="15" customHeight="1" x14ac:dyDescent="0.3">
      <c r="A104" s="1522" t="s">
        <v>371</v>
      </c>
      <c r="B104" s="2489"/>
      <c r="C104" s="1566" t="s">
        <v>411</v>
      </c>
      <c r="D104" s="1567"/>
      <c r="E104" s="1668"/>
      <c r="F104" s="1608">
        <f t="shared" si="9"/>
        <v>0</v>
      </c>
      <c r="G104" s="1631"/>
      <c r="H104" s="1631"/>
      <c r="I104" s="2511"/>
      <c r="J104" s="2512"/>
      <c r="K104" s="2513"/>
      <c r="L104" s="1581" t="str">
        <f t="shared" si="3"/>
        <v/>
      </c>
      <c r="M104" s="1514"/>
      <c r="N104" s="1514"/>
      <c r="O104" s="1514"/>
      <c r="P104" s="1514"/>
      <c r="Q104" s="1514"/>
      <c r="R104" s="1514"/>
      <c r="S104" s="1514"/>
      <c r="T104" s="1514"/>
      <c r="U104" s="1514"/>
      <c r="V104" s="1514"/>
      <c r="W104" s="1514"/>
      <c r="X104" s="1514"/>
      <c r="Y104" s="1514"/>
      <c r="Z104" s="1514"/>
      <c r="AA104" s="1514"/>
      <c r="AB104" s="1514"/>
      <c r="AC104" s="1514"/>
      <c r="AD104" s="1514"/>
    </row>
    <row r="105" spans="1:30" ht="15" customHeight="1" x14ac:dyDescent="0.3">
      <c r="A105" s="1522" t="s">
        <v>371</v>
      </c>
      <c r="B105" s="2489"/>
      <c r="C105" s="1566" t="s">
        <v>412</v>
      </c>
      <c r="D105" s="1567"/>
      <c r="E105" s="1668"/>
      <c r="F105" s="1608">
        <f t="shared" si="9"/>
        <v>0</v>
      </c>
      <c r="G105" s="1631"/>
      <c r="H105" s="1631"/>
      <c r="I105" s="2511"/>
      <c r="J105" s="2512"/>
      <c r="K105" s="2513"/>
      <c r="L105" s="1581" t="str">
        <f t="shared" si="3"/>
        <v/>
      </c>
      <c r="M105" s="1514"/>
      <c r="N105" s="1514"/>
      <c r="O105" s="1514"/>
      <c r="P105" s="1514"/>
      <c r="Q105" s="1514"/>
      <c r="R105" s="1514"/>
      <c r="S105" s="1514"/>
      <c r="T105" s="1514"/>
      <c r="U105" s="1514"/>
      <c r="V105" s="1514"/>
      <c r="W105" s="1514"/>
      <c r="X105" s="1514"/>
      <c r="Y105" s="1514"/>
      <c r="Z105" s="1514"/>
      <c r="AA105" s="1514"/>
      <c r="AB105" s="1514"/>
      <c r="AC105" s="1514"/>
      <c r="AD105" s="1514"/>
    </row>
    <row r="106" spans="1:30" ht="15" customHeight="1" x14ac:dyDescent="0.3">
      <c r="A106" s="1522"/>
      <c r="B106" s="2489"/>
      <c r="C106" s="1566" t="s">
        <v>509</v>
      </c>
      <c r="D106" s="1567"/>
      <c r="E106" s="1668"/>
      <c r="F106" s="1608">
        <f t="shared" si="9"/>
        <v>0</v>
      </c>
      <c r="G106" s="1631"/>
      <c r="H106" s="1631"/>
      <c r="I106" s="2511"/>
      <c r="J106" s="2512"/>
      <c r="K106" s="2513"/>
      <c r="L106" s="1581" t="str">
        <f t="shared" si="3"/>
        <v/>
      </c>
      <c r="M106" s="1514"/>
      <c r="N106" s="1514"/>
      <c r="O106" s="1514"/>
      <c r="P106" s="1514"/>
      <c r="Q106" s="1514"/>
      <c r="R106" s="1514"/>
      <c r="S106" s="1514"/>
      <c r="T106" s="1514"/>
      <c r="U106" s="1514"/>
      <c r="V106" s="1514"/>
      <c r="W106" s="1514"/>
      <c r="X106" s="1514"/>
      <c r="Y106" s="1514"/>
      <c r="Z106" s="1514"/>
      <c r="AA106" s="1514"/>
      <c r="AB106" s="1514"/>
      <c r="AC106" s="1514"/>
      <c r="AD106" s="1514"/>
    </row>
    <row r="107" spans="1:30" ht="15" customHeight="1" thickBot="1" x14ac:dyDescent="0.35">
      <c r="A107" s="1522"/>
      <c r="B107" s="2490"/>
      <c r="C107" s="1566" t="s">
        <v>510</v>
      </c>
      <c r="D107" s="1567"/>
      <c r="E107" s="1669"/>
      <c r="F107" s="1608">
        <f t="shared" si="9"/>
        <v>0</v>
      </c>
      <c r="G107" s="1631"/>
      <c r="H107" s="1631"/>
      <c r="I107" s="2538"/>
      <c r="J107" s="2539"/>
      <c r="K107" s="2540"/>
      <c r="L107" s="1581" t="str">
        <f t="shared" si="3"/>
        <v/>
      </c>
      <c r="M107" s="1514"/>
      <c r="N107" s="1514"/>
      <c r="O107" s="1514"/>
      <c r="P107" s="1514"/>
      <c r="Q107" s="1514"/>
      <c r="R107" s="1514"/>
      <c r="S107" s="1514"/>
      <c r="T107" s="1514"/>
      <c r="U107" s="1514"/>
      <c r="V107" s="1514"/>
      <c r="W107" s="1514"/>
      <c r="X107" s="1514"/>
      <c r="Y107" s="1514"/>
      <c r="Z107" s="1514"/>
      <c r="AA107" s="1514"/>
      <c r="AB107" s="1514"/>
      <c r="AC107" s="1514"/>
      <c r="AD107" s="1514"/>
    </row>
    <row r="108" spans="1:30" ht="15.75" customHeight="1" thickBot="1" x14ac:dyDescent="0.35">
      <c r="A108" s="1522"/>
      <c r="B108" s="2463" t="s">
        <v>112</v>
      </c>
      <c r="C108" s="2464"/>
      <c r="D108" s="1635">
        <f>SUM(D109:D121)</f>
        <v>15021573.755060541</v>
      </c>
      <c r="E108" s="1671">
        <f>IF(D108&lt;&gt;0,F108*1000/D108,"")</f>
        <v>4.776353056879433E-2</v>
      </c>
      <c r="F108" s="1636">
        <f>SUM(F109:F121)</f>
        <v>717.48339724123275</v>
      </c>
      <c r="G108" s="1631"/>
      <c r="H108" s="1631"/>
      <c r="I108" s="2541"/>
      <c r="J108" s="2542"/>
      <c r="K108" s="2543"/>
      <c r="L108" s="1560" t="str">
        <f t="shared" si="3"/>
        <v/>
      </c>
      <c r="M108" s="1514"/>
      <c r="N108" s="1514"/>
      <c r="O108" s="1514"/>
      <c r="P108" s="1514"/>
      <c r="Q108" s="1514"/>
      <c r="R108" s="1514"/>
      <c r="S108" s="1514"/>
      <c r="T108" s="1514"/>
      <c r="U108" s="1514"/>
      <c r="V108" s="1514"/>
      <c r="W108" s="1514"/>
      <c r="X108" s="1514"/>
      <c r="Y108" s="1514"/>
      <c r="Z108" s="1514"/>
      <c r="AA108" s="1514"/>
      <c r="AB108" s="1514"/>
      <c r="AC108" s="1514"/>
      <c r="AD108" s="1514"/>
    </row>
    <row r="109" spans="1:30" ht="15" customHeight="1" x14ac:dyDescent="0.3">
      <c r="A109" s="1522" t="s">
        <v>371</v>
      </c>
      <c r="B109" s="2425" t="s">
        <v>113</v>
      </c>
      <c r="C109" s="1637" t="s">
        <v>114</v>
      </c>
      <c r="D109" s="1603">
        <v>465520.31636884098</v>
      </c>
      <c r="E109" s="1672">
        <f>+'Emission Factors'!J88</f>
        <v>0.15777000000000002</v>
      </c>
      <c r="F109" s="1673">
        <f t="shared" ref="F109:F121" si="13">(D109*E109)/1000</f>
        <v>73.445140313512056</v>
      </c>
      <c r="G109" s="1631"/>
      <c r="H109" s="1631"/>
      <c r="I109" s="2491"/>
      <c r="J109" s="2492"/>
      <c r="K109" s="2493"/>
      <c r="L109" s="1572" t="str">
        <f t="shared" si="3"/>
        <v/>
      </c>
      <c r="M109" s="1514"/>
      <c r="N109" s="1514"/>
      <c r="O109" s="1514"/>
      <c r="P109" s="1514"/>
      <c r="Q109" s="1514"/>
      <c r="R109" s="1514"/>
      <c r="S109" s="1514"/>
      <c r="T109" s="1514"/>
      <c r="U109" s="1514"/>
      <c r="V109" s="1514"/>
      <c r="W109" s="1514"/>
      <c r="X109" s="1514"/>
      <c r="Y109" s="1514"/>
      <c r="Z109" s="1514"/>
      <c r="AA109" s="1514"/>
      <c r="AB109" s="1514"/>
      <c r="AC109" s="1514"/>
      <c r="AD109" s="1514"/>
    </row>
    <row r="110" spans="1:30" ht="15" customHeight="1" x14ac:dyDescent="0.3">
      <c r="A110" s="1522" t="s">
        <v>371</v>
      </c>
      <c r="B110" s="2426"/>
      <c r="C110" s="1641" t="s">
        <v>115</v>
      </c>
      <c r="D110" s="1607">
        <v>14549585.4386917</v>
      </c>
      <c r="E110" s="1638">
        <f>+'Emission Factors'!J89</f>
        <v>4.4239999999999995E-2</v>
      </c>
      <c r="F110" s="1673">
        <f t="shared" si="13"/>
        <v>643.6736598077207</v>
      </c>
      <c r="G110" s="1631"/>
      <c r="H110" s="1631"/>
      <c r="I110" s="2511"/>
      <c r="J110" s="2512"/>
      <c r="K110" s="2513"/>
      <c r="L110" s="1581" t="str">
        <f t="shared" si="3"/>
        <v/>
      </c>
      <c r="M110" s="1514"/>
      <c r="N110" s="1514"/>
      <c r="O110" s="1514"/>
      <c r="P110" s="1514"/>
      <c r="Q110" s="1514"/>
      <c r="R110" s="1514"/>
      <c r="S110" s="1514"/>
      <c r="T110" s="1514"/>
      <c r="U110" s="1514"/>
      <c r="V110" s="1514"/>
      <c r="W110" s="1514"/>
      <c r="X110" s="1514"/>
      <c r="Y110" s="1514"/>
      <c r="Z110" s="1514"/>
      <c r="AA110" s="1514"/>
      <c r="AB110" s="1514"/>
      <c r="AC110" s="1514"/>
      <c r="AD110" s="1514"/>
    </row>
    <row r="111" spans="1:30" ht="15" customHeight="1" x14ac:dyDescent="0.3">
      <c r="A111" s="1522" t="s">
        <v>371</v>
      </c>
      <c r="B111" s="2426"/>
      <c r="C111" s="1641" t="s">
        <v>116</v>
      </c>
      <c r="D111" s="1607"/>
      <c r="E111" s="1638">
        <f>+'Emission Factors'!J90</f>
        <v>3.9670000000000004E-2</v>
      </c>
      <c r="F111" s="1673">
        <f t="shared" si="13"/>
        <v>0</v>
      </c>
      <c r="G111" s="1631"/>
      <c r="H111" s="1631"/>
      <c r="I111" s="2511"/>
      <c r="J111" s="2512"/>
      <c r="K111" s="2513"/>
      <c r="L111" s="1581" t="str">
        <f t="shared" si="3"/>
        <v/>
      </c>
      <c r="M111" s="1514"/>
      <c r="N111" s="1514"/>
      <c r="O111" s="1514"/>
      <c r="P111" s="1514"/>
      <c r="Q111" s="1514"/>
      <c r="R111" s="1514"/>
      <c r="S111" s="1514"/>
      <c r="T111" s="1514"/>
      <c r="U111" s="1514"/>
      <c r="V111" s="1514"/>
      <c r="W111" s="1514"/>
      <c r="X111" s="1514"/>
      <c r="Y111" s="1514"/>
      <c r="Z111" s="1514"/>
      <c r="AA111" s="1514"/>
      <c r="AB111" s="1514"/>
      <c r="AC111" s="1514"/>
      <c r="AD111" s="1514"/>
    </row>
    <row r="112" spans="1:30" ht="15" customHeight="1" x14ac:dyDescent="0.3">
      <c r="A112" s="1522" t="s">
        <v>371</v>
      </c>
      <c r="B112" s="2426"/>
      <c r="C112" s="1641" t="s">
        <v>117</v>
      </c>
      <c r="D112" s="1607">
        <v>5420</v>
      </c>
      <c r="E112" s="1638">
        <f>+'Emission Factors'!J91</f>
        <v>3.7600000000000001E-2</v>
      </c>
      <c r="F112" s="1673">
        <f t="shared" si="13"/>
        <v>0.203792</v>
      </c>
      <c r="G112" s="1631"/>
      <c r="H112" s="1631"/>
      <c r="I112" s="2511" t="s">
        <v>554</v>
      </c>
      <c r="J112" s="2512"/>
      <c r="K112" s="2513"/>
      <c r="L112" s="1581" t="str">
        <f t="shared" si="3"/>
        <v/>
      </c>
      <c r="M112" s="1514"/>
      <c r="N112" s="1514"/>
      <c r="O112" s="1514"/>
      <c r="P112" s="1514"/>
      <c r="Q112" s="1514"/>
      <c r="R112" s="1514"/>
      <c r="S112" s="1514"/>
      <c r="T112" s="1514"/>
      <c r="U112" s="1514"/>
      <c r="V112" s="1514"/>
      <c r="W112" s="1514"/>
      <c r="X112" s="1514"/>
      <c r="Y112" s="1514"/>
      <c r="Z112" s="1514"/>
      <c r="AA112" s="1514"/>
      <c r="AB112" s="1514"/>
      <c r="AC112" s="1514"/>
      <c r="AD112" s="1514"/>
    </row>
    <row r="113" spans="1:30" ht="15" customHeight="1" x14ac:dyDescent="0.3">
      <c r="A113" s="1522" t="s">
        <v>371</v>
      </c>
      <c r="B113" s="2426"/>
      <c r="C113" s="1641" t="s">
        <v>118</v>
      </c>
      <c r="D113" s="1607">
        <v>1048</v>
      </c>
      <c r="E113" s="1638">
        <f>+'Emission Factors'!J92</f>
        <v>0.15343999999999999</v>
      </c>
      <c r="F113" s="1673">
        <f t="shared" si="13"/>
        <v>0.16080512</v>
      </c>
      <c r="G113" s="1631"/>
      <c r="H113" s="1631"/>
      <c r="I113" s="2511"/>
      <c r="J113" s="2512"/>
      <c r="K113" s="2513"/>
      <c r="L113" s="1581" t="str">
        <f t="shared" si="3"/>
        <v/>
      </c>
      <c r="M113" s="1514"/>
      <c r="N113" s="1514"/>
      <c r="O113" s="1514"/>
      <c r="P113" s="1514"/>
      <c r="Q113" s="1514"/>
      <c r="R113" s="1514"/>
      <c r="S113" s="1514"/>
      <c r="T113" s="1514"/>
      <c r="U113" s="1514"/>
      <c r="V113" s="1514"/>
      <c r="W113" s="1514"/>
      <c r="X113" s="1514"/>
      <c r="Y113" s="1514"/>
      <c r="Z113" s="1514"/>
      <c r="AA113" s="1514"/>
      <c r="AB113" s="1514"/>
      <c r="AC113" s="1514"/>
      <c r="AD113" s="1514"/>
    </row>
    <row r="114" spans="1:30" ht="15" customHeight="1" x14ac:dyDescent="0.3">
      <c r="A114" s="1522" t="s">
        <v>371</v>
      </c>
      <c r="B114" s="2426"/>
      <c r="C114" s="1641" t="s">
        <v>119</v>
      </c>
      <c r="D114" s="1607"/>
      <c r="E114" s="1638">
        <f>+'Emission Factors'!J93</f>
        <v>0.2142</v>
      </c>
      <c r="F114" s="1673">
        <f t="shared" si="13"/>
        <v>0</v>
      </c>
      <c r="G114" s="1631"/>
      <c r="H114" s="1631"/>
      <c r="I114" s="2511"/>
      <c r="J114" s="2512"/>
      <c r="K114" s="2513"/>
      <c r="L114" s="1581" t="str">
        <f t="shared" si="3"/>
        <v/>
      </c>
      <c r="M114" s="1514"/>
      <c r="N114" s="1514"/>
      <c r="O114" s="1514"/>
      <c r="P114" s="1514"/>
      <c r="Q114" s="1514"/>
      <c r="R114" s="1514"/>
      <c r="S114" s="1514"/>
      <c r="T114" s="1514"/>
      <c r="U114" s="1514"/>
      <c r="V114" s="1514"/>
      <c r="W114" s="1514"/>
      <c r="X114" s="1514"/>
      <c r="Y114" s="1514"/>
      <c r="Z114" s="1514"/>
      <c r="AA114" s="1514"/>
      <c r="AB114" s="1514"/>
      <c r="AC114" s="1514"/>
      <c r="AD114" s="1514"/>
    </row>
    <row r="115" spans="1:30" ht="15" customHeight="1" x14ac:dyDescent="0.3">
      <c r="A115" s="1522" t="s">
        <v>371</v>
      </c>
      <c r="B115" s="2426"/>
      <c r="C115" s="1641" t="s">
        <v>120</v>
      </c>
      <c r="D115" s="1607"/>
      <c r="E115" s="1638">
        <f>+'Emission Factors'!J94</f>
        <v>0.12007</v>
      </c>
      <c r="F115" s="1673">
        <f t="shared" si="13"/>
        <v>0</v>
      </c>
      <c r="G115" s="1631"/>
      <c r="H115" s="1631"/>
      <c r="I115" s="2511"/>
      <c r="J115" s="2512"/>
      <c r="K115" s="2513"/>
      <c r="L115" s="1581" t="str">
        <f t="shared" si="3"/>
        <v/>
      </c>
      <c r="M115" s="1514"/>
      <c r="N115" s="1514"/>
      <c r="O115" s="1514"/>
      <c r="P115" s="1514"/>
      <c r="Q115" s="1514"/>
      <c r="R115" s="1514"/>
      <c r="S115" s="1514"/>
      <c r="T115" s="1514"/>
      <c r="U115" s="1514"/>
      <c r="V115" s="1514"/>
      <c r="W115" s="1514"/>
      <c r="X115" s="1514"/>
      <c r="Y115" s="1514"/>
      <c r="Z115" s="1514"/>
      <c r="AA115" s="1514"/>
      <c r="AB115" s="1514"/>
      <c r="AC115" s="1514"/>
      <c r="AD115" s="1514"/>
    </row>
    <row r="116" spans="1:30" ht="15" customHeight="1" x14ac:dyDescent="0.3">
      <c r="A116" s="1522" t="s">
        <v>371</v>
      </c>
      <c r="B116" s="2426"/>
      <c r="C116" s="1641" t="s">
        <v>121</v>
      </c>
      <c r="D116" s="1607"/>
      <c r="E116" s="1638">
        <f>+'Emission Factors'!J95</f>
        <v>7.2110000000000007E-2</v>
      </c>
      <c r="F116" s="1673">
        <f t="shared" si="13"/>
        <v>0</v>
      </c>
      <c r="G116" s="1631"/>
      <c r="H116" s="1631"/>
      <c r="I116" s="2511"/>
      <c r="J116" s="2512"/>
      <c r="K116" s="2513"/>
      <c r="L116" s="1581" t="str">
        <f t="shared" si="3"/>
        <v/>
      </c>
      <c r="M116" s="1514"/>
      <c r="N116" s="1514"/>
      <c r="O116" s="1514"/>
      <c r="P116" s="1514"/>
      <c r="Q116" s="1514"/>
      <c r="R116" s="1514"/>
      <c r="S116" s="1514"/>
      <c r="T116" s="1514"/>
      <c r="U116" s="1514"/>
      <c r="V116" s="1514"/>
      <c r="W116" s="1514"/>
      <c r="X116" s="1514"/>
      <c r="Y116" s="1514"/>
      <c r="Z116" s="1514"/>
      <c r="AA116" s="1514"/>
      <c r="AB116" s="1514"/>
      <c r="AC116" s="1514"/>
      <c r="AD116" s="1514"/>
    </row>
    <row r="117" spans="1:30" ht="15" customHeight="1" x14ac:dyDescent="0.3">
      <c r="A117" s="1522" t="s">
        <v>371</v>
      </c>
      <c r="B117" s="2426"/>
      <c r="C117" s="1641" t="s">
        <v>122</v>
      </c>
      <c r="D117" s="1607"/>
      <c r="E117" s="1638">
        <f>+'Emission Factors'!J96</f>
        <v>0.10097</v>
      </c>
      <c r="F117" s="1673">
        <f t="shared" si="13"/>
        <v>0</v>
      </c>
      <c r="G117" s="1631"/>
      <c r="H117" s="1631"/>
      <c r="I117" s="2511"/>
      <c r="J117" s="2512"/>
      <c r="K117" s="2513"/>
      <c r="L117" s="1581" t="str">
        <f t="shared" si="3"/>
        <v/>
      </c>
      <c r="M117" s="1514"/>
      <c r="N117" s="1514"/>
      <c r="O117" s="1514"/>
      <c r="P117" s="1514"/>
      <c r="Q117" s="1514"/>
      <c r="R117" s="1514"/>
      <c r="S117" s="1514"/>
      <c r="T117" s="1514"/>
      <c r="U117" s="1514"/>
      <c r="V117" s="1514"/>
      <c r="W117" s="1514"/>
      <c r="X117" s="1514"/>
      <c r="Y117" s="1514"/>
      <c r="Z117" s="1514"/>
      <c r="AA117" s="1514"/>
      <c r="AB117" s="1514"/>
      <c r="AC117" s="1514"/>
      <c r="AD117" s="1514"/>
    </row>
    <row r="118" spans="1:30" ht="15" customHeight="1" x14ac:dyDescent="0.3">
      <c r="A118" s="1522" t="s">
        <v>371</v>
      </c>
      <c r="B118" s="2426"/>
      <c r="C118" s="1641" t="s">
        <v>123</v>
      </c>
      <c r="D118" s="1607"/>
      <c r="E118" s="1638">
        <f>+'Emission Factors'!J97</f>
        <v>2.801E-2</v>
      </c>
      <c r="F118" s="1673">
        <f t="shared" si="13"/>
        <v>0</v>
      </c>
      <c r="G118" s="1631"/>
      <c r="H118" s="1631"/>
      <c r="I118" s="2511"/>
      <c r="J118" s="2512"/>
      <c r="K118" s="2513"/>
      <c r="L118" s="1581" t="str">
        <f t="shared" si="3"/>
        <v/>
      </c>
      <c r="M118" s="1514"/>
      <c r="N118" s="1514"/>
      <c r="O118" s="1514"/>
      <c r="P118" s="1514"/>
      <c r="Q118" s="1514"/>
      <c r="R118" s="1514"/>
      <c r="S118" s="1514"/>
      <c r="T118" s="1514"/>
      <c r="U118" s="1514"/>
      <c r="V118" s="1514"/>
      <c r="W118" s="1514"/>
      <c r="X118" s="1514"/>
      <c r="Y118" s="1514"/>
      <c r="Z118" s="1514"/>
      <c r="AA118" s="1514"/>
      <c r="AB118" s="1514"/>
      <c r="AC118" s="1514"/>
      <c r="AD118" s="1514"/>
    </row>
    <row r="119" spans="1:30" ht="15" customHeight="1" x14ac:dyDescent="0.3">
      <c r="A119" s="1522" t="s">
        <v>371</v>
      </c>
      <c r="B119" s="2426"/>
      <c r="C119" s="1566" t="s">
        <v>410</v>
      </c>
      <c r="D119" s="1607"/>
      <c r="E119" s="1668"/>
      <c r="F119" s="1673">
        <f t="shared" si="13"/>
        <v>0</v>
      </c>
      <c r="G119" s="1631"/>
      <c r="H119" s="1631"/>
      <c r="I119" s="2511"/>
      <c r="J119" s="2512"/>
      <c r="K119" s="2513"/>
      <c r="L119" s="1581" t="str">
        <f t="shared" si="3"/>
        <v/>
      </c>
      <c r="M119" s="1514"/>
      <c r="N119" s="1514"/>
      <c r="O119" s="1514"/>
      <c r="P119" s="1514"/>
      <c r="Q119" s="1514"/>
      <c r="R119" s="1514"/>
      <c r="S119" s="1514"/>
      <c r="T119" s="1514"/>
      <c r="U119" s="1514"/>
      <c r="V119" s="1514"/>
      <c r="W119" s="1514"/>
      <c r="X119" s="1514"/>
      <c r="Y119" s="1514"/>
      <c r="Z119" s="1514"/>
      <c r="AA119" s="1514"/>
      <c r="AB119" s="1514"/>
      <c r="AC119" s="1514"/>
      <c r="AD119" s="1514"/>
    </row>
    <row r="120" spans="1:30" ht="15" customHeight="1" x14ac:dyDescent="0.3">
      <c r="A120" s="1522" t="s">
        <v>371</v>
      </c>
      <c r="B120" s="2426"/>
      <c r="C120" s="1566" t="s">
        <v>411</v>
      </c>
      <c r="D120" s="1607"/>
      <c r="E120" s="1668"/>
      <c r="F120" s="1673">
        <f t="shared" si="13"/>
        <v>0</v>
      </c>
      <c r="G120" s="1631"/>
      <c r="H120" s="1631"/>
      <c r="I120" s="2511"/>
      <c r="J120" s="2512"/>
      <c r="K120" s="2513"/>
      <c r="L120" s="1581" t="str">
        <f t="shared" si="3"/>
        <v/>
      </c>
      <c r="M120" s="1514"/>
      <c r="N120" s="1514"/>
      <c r="O120" s="1514"/>
      <c r="P120" s="1514"/>
      <c r="Q120" s="1514"/>
      <c r="R120" s="1514"/>
      <c r="S120" s="1514"/>
      <c r="T120" s="1514"/>
      <c r="U120" s="1514"/>
      <c r="V120" s="1514"/>
      <c r="W120" s="1514"/>
      <c r="X120" s="1514"/>
      <c r="Y120" s="1514"/>
      <c r="Z120" s="1514"/>
      <c r="AA120" s="1514"/>
      <c r="AB120" s="1514"/>
      <c r="AC120" s="1514"/>
      <c r="AD120" s="1514"/>
    </row>
    <row r="121" spans="1:30" ht="15" customHeight="1" thickBot="1" x14ac:dyDescent="0.35">
      <c r="A121" s="1522" t="s">
        <v>371</v>
      </c>
      <c r="B121" s="2426"/>
      <c r="C121" s="1566" t="s">
        <v>412</v>
      </c>
      <c r="D121" s="1567"/>
      <c r="E121" s="1668"/>
      <c r="F121" s="1608">
        <f t="shared" si="13"/>
        <v>0</v>
      </c>
      <c r="G121" s="1631"/>
      <c r="H121" s="1631"/>
      <c r="I121" s="2511"/>
      <c r="J121" s="2512"/>
      <c r="K121" s="2513"/>
      <c r="L121" s="1581" t="str">
        <f t="shared" si="3"/>
        <v/>
      </c>
      <c r="M121" s="1514"/>
      <c r="N121" s="1514"/>
      <c r="O121" s="1514"/>
      <c r="P121" s="1514"/>
      <c r="Q121" s="1514"/>
      <c r="R121" s="1514"/>
      <c r="S121" s="1514"/>
      <c r="T121" s="1514"/>
      <c r="U121" s="1514"/>
      <c r="V121" s="1514"/>
      <c r="W121" s="1514"/>
      <c r="X121" s="1514"/>
      <c r="Y121" s="1514"/>
      <c r="Z121" s="1514"/>
      <c r="AA121" s="1514"/>
      <c r="AB121" s="1514"/>
      <c r="AC121" s="1514"/>
      <c r="AD121" s="1514"/>
    </row>
    <row r="122" spans="1:30" ht="14.4" thickBot="1" x14ac:dyDescent="0.35">
      <c r="A122" s="1522"/>
      <c r="B122" s="1674" t="s">
        <v>406</v>
      </c>
      <c r="C122" s="1675" t="s">
        <v>405</v>
      </c>
      <c r="D122" s="1623"/>
      <c r="E122" s="1676">
        <v>0</v>
      </c>
      <c r="F122" s="1676"/>
      <c r="G122" s="1677"/>
      <c r="H122" s="1678"/>
      <c r="I122" s="2547"/>
      <c r="J122" s="2548"/>
      <c r="K122" s="2549"/>
      <c r="L122" s="1560" t="str">
        <f t="shared" si="3"/>
        <v/>
      </c>
      <c r="M122" s="1514"/>
      <c r="N122" s="1514"/>
      <c r="O122" s="1514"/>
      <c r="P122" s="1514"/>
      <c r="Q122" s="1514"/>
      <c r="R122" s="1514"/>
      <c r="S122" s="1514"/>
      <c r="T122" s="1514"/>
      <c r="U122" s="1514"/>
      <c r="V122" s="1514"/>
      <c r="W122" s="1514"/>
      <c r="X122" s="1514"/>
      <c r="Y122" s="1514"/>
      <c r="Z122" s="1514"/>
      <c r="AA122" s="1514"/>
      <c r="AB122" s="1514"/>
      <c r="AC122" s="1514"/>
      <c r="AD122" s="1514"/>
    </row>
    <row r="123" spans="1:30" ht="13.5" customHeight="1" thickBot="1" x14ac:dyDescent="0.35">
      <c r="A123" s="1522"/>
      <c r="B123" s="1679" t="s">
        <v>124</v>
      </c>
      <c r="C123" s="1680"/>
      <c r="D123" s="1681"/>
      <c r="E123" s="1670"/>
      <c r="F123" s="1682">
        <f>+F19+F53+F64+T67+F86+T89+F108</f>
        <v>111074.90994536411</v>
      </c>
      <c r="G123" s="1514"/>
      <c r="H123" s="1514"/>
      <c r="I123" s="1514"/>
      <c r="J123" s="1514"/>
      <c r="K123" s="1514"/>
      <c r="L123" s="1514"/>
      <c r="M123" s="1514"/>
      <c r="N123" s="1514"/>
      <c r="O123" s="1514"/>
      <c r="P123" s="1514"/>
      <c r="Q123" s="1514"/>
      <c r="R123" s="1514"/>
      <c r="S123" s="1514"/>
      <c r="T123" s="1514"/>
      <c r="U123" s="1514"/>
      <c r="V123" s="1514"/>
      <c r="W123" s="1514"/>
      <c r="X123" s="1514"/>
      <c r="Y123" s="1514"/>
      <c r="Z123" s="1514"/>
      <c r="AA123" s="1514"/>
      <c r="AB123" s="1514"/>
      <c r="AC123" s="1514"/>
      <c r="AD123" s="1514"/>
    </row>
    <row r="124" spans="1:30" s="1689" customFormat="1" ht="15" thickBot="1" x14ac:dyDescent="0.35">
      <c r="A124" s="1683"/>
      <c r="B124" s="1684" t="s">
        <v>125</v>
      </c>
      <c r="C124" s="1685"/>
      <c r="D124" s="1685"/>
      <c r="E124" s="1685"/>
      <c r="F124" s="1685"/>
      <c r="G124" s="1685"/>
      <c r="H124" s="1686"/>
      <c r="I124" s="1687"/>
      <c r="J124" s="1688"/>
      <c r="K124" s="1688"/>
      <c r="L124" s="1688"/>
      <c r="M124" s="1688"/>
      <c r="N124" s="1688"/>
      <c r="O124" s="1688"/>
      <c r="P124" s="1688"/>
      <c r="Q124" s="1688"/>
      <c r="R124" s="1688"/>
      <c r="S124" s="1688"/>
      <c r="T124" s="1688"/>
      <c r="U124" s="1688"/>
      <c r="V124" s="1688"/>
      <c r="W124" s="1688"/>
      <c r="X124" s="1688"/>
      <c r="Y124" s="1688"/>
      <c r="Z124" s="1688"/>
      <c r="AA124" s="1688"/>
      <c r="AB124" s="1688"/>
      <c r="AC124" s="1688"/>
      <c r="AD124" s="1688"/>
    </row>
    <row r="125" spans="1:30" ht="15.75" customHeight="1" thickBot="1" x14ac:dyDescent="0.35">
      <c r="A125" s="1522"/>
      <c r="B125" s="1690"/>
      <c r="C125" s="1691"/>
      <c r="D125" s="2550" t="s">
        <v>23</v>
      </c>
      <c r="E125" s="2551"/>
      <c r="F125" s="2552"/>
      <c r="G125" s="1692"/>
      <c r="H125" s="1692"/>
      <c r="I125" s="2553" t="s">
        <v>24</v>
      </c>
      <c r="J125" s="2554"/>
      <c r="K125" s="2555"/>
      <c r="L125" s="1622" t="s">
        <v>408</v>
      </c>
      <c r="M125" s="2419" t="s">
        <v>461</v>
      </c>
      <c r="N125" s="1514"/>
      <c r="O125" s="1514"/>
      <c r="P125" s="1514"/>
      <c r="Q125" s="1514"/>
      <c r="R125" s="1514"/>
      <c r="S125" s="1514"/>
      <c r="T125" s="1514"/>
      <c r="U125" s="1514"/>
      <c r="V125" s="1514"/>
      <c r="W125" s="1514"/>
      <c r="X125" s="1514"/>
      <c r="Y125" s="1514"/>
      <c r="Z125" s="1514"/>
      <c r="AA125" s="1514"/>
      <c r="AB125" s="1514"/>
      <c r="AC125" s="1514"/>
      <c r="AD125" s="1514"/>
    </row>
    <row r="126" spans="1:30" ht="15.75" customHeight="1" thickBot="1" x14ac:dyDescent="0.35">
      <c r="A126" s="1522"/>
      <c r="B126" s="1690"/>
      <c r="C126" s="1691"/>
      <c r="D126" s="1693" t="s">
        <v>81</v>
      </c>
      <c r="E126" s="1694" t="s">
        <v>171</v>
      </c>
      <c r="F126" s="1695" t="s">
        <v>174</v>
      </c>
      <c r="G126" s="1631"/>
      <c r="H126" s="1631"/>
      <c r="I126" s="2556"/>
      <c r="J126" s="2557"/>
      <c r="K126" s="2558"/>
      <c r="L126" s="1696" t="s">
        <v>28</v>
      </c>
      <c r="M126" s="2420"/>
      <c r="N126" s="1514"/>
      <c r="O126" s="1514"/>
      <c r="P126" s="1514"/>
      <c r="Q126" s="1514"/>
      <c r="R126" s="1514"/>
      <c r="S126" s="1514"/>
      <c r="T126" s="1514"/>
      <c r="U126" s="1514"/>
      <c r="V126" s="1514"/>
      <c r="W126" s="1514"/>
      <c r="X126" s="1514"/>
      <c r="Y126" s="1514"/>
      <c r="Z126" s="1514"/>
      <c r="AA126" s="1514"/>
      <c r="AB126" s="1514"/>
      <c r="AC126" s="1514"/>
      <c r="AD126" s="1514"/>
    </row>
    <row r="127" spans="1:30" ht="13.5" customHeight="1" thickBot="1" x14ac:dyDescent="0.35">
      <c r="A127" s="1522"/>
      <c r="B127" s="1697" t="s">
        <v>126</v>
      </c>
      <c r="C127" s="1698"/>
      <c r="D127" s="1699">
        <f>SUM(D128:D136)</f>
        <v>944192.65056218253</v>
      </c>
      <c r="E127" s="1700"/>
      <c r="F127" s="1701">
        <f>SUM(F128:F136)</f>
        <v>93.304330842945987</v>
      </c>
      <c r="G127" s="1631"/>
      <c r="H127" s="1631"/>
      <c r="I127" s="2556"/>
      <c r="J127" s="2557"/>
      <c r="K127" s="2558"/>
      <c r="L127" s="1702">
        <f>SUM(L128:L136)</f>
        <v>194.38072458369314</v>
      </c>
      <c r="M127" s="1560" t="str">
        <f>IF(D127&lt;0,"Error - Negative number","")</f>
        <v/>
      </c>
      <c r="N127" s="1514"/>
      <c r="O127" s="1514"/>
      <c r="P127" s="1514"/>
      <c r="Q127" s="1514"/>
      <c r="R127" s="1514"/>
      <c r="S127" s="1514"/>
      <c r="T127" s="1514"/>
      <c r="U127" s="1514"/>
      <c r="V127" s="1514"/>
      <c r="W127" s="1514"/>
      <c r="X127" s="1514"/>
      <c r="Y127" s="1514"/>
      <c r="Z127" s="1514"/>
      <c r="AA127" s="1514"/>
      <c r="AB127" s="1514"/>
      <c r="AC127" s="1514"/>
      <c r="AD127" s="1514"/>
    </row>
    <row r="128" spans="1:30" ht="15" customHeight="1" x14ac:dyDescent="0.3">
      <c r="A128" s="1522" t="s">
        <v>373</v>
      </c>
      <c r="B128" s="1703" t="s">
        <v>127</v>
      </c>
      <c r="C128" s="1704"/>
      <c r="D128" s="1705"/>
      <c r="E128" s="1672">
        <f>+'Emission Factors'!J107</f>
        <v>8.5839999999999986E-2</v>
      </c>
      <c r="F128" s="1706">
        <f>(D128*E128)/1000</f>
        <v>0</v>
      </c>
      <c r="G128" s="1631"/>
      <c r="H128" s="1631"/>
      <c r="I128" s="2559"/>
      <c r="J128" s="2560"/>
      <c r="K128" s="2561"/>
      <c r="L128" s="1707">
        <f>+F128*2.09</f>
        <v>0</v>
      </c>
      <c r="M128" s="1572" t="str">
        <f t="shared" ref="M128:M136" si="14">IF(D128&lt;0,"Error - Negative number","")</f>
        <v/>
      </c>
      <c r="N128" s="1514"/>
      <c r="O128" s="1514"/>
      <c r="P128" s="1514"/>
      <c r="Q128" s="1514"/>
      <c r="R128" s="1514"/>
      <c r="S128" s="1514"/>
      <c r="T128" s="1514"/>
      <c r="U128" s="1514"/>
      <c r="V128" s="1514"/>
      <c r="W128" s="1514"/>
      <c r="X128" s="1514"/>
      <c r="Y128" s="1514"/>
      <c r="Z128" s="1514"/>
      <c r="AA128" s="1514"/>
      <c r="AB128" s="1514"/>
      <c r="AC128" s="1514"/>
      <c r="AD128" s="1514"/>
    </row>
    <row r="129" spans="1:30" ht="15.75" customHeight="1" x14ac:dyDescent="0.3">
      <c r="A129" s="1522" t="s">
        <v>373</v>
      </c>
      <c r="B129" s="1708" t="s">
        <v>128</v>
      </c>
      <c r="C129" s="1709"/>
      <c r="D129" s="1710">
        <v>503736.125732421</v>
      </c>
      <c r="E129" s="1638">
        <f>+'Emission Factors'!J108</f>
        <v>8.4429999999999991E-2</v>
      </c>
      <c r="F129" s="1711">
        <f t="shared" ref="F129:F136" si="15">(D129*E129)/1000</f>
        <v>42.530441095588301</v>
      </c>
      <c r="G129" s="1631"/>
      <c r="H129" s="1631"/>
      <c r="I129" s="2562"/>
      <c r="J129" s="2563"/>
      <c r="K129" s="2564"/>
      <c r="L129" s="1712">
        <f t="shared" ref="L129:L135" si="16">+F129*2.09</f>
        <v>88.888621889779543</v>
      </c>
      <c r="M129" s="1581" t="str">
        <f t="shared" si="14"/>
        <v/>
      </c>
      <c r="N129" s="1514"/>
      <c r="O129" s="1514"/>
      <c r="P129" s="1514"/>
      <c r="Q129" s="1514"/>
      <c r="R129" s="1514"/>
      <c r="S129" s="1514"/>
      <c r="T129" s="1514"/>
      <c r="U129" s="1514"/>
      <c r="V129" s="1514"/>
      <c r="W129" s="1514"/>
      <c r="X129" s="1514"/>
      <c r="Y129" s="1514"/>
      <c r="Z129" s="1514"/>
      <c r="AA129" s="1514"/>
      <c r="AB129" s="1514"/>
      <c r="AC129" s="1514"/>
      <c r="AD129" s="1514"/>
    </row>
    <row r="130" spans="1:30" ht="15" customHeight="1" x14ac:dyDescent="0.3">
      <c r="A130" s="1522" t="s">
        <v>373</v>
      </c>
      <c r="B130" s="1708" t="s">
        <v>129</v>
      </c>
      <c r="C130" s="1709"/>
      <c r="D130" s="1710">
        <v>4526.1168823242097</v>
      </c>
      <c r="E130" s="1638">
        <f>+'Emission Factors'!J109</f>
        <v>0.12665000000000001</v>
      </c>
      <c r="F130" s="1711">
        <f t="shared" si="15"/>
        <v>0.57323270314636121</v>
      </c>
      <c r="G130" s="1631"/>
      <c r="H130" s="1631"/>
      <c r="I130" s="2562"/>
      <c r="J130" s="2563"/>
      <c r="K130" s="2564"/>
      <c r="L130" s="1712">
        <f t="shared" si="16"/>
        <v>1.1980563495758949</v>
      </c>
      <c r="M130" s="1581" t="str">
        <f t="shared" si="14"/>
        <v/>
      </c>
      <c r="N130" s="1514"/>
      <c r="O130" s="1514"/>
      <c r="P130" s="1514"/>
      <c r="Q130" s="1514"/>
      <c r="R130" s="1514"/>
      <c r="S130" s="1514"/>
      <c r="T130" s="1514"/>
      <c r="U130" s="1514"/>
      <c r="V130" s="1514"/>
      <c r="W130" s="1514"/>
      <c r="X130" s="1514"/>
      <c r="Y130" s="1514"/>
      <c r="Z130" s="1514"/>
      <c r="AA130" s="1514"/>
      <c r="AB130" s="1514"/>
      <c r="AC130" s="1514"/>
      <c r="AD130" s="1514"/>
    </row>
    <row r="131" spans="1:30" ht="15.75" customHeight="1" x14ac:dyDescent="0.3">
      <c r="A131" s="1522" t="s">
        <v>373</v>
      </c>
      <c r="B131" s="1708" t="s">
        <v>130</v>
      </c>
      <c r="C131" s="1709"/>
      <c r="D131" s="1710"/>
      <c r="E131" s="1638">
        <f>+'Emission Factors'!J110</f>
        <v>0.11237</v>
      </c>
      <c r="F131" s="1711">
        <f t="shared" si="15"/>
        <v>0</v>
      </c>
      <c r="G131" s="1631"/>
      <c r="H131" s="1631"/>
      <c r="I131" s="2562"/>
      <c r="J131" s="2563"/>
      <c r="K131" s="2564"/>
      <c r="L131" s="1712">
        <f t="shared" si="16"/>
        <v>0</v>
      </c>
      <c r="M131" s="1581" t="str">
        <f t="shared" si="14"/>
        <v/>
      </c>
      <c r="N131" s="1514"/>
      <c r="O131" s="1514"/>
      <c r="P131" s="1514"/>
      <c r="Q131" s="1514"/>
      <c r="R131" s="1514"/>
      <c r="S131" s="1514"/>
      <c r="T131" s="1514"/>
      <c r="U131" s="1514"/>
      <c r="V131" s="1514"/>
      <c r="W131" s="1514"/>
      <c r="X131" s="1514"/>
      <c r="Y131" s="1514"/>
      <c r="Z131" s="1514"/>
      <c r="AA131" s="1514"/>
      <c r="AB131" s="1514"/>
      <c r="AC131" s="1514"/>
      <c r="AD131" s="1514"/>
    </row>
    <row r="132" spans="1:30" ht="15" customHeight="1" x14ac:dyDescent="0.3">
      <c r="A132" s="1522" t="s">
        <v>373</v>
      </c>
      <c r="B132" s="1708" t="s">
        <v>131</v>
      </c>
      <c r="C132" s="1709"/>
      <c r="D132" s="1710">
        <v>171479.17309570301</v>
      </c>
      <c r="E132" s="1638">
        <f>+'Emission Factors'!J111</f>
        <v>8.6070000000000008E-2</v>
      </c>
      <c r="F132" s="1711">
        <f t="shared" si="15"/>
        <v>14.759212428347158</v>
      </c>
      <c r="G132" s="1631"/>
      <c r="H132" s="1631"/>
      <c r="I132" s="2562"/>
      <c r="J132" s="2563"/>
      <c r="K132" s="2564"/>
      <c r="L132" s="1712">
        <f t="shared" si="16"/>
        <v>30.846753975245559</v>
      </c>
      <c r="M132" s="1581" t="str">
        <f t="shared" si="14"/>
        <v/>
      </c>
      <c r="N132" s="1514"/>
      <c r="O132" s="1514"/>
      <c r="P132" s="1514"/>
      <c r="Q132" s="1514"/>
      <c r="R132" s="1514"/>
      <c r="S132" s="1514"/>
      <c r="T132" s="1514"/>
      <c r="U132" s="1514"/>
      <c r="V132" s="1514"/>
      <c r="W132" s="1514"/>
      <c r="X132" s="1514"/>
      <c r="Y132" s="1514"/>
      <c r="Z132" s="1514"/>
      <c r="AA132" s="1514"/>
      <c r="AB132" s="1514"/>
      <c r="AC132" s="1514"/>
      <c r="AD132" s="1514"/>
    </row>
    <row r="133" spans="1:30" ht="15.75" customHeight="1" x14ac:dyDescent="0.3">
      <c r="A133" s="1522" t="s">
        <v>373</v>
      </c>
      <c r="B133" s="1708" t="s">
        <v>132</v>
      </c>
      <c r="C133" s="1709"/>
      <c r="D133" s="1710">
        <v>221385.52880859299</v>
      </c>
      <c r="E133" s="1638">
        <f>+'Emission Factors'!J112</f>
        <v>0.13770000000000002</v>
      </c>
      <c r="F133" s="1711">
        <f t="shared" si="15"/>
        <v>30.484787316943262</v>
      </c>
      <c r="G133" s="1631"/>
      <c r="H133" s="1631"/>
      <c r="I133" s="2562"/>
      <c r="J133" s="2563"/>
      <c r="K133" s="2564"/>
      <c r="L133" s="1712">
        <f t="shared" si="16"/>
        <v>63.713205492411412</v>
      </c>
      <c r="M133" s="1581" t="str">
        <f t="shared" si="14"/>
        <v/>
      </c>
      <c r="N133" s="1514"/>
      <c r="O133" s="1514"/>
      <c r="P133" s="1514"/>
      <c r="Q133" s="1514"/>
      <c r="R133" s="1514"/>
      <c r="S133" s="1514"/>
      <c r="T133" s="1514"/>
      <c r="U133" s="1514"/>
      <c r="V133" s="1514"/>
      <c r="W133" s="1514"/>
      <c r="X133" s="1514"/>
      <c r="Y133" s="1514"/>
      <c r="Z133" s="1514"/>
      <c r="AA133" s="1514"/>
      <c r="AB133" s="1514"/>
      <c r="AC133" s="1514"/>
      <c r="AD133" s="1514"/>
    </row>
    <row r="134" spans="1:30" ht="15" customHeight="1" x14ac:dyDescent="0.3">
      <c r="A134" s="1522" t="s">
        <v>373</v>
      </c>
      <c r="B134" s="1708" t="s">
        <v>133</v>
      </c>
      <c r="C134" s="1709"/>
      <c r="D134" s="1710">
        <v>18661.182128906199</v>
      </c>
      <c r="E134" s="1638">
        <f>+'Emission Factors'!J113</f>
        <v>0.24958</v>
      </c>
      <c r="F134" s="1711">
        <f t="shared" si="15"/>
        <v>4.6574578357324086</v>
      </c>
      <c r="G134" s="1631"/>
      <c r="H134" s="1631"/>
      <c r="I134" s="2562"/>
      <c r="J134" s="2563"/>
      <c r="K134" s="2564"/>
      <c r="L134" s="1712">
        <f t="shared" si="16"/>
        <v>9.7340868766807329</v>
      </c>
      <c r="M134" s="1581" t="str">
        <f t="shared" si="14"/>
        <v/>
      </c>
      <c r="N134" s="1514"/>
      <c r="O134" s="1514"/>
      <c r="P134" s="1514"/>
      <c r="Q134" s="1514"/>
      <c r="R134" s="1514"/>
      <c r="S134" s="1514"/>
      <c r="T134" s="1514"/>
      <c r="U134" s="1514"/>
      <c r="V134" s="1514"/>
      <c r="W134" s="1514"/>
      <c r="X134" s="1514"/>
      <c r="Y134" s="1514"/>
      <c r="Z134" s="1514"/>
      <c r="AA134" s="1514"/>
      <c r="AB134" s="1514"/>
      <c r="AC134" s="1514"/>
      <c r="AD134" s="1514"/>
    </row>
    <row r="135" spans="1:30" ht="15.75" customHeight="1" thickBot="1" x14ac:dyDescent="0.35">
      <c r="A135" s="1522" t="s">
        <v>373</v>
      </c>
      <c r="B135" s="1708" t="s">
        <v>134</v>
      </c>
      <c r="C135" s="1709"/>
      <c r="D135" s="1710"/>
      <c r="E135" s="1638">
        <f>+'Emission Factors'!J114</f>
        <v>0.34425000000000006</v>
      </c>
      <c r="F135" s="1711">
        <f>(D135*E135)/1000</f>
        <v>0</v>
      </c>
      <c r="G135" s="1631"/>
      <c r="H135" s="1631"/>
      <c r="I135" s="2562"/>
      <c r="J135" s="2563"/>
      <c r="K135" s="2564"/>
      <c r="L135" s="1713">
        <f t="shared" si="16"/>
        <v>0</v>
      </c>
      <c r="M135" s="1581" t="str">
        <f t="shared" si="14"/>
        <v/>
      </c>
      <c r="N135" s="1514"/>
      <c r="O135" s="1514"/>
      <c r="P135" s="1514"/>
      <c r="Q135" s="1514"/>
      <c r="R135" s="1514"/>
      <c r="S135" s="1514"/>
      <c r="T135" s="1514"/>
      <c r="U135" s="1514"/>
      <c r="V135" s="1514"/>
      <c r="W135" s="1514"/>
      <c r="X135" s="1514"/>
      <c r="Y135" s="1514"/>
      <c r="Z135" s="1514"/>
      <c r="AA135" s="1514"/>
      <c r="AB135" s="1514"/>
      <c r="AC135" s="1514"/>
      <c r="AD135" s="1514"/>
    </row>
    <row r="136" spans="1:30" ht="15" customHeight="1" thickBot="1" x14ac:dyDescent="0.35">
      <c r="A136" s="1522" t="s">
        <v>373</v>
      </c>
      <c r="B136" s="1714" t="s">
        <v>135</v>
      </c>
      <c r="C136" s="1715"/>
      <c r="D136" s="1716">
        <v>24404.523914234898</v>
      </c>
      <c r="E136" s="1717">
        <f>+'Emission Factors'!J115</f>
        <v>1.2260000000000002E-2</v>
      </c>
      <c r="F136" s="1718">
        <f t="shared" si="15"/>
        <v>0.29919946318851987</v>
      </c>
      <c r="G136" s="1719"/>
      <c r="H136" s="1719"/>
      <c r="I136" s="2565"/>
      <c r="J136" s="2566"/>
      <c r="K136" s="2567"/>
      <c r="L136" s="1514"/>
      <c r="M136" s="1618" t="str">
        <f t="shared" si="14"/>
        <v/>
      </c>
      <c r="N136" s="1514"/>
      <c r="O136" s="1514"/>
      <c r="P136" s="1514"/>
      <c r="Q136" s="1514"/>
      <c r="R136" s="1514"/>
      <c r="S136" s="1514"/>
      <c r="T136" s="1514"/>
      <c r="U136" s="1514"/>
      <c r="V136" s="1514"/>
      <c r="W136" s="1514"/>
      <c r="X136" s="1514"/>
      <c r="Y136" s="1514"/>
      <c r="Z136" s="1514"/>
      <c r="AA136" s="1514"/>
      <c r="AB136" s="1514"/>
      <c r="AC136" s="1514"/>
      <c r="AD136" s="1514"/>
    </row>
    <row r="137" spans="1:30" ht="15" customHeight="1" x14ac:dyDescent="0.3">
      <c r="A137" s="1514"/>
      <c r="B137" s="1720" t="s">
        <v>407</v>
      </c>
      <c r="C137" s="1721"/>
      <c r="D137" s="1722"/>
      <c r="E137" s="1723"/>
      <c r="F137" s="1724"/>
      <c r="G137" s="1724"/>
      <c r="H137" s="1724"/>
      <c r="I137" s="1725"/>
      <c r="J137" s="1725"/>
      <c r="K137" s="1725"/>
      <c r="L137" s="1726"/>
      <c r="M137" s="1727"/>
      <c r="N137" s="1514"/>
      <c r="O137" s="1514"/>
      <c r="P137" s="1514"/>
      <c r="Q137" s="1514"/>
      <c r="R137" s="1514"/>
      <c r="S137" s="1514"/>
      <c r="T137" s="1514"/>
      <c r="U137" s="1514"/>
      <c r="V137" s="1514"/>
      <c r="W137" s="1514"/>
      <c r="X137" s="1514"/>
      <c r="Y137" s="1514"/>
      <c r="Z137" s="1514"/>
      <c r="AA137" s="1514"/>
      <c r="AB137" s="1514"/>
      <c r="AC137" s="1514"/>
      <c r="AD137" s="1514"/>
    </row>
    <row r="138" spans="1:30" s="1550" customFormat="1" ht="23.4" x14ac:dyDescent="0.3">
      <c r="A138" s="1529"/>
      <c r="B138" s="1530" t="s">
        <v>136</v>
      </c>
      <c r="C138" s="1547"/>
      <c r="D138" s="2387" t="str">
        <f>+$A$1</f>
        <v>Quarter 4 - 2018-2019</v>
      </c>
      <c r="E138" s="2387"/>
      <c r="F138" s="2387"/>
      <c r="G138" s="2387"/>
      <c r="H138" s="2387"/>
      <c r="I138" s="2387"/>
      <c r="J138" s="2387"/>
      <c r="K138" s="1548"/>
      <c r="L138" s="1548"/>
      <c r="M138" s="1548"/>
      <c r="N138" s="1548"/>
      <c r="O138" s="1548"/>
      <c r="P138" s="1548"/>
      <c r="Q138" s="1548"/>
      <c r="R138" s="1548"/>
      <c r="S138" s="1548"/>
      <c r="T138" s="1548"/>
      <c r="U138" s="1548"/>
      <c r="V138" s="1548"/>
      <c r="W138" s="1548"/>
      <c r="X138" s="1548"/>
      <c r="Y138" s="1549"/>
      <c r="Z138" s="1549"/>
      <c r="AA138" s="1549"/>
      <c r="AB138" s="1549"/>
      <c r="AC138" s="1549"/>
      <c r="AD138" s="1549"/>
    </row>
    <row r="139" spans="1:30" ht="15" customHeight="1" thickBot="1" x14ac:dyDescent="0.35">
      <c r="A139" s="1522"/>
      <c r="B139" s="1534" t="s">
        <v>137</v>
      </c>
      <c r="C139" s="1721"/>
      <c r="D139" s="1722"/>
      <c r="E139" s="1723"/>
      <c r="F139" s="1724"/>
      <c r="G139" s="1724"/>
      <c r="H139" s="1724"/>
      <c r="I139" s="1725"/>
      <c r="J139" s="1725"/>
      <c r="K139" s="1725"/>
      <c r="L139" s="1514"/>
      <c r="M139" s="1514"/>
      <c r="N139" s="1514"/>
      <c r="O139" s="1514"/>
      <c r="P139" s="1514"/>
      <c r="Q139" s="1514"/>
      <c r="R139" s="1514"/>
      <c r="S139" s="1514"/>
      <c r="T139" s="1514"/>
      <c r="U139" s="1514"/>
      <c r="V139" s="1514"/>
      <c r="W139" s="1514"/>
      <c r="X139" s="1514"/>
      <c r="Y139" s="1514"/>
      <c r="Z139" s="1514"/>
      <c r="AA139" s="1514"/>
      <c r="AB139" s="1514"/>
      <c r="AC139" s="1514"/>
      <c r="AD139" s="1514"/>
    </row>
    <row r="140" spans="1:30" ht="30.75" customHeight="1" thickBot="1" x14ac:dyDescent="0.35">
      <c r="A140" s="1522"/>
      <c r="B140" s="1514"/>
      <c r="C140" s="1514"/>
      <c r="D140" s="1728"/>
      <c r="E140" s="1721"/>
      <c r="F140" s="1729" t="s">
        <v>23</v>
      </c>
      <c r="G140" s="1730"/>
      <c r="H140" s="1731" t="s">
        <v>144</v>
      </c>
      <c r="I140" s="2568" t="s">
        <v>24</v>
      </c>
      <c r="J140" s="2569"/>
      <c r="K140" s="2570"/>
      <c r="L140" s="1514"/>
      <c r="M140" s="1514"/>
      <c r="N140" s="1514"/>
      <c r="O140" s="1725"/>
      <c r="P140" s="1514"/>
      <c r="Q140" s="1514"/>
      <c r="R140" s="1514"/>
      <c r="S140" s="1514"/>
      <c r="T140" s="1514"/>
      <c r="U140" s="1514"/>
      <c r="V140" s="1514"/>
      <c r="W140" s="1514"/>
      <c r="X140" s="1514"/>
      <c r="Y140" s="1514"/>
      <c r="Z140" s="1514"/>
      <c r="AA140" s="1514"/>
      <c r="AB140" s="1514"/>
      <c r="AC140" s="1514"/>
      <c r="AD140" s="1514"/>
    </row>
    <row r="141" spans="1:30" ht="15" customHeight="1" thickBot="1" x14ac:dyDescent="0.35">
      <c r="A141" s="1522"/>
      <c r="B141" s="1514"/>
      <c r="C141" s="1514"/>
      <c r="D141" s="1534" t="str">
        <f>IF(D33&gt;0,"Please add F7 to relevant to total for relevant scope","")</f>
        <v/>
      </c>
      <c r="E141" s="1721"/>
      <c r="F141" s="1620" t="s">
        <v>28</v>
      </c>
      <c r="G141" s="1730"/>
      <c r="H141" s="1555" t="s">
        <v>28</v>
      </c>
      <c r="I141" s="2571"/>
      <c r="J141" s="2572"/>
      <c r="K141" s="2573"/>
      <c r="L141" s="1514"/>
      <c r="M141" s="1514"/>
      <c r="N141" s="1514"/>
      <c r="O141" s="1725"/>
      <c r="P141" s="1514"/>
      <c r="Q141" s="1514"/>
      <c r="R141" s="1514"/>
      <c r="S141" s="1514"/>
      <c r="T141" s="1514"/>
      <c r="U141" s="1514"/>
      <c r="V141" s="1514"/>
      <c r="W141" s="1514"/>
      <c r="X141" s="1514"/>
      <c r="Y141" s="1514"/>
      <c r="Z141" s="1514"/>
      <c r="AA141" s="1514"/>
      <c r="AB141" s="1514"/>
      <c r="AC141" s="1514"/>
      <c r="AD141" s="1514"/>
    </row>
    <row r="142" spans="1:30" ht="15" customHeight="1" thickBot="1" x14ac:dyDescent="0.35">
      <c r="A142" s="1727"/>
      <c r="B142" s="1514"/>
      <c r="C142" s="1732"/>
      <c r="D142" s="2398" t="s">
        <v>513</v>
      </c>
      <c r="E142" s="2399"/>
      <c r="F142" s="1625">
        <f>F143+F144+F145</f>
        <v>111074.9099453641</v>
      </c>
      <c r="G142" s="1730"/>
      <c r="H142" s="1627">
        <f>H143+H144+H145</f>
        <v>2156.9162543517368</v>
      </c>
      <c r="I142" s="2574"/>
      <c r="J142" s="2575"/>
      <c r="K142" s="2576"/>
      <c r="L142" s="1733"/>
      <c r="M142" s="1727"/>
      <c r="N142" s="1514"/>
      <c r="O142" s="1725"/>
      <c r="P142" s="1514"/>
      <c r="Q142" s="1514"/>
      <c r="R142" s="1514"/>
      <c r="S142" s="1514"/>
      <c r="T142" s="1514"/>
      <c r="U142" s="1514"/>
      <c r="V142" s="1514"/>
      <c r="W142" s="1514"/>
      <c r="X142" s="1514"/>
      <c r="Y142" s="1514"/>
      <c r="Z142" s="1514"/>
      <c r="AA142" s="1514"/>
      <c r="AB142" s="1514"/>
      <c r="AC142" s="1514"/>
      <c r="AD142" s="1514"/>
    </row>
    <row r="143" spans="1:30" ht="15" customHeight="1" x14ac:dyDescent="0.3">
      <c r="A143" s="1727"/>
      <c r="B143" s="1727"/>
      <c r="C143" s="1734"/>
      <c r="D143" s="2582" t="s">
        <v>139</v>
      </c>
      <c r="E143" s="2583"/>
      <c r="F143" s="1735">
        <f>F24+F25+F26+F27+F28+IF(I33="Scope 1",F33,0)+IF(I34="Scope 1",F34,0)+IF(I35="Scope 1",F35,0)+F36+F37+F38+F39+F40+F41+F42+F43+F44+F45+F46+F47+F53+T67+F64</f>
        <v>71117.536993083588</v>
      </c>
      <c r="G143" s="1736"/>
      <c r="H143" s="1612">
        <f>H24+H25+H26+H27+H28+IF(I33="Scope 1",H33,0)+IF(I34="Scope 1",H34,0)+IF(I35="Scope 1",H35,0)+H36+H37+H38+H39+H40+H41+H42+H43+H44+H45+H46+H47+H53</f>
        <v>1104.447825551737</v>
      </c>
      <c r="I143" s="2584"/>
      <c r="J143" s="2585"/>
      <c r="K143" s="2586"/>
      <c r="L143" s="1727"/>
      <c r="M143" s="1727"/>
      <c r="N143" s="1514"/>
      <c r="O143" s="1725"/>
      <c r="P143" s="1514"/>
      <c r="Q143" s="1514"/>
      <c r="R143" s="1514"/>
      <c r="S143" s="1514"/>
      <c r="T143" s="1514"/>
      <c r="U143" s="1514"/>
      <c r="V143" s="1514"/>
      <c r="W143" s="1514"/>
      <c r="X143" s="1514"/>
      <c r="Y143" s="1514"/>
      <c r="Z143" s="1514"/>
      <c r="AA143" s="1514"/>
      <c r="AB143" s="1514"/>
      <c r="AC143" s="1514"/>
      <c r="AD143" s="1514"/>
    </row>
    <row r="144" spans="1:30" ht="15" customHeight="1" x14ac:dyDescent="0.3">
      <c r="A144" s="1727"/>
      <c r="B144" s="1727"/>
      <c r="C144" s="1737"/>
      <c r="D144" s="2587" t="s">
        <v>140</v>
      </c>
      <c r="E144" s="2588"/>
      <c r="F144" s="1735">
        <f>+P20+P21+P22+P23+P29+F30+F31+P32+IF(I33="Scope 2",F33,0)+IF(I34="Scope 2",F34,0)+IF(I35="Scope 2",F35,0)</f>
        <v>34099.425227217922</v>
      </c>
      <c r="G144" s="1738"/>
      <c r="H144" s="1612">
        <f>+V20+V21+V22+V23+V29+H30+H31+V32+IF(I33="Scope 2",H33,0)+IF(I34="Scope 2",H34,0)+IF(I35="Scope 2",H35,0)</f>
        <v>969.79895227999998</v>
      </c>
      <c r="I144" s="2589"/>
      <c r="J144" s="2590"/>
      <c r="K144" s="2591"/>
      <c r="L144" s="1737"/>
      <c r="M144" s="1727"/>
      <c r="N144" s="1514"/>
      <c r="O144" s="1725"/>
      <c r="P144" s="1514"/>
      <c r="Q144" s="1514"/>
      <c r="R144" s="1514"/>
      <c r="S144" s="1514"/>
      <c r="T144" s="1514"/>
      <c r="U144" s="1514"/>
      <c r="V144" s="1514"/>
      <c r="W144" s="1514"/>
      <c r="X144" s="1514"/>
      <c r="Y144" s="1514"/>
      <c r="Z144" s="1514"/>
      <c r="AA144" s="1514"/>
      <c r="AB144" s="1514"/>
      <c r="AC144" s="1514"/>
      <c r="AD144" s="1514"/>
    </row>
    <row r="145" spans="1:30" ht="15" customHeight="1" thickBot="1" x14ac:dyDescent="0.35">
      <c r="A145" s="1727"/>
      <c r="B145" s="1727"/>
      <c r="C145" s="1737"/>
      <c r="D145" s="2592" t="s">
        <v>141</v>
      </c>
      <c r="E145" s="2593"/>
      <c r="F145" s="1739">
        <f>+R20+R21+R22+R23+R29+R32+IF(I33="Scope 3",F33,0)+IF(I34="Scope 3",F34,0)+IF(I35="Scope 3",F35,0)+F86+T89+F108</f>
        <v>5857.947725062596</v>
      </c>
      <c r="G145" s="1740"/>
      <c r="H145" s="1741">
        <f>+X20+X21+X22+X23+X29+X32+IF(I33="Scope 3",H33,0)+IF(I34="Scope 3",H34,0)+IF(I35="Scope 3",H35,0)</f>
        <v>82.669476520000003</v>
      </c>
      <c r="I145" s="2594"/>
      <c r="J145" s="2595"/>
      <c r="K145" s="2596"/>
      <c r="L145" s="1737"/>
      <c r="M145" s="1727"/>
      <c r="N145" s="1514"/>
      <c r="O145" s="1725"/>
      <c r="P145" s="1514"/>
      <c r="Q145" s="1514"/>
      <c r="R145" s="1514"/>
      <c r="S145" s="1514"/>
      <c r="T145" s="1514"/>
      <c r="U145" s="1514"/>
      <c r="V145" s="1514"/>
      <c r="W145" s="1514"/>
      <c r="X145" s="1514"/>
      <c r="Y145" s="1514"/>
      <c r="Z145" s="1514"/>
      <c r="AA145" s="1514"/>
      <c r="AB145" s="1514"/>
      <c r="AC145" s="1514"/>
      <c r="AD145" s="1514"/>
    </row>
    <row r="146" spans="1:30" ht="15" customHeight="1" thickBot="1" x14ac:dyDescent="0.35">
      <c r="A146" s="1727"/>
      <c r="B146" s="1727"/>
      <c r="C146" s="1726"/>
      <c r="D146" s="2577" t="s">
        <v>172</v>
      </c>
      <c r="E146" s="2578"/>
      <c r="F146" s="1742">
        <f>+Y67+Y89+F127</f>
        <v>6834.2927308429462</v>
      </c>
      <c r="G146" s="1743"/>
      <c r="H146" s="1626"/>
      <c r="I146" s="1744"/>
      <c r="J146" s="1745"/>
      <c r="K146" s="1746"/>
      <c r="L146" s="1514"/>
      <c r="M146" s="1727"/>
      <c r="N146" s="1514"/>
      <c r="O146" s="1725"/>
      <c r="P146" s="1514"/>
      <c r="Q146" s="1514"/>
      <c r="R146" s="1514"/>
      <c r="S146" s="1514"/>
      <c r="T146" s="1514"/>
      <c r="U146" s="1514"/>
      <c r="V146" s="1514"/>
      <c r="W146" s="1514"/>
      <c r="X146" s="1514"/>
      <c r="Y146" s="1514"/>
      <c r="Z146" s="1514"/>
      <c r="AA146" s="1514"/>
      <c r="AB146" s="1514"/>
      <c r="AC146" s="1514"/>
      <c r="AD146" s="1514"/>
    </row>
    <row r="147" spans="1:30" ht="27.75" customHeight="1" x14ac:dyDescent="0.3">
      <c r="A147" s="1522"/>
      <c r="B147" s="2579" t="s">
        <v>142</v>
      </c>
      <c r="C147" s="2579"/>
      <c r="D147" s="2579"/>
      <c r="E147" s="2579"/>
      <c r="F147" s="2579"/>
      <c r="G147" s="2579"/>
      <c r="H147" s="2579"/>
      <c r="I147" s="2579"/>
      <c r="J147" s="2579"/>
      <c r="K147" s="2579"/>
      <c r="L147" s="2579"/>
      <c r="M147" s="1514"/>
      <c r="N147" s="1514"/>
      <c r="O147" s="1514"/>
      <c r="P147" s="1514"/>
      <c r="Q147" s="1514"/>
      <c r="R147" s="1514"/>
      <c r="S147" s="1514"/>
      <c r="T147" s="1514"/>
      <c r="U147" s="1514"/>
      <c r="V147" s="1514"/>
      <c r="W147" s="1514"/>
      <c r="X147" s="1514"/>
      <c r="Y147" s="1514"/>
      <c r="Z147" s="1514"/>
      <c r="AA147" s="1514"/>
      <c r="AB147" s="1514"/>
      <c r="AC147" s="1514"/>
      <c r="AD147" s="1514"/>
    </row>
    <row r="148" spans="1:30" ht="27.75" customHeight="1" x14ac:dyDescent="0.3">
      <c r="A148" s="1522"/>
      <c r="B148" s="1747"/>
      <c r="C148" s="1747"/>
      <c r="D148" s="1747"/>
      <c r="E148" s="1747"/>
      <c r="F148" s="1747"/>
      <c r="G148" s="1747"/>
      <c r="H148" s="1747"/>
      <c r="I148" s="1747"/>
      <c r="J148" s="1747"/>
      <c r="K148" s="1747"/>
      <c r="L148" s="1747"/>
      <c r="M148" s="1514"/>
      <c r="N148" s="1514"/>
      <c r="O148" s="1514"/>
      <c r="P148" s="1514"/>
      <c r="Q148" s="1514"/>
      <c r="R148" s="1514"/>
      <c r="S148" s="1514"/>
      <c r="T148" s="1514"/>
      <c r="U148" s="1514"/>
      <c r="V148" s="1514"/>
      <c r="W148" s="1514"/>
      <c r="X148" s="1514"/>
      <c r="Y148" s="1514"/>
      <c r="Z148" s="1514"/>
      <c r="AA148" s="1514"/>
      <c r="AB148" s="1514"/>
      <c r="AC148" s="1514"/>
      <c r="AD148" s="1514"/>
    </row>
    <row r="149" spans="1:30" s="1550" customFormat="1" ht="23.4" x14ac:dyDescent="0.3">
      <c r="A149" s="1529"/>
      <c r="B149" s="1530" t="s">
        <v>462</v>
      </c>
      <c r="C149" s="1547"/>
      <c r="D149" s="2387" t="str">
        <f>+$A$1</f>
        <v>Quarter 4 - 2018-2019</v>
      </c>
      <c r="E149" s="2387"/>
      <c r="F149" s="2387"/>
      <c r="G149" s="2387"/>
      <c r="H149" s="2387"/>
      <c r="I149" s="2387"/>
      <c r="J149" s="2387"/>
      <c r="K149" s="1548"/>
      <c r="L149" s="1548"/>
      <c r="M149" s="1548"/>
      <c r="N149" s="1548"/>
      <c r="O149" s="1548"/>
      <c r="P149" s="1548"/>
      <c r="Q149" s="1548"/>
      <c r="R149" s="1548"/>
      <c r="S149" s="1548"/>
      <c r="T149" s="1548"/>
      <c r="U149" s="1548"/>
      <c r="V149" s="1548"/>
      <c r="W149" s="1548"/>
      <c r="X149" s="1548"/>
      <c r="Y149" s="1549"/>
      <c r="Z149" s="1549"/>
      <c r="AA149" s="1549"/>
      <c r="AB149" s="1549"/>
      <c r="AC149" s="1549"/>
      <c r="AD149" s="1549"/>
    </row>
    <row r="150" spans="1:30" ht="15" customHeight="1" x14ac:dyDescent="0.3">
      <c r="A150" s="1522"/>
      <c r="B150" s="1534" t="s">
        <v>480</v>
      </c>
      <c r="C150" s="1721"/>
      <c r="D150" s="1722"/>
      <c r="E150" s="1723"/>
      <c r="F150" s="1724"/>
      <c r="G150" s="1724"/>
      <c r="H150" s="1724"/>
      <c r="I150" s="1725"/>
      <c r="J150" s="1725"/>
      <c r="K150" s="1725"/>
      <c r="L150" s="1514"/>
      <c r="M150" s="1514"/>
      <c r="N150" s="1514"/>
      <c r="O150" s="1514"/>
      <c r="P150" s="1514"/>
      <c r="Q150" s="1514"/>
      <c r="R150" s="1514"/>
      <c r="S150" s="1514"/>
      <c r="T150" s="1514"/>
      <c r="U150" s="1514"/>
      <c r="V150" s="1514"/>
      <c r="W150" s="1514"/>
      <c r="X150" s="1514"/>
      <c r="Y150" s="1514"/>
      <c r="Z150" s="1514"/>
      <c r="AA150" s="1514"/>
      <c r="AB150" s="1514"/>
      <c r="AC150" s="1514"/>
      <c r="AD150" s="1514"/>
    </row>
    <row r="151" spans="1:30" ht="15" customHeight="1" thickBot="1" x14ac:dyDescent="0.35">
      <c r="A151" s="1522"/>
      <c r="B151" s="1514"/>
      <c r="C151" s="1514"/>
      <c r="D151" s="1728"/>
      <c r="E151" s="1721"/>
      <c r="F151" s="1721"/>
      <c r="G151" s="1721"/>
      <c r="H151" s="1721"/>
      <c r="I151" s="1721"/>
      <c r="J151" s="1721"/>
      <c r="K151" s="1721"/>
      <c r="L151" s="1514"/>
      <c r="M151" s="1514"/>
      <c r="N151" s="1514"/>
      <c r="O151" s="1725"/>
      <c r="P151" s="1514"/>
      <c r="Q151" s="1514"/>
      <c r="R151" s="1514"/>
      <c r="S151" s="1514"/>
      <c r="T151" s="1514"/>
      <c r="U151" s="1514"/>
      <c r="V151" s="1514"/>
      <c r="W151" s="1514"/>
      <c r="X151" s="1514"/>
      <c r="Y151" s="1514"/>
      <c r="Z151" s="1514"/>
      <c r="AA151" s="1514"/>
      <c r="AB151" s="1514"/>
      <c r="AC151" s="1514"/>
      <c r="AD151" s="1514"/>
    </row>
    <row r="152" spans="1:30" ht="15" customHeight="1" thickBot="1" x14ac:dyDescent="0.35">
      <c r="A152" s="1522"/>
      <c r="B152" s="1514"/>
      <c r="C152" s="1514"/>
      <c r="D152" s="2434" t="s">
        <v>23</v>
      </c>
      <c r="E152" s="2435"/>
      <c r="F152" s="2436"/>
      <c r="G152" s="2434" t="s">
        <v>24</v>
      </c>
      <c r="H152" s="2435"/>
      <c r="I152" s="2436"/>
      <c r="J152" s="1721"/>
      <c r="K152" s="1721"/>
      <c r="L152" s="1514"/>
      <c r="M152" s="1514"/>
      <c r="N152" s="1514"/>
      <c r="O152" s="1725"/>
      <c r="P152" s="1514"/>
      <c r="Q152" s="1514"/>
      <c r="R152" s="1514"/>
      <c r="S152" s="1514"/>
      <c r="T152" s="1514"/>
      <c r="U152" s="1514"/>
      <c r="V152" s="1514"/>
      <c r="W152" s="1514"/>
      <c r="X152" s="1514"/>
      <c r="Y152" s="1514"/>
      <c r="Z152" s="1514"/>
      <c r="AA152" s="1514"/>
      <c r="AB152" s="1514"/>
      <c r="AC152" s="1514"/>
      <c r="AD152" s="1514"/>
    </row>
    <row r="153" spans="1:30" ht="15" customHeight="1" thickBot="1" x14ac:dyDescent="0.35">
      <c r="A153" s="1522"/>
      <c r="B153" s="2580" t="s">
        <v>463</v>
      </c>
      <c r="C153" s="2581"/>
      <c r="D153" s="2465"/>
      <c r="E153" s="2466"/>
      <c r="F153" s="2467"/>
      <c r="G153" s="2428"/>
      <c r="H153" s="2429"/>
      <c r="I153" s="2430"/>
      <c r="J153" s="1721"/>
      <c r="K153" s="1721"/>
      <c r="L153" s="1733"/>
      <c r="M153" s="1727"/>
      <c r="N153" s="1514"/>
      <c r="O153" s="1725"/>
      <c r="P153" s="1514"/>
      <c r="Q153" s="1514"/>
      <c r="R153" s="1514"/>
      <c r="S153" s="1514"/>
      <c r="T153" s="1514"/>
      <c r="U153" s="1514"/>
      <c r="V153" s="1514"/>
      <c r="W153" s="1514"/>
      <c r="X153" s="1514"/>
      <c r="Y153" s="1514"/>
      <c r="Z153" s="1514"/>
      <c r="AA153" s="1514"/>
      <c r="AB153" s="1514"/>
      <c r="AC153" s="1514"/>
      <c r="AD153" s="1514"/>
    </row>
    <row r="154" spans="1:30" ht="15" customHeight="1" thickBot="1" x14ac:dyDescent="0.35">
      <c r="A154" s="1522"/>
      <c r="B154" s="2580" t="s">
        <v>464</v>
      </c>
      <c r="C154" s="2581"/>
      <c r="D154" s="1748" t="s">
        <v>466</v>
      </c>
      <c r="E154" s="2600"/>
      <c r="F154" s="2601"/>
      <c r="G154" s="2428"/>
      <c r="H154" s="2429"/>
      <c r="I154" s="2430"/>
      <c r="J154" s="1721"/>
      <c r="K154" s="1721"/>
      <c r="L154" s="1727"/>
      <c r="M154" s="1727"/>
      <c r="N154" s="1514"/>
      <c r="O154" s="1725"/>
      <c r="P154" s="1514"/>
      <c r="Q154" s="1514"/>
      <c r="R154" s="1514"/>
      <c r="S154" s="1514"/>
      <c r="T154" s="1514"/>
      <c r="U154" s="1514"/>
      <c r="V154" s="1514"/>
      <c r="W154" s="1514"/>
      <c r="X154" s="1514"/>
      <c r="Y154" s="1514"/>
      <c r="Z154" s="1514"/>
      <c r="AA154" s="1514"/>
      <c r="AB154" s="1514"/>
      <c r="AC154" s="1514"/>
      <c r="AD154" s="1514"/>
    </row>
    <row r="155" spans="1:30" ht="45" customHeight="1" thickBot="1" x14ac:dyDescent="0.35">
      <c r="A155" s="1522"/>
      <c r="B155" s="2580" t="s">
        <v>465</v>
      </c>
      <c r="C155" s="2581"/>
      <c r="D155" s="2547"/>
      <c r="E155" s="2548"/>
      <c r="F155" s="2549"/>
      <c r="G155" s="2400"/>
      <c r="H155" s="2401"/>
      <c r="I155" s="2402"/>
      <c r="J155" s="1721"/>
      <c r="K155" s="1721"/>
      <c r="L155" s="1737"/>
      <c r="M155" s="1727"/>
      <c r="N155" s="1514"/>
      <c r="O155" s="1725"/>
      <c r="P155" s="1514"/>
      <c r="Q155" s="1514"/>
      <c r="R155" s="1514"/>
      <c r="S155" s="1514"/>
      <c r="T155" s="1514"/>
      <c r="U155" s="1514"/>
      <c r="V155" s="1514"/>
      <c r="W155" s="1514"/>
      <c r="X155" s="1514"/>
      <c r="Y155" s="1514"/>
      <c r="Z155" s="1514"/>
      <c r="AA155" s="1514"/>
      <c r="AB155" s="1514"/>
      <c r="AC155" s="1514"/>
      <c r="AD155" s="1514"/>
    </row>
    <row r="156" spans="1:30" ht="15" customHeight="1" x14ac:dyDescent="0.3">
      <c r="A156" s="1522"/>
      <c r="B156" s="1747"/>
      <c r="C156" s="1747"/>
      <c r="D156" s="1747"/>
      <c r="E156" s="1747"/>
      <c r="F156" s="1747"/>
      <c r="G156" s="1747"/>
      <c r="H156" s="1747"/>
      <c r="I156" s="1747"/>
      <c r="J156" s="1747"/>
      <c r="K156" s="1747"/>
      <c r="L156" s="1747"/>
      <c r="M156" s="1514"/>
      <c r="N156" s="1514"/>
      <c r="O156" s="1514"/>
      <c r="P156" s="1514"/>
      <c r="Q156" s="1514"/>
      <c r="R156" s="1514"/>
      <c r="S156" s="1514"/>
      <c r="T156" s="1514"/>
      <c r="U156" s="1514"/>
      <c r="V156" s="1514"/>
      <c r="W156" s="1514"/>
      <c r="X156" s="1514"/>
      <c r="Y156" s="1514"/>
      <c r="Z156" s="1514"/>
      <c r="AA156" s="1514"/>
      <c r="AB156" s="1514"/>
      <c r="AC156" s="1514"/>
      <c r="AD156" s="1514"/>
    </row>
    <row r="157" spans="1:30" ht="27.75" customHeight="1" x14ac:dyDescent="0.3">
      <c r="A157" s="1529">
        <v>3</v>
      </c>
      <c r="B157" s="1530" t="s">
        <v>143</v>
      </c>
      <c r="C157" s="1531"/>
      <c r="D157" s="2387" t="str">
        <f>+$A$1</f>
        <v>Quarter 4 - 2018-2019</v>
      </c>
      <c r="E157" s="2387"/>
      <c r="F157" s="2387"/>
      <c r="G157" s="2387"/>
      <c r="H157" s="2387"/>
      <c r="I157" s="2387"/>
      <c r="J157" s="2387"/>
      <c r="K157" s="1532"/>
      <c r="L157" s="1532"/>
      <c r="M157" s="1532"/>
      <c r="N157" s="1519"/>
      <c r="O157" s="1519"/>
      <c r="P157" s="1533"/>
      <c r="Q157" s="1533"/>
      <c r="R157" s="1519"/>
      <c r="S157" s="1519"/>
      <c r="T157" s="1519"/>
      <c r="U157" s="1519"/>
      <c r="V157" s="1519"/>
      <c r="W157" s="1519"/>
      <c r="X157" s="1519"/>
      <c r="Y157" s="1519"/>
      <c r="Z157" s="1519"/>
      <c r="AA157" s="1519"/>
      <c r="AB157" s="1519"/>
      <c r="AC157" s="1519"/>
      <c r="AD157" s="1519"/>
    </row>
    <row r="158" spans="1:30" x14ac:dyDescent="0.3">
      <c r="A158" s="1522"/>
      <c r="B158" s="1514"/>
      <c r="C158" s="1514"/>
      <c r="D158" s="1551"/>
      <c r="E158" s="1535"/>
      <c r="F158" s="1535"/>
      <c r="G158" s="1535"/>
      <c r="H158" s="1535"/>
      <c r="I158" s="1535"/>
      <c r="J158" s="1543"/>
      <c r="K158" s="1749"/>
      <c r="L158" s="1535"/>
      <c r="M158" s="1535"/>
      <c r="N158" s="1514"/>
      <c r="O158" s="1514"/>
      <c r="P158" s="1514"/>
      <c r="Q158" s="1514"/>
      <c r="R158" s="1514"/>
      <c r="S158" s="1514"/>
      <c r="T158" s="1514"/>
      <c r="U158" s="1514"/>
      <c r="V158" s="1514"/>
      <c r="W158" s="1514"/>
      <c r="X158" s="1514"/>
      <c r="Y158" s="1514"/>
      <c r="Z158" s="1514"/>
      <c r="AA158" s="1514"/>
      <c r="AB158" s="1514"/>
      <c r="AC158" s="1514"/>
      <c r="AD158" s="1514"/>
    </row>
    <row r="159" spans="1:30" x14ac:dyDescent="0.3">
      <c r="A159" s="1522"/>
      <c r="B159" s="1514"/>
      <c r="C159" s="1514"/>
      <c r="D159" s="1551"/>
      <c r="E159" s="1725"/>
      <c r="F159" s="1725"/>
      <c r="G159" s="1725"/>
      <c r="H159" s="1725"/>
      <c r="I159" s="1725"/>
      <c r="J159" s="1725"/>
      <c r="K159" s="1725"/>
      <c r="L159" s="1535"/>
      <c r="M159" s="1535"/>
      <c r="N159" s="1514"/>
      <c r="O159" s="1514"/>
      <c r="P159" s="1514"/>
      <c r="Q159" s="1514"/>
      <c r="R159" s="1514"/>
      <c r="S159" s="1514"/>
      <c r="T159" s="1514"/>
      <c r="U159" s="1514"/>
      <c r="V159" s="1514"/>
      <c r="W159" s="1514"/>
      <c r="X159" s="1514"/>
      <c r="Y159" s="1514"/>
      <c r="Z159" s="1514"/>
      <c r="AA159" s="1514"/>
      <c r="AB159" s="1514"/>
      <c r="AC159" s="1514"/>
      <c r="AD159" s="1514"/>
    </row>
    <row r="160" spans="1:30" ht="18.75" customHeight="1" x14ac:dyDescent="0.3">
      <c r="A160" s="1522"/>
      <c r="B160" s="1534"/>
      <c r="C160" s="30"/>
      <c r="D160" s="1534"/>
      <c r="E160" s="1725"/>
      <c r="F160" s="1725"/>
      <c r="G160" s="1725"/>
      <c r="H160" s="1725"/>
      <c r="I160" s="1725"/>
      <c r="J160" s="1725"/>
      <c r="K160" s="1725"/>
      <c r="L160" s="1725"/>
      <c r="M160" s="1725"/>
      <c r="N160" s="1725"/>
      <c r="O160" s="1725"/>
      <c r="P160" s="1725"/>
      <c r="Q160" s="1725"/>
      <c r="R160" s="1725"/>
      <c r="S160" s="1725"/>
      <c r="T160" s="1725"/>
      <c r="U160" s="1725"/>
      <c r="V160" s="1725"/>
      <c r="W160" s="1725"/>
      <c r="X160" s="1725"/>
      <c r="Y160" s="1725"/>
      <c r="Z160" s="1725"/>
      <c r="AA160" s="1725"/>
      <c r="AB160" s="1725"/>
      <c r="AC160" s="1725"/>
      <c r="AD160" s="1725"/>
    </row>
    <row r="161" spans="1:30" ht="15.75" customHeight="1" thickBot="1" x14ac:dyDescent="0.35">
      <c r="A161" s="1522"/>
      <c r="B161" s="1514"/>
      <c r="C161" s="1514"/>
      <c r="D161" s="1534"/>
      <c r="E161" s="1514"/>
      <c r="F161" s="1551"/>
      <c r="G161" s="1551"/>
      <c r="H161" s="1551"/>
      <c r="I161" s="1725"/>
      <c r="J161" s="1725"/>
      <c r="K161" s="1725"/>
      <c r="L161" s="1725"/>
      <c r="M161" s="1725"/>
      <c r="N161" s="1725"/>
      <c r="O161" s="1725"/>
      <c r="P161" s="1725"/>
      <c r="Q161" s="1725"/>
      <c r="R161" s="1725"/>
      <c r="S161" s="1725"/>
      <c r="T161" s="1725"/>
      <c r="U161" s="1725"/>
      <c r="V161" s="1725"/>
      <c r="W161" s="1725"/>
      <c r="X161" s="1725"/>
      <c r="Y161" s="1725"/>
      <c r="Z161" s="1725"/>
      <c r="AA161" s="1725"/>
      <c r="AB161" s="1725"/>
      <c r="AC161" s="1725"/>
      <c r="AD161" s="1725"/>
    </row>
    <row r="162" spans="1:30" ht="15.75" customHeight="1" thickBot="1" x14ac:dyDescent="0.35">
      <c r="A162" s="1522"/>
      <c r="B162" s="1514"/>
      <c r="C162" s="1534"/>
      <c r="D162" s="1536" t="s">
        <v>23</v>
      </c>
      <c r="E162" s="2597" t="s">
        <v>144</v>
      </c>
      <c r="F162" s="2598"/>
      <c r="G162" s="2598"/>
      <c r="H162" s="2599"/>
      <c r="I162" s="2388" t="s">
        <v>24</v>
      </c>
      <c r="J162" s="2389"/>
      <c r="K162" s="2390"/>
      <c r="L162" s="2419" t="s">
        <v>461</v>
      </c>
      <c r="M162" s="1725"/>
      <c r="N162" s="1725"/>
      <c r="O162" s="1725"/>
      <c r="P162" s="1725"/>
      <c r="Q162" s="1725"/>
      <c r="R162" s="1725"/>
      <c r="S162" s="1725"/>
      <c r="T162" s="1725"/>
      <c r="U162" s="1725"/>
      <c r="V162" s="1725"/>
      <c r="W162" s="1725"/>
      <c r="X162" s="1725"/>
      <c r="Y162" s="1725"/>
      <c r="Z162" s="1725"/>
      <c r="AA162" s="1725"/>
      <c r="AB162" s="1725"/>
      <c r="AC162" s="1725"/>
      <c r="AD162" s="1725"/>
    </row>
    <row r="163" spans="1:30" ht="39.75" customHeight="1" thickBot="1" x14ac:dyDescent="0.35">
      <c r="A163" s="1522"/>
      <c r="B163" s="1538"/>
      <c r="C163" s="1514"/>
      <c r="D163" s="1539" t="s">
        <v>145</v>
      </c>
      <c r="E163" s="1540" t="s">
        <v>173</v>
      </c>
      <c r="F163" s="1540" t="s">
        <v>376</v>
      </c>
      <c r="G163" s="1555" t="s">
        <v>145</v>
      </c>
      <c r="H163" s="1540" t="s">
        <v>469</v>
      </c>
      <c r="I163" s="2391"/>
      <c r="J163" s="2392"/>
      <c r="K163" s="2393"/>
      <c r="L163" s="2420"/>
      <c r="M163" s="1725"/>
      <c r="N163" s="1725"/>
      <c r="O163" s="1725"/>
      <c r="P163" s="1725"/>
      <c r="Q163" s="1725"/>
      <c r="R163" s="1725"/>
      <c r="S163" s="1725"/>
      <c r="T163" s="1725"/>
      <c r="U163" s="1725"/>
      <c r="V163" s="1725"/>
      <c r="W163" s="1725"/>
      <c r="X163" s="1725"/>
      <c r="Y163" s="1725"/>
      <c r="Z163" s="1725"/>
      <c r="AA163" s="1725"/>
      <c r="AB163" s="1725"/>
      <c r="AC163" s="1725"/>
      <c r="AD163" s="1725"/>
    </row>
    <row r="164" spans="1:30" ht="15.75" customHeight="1" thickBot="1" x14ac:dyDescent="0.35">
      <c r="A164" s="1522"/>
      <c r="B164" s="2398" t="s">
        <v>146</v>
      </c>
      <c r="C164" s="2399"/>
      <c r="D164" s="1541">
        <v>2296353.4087912301</v>
      </c>
      <c r="E164" s="1541">
        <v>3304</v>
      </c>
      <c r="F164" s="1542">
        <v>10509.415973245899</v>
      </c>
      <c r="G164" s="1750">
        <f>IF(Performance!$L$2="Y",D164,F164)</f>
        <v>10509.415973245899</v>
      </c>
      <c r="H164" s="1751">
        <f>IF(AND(E164&lt;&gt;0,E164&lt;&gt;""),G164/E164,"")</f>
        <v>3.1808159725320517</v>
      </c>
      <c r="I164" s="2400" t="s">
        <v>551</v>
      </c>
      <c r="J164" s="2401"/>
      <c r="K164" s="2402"/>
      <c r="L164" s="1560" t="str">
        <f>IF(OR(D164&lt;0,E164&lt;0,F164&lt;0),"Error - negative number",IF(F164&gt;D164,"Offices only &gt; Total Estate",IF(AND(H164&lt;'QA config'!D2,H164&lt;&gt;""),CONCATENATE("&lt; ",'QA config'!D2," m3/FTE"),IF(AND(H164&gt;'QA config'!C2,H164&lt;&gt;""),CONCATENATE("&gt; ",'QA config'!C2," m3/FTE"),""))))</f>
        <v/>
      </c>
      <c r="M164" s="1725"/>
      <c r="N164" s="1725"/>
      <c r="O164" s="1725"/>
      <c r="P164" s="1725"/>
      <c r="Q164" s="1725"/>
      <c r="R164" s="1725"/>
      <c r="S164" s="1725"/>
      <c r="T164" s="1725"/>
      <c r="U164" s="1725"/>
      <c r="V164" s="1725"/>
      <c r="W164" s="1725"/>
      <c r="X164" s="1725"/>
      <c r="Y164" s="1725"/>
      <c r="Z164" s="1725"/>
      <c r="AA164" s="1725"/>
      <c r="AB164" s="1725"/>
      <c r="AC164" s="1725"/>
      <c r="AD164" s="1725"/>
    </row>
    <row r="165" spans="1:30" ht="13.5" customHeight="1" x14ac:dyDescent="0.3">
      <c r="A165" s="1522"/>
      <c r="B165" s="1514" t="s">
        <v>175</v>
      </c>
      <c r="C165" s="1514"/>
      <c r="D165" s="1514"/>
      <c r="E165" s="1514"/>
      <c r="F165" s="1514"/>
      <c r="G165" s="1514"/>
      <c r="H165" s="1514"/>
      <c r="I165" s="1725"/>
      <c r="J165" s="1725"/>
      <c r="K165" s="1725"/>
      <c r="L165" s="1725"/>
      <c r="M165" s="1725"/>
      <c r="N165" s="1725"/>
      <c r="O165" s="1725"/>
      <c r="P165" s="1725"/>
      <c r="Q165" s="1725"/>
      <c r="R165" s="1725"/>
      <c r="S165" s="1725"/>
      <c r="T165" s="1725"/>
      <c r="U165" s="1725"/>
      <c r="V165" s="1725"/>
      <c r="W165" s="1725"/>
      <c r="X165" s="1725"/>
      <c r="Y165" s="1725"/>
      <c r="Z165" s="1725"/>
      <c r="AA165" s="1725"/>
      <c r="AB165" s="1725"/>
      <c r="AC165" s="1725"/>
      <c r="AD165" s="1725"/>
    </row>
    <row r="166" spans="1:30" x14ac:dyDescent="0.3">
      <c r="A166" s="1522"/>
      <c r="B166" s="1514"/>
      <c r="C166" s="1514"/>
      <c r="D166" s="1619"/>
      <c r="E166" s="1535"/>
      <c r="F166" s="1535"/>
      <c r="G166" s="1535"/>
      <c r="H166" s="1535"/>
      <c r="I166" s="1535"/>
      <c r="J166" s="1725"/>
      <c r="K166" s="1725"/>
      <c r="L166" s="1535"/>
      <c r="M166" s="1535"/>
      <c r="N166" s="1752"/>
      <c r="O166" s="1535"/>
      <c r="P166" s="1514"/>
      <c r="Q166" s="1514"/>
      <c r="R166" s="1522"/>
      <c r="S166" s="1514"/>
      <c r="T166" s="1514"/>
      <c r="U166" s="1514"/>
      <c r="V166" s="1514"/>
      <c r="W166" s="1514"/>
      <c r="X166" s="1514"/>
      <c r="Y166" s="1514"/>
      <c r="Z166" s="1514"/>
      <c r="AA166" s="1514"/>
      <c r="AB166" s="1514"/>
      <c r="AC166" s="1514"/>
      <c r="AD166" s="1514"/>
    </row>
    <row r="167" spans="1:30" ht="27.75" customHeight="1" x14ac:dyDescent="0.3">
      <c r="A167" s="1529">
        <v>4</v>
      </c>
      <c r="B167" s="1530" t="s">
        <v>147</v>
      </c>
      <c r="C167" s="1531"/>
      <c r="D167" s="2387" t="str">
        <f>+$A$1</f>
        <v>Quarter 4 - 2018-2019</v>
      </c>
      <c r="E167" s="2387"/>
      <c r="F167" s="2387"/>
      <c r="G167" s="2387"/>
      <c r="H167" s="2387"/>
      <c r="I167" s="2387"/>
      <c r="J167" s="2387"/>
      <c r="K167" s="1532"/>
      <c r="L167" s="1532"/>
      <c r="M167" s="1519"/>
      <c r="N167" s="1519"/>
      <c r="O167" s="1519"/>
      <c r="P167" s="1533"/>
      <c r="Q167" s="1519"/>
      <c r="R167" s="1519"/>
      <c r="S167" s="1519"/>
      <c r="T167" s="1519"/>
      <c r="U167" s="1519"/>
      <c r="V167" s="1519"/>
      <c r="W167" s="1519"/>
      <c r="X167" s="1519"/>
      <c r="Y167" s="1519"/>
      <c r="Z167" s="1519"/>
      <c r="AA167" s="1519"/>
      <c r="AB167" s="1519"/>
      <c r="AC167" s="1519"/>
      <c r="AD167" s="1519"/>
    </row>
    <row r="168" spans="1:30" ht="15.75" customHeight="1" thickBot="1" x14ac:dyDescent="0.35">
      <c r="A168" s="1522"/>
      <c r="B168" s="1514"/>
      <c r="C168" s="1514"/>
      <c r="D168" s="1551"/>
      <c r="E168" s="1551"/>
      <c r="F168" s="1551"/>
      <c r="G168" s="1551"/>
      <c r="H168" s="1551"/>
      <c r="I168" s="1551"/>
      <c r="J168" s="1551"/>
      <c r="K168" s="1551"/>
      <c r="L168" s="1514"/>
      <c r="M168" s="1514"/>
      <c r="N168" s="1514"/>
      <c r="O168" s="1514"/>
      <c r="P168" s="1514"/>
      <c r="Q168" s="1514"/>
      <c r="R168" s="1514"/>
      <c r="S168" s="1514"/>
      <c r="T168" s="1514"/>
      <c r="U168" s="1514"/>
      <c r="V168" s="1514"/>
      <c r="W168" s="1514"/>
      <c r="X168" s="1514"/>
      <c r="Y168" s="1514"/>
      <c r="Z168" s="1514"/>
      <c r="AA168" s="1514"/>
      <c r="AB168" s="1514"/>
      <c r="AC168" s="1514"/>
      <c r="AD168" s="1514"/>
    </row>
    <row r="169" spans="1:30" ht="13.5" customHeight="1" thickBot="1" x14ac:dyDescent="0.35">
      <c r="A169" s="1522"/>
      <c r="B169" s="1514"/>
      <c r="C169" s="1534"/>
      <c r="D169" s="1535"/>
      <c r="E169" s="2602" t="s">
        <v>23</v>
      </c>
      <c r="F169" s="2603"/>
      <c r="G169" s="2604" t="s">
        <v>144</v>
      </c>
      <c r="H169" s="2605"/>
      <c r="I169" s="2388" t="s">
        <v>24</v>
      </c>
      <c r="J169" s="2389"/>
      <c r="K169" s="2390"/>
      <c r="L169" s="2419" t="s">
        <v>461</v>
      </c>
      <c r="M169" s="1514"/>
      <c r="N169" s="1514"/>
      <c r="O169" s="1514"/>
      <c r="P169" s="1514"/>
      <c r="Q169" s="1514"/>
      <c r="R169" s="1514"/>
      <c r="S169" s="1514"/>
      <c r="T169" s="1514"/>
      <c r="U169" s="1514"/>
      <c r="V169" s="1514"/>
      <c r="W169" s="1514"/>
      <c r="X169" s="1514"/>
      <c r="Y169" s="1514"/>
      <c r="Z169" s="1514"/>
      <c r="AA169" s="1514"/>
      <c r="AB169" s="1514"/>
      <c r="AC169" s="1514"/>
      <c r="AD169" s="1514"/>
    </row>
    <row r="170" spans="1:30" ht="16.5" customHeight="1" thickBot="1" x14ac:dyDescent="0.35">
      <c r="A170" s="1522"/>
      <c r="B170" s="1514"/>
      <c r="C170" s="1538"/>
      <c r="D170" s="1514"/>
      <c r="E170" s="1753" t="s">
        <v>148</v>
      </c>
      <c r="F170" s="1754" t="s">
        <v>149</v>
      </c>
      <c r="G170" s="1555" t="s">
        <v>148</v>
      </c>
      <c r="H170" s="1555" t="s">
        <v>149</v>
      </c>
      <c r="I170" s="2391"/>
      <c r="J170" s="2392"/>
      <c r="K170" s="2393"/>
      <c r="L170" s="2420"/>
      <c r="M170" s="1514"/>
      <c r="N170" s="1514"/>
      <c r="O170" s="1514"/>
      <c r="P170" s="1514"/>
      <c r="Q170" s="1514"/>
      <c r="R170" s="1514"/>
      <c r="S170" s="1514"/>
      <c r="T170" s="1514"/>
      <c r="U170" s="1514"/>
      <c r="V170" s="1514"/>
      <c r="W170" s="1514"/>
      <c r="X170" s="1514"/>
      <c r="Y170" s="1514"/>
      <c r="Z170" s="1514"/>
      <c r="AA170" s="1514"/>
      <c r="AB170" s="1514"/>
      <c r="AC170" s="1514"/>
      <c r="AD170" s="1514"/>
    </row>
    <row r="171" spans="1:30" ht="15.75" customHeight="1" x14ac:dyDescent="0.3">
      <c r="A171" s="1522"/>
      <c r="B171" s="1755" t="s">
        <v>150</v>
      </c>
      <c r="C171" s="1756"/>
      <c r="D171" s="1757"/>
      <c r="E171" s="1758">
        <v>10123.6057666738</v>
      </c>
      <c r="F171" s="1759">
        <f>IF($E$184&gt;0,E171/$E$184,"")</f>
        <v>0.77229349515985113</v>
      </c>
      <c r="G171" s="1570">
        <v>443.85256819385501</v>
      </c>
      <c r="H171" s="1760">
        <f>IF($G$184&gt;0,G171/$G$184,"")</f>
        <v>0.90162833408394083</v>
      </c>
      <c r="I171" s="2428"/>
      <c r="J171" s="2429"/>
      <c r="K171" s="2430"/>
      <c r="L171" s="1606" t="str">
        <f>IF(OR(E171&lt;0,G171&lt;0),"Error - negative number",IF(G171&gt;E171,"Offices only &gt; Total Estate",""))</f>
        <v/>
      </c>
      <c r="M171" s="1514"/>
      <c r="N171" s="1514"/>
      <c r="O171" s="1514"/>
      <c r="P171" s="1514"/>
      <c r="Q171" s="1514"/>
      <c r="R171" s="1514"/>
      <c r="S171" s="1514"/>
      <c r="T171" s="1514"/>
      <c r="U171" s="1514"/>
      <c r="V171" s="1514"/>
      <c r="W171" s="1514"/>
      <c r="X171" s="1514"/>
      <c r="Y171" s="1514"/>
      <c r="Z171" s="1514"/>
      <c r="AA171" s="1514"/>
      <c r="AB171" s="1514"/>
      <c r="AC171" s="1514"/>
      <c r="AD171" s="1514"/>
    </row>
    <row r="172" spans="1:30" ht="15.75" customHeight="1" x14ac:dyDescent="0.3">
      <c r="A172" s="1522"/>
      <c r="B172" s="1761" t="s">
        <v>365</v>
      </c>
      <c r="C172" s="1762"/>
      <c r="D172" s="1763"/>
      <c r="E172" s="1758">
        <v>192.63350514221099</v>
      </c>
      <c r="F172" s="1764"/>
      <c r="G172" s="1570">
        <v>4</v>
      </c>
      <c r="H172" s="1765"/>
      <c r="I172" s="2431"/>
      <c r="J172" s="2432"/>
      <c r="K172" s="2433"/>
      <c r="L172" s="1581" t="str">
        <f t="shared" ref="L172:L185" si="17">IF(OR(E172&lt;0,G172&lt;0),"Error - negative number",IF(G172&gt;E172,"Offices only &gt; Total Estate",""))</f>
        <v/>
      </c>
      <c r="M172" s="1514"/>
      <c r="N172" s="1514"/>
      <c r="O172" s="1514"/>
      <c r="P172" s="1514"/>
      <c r="Q172" s="1514"/>
      <c r="R172" s="1514"/>
      <c r="S172" s="1514"/>
      <c r="T172" s="1514"/>
      <c r="U172" s="1514"/>
      <c r="V172" s="1514"/>
      <c r="W172" s="1514"/>
      <c r="X172" s="1514"/>
      <c r="Y172" s="1514"/>
      <c r="Z172" s="1514"/>
      <c r="AA172" s="1514"/>
      <c r="AB172" s="1514"/>
      <c r="AC172" s="1514"/>
      <c r="AD172" s="1514"/>
    </row>
    <row r="173" spans="1:30" ht="15.75" customHeight="1" x14ac:dyDescent="0.3">
      <c r="A173" s="1522"/>
      <c r="B173" s="1766" t="s">
        <v>151</v>
      </c>
      <c r="C173" s="1767"/>
      <c r="D173" s="1768"/>
      <c r="E173" s="1758">
        <v>7.766</v>
      </c>
      <c r="F173" s="1769">
        <f>IF($E$184&gt;0,E173/$E$184,"")</f>
        <v>5.9244022551284902E-4</v>
      </c>
      <c r="G173" s="1570">
        <v>7.7</v>
      </c>
      <c r="H173" s="1770">
        <f>IF($G$184&gt;0,G173/$G$184,"")</f>
        <v>1.564154106553272E-2</v>
      </c>
      <c r="I173" s="2431"/>
      <c r="J173" s="2432"/>
      <c r="K173" s="2433"/>
      <c r="L173" s="1581" t="str">
        <f t="shared" si="17"/>
        <v/>
      </c>
      <c r="M173" s="1514"/>
      <c r="N173" s="1514"/>
      <c r="O173" s="1514"/>
      <c r="P173" s="1514"/>
      <c r="Q173" s="1514"/>
      <c r="R173" s="1514"/>
      <c r="S173" s="1514"/>
      <c r="T173" s="1514"/>
      <c r="U173" s="1514"/>
      <c r="V173" s="1514"/>
      <c r="W173" s="1514"/>
      <c r="X173" s="1514"/>
      <c r="Y173" s="1514"/>
      <c r="Z173" s="1514"/>
      <c r="AA173" s="1514"/>
      <c r="AB173" s="1514"/>
      <c r="AC173" s="1514"/>
      <c r="AD173" s="1514"/>
    </row>
    <row r="174" spans="1:30" ht="15.75" customHeight="1" x14ac:dyDescent="0.3">
      <c r="A174" s="1522"/>
      <c r="B174" s="1766" t="s">
        <v>185</v>
      </c>
      <c r="C174" s="1767"/>
      <c r="D174" s="1768"/>
      <c r="E174" s="1758"/>
      <c r="F174" s="1764"/>
      <c r="G174" s="1570"/>
      <c r="H174" s="1765"/>
      <c r="I174" s="2431"/>
      <c r="J174" s="2432"/>
      <c r="K174" s="2433"/>
      <c r="L174" s="1581" t="str">
        <f t="shared" si="17"/>
        <v/>
      </c>
      <c r="M174" s="1514"/>
      <c r="N174" s="1514"/>
      <c r="O174" s="1514"/>
      <c r="P174" s="1514"/>
      <c r="Q174" s="1514"/>
      <c r="R174" s="1514"/>
      <c r="S174" s="1514"/>
      <c r="T174" s="1514"/>
      <c r="U174" s="1514"/>
      <c r="V174" s="1514"/>
      <c r="W174" s="1514"/>
      <c r="X174" s="1514"/>
      <c r="Y174" s="1514"/>
      <c r="Z174" s="1514"/>
      <c r="AA174" s="1514"/>
      <c r="AB174" s="1514"/>
      <c r="AC174" s="1514"/>
      <c r="AD174" s="1514"/>
    </row>
    <row r="175" spans="1:30" ht="15.75" customHeight="1" x14ac:dyDescent="0.3">
      <c r="A175" s="1522"/>
      <c r="B175" s="1766" t="s">
        <v>152</v>
      </c>
      <c r="C175" s="1767"/>
      <c r="D175" s="1768"/>
      <c r="E175" s="1758"/>
      <c r="F175" s="1769">
        <f>IF($E$184&gt;0,E175/$E$184,"")</f>
        <v>0</v>
      </c>
      <c r="G175" s="1570"/>
      <c r="H175" s="1770">
        <f>IF($G$184&gt;0,G175/$G$184,"")</f>
        <v>0</v>
      </c>
      <c r="I175" s="2431"/>
      <c r="J175" s="2432"/>
      <c r="K175" s="2433"/>
      <c r="L175" s="1581" t="str">
        <f t="shared" si="17"/>
        <v/>
      </c>
      <c r="M175" s="1514"/>
      <c r="N175" s="1514"/>
      <c r="O175" s="1514"/>
      <c r="P175" s="1514"/>
      <c r="Q175" s="1514"/>
      <c r="R175" s="1514"/>
      <c r="S175" s="1514"/>
      <c r="T175" s="1514"/>
      <c r="U175" s="1514"/>
      <c r="V175" s="1514"/>
      <c r="W175" s="1514"/>
      <c r="X175" s="1514"/>
      <c r="Y175" s="1514"/>
      <c r="Z175" s="1514"/>
      <c r="AA175" s="1514"/>
      <c r="AB175" s="1514"/>
      <c r="AC175" s="1514"/>
      <c r="AD175" s="1514"/>
    </row>
    <row r="176" spans="1:30" ht="15.75" customHeight="1" x14ac:dyDescent="0.3">
      <c r="A176" s="1522"/>
      <c r="B176" s="1761" t="s">
        <v>153</v>
      </c>
      <c r="C176" s="1762"/>
      <c r="D176" s="1763"/>
      <c r="E176" s="1758">
        <v>663.91750000000002</v>
      </c>
      <c r="F176" s="1769">
        <f>IF($E$184&gt;0,E176/$E$184,"")</f>
        <v>5.0647879657729454E-2</v>
      </c>
      <c r="G176" s="1570"/>
      <c r="H176" s="1770">
        <f>IF($G$184&gt;0,G176/$G$184,"")</f>
        <v>0</v>
      </c>
      <c r="I176" s="2431"/>
      <c r="J176" s="2432"/>
      <c r="K176" s="2433"/>
      <c r="L176" s="1581" t="str">
        <f t="shared" si="17"/>
        <v/>
      </c>
      <c r="M176" s="1514"/>
      <c r="N176" s="1514"/>
      <c r="O176" s="1514"/>
      <c r="P176" s="1514"/>
      <c r="Q176" s="1514"/>
      <c r="R176" s="1514"/>
      <c r="S176" s="1514"/>
      <c r="T176" s="1514"/>
      <c r="U176" s="1514"/>
      <c r="V176" s="1514"/>
      <c r="W176" s="1514"/>
      <c r="X176" s="1514"/>
      <c r="Y176" s="1514"/>
      <c r="Z176" s="1514"/>
      <c r="AA176" s="1514"/>
      <c r="AB176" s="1514"/>
      <c r="AC176" s="1514"/>
      <c r="AD176" s="1514"/>
    </row>
    <row r="177" spans="1:30" ht="15.75" customHeight="1" x14ac:dyDescent="0.3">
      <c r="A177" s="1522"/>
      <c r="B177" s="1761" t="s">
        <v>154</v>
      </c>
      <c r="C177" s="1762"/>
      <c r="D177" s="1763"/>
      <c r="E177" s="1758">
        <v>1931.62825443829</v>
      </c>
      <c r="F177" s="1769">
        <f>IF($E$184&gt;0,E177/$E$184,"")</f>
        <v>0.14735697639279055</v>
      </c>
      <c r="G177" s="1570"/>
      <c r="H177" s="1770">
        <f>IF($G$184&gt;0,G177/$G$184,"")</f>
        <v>0</v>
      </c>
      <c r="I177" s="2431"/>
      <c r="J177" s="2432"/>
      <c r="K177" s="2433"/>
      <c r="L177" s="1581" t="str">
        <f t="shared" si="17"/>
        <v/>
      </c>
      <c r="M177" s="1514"/>
      <c r="N177" s="1514"/>
      <c r="O177" s="1514"/>
      <c r="P177" s="1514"/>
      <c r="Q177" s="1514"/>
      <c r="R177" s="1514"/>
      <c r="S177" s="1514"/>
      <c r="T177" s="1514"/>
      <c r="U177" s="1514"/>
      <c r="V177" s="1514"/>
      <c r="W177" s="1514"/>
      <c r="X177" s="1514"/>
      <c r="Y177" s="1514"/>
      <c r="Z177" s="1514"/>
      <c r="AA177" s="1514"/>
      <c r="AB177" s="1514"/>
      <c r="AC177" s="1514"/>
      <c r="AD177" s="1514"/>
    </row>
    <row r="178" spans="1:30" ht="15.75" customHeight="1" thickBot="1" x14ac:dyDescent="0.35">
      <c r="A178" s="1522"/>
      <c r="B178" s="1771" t="s">
        <v>155</v>
      </c>
      <c r="C178" s="1772"/>
      <c r="D178" s="1773"/>
      <c r="E178" s="1774"/>
      <c r="F178" s="1775">
        <f>IF($E$184&gt;0,E178/$E$184,"")</f>
        <v>0</v>
      </c>
      <c r="G178" s="1776"/>
      <c r="H178" s="1777">
        <f>IF($G$184&gt;0,G178/$G$184,"")</f>
        <v>0</v>
      </c>
      <c r="I178" s="2611"/>
      <c r="J178" s="2612"/>
      <c r="K178" s="2613"/>
      <c r="L178" s="1778" t="str">
        <f t="shared" si="17"/>
        <v/>
      </c>
      <c r="M178" s="1514"/>
      <c r="N178" s="1514"/>
      <c r="O178" s="1514"/>
      <c r="P178" s="1514"/>
      <c r="Q178" s="1514"/>
      <c r="R178" s="1514"/>
      <c r="S178" s="1514"/>
      <c r="T178" s="1514"/>
      <c r="U178" s="1514"/>
      <c r="V178" s="1514"/>
      <c r="W178" s="1514"/>
      <c r="X178" s="1514"/>
      <c r="Y178" s="1514"/>
      <c r="Z178" s="1514"/>
      <c r="AA178" s="1514"/>
      <c r="AB178" s="1514"/>
      <c r="AC178" s="1514"/>
      <c r="AD178" s="1514"/>
    </row>
    <row r="179" spans="1:30" ht="15.75" customHeight="1" thickBot="1" x14ac:dyDescent="0.35">
      <c r="A179" s="1522"/>
      <c r="B179" s="1779" t="s">
        <v>156</v>
      </c>
      <c r="C179" s="1780"/>
      <c r="D179" s="1781"/>
      <c r="E179" s="1782"/>
      <c r="F179" s="1748"/>
      <c r="G179" s="1626"/>
      <c r="H179" s="1783"/>
      <c r="I179" s="2400"/>
      <c r="J179" s="2401"/>
      <c r="K179" s="2402"/>
      <c r="L179" s="1560" t="str">
        <f t="shared" si="17"/>
        <v/>
      </c>
      <c r="M179" s="1514"/>
      <c r="N179" s="1514"/>
      <c r="O179" s="1514"/>
      <c r="P179" s="1514"/>
      <c r="Q179" s="1514"/>
      <c r="R179" s="1514"/>
      <c r="S179" s="1514"/>
      <c r="T179" s="1514"/>
      <c r="U179" s="1514"/>
      <c r="V179" s="1514"/>
      <c r="W179" s="1514"/>
      <c r="X179" s="1514"/>
      <c r="Y179" s="1514"/>
      <c r="Z179" s="1514"/>
      <c r="AA179" s="1514"/>
      <c r="AB179" s="1514"/>
      <c r="AC179" s="1514"/>
      <c r="AD179" s="1514"/>
    </row>
    <row r="180" spans="1:30" ht="15.75" customHeight="1" thickBot="1" x14ac:dyDescent="0.35">
      <c r="A180" s="1522"/>
      <c r="B180" s="1784" t="s">
        <v>157</v>
      </c>
      <c r="C180" s="1785"/>
      <c r="D180" s="1786"/>
      <c r="E180" s="1787">
        <f>+E171+E173+E176</f>
        <v>10795.289266673799</v>
      </c>
      <c r="F180" s="1748">
        <f>IF(E184=0,"",+E180/E184)</f>
        <v>0.82353381504309342</v>
      </c>
      <c r="G180" s="1788">
        <f>IF(Performance!$L$2="y",E180,G171+G173+G176)</f>
        <v>451.552568193855</v>
      </c>
      <c r="H180" s="1789">
        <f>IF(G184=0,"",+G180/G184)</f>
        <v>0.91726987514947356</v>
      </c>
      <c r="I180" s="2614"/>
      <c r="J180" s="2615"/>
      <c r="K180" s="2616"/>
      <c r="L180" s="1560" t="str">
        <f t="shared" si="17"/>
        <v/>
      </c>
      <c r="M180" s="1514"/>
      <c r="N180" s="1514"/>
      <c r="O180" s="1514"/>
      <c r="P180" s="1514"/>
      <c r="Q180" s="1514"/>
      <c r="R180" s="1514"/>
      <c r="S180" s="1514"/>
      <c r="T180" s="1514"/>
      <c r="U180" s="1514"/>
      <c r="V180" s="1514"/>
      <c r="W180" s="1514"/>
      <c r="X180" s="1514"/>
      <c r="Y180" s="1514"/>
      <c r="Z180" s="1514"/>
      <c r="AA180" s="1514"/>
      <c r="AB180" s="1514"/>
      <c r="AC180" s="1514"/>
      <c r="AD180" s="1514"/>
    </row>
    <row r="181" spans="1:30" ht="15.75" customHeight="1" thickBot="1" x14ac:dyDescent="0.35">
      <c r="A181" s="1522"/>
      <c r="B181" s="1790" t="s">
        <v>521</v>
      </c>
      <c r="C181" s="1791"/>
      <c r="D181" s="1792"/>
      <c r="E181" s="1793">
        <f>E173+E175</f>
        <v>7.766</v>
      </c>
      <c r="F181" s="1794">
        <f>IF($E$184&gt;0,E181/$E$184,"")</f>
        <v>5.9244022551284902E-4</v>
      </c>
      <c r="G181" s="1795">
        <f>IF(Performance!$L$2="y",E181,G173+G175)</f>
        <v>7.7</v>
      </c>
      <c r="H181" s="1796">
        <f>IF($G$184&gt;0,G181/$G$184,"")</f>
        <v>1.564154106553272E-2</v>
      </c>
      <c r="I181" s="2400"/>
      <c r="J181" s="2401"/>
      <c r="K181" s="2402"/>
      <c r="L181" s="1560" t="str">
        <f t="shared" si="17"/>
        <v/>
      </c>
      <c r="M181" s="1514"/>
      <c r="N181" s="1514"/>
      <c r="O181" s="1514"/>
      <c r="P181" s="1514"/>
      <c r="Q181" s="1514"/>
      <c r="R181" s="1514"/>
      <c r="S181" s="1514"/>
      <c r="T181" s="1514"/>
      <c r="U181" s="1514"/>
      <c r="V181" s="1514"/>
      <c r="W181" s="1514"/>
      <c r="X181" s="1514"/>
      <c r="Y181" s="1514"/>
      <c r="Z181" s="1514"/>
      <c r="AA181" s="1514"/>
      <c r="AB181" s="1514"/>
      <c r="AC181" s="1514"/>
      <c r="AD181" s="1514"/>
    </row>
    <row r="182" spans="1:30" ht="15.75" customHeight="1" thickBot="1" x14ac:dyDescent="0.35">
      <c r="A182" s="1522"/>
      <c r="B182" s="1784" t="s">
        <v>522</v>
      </c>
      <c r="C182" s="1785"/>
      <c r="D182" s="1786"/>
      <c r="E182" s="1793">
        <f>SUM(E171:E178)-E172-E174</f>
        <v>12726.917521112089</v>
      </c>
      <c r="F182" s="1748">
        <f>IF($E$184&gt;0,E182/$E$184,"")</f>
        <v>0.97089079143588397</v>
      </c>
      <c r="G182" s="1795">
        <f>IF(Performance!$L$2="y",E182,SUM(G171:G178)-G172-G174)</f>
        <v>451.552568193855</v>
      </c>
      <c r="H182" s="1783">
        <f>IF($G$184&gt;0,G182/$G$184,"")</f>
        <v>0.91726987514947356</v>
      </c>
      <c r="I182" s="2400"/>
      <c r="J182" s="2401"/>
      <c r="K182" s="2402"/>
      <c r="L182" s="1560" t="str">
        <f t="shared" si="17"/>
        <v/>
      </c>
      <c r="M182" s="1514"/>
      <c r="N182" s="1514"/>
      <c r="O182" s="1514"/>
      <c r="P182" s="1514"/>
      <c r="Q182" s="1514"/>
      <c r="R182" s="1514"/>
      <c r="S182" s="1514"/>
      <c r="T182" s="1514"/>
      <c r="U182" s="1514"/>
      <c r="V182" s="1514"/>
      <c r="W182" s="1514"/>
      <c r="X182" s="1514"/>
      <c r="Y182" s="1514"/>
      <c r="Z182" s="1514"/>
      <c r="AA182" s="1514"/>
      <c r="AB182" s="1514"/>
      <c r="AC182" s="1514"/>
      <c r="AD182" s="1514"/>
    </row>
    <row r="183" spans="1:30" ht="15.75" customHeight="1" thickBot="1" x14ac:dyDescent="0.35">
      <c r="A183" s="1522"/>
      <c r="B183" s="1790" t="s">
        <v>160</v>
      </c>
      <c r="C183" s="1791"/>
      <c r="D183" s="1792"/>
      <c r="E183" s="1758">
        <v>381.57792798966898</v>
      </c>
      <c r="F183" s="1748">
        <f>IF($E$184&gt;0,E183/$E$184,"")</f>
        <v>2.9109208564116036E-2</v>
      </c>
      <c r="G183" s="1570">
        <v>40.726291525889202</v>
      </c>
      <c r="H183" s="1783">
        <f>IF($G$184&gt;0,G183/$G$184,"")</f>
        <v>8.2730124850526388E-2</v>
      </c>
      <c r="I183" s="2614"/>
      <c r="J183" s="2615"/>
      <c r="K183" s="2616"/>
      <c r="L183" s="1560" t="str">
        <f t="shared" si="17"/>
        <v/>
      </c>
      <c r="M183" s="1514"/>
      <c r="N183" s="1514"/>
      <c r="O183" s="1514"/>
      <c r="P183" s="1514"/>
      <c r="Q183" s="1514"/>
      <c r="R183" s="1514"/>
      <c r="S183" s="1514"/>
      <c r="T183" s="1514"/>
      <c r="U183" s="1514"/>
      <c r="V183" s="1514"/>
      <c r="W183" s="1514"/>
      <c r="X183" s="1514"/>
      <c r="Y183" s="1514"/>
      <c r="Z183" s="1514"/>
      <c r="AA183" s="1514"/>
      <c r="AB183" s="1514"/>
      <c r="AC183" s="1514"/>
      <c r="AD183" s="1514"/>
    </row>
    <row r="184" spans="1:30" ht="15.75" customHeight="1" thickBot="1" x14ac:dyDescent="0.35">
      <c r="A184" s="1522"/>
      <c r="B184" s="1797" t="s">
        <v>523</v>
      </c>
      <c r="C184" s="1798"/>
      <c r="D184" s="1799"/>
      <c r="E184" s="1793">
        <f>E183+E182</f>
        <v>13108.495449101758</v>
      </c>
      <c r="F184" s="1800"/>
      <c r="G184" s="1801">
        <f>IF(Performance!$L$2="y",E184,G183+G182)</f>
        <v>492.27885971974422</v>
      </c>
      <c r="H184" s="1802"/>
      <c r="I184" s="2400"/>
      <c r="J184" s="2401"/>
      <c r="K184" s="2402"/>
      <c r="L184" s="1560" t="str">
        <f t="shared" si="17"/>
        <v/>
      </c>
      <c r="M184" s="1514"/>
      <c r="N184" s="1514"/>
      <c r="O184" s="1514"/>
      <c r="P184" s="1514"/>
      <c r="Q184" s="1514"/>
      <c r="R184" s="1514"/>
      <c r="S184" s="1514"/>
      <c r="T184" s="1514"/>
      <c r="U184" s="1514"/>
      <c r="V184" s="1514"/>
      <c r="W184" s="1514"/>
      <c r="X184" s="1514"/>
      <c r="Y184" s="1514"/>
      <c r="Z184" s="1514"/>
      <c r="AA184" s="1514"/>
      <c r="AB184" s="1514"/>
      <c r="AC184" s="1514"/>
      <c r="AD184" s="1514"/>
    </row>
    <row r="185" spans="1:30" ht="17.25" customHeight="1" thickBot="1" x14ac:dyDescent="0.35">
      <c r="A185" s="1522"/>
      <c r="B185" s="1803" t="s">
        <v>162</v>
      </c>
      <c r="C185" s="1804"/>
      <c r="D185" s="1805"/>
      <c r="E185" s="1806"/>
      <c r="F185" s="1748">
        <f>IF($E$184&gt;0,E185/$E$184,"")</f>
        <v>0</v>
      </c>
      <c r="G185" s="1626"/>
      <c r="H185" s="1783">
        <f>IF($E$184&gt;0,G185/$E$184,"")</f>
        <v>0</v>
      </c>
      <c r="I185" s="2606"/>
      <c r="J185" s="2607"/>
      <c r="K185" s="2608"/>
      <c r="L185" s="1560" t="str">
        <f t="shared" si="17"/>
        <v/>
      </c>
      <c r="M185" s="1514"/>
      <c r="N185" s="1514"/>
      <c r="O185" s="1514"/>
      <c r="P185" s="1514"/>
      <c r="Q185" s="1514"/>
      <c r="R185" s="1514"/>
      <c r="S185" s="1514"/>
      <c r="T185" s="1514"/>
      <c r="U185" s="1514"/>
      <c r="V185" s="1514"/>
      <c r="W185" s="1514"/>
      <c r="X185" s="1514"/>
      <c r="Y185" s="1514"/>
      <c r="Z185" s="1514"/>
      <c r="AA185" s="1514"/>
      <c r="AB185" s="1514"/>
      <c r="AC185" s="1514"/>
      <c r="AD185" s="1514"/>
    </row>
    <row r="186" spans="1:30" ht="31.5" customHeight="1" x14ac:dyDescent="0.3">
      <c r="A186" s="1522"/>
      <c r="B186" s="1514"/>
      <c r="C186" s="2609" t="s">
        <v>163</v>
      </c>
      <c r="D186" s="2610"/>
      <c r="E186" s="2610"/>
      <c r="F186" s="2610"/>
      <c r="G186" s="2610"/>
      <c r="H186" s="2610"/>
      <c r="I186" s="2610"/>
      <c r="J186" s="2610"/>
      <c r="K186" s="1543"/>
      <c r="L186" s="1749"/>
      <c r="M186" s="1535"/>
      <c r="N186" s="1535"/>
      <c r="O186" s="1514"/>
      <c r="P186" s="1514"/>
      <c r="Q186" s="1514"/>
      <c r="R186" s="1514"/>
      <c r="S186" s="1514"/>
      <c r="T186" s="1514"/>
      <c r="U186" s="1514"/>
      <c r="V186" s="1514"/>
      <c r="W186" s="1514"/>
      <c r="X186" s="1514"/>
      <c r="Y186" s="1514"/>
      <c r="Z186" s="1514"/>
      <c r="AA186" s="1514"/>
      <c r="AB186" s="1514"/>
      <c r="AC186" s="1514"/>
      <c r="AD186" s="1514"/>
    </row>
    <row r="187" spans="1:30" ht="27.75" customHeight="1" x14ac:dyDescent="0.3">
      <c r="A187" s="1529">
        <v>5</v>
      </c>
      <c r="B187" s="1530" t="s">
        <v>164</v>
      </c>
      <c r="C187" s="1531"/>
      <c r="D187" s="2387" t="str">
        <f>+$A$1</f>
        <v>Quarter 4 - 2018-2019</v>
      </c>
      <c r="E187" s="2387"/>
      <c r="F187" s="2387"/>
      <c r="G187" s="2387"/>
      <c r="H187" s="2387"/>
      <c r="I187" s="2387"/>
      <c r="J187" s="2387"/>
      <c r="K187" s="1532"/>
      <c r="L187" s="1532"/>
      <c r="M187" s="1532"/>
      <c r="N187" s="1519"/>
      <c r="O187" s="1519"/>
      <c r="P187" s="1533"/>
      <c r="Q187" s="1533"/>
      <c r="R187" s="1519"/>
      <c r="S187" s="1519"/>
      <c r="T187" s="1519"/>
      <c r="U187" s="1519"/>
      <c r="V187" s="1519"/>
      <c r="W187" s="1519"/>
      <c r="X187" s="1519"/>
      <c r="Y187" s="1519"/>
      <c r="Z187" s="1519"/>
      <c r="AA187" s="1519"/>
      <c r="AB187" s="1519"/>
      <c r="AC187" s="1519"/>
      <c r="AD187" s="1519"/>
    </row>
    <row r="188" spans="1:30" ht="15.75" customHeight="1" thickBot="1" x14ac:dyDescent="0.35">
      <c r="A188" s="1522"/>
      <c r="B188" s="1534"/>
      <c r="C188" s="1514"/>
      <c r="D188" s="1551"/>
      <c r="E188" s="1551"/>
      <c r="F188" s="1551"/>
      <c r="G188" s="1551"/>
      <c r="H188" s="1551"/>
      <c r="I188" s="1551"/>
      <c r="J188" s="1551"/>
      <c r="K188" s="1551"/>
      <c r="L188" s="1514"/>
      <c r="M188" s="1514"/>
      <c r="N188" s="1514"/>
      <c r="O188" s="1514"/>
      <c r="P188" s="1514"/>
      <c r="Q188" s="1514"/>
      <c r="R188" s="1514"/>
      <c r="S188" s="1514"/>
      <c r="T188" s="1514"/>
      <c r="U188" s="1514"/>
      <c r="V188" s="1514"/>
      <c r="W188" s="1514"/>
      <c r="X188" s="1514"/>
      <c r="Y188" s="1514"/>
      <c r="Z188" s="1514"/>
      <c r="AA188" s="1514"/>
      <c r="AB188" s="1514"/>
      <c r="AC188" s="1514"/>
      <c r="AD188" s="1514"/>
    </row>
    <row r="189" spans="1:30" ht="15.75" customHeight="1" thickBot="1" x14ac:dyDescent="0.35">
      <c r="A189" s="1522"/>
      <c r="B189" s="2434" t="s">
        <v>23</v>
      </c>
      <c r="C189" s="2435"/>
      <c r="D189" s="2435"/>
      <c r="E189" s="2436"/>
      <c r="F189" s="2388" t="s">
        <v>24</v>
      </c>
      <c r="G189" s="2389"/>
      <c r="H189" s="2390"/>
      <c r="I189" s="2394" t="s">
        <v>461</v>
      </c>
      <c r="J189" s="2395"/>
      <c r="K189" s="1514"/>
      <c r="L189" s="1514"/>
      <c r="M189" s="1514"/>
      <c r="N189" s="1514"/>
      <c r="O189" s="1514"/>
      <c r="P189" s="1514"/>
      <c r="Q189" s="1514"/>
      <c r="R189" s="1514"/>
      <c r="S189" s="1514"/>
      <c r="T189" s="1514"/>
      <c r="U189" s="1514"/>
      <c r="V189" s="1514"/>
      <c r="W189" s="1514"/>
      <c r="X189" s="1514"/>
      <c r="Y189" s="1514"/>
      <c r="Z189" s="1514"/>
      <c r="AA189" s="1514"/>
      <c r="AB189" s="1514"/>
      <c r="AC189" s="1514"/>
      <c r="AD189" s="1514"/>
    </row>
    <row r="190" spans="1:30" ht="24.6" thickBot="1" x14ac:dyDescent="0.35">
      <c r="A190" s="1522"/>
      <c r="B190" s="1807" t="s">
        <v>165</v>
      </c>
      <c r="C190" s="1808" t="s">
        <v>166</v>
      </c>
      <c r="D190" s="1809" t="s">
        <v>167</v>
      </c>
      <c r="E190" s="1810" t="s">
        <v>168</v>
      </c>
      <c r="F190" s="2391"/>
      <c r="G190" s="2392"/>
      <c r="H190" s="2393"/>
      <c r="I190" s="2396"/>
      <c r="J190" s="2397"/>
      <c r="K190" s="1514"/>
      <c r="L190" s="1514"/>
      <c r="M190" s="1514"/>
      <c r="N190" s="1514"/>
      <c r="O190" s="1514"/>
      <c r="P190" s="1514"/>
      <c r="Q190" s="1514"/>
      <c r="R190" s="1514"/>
      <c r="S190" s="1514"/>
      <c r="T190" s="1514"/>
      <c r="U190" s="1514"/>
      <c r="V190" s="1514"/>
      <c r="W190" s="1514"/>
      <c r="X190" s="1514"/>
      <c r="Y190" s="1514"/>
      <c r="Z190" s="1514"/>
      <c r="AA190" s="1514"/>
      <c r="AB190" s="1514"/>
      <c r="AC190" s="1514"/>
      <c r="AD190" s="1514"/>
    </row>
    <row r="191" spans="1:30" ht="14.4" thickBot="1" x14ac:dyDescent="0.35">
      <c r="A191" s="1522"/>
      <c r="B191" s="1623">
        <v>281376</v>
      </c>
      <c r="C191" s="1623">
        <v>1914</v>
      </c>
      <c r="D191" s="1623">
        <v>580</v>
      </c>
      <c r="E191" s="1811">
        <f>B191+(C191*2)+(D191/2)</f>
        <v>285494</v>
      </c>
      <c r="F191" s="2400"/>
      <c r="G191" s="2401"/>
      <c r="H191" s="2402"/>
      <c r="I191" s="2403" t="str">
        <f>IF(OR(B191&lt;0,C191&lt;0,D191&lt;0),"Error - Negative number","")</f>
        <v/>
      </c>
      <c r="J191" s="2404"/>
      <c r="K191" s="1514"/>
      <c r="L191" s="1514"/>
      <c r="M191" s="1514"/>
      <c r="N191" s="1514"/>
      <c r="O191" s="1514"/>
      <c r="P191" s="1514"/>
      <c r="Q191" s="1514"/>
      <c r="R191" s="1514"/>
      <c r="S191" s="1514"/>
      <c r="T191" s="1514"/>
      <c r="U191" s="1514"/>
      <c r="V191" s="1514"/>
      <c r="W191" s="1514"/>
      <c r="X191" s="1514"/>
      <c r="Y191" s="1514"/>
      <c r="Z191" s="1514"/>
      <c r="AA191" s="1514"/>
      <c r="AB191" s="1514"/>
      <c r="AC191" s="1514"/>
      <c r="AD191" s="1514"/>
    </row>
    <row r="192" spans="1:30" x14ac:dyDescent="0.3">
      <c r="A192" s="1522"/>
      <c r="B192" s="1535"/>
      <c r="C192" s="1535"/>
      <c r="D192" s="1535"/>
      <c r="E192" s="1535"/>
      <c r="F192" s="1535"/>
      <c r="G192" s="1535"/>
      <c r="H192" s="1535"/>
      <c r="I192" s="1535"/>
      <c r="J192" s="1535"/>
      <c r="K192" s="1535"/>
      <c r="L192" s="1535"/>
      <c r="M192" s="1535"/>
      <c r="N192" s="1514"/>
      <c r="O192" s="1514"/>
      <c r="P192" s="1514"/>
      <c r="Q192" s="1514"/>
      <c r="R192" s="1514"/>
      <c r="S192" s="1514"/>
      <c r="T192" s="1514"/>
      <c r="U192" s="1514"/>
      <c r="V192" s="1514"/>
      <c r="W192" s="1514"/>
      <c r="X192" s="1514"/>
      <c r="Y192" s="1514"/>
      <c r="Z192" s="1514"/>
      <c r="AA192" s="1514"/>
      <c r="AB192" s="1514"/>
      <c r="AC192" s="1514"/>
      <c r="AD192" s="1514"/>
    </row>
    <row r="193" spans="1:30" ht="27.75" customHeight="1" x14ac:dyDescent="0.3">
      <c r="A193" s="1529">
        <v>6</v>
      </c>
      <c r="B193" s="1530" t="s">
        <v>169</v>
      </c>
      <c r="C193" s="1531"/>
      <c r="D193" s="2387" t="str">
        <f>+$A$1</f>
        <v>Quarter 4 - 2018-2019</v>
      </c>
      <c r="E193" s="2387"/>
      <c r="F193" s="2387"/>
      <c r="G193" s="2387"/>
      <c r="H193" s="2387"/>
      <c r="I193" s="2387"/>
      <c r="J193" s="2387"/>
      <c r="K193" s="1532"/>
      <c r="L193" s="1532"/>
      <c r="M193" s="1532"/>
      <c r="N193" s="1519"/>
      <c r="O193" s="1519"/>
      <c r="P193" s="1533"/>
      <c r="Q193" s="1533"/>
      <c r="R193" s="1519"/>
      <c r="S193" s="1519"/>
      <c r="T193" s="1519"/>
      <c r="U193" s="1519"/>
      <c r="V193" s="1519"/>
      <c r="W193" s="1519"/>
      <c r="X193" s="1519"/>
      <c r="Y193" s="1519"/>
      <c r="Z193" s="1519"/>
      <c r="AA193" s="1519"/>
      <c r="AB193" s="1519"/>
      <c r="AC193" s="1519"/>
      <c r="AD193" s="1519"/>
    </row>
    <row r="194" spans="1:30" ht="27.75" customHeight="1" x14ac:dyDescent="0.3">
      <c r="A194" s="1522"/>
      <c r="B194" s="1514"/>
      <c r="C194" s="1514"/>
      <c r="D194" s="1514"/>
      <c r="E194" s="1514"/>
      <c r="F194" s="1514"/>
      <c r="G194" s="1514"/>
      <c r="H194" s="1514"/>
      <c r="I194" s="1514"/>
      <c r="J194" s="1514"/>
      <c r="K194" s="1514"/>
      <c r="L194" s="1514"/>
      <c r="M194" s="1514"/>
      <c r="N194" s="1514"/>
      <c r="O194" s="1514"/>
      <c r="P194" s="1812"/>
      <c r="Q194" s="1812"/>
      <c r="R194" s="1514"/>
      <c r="S194" s="1514"/>
      <c r="T194" s="1514"/>
      <c r="U194" s="1514"/>
      <c r="V194" s="1514"/>
      <c r="W194" s="1514"/>
      <c r="X194" s="1514"/>
      <c r="Y194" s="1514"/>
      <c r="Z194" s="1514"/>
      <c r="AA194" s="1514"/>
      <c r="AB194" s="1514"/>
      <c r="AC194" s="1514"/>
      <c r="AD194" s="1514"/>
    </row>
    <row r="195" spans="1:30" ht="14.4" thickBot="1" x14ac:dyDescent="0.35">
      <c r="A195" s="1522"/>
      <c r="B195" s="1534"/>
      <c r="C195" s="1535"/>
      <c r="D195" s="1535"/>
      <c r="E195" s="1535"/>
      <c r="F195" s="1535"/>
      <c r="G195" s="1535"/>
      <c r="H195" s="1535"/>
      <c r="I195" s="1535"/>
      <c r="J195" s="1535"/>
      <c r="K195" s="1535"/>
      <c r="L195" s="1535"/>
      <c r="M195" s="1535"/>
      <c r="N195" s="1535"/>
      <c r="O195" s="1535"/>
      <c r="P195" s="1535"/>
      <c r="Q195" s="1535"/>
      <c r="R195" s="1535"/>
      <c r="S195" s="1535"/>
      <c r="T195" s="1535"/>
      <c r="U195" s="1535"/>
      <c r="V195" s="1535"/>
      <c r="W195" s="1535"/>
      <c r="X195" s="1535"/>
      <c r="Y195" s="1514"/>
      <c r="Z195" s="1514"/>
      <c r="AA195" s="1514"/>
      <c r="AB195" s="1514"/>
      <c r="AC195" s="1514"/>
      <c r="AD195" s="1514"/>
    </row>
    <row r="196" spans="1:30" ht="15.75" customHeight="1" thickBot="1" x14ac:dyDescent="0.35">
      <c r="A196" s="1522"/>
      <c r="B196" s="2434" t="s">
        <v>23</v>
      </c>
      <c r="C196" s="2435"/>
      <c r="D196" s="2436"/>
      <c r="E196" s="2434" t="s">
        <v>24</v>
      </c>
      <c r="F196" s="2435"/>
      <c r="G196" s="2436"/>
      <c r="H196" s="2423" t="s">
        <v>461</v>
      </c>
      <c r="I196" s="2621"/>
      <c r="J196" s="2424"/>
      <c r="K196" s="1535"/>
      <c r="L196" s="1535"/>
      <c r="M196" s="1535"/>
      <c r="N196" s="1535"/>
      <c r="O196" s="1535"/>
      <c r="P196" s="1535"/>
      <c r="Q196" s="1535"/>
      <c r="R196" s="1535"/>
      <c r="S196" s="1535"/>
      <c r="T196" s="1535"/>
      <c r="U196" s="1535"/>
      <c r="V196" s="1535"/>
      <c r="W196" s="1535"/>
      <c r="X196" s="1535"/>
      <c r="Y196" s="1514"/>
      <c r="Z196" s="1514"/>
      <c r="AA196" s="1514"/>
      <c r="AB196" s="1514"/>
      <c r="AC196" s="1514"/>
      <c r="AD196" s="1514"/>
    </row>
    <row r="197" spans="1:30" ht="13.5" customHeight="1" thickBot="1" x14ac:dyDescent="0.35">
      <c r="A197" s="1522"/>
      <c r="B197" s="2580" t="s">
        <v>170</v>
      </c>
      <c r="C197" s="2581"/>
      <c r="D197" s="1623">
        <v>1088</v>
      </c>
      <c r="E197" s="2428"/>
      <c r="F197" s="2429"/>
      <c r="G197" s="2430"/>
      <c r="H197" s="2403" t="str">
        <f>IF(D197&lt;0,"Error - Negative number","")</f>
        <v/>
      </c>
      <c r="I197" s="2617"/>
      <c r="J197" s="2404"/>
      <c r="K197" s="1535"/>
      <c r="L197" s="1535"/>
      <c r="M197" s="1535"/>
      <c r="N197" s="1535"/>
      <c r="O197" s="1535"/>
      <c r="P197" s="1535"/>
      <c r="Q197" s="1535"/>
      <c r="R197" s="1535"/>
      <c r="S197" s="1535"/>
      <c r="T197" s="1535"/>
      <c r="U197" s="1535"/>
      <c r="V197" s="1535"/>
      <c r="W197" s="1535"/>
      <c r="X197" s="1535"/>
      <c r="Y197" s="1514"/>
      <c r="Z197" s="1514"/>
      <c r="AA197" s="1514"/>
      <c r="AB197" s="1514"/>
      <c r="AC197" s="1514"/>
      <c r="AD197" s="1514"/>
    </row>
    <row r="198" spans="1:30" ht="13.5" customHeight="1" thickBot="1" x14ac:dyDescent="0.35">
      <c r="A198" s="1522"/>
      <c r="B198" s="2580" t="s">
        <v>468</v>
      </c>
      <c r="C198" s="2581"/>
      <c r="D198" s="1811">
        <f>IF(D197=0,"",+D109/D197)</f>
        <v>427.86793783900828</v>
      </c>
      <c r="E198" s="2400"/>
      <c r="F198" s="2401"/>
      <c r="G198" s="2402"/>
      <c r="H198" s="2618" t="str">
        <f>IF(AND(D198&lt;'QA config'!D3,D198&lt;&gt;""),CONCATENATE("Average distance less than ",'QA config'!D3," km"),IF(AND(D198&gt;'QA config'!C3,D198&lt;&gt;""),CONCATENATE("Average distance more than ",'QA config'!C3," km"),""))</f>
        <v/>
      </c>
      <c r="I198" s="2619"/>
      <c r="J198" s="2620"/>
      <c r="K198" s="1535"/>
      <c r="L198" s="1535"/>
      <c r="M198" s="1535"/>
      <c r="N198" s="1535"/>
      <c r="O198" s="1535"/>
      <c r="P198" s="1535"/>
      <c r="Q198" s="1535"/>
      <c r="R198" s="1535"/>
      <c r="S198" s="1535"/>
      <c r="T198" s="1535"/>
      <c r="U198" s="1535"/>
      <c r="V198" s="1535"/>
      <c r="W198" s="1535"/>
      <c r="X198" s="1535"/>
      <c r="Y198" s="1514"/>
      <c r="Z198" s="1514"/>
      <c r="AA198" s="1514"/>
      <c r="AB198" s="1514"/>
      <c r="AC198" s="1514"/>
      <c r="AD198" s="1514"/>
    </row>
    <row r="199" spans="1:30" x14ac:dyDescent="0.3">
      <c r="A199" s="1522"/>
      <c r="B199" s="1535"/>
      <c r="C199" s="1535"/>
      <c r="D199" s="1535"/>
      <c r="E199" s="1535"/>
      <c r="F199" s="1535"/>
      <c r="G199" s="1535"/>
      <c r="H199" s="1535"/>
      <c r="I199" s="1535"/>
      <c r="J199" s="1543"/>
      <c r="K199" s="1544"/>
      <c r="L199" s="1535"/>
      <c r="M199" s="1535"/>
      <c r="N199" s="1514"/>
      <c r="O199" s="1514"/>
      <c r="P199" s="1514"/>
      <c r="Q199" s="1514"/>
      <c r="R199" s="1514"/>
      <c r="S199" s="1514"/>
      <c r="T199" s="1514"/>
      <c r="U199" s="1514"/>
      <c r="V199" s="1514"/>
      <c r="W199" s="1514"/>
      <c r="X199" s="1514"/>
      <c r="Y199" s="1514"/>
      <c r="Z199" s="1514"/>
      <c r="AA199" s="1514"/>
      <c r="AB199" s="1514"/>
      <c r="AC199" s="1514"/>
      <c r="AD199" s="1514"/>
    </row>
    <row r="200" spans="1:30" ht="27.75" customHeight="1" x14ac:dyDescent="0.3">
      <c r="A200" s="1517"/>
      <c r="J200" s="1517"/>
      <c r="K200" s="1517"/>
    </row>
    <row r="201" spans="1:30" x14ac:dyDescent="0.3">
      <c r="A201" s="1517"/>
      <c r="J201" s="1517"/>
      <c r="K201" s="1517"/>
    </row>
    <row r="202" spans="1:30" ht="15.75" customHeight="1" x14ac:dyDescent="0.3">
      <c r="A202" s="1517"/>
      <c r="J202" s="1517"/>
      <c r="K202" s="1517"/>
    </row>
    <row r="203" spans="1:30" ht="13.5" customHeight="1" x14ac:dyDescent="0.3">
      <c r="A203" s="1517"/>
      <c r="J203" s="1517"/>
      <c r="K203" s="1517"/>
    </row>
    <row r="204" spans="1:30" ht="13.5" customHeight="1" x14ac:dyDescent="0.3">
      <c r="A204" s="1517"/>
      <c r="J204" s="1517"/>
      <c r="K204" s="1517"/>
    </row>
    <row r="205" spans="1:30" x14ac:dyDescent="0.3">
      <c r="A205" s="1517"/>
      <c r="J205" s="1517"/>
      <c r="K205" s="1517"/>
    </row>
    <row r="206" spans="1:30" x14ac:dyDescent="0.3">
      <c r="A206" s="1517"/>
      <c r="J206" s="1517"/>
      <c r="K206" s="1517"/>
    </row>
    <row r="207" spans="1:30" x14ac:dyDescent="0.3">
      <c r="AA207" s="1514"/>
      <c r="AB207" s="1514"/>
      <c r="AC207" s="1514"/>
      <c r="AD207" s="1514"/>
    </row>
    <row r="208" spans="1:30" x14ac:dyDescent="0.3">
      <c r="AA208" s="1514"/>
      <c r="AB208" s="1514"/>
      <c r="AC208" s="1514"/>
      <c r="AD208" s="1514"/>
    </row>
  </sheetData>
  <sheetProtection algorithmName="SHA-512" hashValue="qNns4SwNu1NTAkdkQlUJythuJORuZYSiCz82FzNlfOpwPK/3odFkB6GAjA2KdDrZqDfeF6UrO6DlpXMCSqFUHQ==" saltValue="TZQYxUbnwkEE6KS48XK+wQ==" spinCount="100000" sheet="1" objects="1" scenarios="1"/>
  <mergeCells count="261">
    <mergeCell ref="B197:C197"/>
    <mergeCell ref="E197:G197"/>
    <mergeCell ref="H197:J197"/>
    <mergeCell ref="B198:C198"/>
    <mergeCell ref="E198:G198"/>
    <mergeCell ref="H198:J198"/>
    <mergeCell ref="F191:H191"/>
    <mergeCell ref="I191:J191"/>
    <mergeCell ref="D193:J193"/>
    <mergeCell ref="B196:D196"/>
    <mergeCell ref="E196:G196"/>
    <mergeCell ref="H196:J196"/>
    <mergeCell ref="I184:K184"/>
    <mergeCell ref="I185:K185"/>
    <mergeCell ref="C186:J186"/>
    <mergeCell ref="D187:J187"/>
    <mergeCell ref="B189:E189"/>
    <mergeCell ref="F189:H190"/>
    <mergeCell ref="I189:J190"/>
    <mergeCell ref="I178:K178"/>
    <mergeCell ref="I179:K179"/>
    <mergeCell ref="I180:K180"/>
    <mergeCell ref="I181:K181"/>
    <mergeCell ref="I182:K182"/>
    <mergeCell ref="I183:K183"/>
    <mergeCell ref="I172:K172"/>
    <mergeCell ref="I173:K173"/>
    <mergeCell ref="I174:K174"/>
    <mergeCell ref="I175:K175"/>
    <mergeCell ref="I176:K176"/>
    <mergeCell ref="I177:K177"/>
    <mergeCell ref="D167:J167"/>
    <mergeCell ref="E169:F169"/>
    <mergeCell ref="G169:H169"/>
    <mergeCell ref="I169:K170"/>
    <mergeCell ref="L169:L170"/>
    <mergeCell ref="I171:K171"/>
    <mergeCell ref="D157:J157"/>
    <mergeCell ref="E162:H162"/>
    <mergeCell ref="I162:K163"/>
    <mergeCell ref="L162:L163"/>
    <mergeCell ref="B164:C164"/>
    <mergeCell ref="I164:K164"/>
    <mergeCell ref="B154:C154"/>
    <mergeCell ref="E154:F154"/>
    <mergeCell ref="G154:I154"/>
    <mergeCell ref="B155:C155"/>
    <mergeCell ref="D155:F155"/>
    <mergeCell ref="G155:I155"/>
    <mergeCell ref="D146:E146"/>
    <mergeCell ref="B147:L147"/>
    <mergeCell ref="D149:J149"/>
    <mergeCell ref="D152:F152"/>
    <mergeCell ref="G152:I152"/>
    <mergeCell ref="B153:C153"/>
    <mergeCell ref="D153:F153"/>
    <mergeCell ref="G153:I153"/>
    <mergeCell ref="D143:E143"/>
    <mergeCell ref="I143:K143"/>
    <mergeCell ref="D144:E144"/>
    <mergeCell ref="I144:K144"/>
    <mergeCell ref="D145:E145"/>
    <mergeCell ref="I145:K145"/>
    <mergeCell ref="I135:K135"/>
    <mergeCell ref="I136:K136"/>
    <mergeCell ref="D138:J138"/>
    <mergeCell ref="I140:K141"/>
    <mergeCell ref="D142:E142"/>
    <mergeCell ref="I142:K142"/>
    <mergeCell ref="I129:K129"/>
    <mergeCell ref="I130:K130"/>
    <mergeCell ref="I131:K131"/>
    <mergeCell ref="I132:K132"/>
    <mergeCell ref="I133:K133"/>
    <mergeCell ref="I134:K134"/>
    <mergeCell ref="I122:K122"/>
    <mergeCell ref="D125:F125"/>
    <mergeCell ref="I125:K127"/>
    <mergeCell ref="M125:M126"/>
    <mergeCell ref="I128:K128"/>
    <mergeCell ref="I115:K115"/>
    <mergeCell ref="I116:K116"/>
    <mergeCell ref="I117:K117"/>
    <mergeCell ref="I118:K118"/>
    <mergeCell ref="I119:K119"/>
    <mergeCell ref="I120:K120"/>
    <mergeCell ref="I107:K107"/>
    <mergeCell ref="B108:C108"/>
    <mergeCell ref="I108:K108"/>
    <mergeCell ref="B109:B121"/>
    <mergeCell ref="I109:K109"/>
    <mergeCell ref="I110:K110"/>
    <mergeCell ref="I111:K111"/>
    <mergeCell ref="I112:K112"/>
    <mergeCell ref="I113:K113"/>
    <mergeCell ref="I114:K114"/>
    <mergeCell ref="I121:K121"/>
    <mergeCell ref="I101:K101"/>
    <mergeCell ref="I102:K102"/>
    <mergeCell ref="I103:K103"/>
    <mergeCell ref="I104:K104"/>
    <mergeCell ref="I105:K105"/>
    <mergeCell ref="I106:K106"/>
    <mergeCell ref="I96:K96"/>
    <mergeCell ref="U96:W96"/>
    <mergeCell ref="I97:K97"/>
    <mergeCell ref="O97:W100"/>
    <mergeCell ref="I98:K98"/>
    <mergeCell ref="I99:K99"/>
    <mergeCell ref="I100:K100"/>
    <mergeCell ref="I94:K94"/>
    <mergeCell ref="U94:W94"/>
    <mergeCell ref="I95:K95"/>
    <mergeCell ref="U95:W95"/>
    <mergeCell ref="I90:K90"/>
    <mergeCell ref="U90:W90"/>
    <mergeCell ref="I91:K91"/>
    <mergeCell ref="U91:W91"/>
    <mergeCell ref="I92:K92"/>
    <mergeCell ref="U92:W92"/>
    <mergeCell ref="Z86:Z89"/>
    <mergeCell ref="B87:B107"/>
    <mergeCell ref="I87:K87"/>
    <mergeCell ref="Q87:Q89"/>
    <mergeCell ref="R87:R89"/>
    <mergeCell ref="S87:S89"/>
    <mergeCell ref="I80:K80"/>
    <mergeCell ref="I81:K81"/>
    <mergeCell ref="I82:K82"/>
    <mergeCell ref="I83:K83"/>
    <mergeCell ref="I84:K84"/>
    <mergeCell ref="I85:K85"/>
    <mergeCell ref="T87:T88"/>
    <mergeCell ref="U87:W89"/>
    <mergeCell ref="X87:X89"/>
    <mergeCell ref="Y87:Y88"/>
    <mergeCell ref="I88:K88"/>
    <mergeCell ref="I89:K89"/>
    <mergeCell ref="B86:C86"/>
    <mergeCell ref="I86:K86"/>
    <mergeCell ref="O86:W86"/>
    <mergeCell ref="X86:Y86"/>
    <mergeCell ref="I93:K93"/>
    <mergeCell ref="U93:W93"/>
    <mergeCell ref="I76:K76"/>
    <mergeCell ref="I77:K77"/>
    <mergeCell ref="I78:K78"/>
    <mergeCell ref="I79:K79"/>
    <mergeCell ref="I72:K72"/>
    <mergeCell ref="U72:W72"/>
    <mergeCell ref="I73:K73"/>
    <mergeCell ref="U73:W73"/>
    <mergeCell ref="I74:K74"/>
    <mergeCell ref="U74:W74"/>
    <mergeCell ref="O64:W64"/>
    <mergeCell ref="X64:Y64"/>
    <mergeCell ref="Z64:Z67"/>
    <mergeCell ref="B65:B85"/>
    <mergeCell ref="I65:K65"/>
    <mergeCell ref="Q65:Q67"/>
    <mergeCell ref="R65:R67"/>
    <mergeCell ref="S65:S67"/>
    <mergeCell ref="T65:T66"/>
    <mergeCell ref="U65:W67"/>
    <mergeCell ref="I69:K69"/>
    <mergeCell ref="U69:W69"/>
    <mergeCell ref="I70:K70"/>
    <mergeCell ref="U70:W70"/>
    <mergeCell ref="I71:K71"/>
    <mergeCell ref="U71:W71"/>
    <mergeCell ref="X65:X67"/>
    <mergeCell ref="Y65:Y66"/>
    <mergeCell ref="I66:K66"/>
    <mergeCell ref="I67:K67"/>
    <mergeCell ref="I68:K68"/>
    <mergeCell ref="U68:W68"/>
    <mergeCell ref="I75:K75"/>
    <mergeCell ref="O75:W78"/>
    <mergeCell ref="J35:K35"/>
    <mergeCell ref="D55:J55"/>
    <mergeCell ref="B62:C63"/>
    <mergeCell ref="D62:F62"/>
    <mergeCell ref="I62:K63"/>
    <mergeCell ref="L62:L63"/>
    <mergeCell ref="B64:C64"/>
    <mergeCell ref="I64:K64"/>
    <mergeCell ref="D49:J49"/>
    <mergeCell ref="D51:F51"/>
    <mergeCell ref="G51:H51"/>
    <mergeCell ref="I51:K52"/>
    <mergeCell ref="L51:L52"/>
    <mergeCell ref="B53:C53"/>
    <mergeCell ref="I53:K53"/>
    <mergeCell ref="I30:K30"/>
    <mergeCell ref="I27:K27"/>
    <mergeCell ref="O27:O28"/>
    <mergeCell ref="P27:P28"/>
    <mergeCell ref="Q27:Q28"/>
    <mergeCell ref="R27:R28"/>
    <mergeCell ref="U27:U28"/>
    <mergeCell ref="B36:B47"/>
    <mergeCell ref="I36:K36"/>
    <mergeCell ref="I37:K37"/>
    <mergeCell ref="I38:K38"/>
    <mergeCell ref="I39:K39"/>
    <mergeCell ref="I40:K40"/>
    <mergeCell ref="I41:K41"/>
    <mergeCell ref="I31:K31"/>
    <mergeCell ref="O31:P31"/>
    <mergeCell ref="I42:K42"/>
    <mergeCell ref="I43:K43"/>
    <mergeCell ref="I44:K44"/>
    <mergeCell ref="I45:K45"/>
    <mergeCell ref="I46:K46"/>
    <mergeCell ref="I47:K47"/>
    <mergeCell ref="J33:K33"/>
    <mergeCell ref="J34:K34"/>
    <mergeCell ref="B19:C19"/>
    <mergeCell ref="B20:B35"/>
    <mergeCell ref="I20:K20"/>
    <mergeCell ref="I21:K21"/>
    <mergeCell ref="I22:K22"/>
    <mergeCell ref="I23:K23"/>
    <mergeCell ref="I24:K24"/>
    <mergeCell ref="O24:R24"/>
    <mergeCell ref="U24:X24"/>
    <mergeCell ref="I25:K25"/>
    <mergeCell ref="I26:K26"/>
    <mergeCell ref="O26:P26"/>
    <mergeCell ref="Q26:R26"/>
    <mergeCell ref="U26:V26"/>
    <mergeCell ref="W26:X26"/>
    <mergeCell ref="Q31:R31"/>
    <mergeCell ref="U31:V31"/>
    <mergeCell ref="W31:X31"/>
    <mergeCell ref="I32:K32"/>
    <mergeCell ref="V27:V28"/>
    <mergeCell ref="W27:W28"/>
    <mergeCell ref="X27:X28"/>
    <mergeCell ref="I28:K28"/>
    <mergeCell ref="I29:K29"/>
    <mergeCell ref="U16:X16"/>
    <mergeCell ref="D17:F17"/>
    <mergeCell ref="G17:H17"/>
    <mergeCell ref="I17:K19"/>
    <mergeCell ref="L17:L18"/>
    <mergeCell ref="O17:R17"/>
    <mergeCell ref="U17:X17"/>
    <mergeCell ref="O18:P18"/>
    <mergeCell ref="Q18:R18"/>
    <mergeCell ref="U18:V18"/>
    <mergeCell ref="W18:X18"/>
    <mergeCell ref="D6:J6"/>
    <mergeCell ref="F8:H9"/>
    <mergeCell ref="I8:J9"/>
    <mergeCell ref="B10:C10"/>
    <mergeCell ref="F10:H10"/>
    <mergeCell ref="I10:J10"/>
    <mergeCell ref="D13:J13"/>
    <mergeCell ref="D14:J14"/>
    <mergeCell ref="O16:R16"/>
  </mergeCells>
  <conditionalFormatting sqref="H17697">
    <cfRule type="expression" dxfId="16" priority="17">
      <formula>$H$197&lt;&gt;""</formula>
    </cfRule>
  </conditionalFormatting>
  <conditionalFormatting sqref="H198 L64:L121">
    <cfRule type="expression" dxfId="15" priority="16">
      <formula>H64&lt;&gt;""</formula>
    </cfRule>
  </conditionalFormatting>
  <conditionalFormatting sqref="H197">
    <cfRule type="expression" dxfId="14" priority="15">
      <formula>H197&lt;&gt;""</formula>
    </cfRule>
  </conditionalFormatting>
  <conditionalFormatting sqref="L171:L185">
    <cfRule type="expression" dxfId="13" priority="14">
      <formula>L171&lt;&gt;""</formula>
    </cfRule>
  </conditionalFormatting>
  <conditionalFormatting sqref="L19:L47">
    <cfRule type="expression" dxfId="12" priority="13">
      <formula>L19&lt;&gt;""</formula>
    </cfRule>
  </conditionalFormatting>
  <conditionalFormatting sqref="L164">
    <cfRule type="expression" dxfId="11" priority="12">
      <formula>L164&lt;&gt;""</formula>
    </cfRule>
  </conditionalFormatting>
  <conditionalFormatting sqref="I191">
    <cfRule type="expression" dxfId="10" priority="10">
      <formula>I191&lt;&gt;""</formula>
    </cfRule>
  </conditionalFormatting>
  <conditionalFormatting sqref="M127:M136">
    <cfRule type="expression" dxfId="9" priority="11">
      <formula>M127&lt;&gt;""</formula>
    </cfRule>
  </conditionalFormatting>
  <conditionalFormatting sqref="I10">
    <cfRule type="expression" dxfId="8" priority="9">
      <formula>I10&lt;&gt;""</formula>
    </cfRule>
  </conditionalFormatting>
  <conditionalFormatting sqref="Z68:Z72">
    <cfRule type="expression" dxfId="7" priority="8">
      <formula>Z68&lt;&gt;""</formula>
    </cfRule>
  </conditionalFormatting>
  <conditionalFormatting sqref="L53">
    <cfRule type="expression" dxfId="6" priority="7">
      <formula>L53&lt;&gt;""</formula>
    </cfRule>
  </conditionalFormatting>
  <conditionalFormatting sqref="Z74">
    <cfRule type="expression" dxfId="5" priority="6">
      <formula>Z74&lt;&gt;""</formula>
    </cfRule>
  </conditionalFormatting>
  <conditionalFormatting sqref="Z73">
    <cfRule type="expression" dxfId="4" priority="5">
      <formula>Z73&lt;&gt;""</formula>
    </cfRule>
  </conditionalFormatting>
  <conditionalFormatting sqref="L122">
    <cfRule type="expression" dxfId="3" priority="4">
      <formula>L122&lt;&gt;""</formula>
    </cfRule>
  </conditionalFormatting>
  <conditionalFormatting sqref="Z90:Z94">
    <cfRule type="expression" dxfId="2" priority="3">
      <formula>Z90&lt;&gt;""</formula>
    </cfRule>
  </conditionalFormatting>
  <conditionalFormatting sqref="Z96">
    <cfRule type="expression" dxfId="1" priority="2">
      <formula>Z96&lt;&gt;""</formula>
    </cfRule>
  </conditionalFormatting>
  <conditionalFormatting sqref="Z95">
    <cfRule type="expression" dxfId="0" priority="1">
      <formula>Z95&lt;&gt;""</formula>
    </cfRule>
  </conditionalFormatting>
  <dataValidations count="6">
    <dataValidation allowBlank="1" sqref="G50:G52 H50 D108:E108 G17:G19 N189:V189 I189 K190:V194 J50 E184 I50:I51 E50:F50 I17 E18:E19 R19 I139:I140 F191:F192 D187:J187 B169:E170 B186:E186 G188:J188 I142:I146 J139 C9:E9 F170:F186 W18 O13:R14 P15:R15 P20:R23 E138:J138 B86:B87 D123:D127 E49:J49 D86:E86 E139:H139 G184 G169:G170 G181:G182 B187:B190 C190:D190 K48:K50 J48 H170 G48 D49:D52 D54:D64 I53:I54 J54 H52:H54 K186:V188 G186:J186 C187:C188 D188:E188 F10 C192:D195 E190:E192 G192:J192 G194:J194 E193:J193 B171:B185 D137 E13:K16 H171:I185 E181:E182 X122:Y122 J124:K124 A147:K148 I62 E55:J60 K54:K60 E61:K61 Q68:Q73 B123:C137 I169 H164:I164 U19:X59 B108:B109 B64:B65 P25:R59 E54:G54 E52:F53 D42:E48 S68:S73 O65:U65 T67:T74 X65:Y65 X64 C64:C122 H18:H48 C20:C61 F18:F48 L19:L51 Y89:Y121 J123:XFD123 F140:G146 E194:F195 L53:L62 B122 I128:I137 K137:K139 G137:H137 J137 F188:F189 G195 E196:E198 M127:M155 M169:V185 L169 G152:G155 E149:J149 K149:K155 E150:I151 J150:J155 B156:XFD156 E140:E141 I191 K195:K198 E126:F137 I195:J195 A166:XFD168 L164:L165 F157:K161 C163:D163 B157:E162 B163:B164 B165:K165 I162 G163:H163 E163:F164 M157:XFD165 L157:L162 I199:L199 D154:D155 G123:H124 L124:L155 N124:XFD155 M124:M125 L171:L185 D199:G199 C197:C199 H195:H199 I8 I10 K8:K10 H140:H145 B8:F8 E63:E85 E87:E107 M195:V199 L195 Z64 B1:AD7 N8:AD10 W169:XFD199 C11:AD12 AE200:XFD206 B192:B199 A169:A199 A207:XFD1048576 B138:D146 A156:A165 P19 Q18:Q19 O68:O75 X68:X86 I20:I32 I36:I48 A149:C155 D149:D152 O79:W85 S90:S95 Q90:Q95 U90:U95 O87:U87 T89:T96 X87:Y87 U96:W96 O86 R74:S74 X90:X121 O64 O15:O59 Y67:Y85 U68:U74 O90:O97 R96:S96 B36:B62 I64:I125 E109:E124 O101:W122 Z68:Z86 L64:L122 F63:F124 A1:A146 AA13:AD122 M13:N122 AE1:XFD122 D13:D19 B9:B20 Y13:Z59 S13:T59 L13:L17 V13:X15 U13:U18 C13:C18 Z90:Z122"/>
    <dataValidation allowBlank="1" showInputMessage="1" sqref="L196:L198"/>
    <dataValidation type="decimal" operator="greaterThan" allowBlank="1" showInputMessage="1" showErrorMessage="1" error="Must be a positive number" sqref="D10:E10">
      <formula1>0</formula1>
    </dataValidation>
    <dataValidation type="list" allowBlank="1" showInputMessage="1" showErrorMessage="1" errorTitle="Invalid data" error="Please enter &quot;Scope 1&quot;, &quot;Scope 2&quot; or &quot;Scope 3&quot;." promptTitle="Reporting scope" prompt="Please enter the reporting scope of the data in this row." sqref="I33:I35">
      <formula1>"Scope 1,Scope 2,Scope 3"</formula1>
    </dataValidation>
    <dataValidation type="list" allowBlank="1" showErrorMessage="1" errorTitle="Invalid input" error="Please enter &quot;yes&quot; or &quot;no&quot;." sqref="D153:F153">
      <formula1>"yes,no"</formula1>
    </dataValidation>
    <dataValidation type="decimal" operator="greaterThan" allowBlank="1" showInputMessage="1" showErrorMessage="1" errorTitle="Invalid input" error="Must be a positive number" sqref="E154:F154">
      <formula1>0</formula1>
    </dataValidation>
  </dataValidations>
  <hyperlinks>
    <hyperlink ref="C42:C47" location="CHP!A1" display="CHP1 Electricity"/>
    <hyperlink ref="B60" location="'conversion factors'!A1" display="If you need to convert from miles to km, go to the Conversions tab or click here"/>
    <hyperlink ref="C42" location="CHP!T4" display="CHP1 Electricity"/>
    <hyperlink ref="C43" location="CHP!T4" display="CHP1 Heat"/>
    <hyperlink ref="C44" location="CHP!T31" display="CHP2 Electricity"/>
    <hyperlink ref="C45" location="CHP!T31" display="CHP2 Heat"/>
    <hyperlink ref="C46" location="CHP!T58" display="CHP3 Electricity"/>
    <hyperlink ref="C47" location="CHP!T58" display="CHP3 Heat"/>
  </hyperlink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5" tint="0.59999389629810485"/>
  </sheetPr>
  <dimension ref="A1:K3904"/>
  <sheetViews>
    <sheetView workbookViewId="0"/>
  </sheetViews>
  <sheetFormatPr defaultColWidth="9.109375" defaultRowHeight="13.8" x14ac:dyDescent="0.3"/>
  <cols>
    <col min="1" max="1" width="16.33203125" style="587" customWidth="1"/>
    <col min="2" max="2" width="39.109375" style="587" customWidth="1"/>
    <col min="3" max="3" width="9.6640625" style="587" bestFit="1" customWidth="1"/>
    <col min="4" max="4" width="9.6640625" style="587" customWidth="1"/>
    <col min="5" max="5" width="11.21875" style="587" customWidth="1"/>
    <col min="6" max="6" width="7.6640625" style="587" customWidth="1"/>
    <col min="7" max="7" width="9.77734375" style="599" customWidth="1"/>
    <col min="8" max="8" width="12" style="587" customWidth="1"/>
    <col min="9" max="9" width="9.6640625" style="587" customWidth="1"/>
    <col min="10" max="10" width="55.6640625" style="587" customWidth="1"/>
    <col min="11" max="16384" width="9.109375" style="587"/>
  </cols>
  <sheetData>
    <row r="1" spans="1:11" s="362" customFormat="1" x14ac:dyDescent="0.3">
      <c r="A1" s="50"/>
      <c r="B1" s="50"/>
      <c r="C1" s="50"/>
      <c r="D1" s="50"/>
      <c r="E1" s="50"/>
      <c r="F1" s="50"/>
      <c r="G1" s="297"/>
      <c r="H1" s="50"/>
      <c r="I1" s="298" t="s">
        <v>0</v>
      </c>
      <c r="J1" s="50"/>
      <c r="K1" s="50"/>
    </row>
    <row r="2" spans="1:11" s="362" customFormat="1" ht="21" x14ac:dyDescent="0.4">
      <c r="A2" s="299" t="s">
        <v>1</v>
      </c>
      <c r="B2" s="50"/>
      <c r="C2" s="50"/>
      <c r="D2" s="50"/>
      <c r="E2" s="50"/>
      <c r="F2" s="50"/>
      <c r="G2" s="50"/>
      <c r="H2" s="50"/>
      <c r="I2" s="298"/>
      <c r="J2" s="299"/>
      <c r="K2" s="50"/>
    </row>
    <row r="3" spans="1:11" s="362" customFormat="1" x14ac:dyDescent="0.3">
      <c r="A3" s="300"/>
      <c r="B3" s="300"/>
      <c r="C3" s="300"/>
      <c r="D3" s="300"/>
      <c r="E3" s="300"/>
      <c r="F3" s="300"/>
      <c r="G3" s="301"/>
      <c r="H3" s="301"/>
      <c r="I3" s="301"/>
      <c r="J3" s="301"/>
      <c r="K3" s="50"/>
    </row>
    <row r="4" spans="1:11" s="362" customFormat="1" x14ac:dyDescent="0.3">
      <c r="A4" s="50" t="s">
        <v>2</v>
      </c>
      <c r="B4" s="50"/>
      <c r="C4" s="50"/>
      <c r="D4" s="50"/>
      <c r="E4" s="50"/>
      <c r="F4" s="50"/>
      <c r="G4" s="297"/>
      <c r="H4" s="50"/>
      <c r="I4" s="50"/>
      <c r="J4" s="50"/>
      <c r="K4" s="50"/>
    </row>
    <row r="5" spans="1:11" s="362" customFormat="1" x14ac:dyDescent="0.3">
      <c r="A5" s="50" t="s">
        <v>3</v>
      </c>
      <c r="B5" s="50"/>
      <c r="C5" s="50"/>
      <c r="D5" s="50"/>
      <c r="E5" s="50"/>
      <c r="F5" s="50"/>
      <c r="G5" s="297"/>
      <c r="H5" s="50"/>
      <c r="I5" s="50"/>
      <c r="J5" s="50"/>
      <c r="K5" s="50"/>
    </row>
    <row r="6" spans="1:11" s="362" customFormat="1" x14ac:dyDescent="0.3">
      <c r="A6" s="50" t="s">
        <v>4</v>
      </c>
      <c r="B6" s="50"/>
      <c r="C6" s="50"/>
      <c r="D6" s="50"/>
      <c r="E6" s="50"/>
      <c r="F6" s="50"/>
      <c r="G6" s="297"/>
      <c r="H6" s="50"/>
      <c r="I6" s="50"/>
      <c r="J6" s="50"/>
      <c r="K6" s="50"/>
    </row>
    <row r="7" spans="1:11" s="362" customFormat="1" ht="15" customHeight="1" x14ac:dyDescent="0.3">
      <c r="A7" s="50" t="s">
        <v>5</v>
      </c>
      <c r="B7" s="113"/>
      <c r="C7" s="113"/>
      <c r="D7" s="113"/>
      <c r="E7" s="113"/>
      <c r="F7" s="113"/>
      <c r="G7" s="113"/>
      <c r="H7" s="50"/>
      <c r="I7" s="50"/>
      <c r="J7" s="50"/>
      <c r="K7" s="50"/>
    </row>
    <row r="8" spans="1:11" s="362" customFormat="1" ht="14.25" customHeight="1" x14ac:dyDescent="0.3">
      <c r="A8" s="113" t="s">
        <v>6</v>
      </c>
      <c r="B8" s="113"/>
      <c r="C8" s="113"/>
      <c r="D8" s="113"/>
      <c r="E8" s="113"/>
      <c r="F8" s="113"/>
      <c r="G8" s="113"/>
      <c r="H8" s="50"/>
      <c r="I8" s="50"/>
      <c r="J8" s="50"/>
      <c r="K8" s="50"/>
    </row>
    <row r="9" spans="1:11" ht="14.4" thickBot="1" x14ac:dyDescent="0.35">
      <c r="A9" s="302"/>
      <c r="B9" s="302"/>
      <c r="C9" s="302"/>
      <c r="D9" s="302"/>
      <c r="E9" s="302"/>
      <c r="F9" s="302"/>
      <c r="G9" s="303"/>
      <c r="H9" s="302"/>
      <c r="I9" s="302"/>
      <c r="J9" s="302"/>
      <c r="K9" s="302"/>
    </row>
    <row r="10" spans="1:11" ht="30.75" customHeight="1" thickBot="1" x14ac:dyDescent="0.35">
      <c r="A10" s="2627" t="s">
        <v>7</v>
      </c>
      <c r="B10" s="2627" t="s">
        <v>8</v>
      </c>
      <c r="C10" s="2627" t="s">
        <v>9</v>
      </c>
      <c r="D10" s="2630" t="s">
        <v>10</v>
      </c>
      <c r="E10" s="2631"/>
      <c r="F10" s="2632"/>
      <c r="G10" s="2630" t="s">
        <v>266</v>
      </c>
      <c r="H10" s="2631"/>
      <c r="I10" s="2623" t="s">
        <v>12</v>
      </c>
      <c r="J10" s="2625" t="s">
        <v>13</v>
      </c>
      <c r="K10" s="302"/>
    </row>
    <row r="11" spans="1:11" ht="28.2" thickBot="1" x14ac:dyDescent="0.35">
      <c r="A11" s="2628"/>
      <c r="B11" s="2629"/>
      <c r="C11" s="2629"/>
      <c r="D11" s="304" t="s">
        <v>14</v>
      </c>
      <c r="E11" s="305" t="s">
        <v>15</v>
      </c>
      <c r="F11" s="306" t="s">
        <v>16</v>
      </c>
      <c r="G11" s="305" t="s">
        <v>17</v>
      </c>
      <c r="H11" s="307" t="s">
        <v>16</v>
      </c>
      <c r="I11" s="2624"/>
      <c r="J11" s="2626"/>
      <c r="K11" s="302"/>
    </row>
    <row r="12" spans="1:11" x14ac:dyDescent="0.3">
      <c r="A12" s="1"/>
      <c r="B12" s="2"/>
      <c r="C12" s="3"/>
      <c r="D12" s="4"/>
      <c r="E12" s="5"/>
      <c r="F12" s="6"/>
      <c r="G12" s="5"/>
      <c r="H12" s="7"/>
      <c r="I12" s="3"/>
      <c r="J12" s="8"/>
      <c r="K12" s="302"/>
    </row>
    <row r="13" spans="1:11" x14ac:dyDescent="0.3">
      <c r="A13" s="9"/>
      <c r="B13" s="10"/>
      <c r="C13" s="9"/>
      <c r="D13" s="11"/>
      <c r="E13" s="12"/>
      <c r="F13" s="13"/>
      <c r="G13" s="12"/>
      <c r="H13" s="14"/>
      <c r="I13" s="9"/>
      <c r="J13" s="15"/>
      <c r="K13" s="302"/>
    </row>
    <row r="14" spans="1:11" x14ac:dyDescent="0.3">
      <c r="A14" s="9"/>
      <c r="B14" s="10"/>
      <c r="C14" s="9"/>
      <c r="D14" s="11"/>
      <c r="E14" s="12"/>
      <c r="F14" s="13"/>
      <c r="G14" s="12"/>
      <c r="H14" s="14"/>
      <c r="I14" s="9"/>
      <c r="J14" s="15"/>
      <c r="K14" s="302"/>
    </row>
    <row r="15" spans="1:11" x14ac:dyDescent="0.3">
      <c r="A15" s="9"/>
      <c r="B15" s="10"/>
      <c r="C15" s="9"/>
      <c r="D15" s="11"/>
      <c r="E15" s="12"/>
      <c r="F15" s="13"/>
      <c r="G15" s="12"/>
      <c r="H15" s="14"/>
      <c r="I15" s="9"/>
      <c r="J15" s="15"/>
      <c r="K15" s="302"/>
    </row>
    <row r="16" spans="1:11" x14ac:dyDescent="0.3">
      <c r="A16" s="9"/>
      <c r="B16" s="10"/>
      <c r="C16" s="9"/>
      <c r="D16" s="11"/>
      <c r="E16" s="12"/>
      <c r="F16" s="13"/>
      <c r="G16" s="12"/>
      <c r="H16" s="14"/>
      <c r="I16" s="9"/>
      <c r="J16" s="15"/>
      <c r="K16" s="302"/>
    </row>
    <row r="17" spans="1:11" x14ac:dyDescent="0.3">
      <c r="A17" s="9"/>
      <c r="B17" s="10"/>
      <c r="C17" s="9"/>
      <c r="D17" s="11"/>
      <c r="E17" s="12"/>
      <c r="F17" s="13"/>
      <c r="G17" s="12"/>
      <c r="H17" s="14"/>
      <c r="I17" s="9"/>
      <c r="J17" s="15"/>
      <c r="K17" s="302"/>
    </row>
    <row r="18" spans="1:11" x14ac:dyDescent="0.3">
      <c r="A18" s="9"/>
      <c r="B18" s="10"/>
      <c r="C18" s="9"/>
      <c r="D18" s="11"/>
      <c r="E18" s="12"/>
      <c r="F18" s="13"/>
      <c r="G18" s="12"/>
      <c r="H18" s="14"/>
      <c r="I18" s="9"/>
      <c r="J18" s="15"/>
      <c r="K18" s="302"/>
    </row>
    <row r="19" spans="1:11" x14ac:dyDescent="0.3">
      <c r="A19" s="9"/>
      <c r="B19" s="10"/>
      <c r="C19" s="9"/>
      <c r="D19" s="11"/>
      <c r="E19" s="12"/>
      <c r="F19" s="13"/>
      <c r="G19" s="12"/>
      <c r="H19" s="14"/>
      <c r="I19" s="9"/>
      <c r="J19" s="15"/>
      <c r="K19" s="302"/>
    </row>
    <row r="20" spans="1:11" x14ac:dyDescent="0.3">
      <c r="A20" s="9"/>
      <c r="B20" s="10"/>
      <c r="C20" s="9"/>
      <c r="D20" s="11"/>
      <c r="E20" s="12"/>
      <c r="F20" s="13"/>
      <c r="G20" s="12"/>
      <c r="H20" s="14"/>
      <c r="I20" s="9"/>
      <c r="J20" s="15"/>
      <c r="K20" s="302"/>
    </row>
    <row r="21" spans="1:11" x14ac:dyDescent="0.3">
      <c r="A21" s="9"/>
      <c r="B21" s="10"/>
      <c r="C21" s="9"/>
      <c r="D21" s="11"/>
      <c r="E21" s="12"/>
      <c r="F21" s="13"/>
      <c r="G21" s="12"/>
      <c r="H21" s="14"/>
      <c r="I21" s="9"/>
      <c r="J21" s="15"/>
      <c r="K21" s="302"/>
    </row>
    <row r="22" spans="1:11" x14ac:dyDescent="0.3">
      <c r="A22" s="16"/>
      <c r="B22" s="17"/>
      <c r="C22" s="16"/>
      <c r="D22" s="18"/>
      <c r="E22" s="19"/>
      <c r="F22" s="20"/>
      <c r="G22" s="19"/>
      <c r="H22" s="21"/>
      <c r="I22" s="9"/>
      <c r="J22" s="22"/>
      <c r="K22" s="302"/>
    </row>
    <row r="23" spans="1:11" x14ac:dyDescent="0.3">
      <c r="A23" s="9"/>
      <c r="B23" s="10"/>
      <c r="C23" s="9"/>
      <c r="D23" s="11"/>
      <c r="E23" s="12"/>
      <c r="F23" s="13"/>
      <c r="G23" s="12"/>
      <c r="H23" s="14"/>
      <c r="I23" s="9"/>
      <c r="J23" s="15"/>
      <c r="K23" s="302"/>
    </row>
    <row r="24" spans="1:11" x14ac:dyDescent="0.3">
      <c r="A24" s="9"/>
      <c r="B24" s="10"/>
      <c r="C24" s="9"/>
      <c r="D24" s="11"/>
      <c r="E24" s="12"/>
      <c r="F24" s="13"/>
      <c r="G24" s="12"/>
      <c r="H24" s="14"/>
      <c r="I24" s="9"/>
      <c r="J24" s="15"/>
      <c r="K24" s="302"/>
    </row>
    <row r="25" spans="1:11" x14ac:dyDescent="0.3">
      <c r="A25" s="9"/>
      <c r="B25" s="10"/>
      <c r="C25" s="9"/>
      <c r="D25" s="11"/>
      <c r="E25" s="12"/>
      <c r="F25" s="13"/>
      <c r="G25" s="12"/>
      <c r="H25" s="14"/>
      <c r="I25" s="9"/>
      <c r="J25" s="15"/>
      <c r="K25" s="302"/>
    </row>
    <row r="26" spans="1:11" x14ac:dyDescent="0.3">
      <c r="A26" s="9"/>
      <c r="B26" s="10"/>
      <c r="C26" s="9"/>
      <c r="D26" s="11"/>
      <c r="E26" s="12"/>
      <c r="F26" s="13"/>
      <c r="G26" s="12"/>
      <c r="H26" s="14"/>
      <c r="I26" s="9"/>
      <c r="J26" s="15"/>
      <c r="K26" s="302"/>
    </row>
    <row r="27" spans="1:11" x14ac:dyDescent="0.3">
      <c r="A27" s="9"/>
      <c r="B27" s="10"/>
      <c r="C27" s="9"/>
      <c r="D27" s="11"/>
      <c r="E27" s="12"/>
      <c r="F27" s="13"/>
      <c r="G27" s="12"/>
      <c r="H27" s="14"/>
      <c r="I27" s="9"/>
      <c r="J27" s="15"/>
      <c r="K27" s="302"/>
    </row>
    <row r="28" spans="1:11" x14ac:dyDescent="0.3">
      <c r="A28" s="9"/>
      <c r="B28" s="10"/>
      <c r="C28" s="9"/>
      <c r="D28" s="11"/>
      <c r="E28" s="12"/>
      <c r="F28" s="13"/>
      <c r="G28" s="12"/>
      <c r="H28" s="14"/>
      <c r="I28" s="9"/>
      <c r="J28" s="15"/>
      <c r="K28" s="302"/>
    </row>
    <row r="29" spans="1:11" x14ac:dyDescent="0.3">
      <c r="A29" s="9"/>
      <c r="B29" s="10"/>
      <c r="C29" s="9"/>
      <c r="D29" s="11"/>
      <c r="E29" s="12"/>
      <c r="F29" s="13"/>
      <c r="G29" s="12"/>
      <c r="H29" s="14"/>
      <c r="I29" s="9"/>
      <c r="J29" s="15"/>
      <c r="K29" s="302"/>
    </row>
    <row r="30" spans="1:11" x14ac:dyDescent="0.3">
      <c r="A30" s="9"/>
      <c r="B30" s="10"/>
      <c r="C30" s="9"/>
      <c r="D30" s="11"/>
      <c r="E30" s="12"/>
      <c r="F30" s="13"/>
      <c r="G30" s="12"/>
      <c r="H30" s="14"/>
      <c r="I30" s="9"/>
      <c r="J30" s="15"/>
      <c r="K30" s="302"/>
    </row>
    <row r="31" spans="1:11" x14ac:dyDescent="0.3">
      <c r="A31" s="9"/>
      <c r="B31" s="10"/>
      <c r="C31" s="9"/>
      <c r="D31" s="11"/>
      <c r="E31" s="12"/>
      <c r="F31" s="13"/>
      <c r="G31" s="12"/>
      <c r="H31" s="14"/>
      <c r="I31" s="9"/>
      <c r="J31" s="15"/>
      <c r="K31" s="302"/>
    </row>
    <row r="32" spans="1:11" x14ac:dyDescent="0.3">
      <c r="A32" s="9"/>
      <c r="B32" s="10"/>
      <c r="C32" s="9"/>
      <c r="D32" s="11"/>
      <c r="E32" s="12"/>
      <c r="F32" s="13"/>
      <c r="G32" s="12"/>
      <c r="H32" s="14"/>
      <c r="I32" s="9"/>
      <c r="J32" s="15"/>
      <c r="K32" s="302"/>
    </row>
    <row r="33" spans="1:11" x14ac:dyDescent="0.3">
      <c r="A33" s="9"/>
      <c r="B33" s="10"/>
      <c r="C33" s="9"/>
      <c r="D33" s="11"/>
      <c r="E33" s="12"/>
      <c r="F33" s="13"/>
      <c r="G33" s="12"/>
      <c r="H33" s="14"/>
      <c r="I33" s="9"/>
      <c r="J33" s="15"/>
      <c r="K33" s="302"/>
    </row>
    <row r="34" spans="1:11" x14ac:dyDescent="0.3">
      <c r="A34" s="9"/>
      <c r="B34" s="10"/>
      <c r="C34" s="9"/>
      <c r="D34" s="11"/>
      <c r="E34" s="12"/>
      <c r="F34" s="13"/>
      <c r="G34" s="12"/>
      <c r="H34" s="14"/>
      <c r="I34" s="9"/>
      <c r="J34" s="15"/>
      <c r="K34" s="302"/>
    </row>
    <row r="35" spans="1:11" x14ac:dyDescent="0.3">
      <c r="A35" s="9"/>
      <c r="B35" s="10"/>
      <c r="C35" s="9"/>
      <c r="D35" s="11"/>
      <c r="E35" s="12"/>
      <c r="F35" s="13"/>
      <c r="G35" s="12"/>
      <c r="H35" s="14"/>
      <c r="I35" s="9"/>
      <c r="J35" s="15"/>
      <c r="K35" s="302"/>
    </row>
    <row r="36" spans="1:11" x14ac:dyDescent="0.3">
      <c r="A36" s="9"/>
      <c r="B36" s="10"/>
      <c r="C36" s="9"/>
      <c r="D36" s="11"/>
      <c r="E36" s="12"/>
      <c r="F36" s="13"/>
      <c r="G36" s="12"/>
      <c r="H36" s="14"/>
      <c r="I36" s="9"/>
      <c r="J36" s="15"/>
      <c r="K36" s="302"/>
    </row>
    <row r="37" spans="1:11" x14ac:dyDescent="0.3">
      <c r="A37" s="9"/>
      <c r="B37" s="10"/>
      <c r="C37" s="9"/>
      <c r="D37" s="11"/>
      <c r="E37" s="12"/>
      <c r="F37" s="13"/>
      <c r="G37" s="12"/>
      <c r="H37" s="14"/>
      <c r="I37" s="9"/>
      <c r="J37" s="15"/>
      <c r="K37" s="302"/>
    </row>
    <row r="38" spans="1:11" x14ac:dyDescent="0.3">
      <c r="A38" s="9"/>
      <c r="B38" s="10"/>
      <c r="C38" s="9"/>
      <c r="D38" s="11"/>
      <c r="E38" s="12"/>
      <c r="F38" s="13"/>
      <c r="G38" s="12"/>
      <c r="H38" s="14"/>
      <c r="I38" s="9"/>
      <c r="J38" s="15"/>
      <c r="K38" s="302"/>
    </row>
    <row r="39" spans="1:11" x14ac:dyDescent="0.3">
      <c r="A39" s="9"/>
      <c r="B39" s="10"/>
      <c r="C39" s="9"/>
      <c r="D39" s="11"/>
      <c r="E39" s="12"/>
      <c r="F39" s="13"/>
      <c r="G39" s="12"/>
      <c r="H39" s="14"/>
      <c r="I39" s="9"/>
      <c r="J39" s="15"/>
      <c r="K39" s="302"/>
    </row>
    <row r="40" spans="1:11" x14ac:dyDescent="0.3">
      <c r="A40" s="9"/>
      <c r="B40" s="10"/>
      <c r="C40" s="9"/>
      <c r="D40" s="11"/>
      <c r="E40" s="12"/>
      <c r="F40" s="13"/>
      <c r="G40" s="12"/>
      <c r="H40" s="14"/>
      <c r="I40" s="9"/>
      <c r="J40" s="15"/>
      <c r="K40" s="302"/>
    </row>
    <row r="41" spans="1:11" x14ac:dyDescent="0.3">
      <c r="A41" s="9"/>
      <c r="B41" s="10"/>
      <c r="C41" s="9"/>
      <c r="D41" s="11"/>
      <c r="E41" s="12"/>
      <c r="F41" s="13"/>
      <c r="G41" s="12"/>
      <c r="H41" s="14"/>
      <c r="I41" s="9"/>
      <c r="J41" s="15"/>
      <c r="K41" s="302"/>
    </row>
    <row r="42" spans="1:11" x14ac:dyDescent="0.3">
      <c r="A42" s="9"/>
      <c r="B42" s="10"/>
      <c r="C42" s="9"/>
      <c r="D42" s="11"/>
      <c r="E42" s="12"/>
      <c r="F42" s="13"/>
      <c r="G42" s="12"/>
      <c r="H42" s="14"/>
      <c r="I42" s="9"/>
      <c r="J42" s="15"/>
      <c r="K42" s="302"/>
    </row>
    <row r="43" spans="1:11" x14ac:dyDescent="0.3">
      <c r="A43" s="9"/>
      <c r="B43" s="10"/>
      <c r="C43" s="9"/>
      <c r="D43" s="11"/>
      <c r="E43" s="12"/>
      <c r="F43" s="13"/>
      <c r="G43" s="12"/>
      <c r="H43" s="14"/>
      <c r="I43" s="9"/>
      <c r="J43" s="15"/>
      <c r="K43" s="302"/>
    </row>
    <row r="44" spans="1:11" x14ac:dyDescent="0.3">
      <c r="A44" s="9"/>
      <c r="B44" s="10"/>
      <c r="C44" s="9"/>
      <c r="D44" s="11"/>
      <c r="E44" s="12"/>
      <c r="F44" s="13"/>
      <c r="G44" s="12"/>
      <c r="H44" s="14"/>
      <c r="I44" s="9"/>
      <c r="J44" s="15"/>
      <c r="K44" s="302"/>
    </row>
    <row r="45" spans="1:11" x14ac:dyDescent="0.3">
      <c r="A45" s="9"/>
      <c r="B45" s="10"/>
      <c r="C45" s="9"/>
      <c r="D45" s="11"/>
      <c r="E45" s="12"/>
      <c r="F45" s="13"/>
      <c r="G45" s="12"/>
      <c r="H45" s="14"/>
      <c r="I45" s="9"/>
      <c r="J45" s="15"/>
      <c r="K45" s="302"/>
    </row>
    <row r="46" spans="1:11" x14ac:dyDescent="0.3">
      <c r="A46" s="9"/>
      <c r="B46" s="10"/>
      <c r="C46" s="9"/>
      <c r="D46" s="11"/>
      <c r="E46" s="12"/>
      <c r="F46" s="13"/>
      <c r="G46" s="12"/>
      <c r="H46" s="14"/>
      <c r="I46" s="9"/>
      <c r="J46" s="15"/>
      <c r="K46" s="302"/>
    </row>
    <row r="47" spans="1:11" x14ac:dyDescent="0.3">
      <c r="A47" s="9"/>
      <c r="B47" s="10"/>
      <c r="C47" s="9"/>
      <c r="D47" s="11"/>
      <c r="E47" s="12"/>
      <c r="F47" s="13"/>
      <c r="G47" s="12"/>
      <c r="H47" s="14"/>
      <c r="I47" s="9"/>
      <c r="J47" s="15"/>
      <c r="K47" s="302"/>
    </row>
    <row r="48" spans="1:11" x14ac:dyDescent="0.3">
      <c r="A48" s="9"/>
      <c r="B48" s="10"/>
      <c r="C48" s="9"/>
      <c r="D48" s="11"/>
      <c r="E48" s="12"/>
      <c r="F48" s="13"/>
      <c r="G48" s="12"/>
      <c r="H48" s="14"/>
      <c r="I48" s="9"/>
      <c r="J48" s="15"/>
      <c r="K48" s="302"/>
    </row>
    <row r="49" spans="1:11" x14ac:dyDescent="0.3">
      <c r="A49" s="9"/>
      <c r="B49" s="10"/>
      <c r="C49" s="9"/>
      <c r="D49" s="11"/>
      <c r="E49" s="12"/>
      <c r="F49" s="13"/>
      <c r="G49" s="12"/>
      <c r="H49" s="14"/>
      <c r="I49" s="9"/>
      <c r="J49" s="15"/>
      <c r="K49" s="302"/>
    </row>
    <row r="50" spans="1:11" x14ac:dyDescent="0.3">
      <c r="A50" s="9"/>
      <c r="B50" s="10"/>
      <c r="C50" s="9"/>
      <c r="D50" s="11"/>
      <c r="E50" s="12"/>
      <c r="F50" s="13"/>
      <c r="G50" s="12"/>
      <c r="H50" s="14"/>
      <c r="I50" s="9"/>
      <c r="J50" s="15"/>
      <c r="K50" s="302"/>
    </row>
    <row r="51" spans="1:11" x14ac:dyDescent="0.3">
      <c r="A51" s="9"/>
      <c r="B51" s="10"/>
      <c r="C51" s="9"/>
      <c r="D51" s="11"/>
      <c r="E51" s="12"/>
      <c r="F51" s="13"/>
      <c r="G51" s="12"/>
      <c r="H51" s="14"/>
      <c r="I51" s="9"/>
      <c r="J51" s="15"/>
      <c r="K51" s="302"/>
    </row>
    <row r="52" spans="1:11" x14ac:dyDescent="0.3">
      <c r="A52" s="9"/>
      <c r="B52" s="10"/>
      <c r="C52" s="9"/>
      <c r="D52" s="11"/>
      <c r="E52" s="12"/>
      <c r="F52" s="13"/>
      <c r="G52" s="12"/>
      <c r="H52" s="14"/>
      <c r="I52" s="9"/>
      <c r="J52" s="15"/>
      <c r="K52" s="302"/>
    </row>
    <row r="53" spans="1:11" x14ac:dyDescent="0.3">
      <c r="A53" s="9"/>
      <c r="B53" s="10"/>
      <c r="C53" s="9"/>
      <c r="D53" s="11"/>
      <c r="E53" s="12"/>
      <c r="F53" s="13"/>
      <c r="G53" s="12"/>
      <c r="H53" s="14"/>
      <c r="I53" s="9"/>
      <c r="J53" s="15"/>
      <c r="K53" s="302"/>
    </row>
    <row r="54" spans="1:11" x14ac:dyDescent="0.3">
      <c r="A54" s="9"/>
      <c r="B54" s="10"/>
      <c r="C54" s="9"/>
      <c r="D54" s="11"/>
      <c r="E54" s="12"/>
      <c r="F54" s="13"/>
      <c r="G54" s="12"/>
      <c r="H54" s="14"/>
      <c r="I54" s="9"/>
      <c r="J54" s="15"/>
      <c r="K54" s="302"/>
    </row>
    <row r="55" spans="1:11" ht="14.4" thickBot="1" x14ac:dyDescent="0.35">
      <c r="A55" s="23"/>
      <c r="B55" s="24"/>
      <c r="C55" s="23"/>
      <c r="D55" s="25"/>
      <c r="E55" s="26"/>
      <c r="F55" s="27"/>
      <c r="G55" s="26"/>
      <c r="H55" s="28"/>
      <c r="I55" s="23"/>
      <c r="J55" s="29"/>
      <c r="K55" s="302"/>
    </row>
    <row r="56" spans="1:11" x14ac:dyDescent="0.3">
      <c r="A56" s="309"/>
      <c r="B56" s="309"/>
      <c r="C56" s="309"/>
      <c r="D56" s="309"/>
      <c r="E56" s="309"/>
      <c r="F56" s="309"/>
      <c r="G56" s="309"/>
      <c r="H56" s="309"/>
      <c r="I56" s="309"/>
      <c r="J56" s="310"/>
      <c r="K56" s="302"/>
    </row>
    <row r="57" spans="1:11" x14ac:dyDescent="0.3">
      <c r="A57" s="311" t="s">
        <v>19</v>
      </c>
      <c r="B57" s="309"/>
      <c r="C57" s="309"/>
      <c r="D57" s="309"/>
      <c r="E57" s="309"/>
      <c r="F57" s="309"/>
      <c r="G57" s="309"/>
      <c r="H57" s="309"/>
      <c r="I57" s="309"/>
      <c r="J57" s="310"/>
      <c r="K57" s="302"/>
    </row>
    <row r="58" spans="1:11" x14ac:dyDescent="0.3">
      <c r="A58" s="309"/>
      <c r="B58" s="309"/>
      <c r="C58" s="309"/>
      <c r="D58" s="309"/>
      <c r="E58" s="309"/>
      <c r="F58" s="309"/>
      <c r="G58" s="309"/>
      <c r="H58" s="310"/>
      <c r="I58" s="309"/>
      <c r="J58" s="309"/>
      <c r="K58" s="302"/>
    </row>
    <row r="59" spans="1:11" x14ac:dyDescent="0.3">
      <c r="A59" s="309"/>
      <c r="B59" s="309"/>
      <c r="C59" s="309"/>
      <c r="D59" s="309"/>
      <c r="E59" s="309"/>
      <c r="F59" s="309"/>
      <c r="G59" s="310"/>
      <c r="H59" s="309"/>
      <c r="I59" s="309"/>
      <c r="J59" s="309"/>
      <c r="K59" s="302"/>
    </row>
    <row r="60" spans="1:11" x14ac:dyDescent="0.3">
      <c r="A60" s="309"/>
      <c r="B60" s="309"/>
      <c r="C60" s="309"/>
      <c r="D60" s="309"/>
      <c r="E60" s="309"/>
      <c r="F60" s="309"/>
      <c r="G60" s="310"/>
      <c r="H60" s="309"/>
      <c r="I60" s="309"/>
      <c r="J60" s="309"/>
      <c r="K60" s="302"/>
    </row>
    <row r="61" spans="1:11" x14ac:dyDescent="0.3">
      <c r="A61" s="309"/>
      <c r="B61" s="309"/>
      <c r="C61" s="309"/>
      <c r="D61" s="309"/>
      <c r="E61" s="309"/>
      <c r="F61" s="309"/>
      <c r="G61" s="310"/>
      <c r="H61" s="309"/>
      <c r="I61" s="309"/>
      <c r="J61" s="309"/>
      <c r="K61" s="302"/>
    </row>
    <row r="62" spans="1:11" x14ac:dyDescent="0.3">
      <c r="A62" s="309"/>
      <c r="B62" s="309"/>
      <c r="C62" s="309"/>
      <c r="D62" s="309"/>
      <c r="E62" s="309"/>
      <c r="F62" s="309"/>
      <c r="G62" s="310"/>
      <c r="H62" s="309"/>
      <c r="I62" s="309"/>
      <c r="J62" s="309"/>
      <c r="K62" s="302"/>
    </row>
    <row r="63" spans="1:11" x14ac:dyDescent="0.3">
      <c r="A63" s="309"/>
      <c r="B63" s="309"/>
      <c r="C63" s="309"/>
      <c r="D63" s="309"/>
      <c r="E63" s="309"/>
      <c r="F63" s="309"/>
      <c r="G63" s="310"/>
      <c r="H63" s="309"/>
      <c r="I63" s="309"/>
      <c r="J63" s="309"/>
      <c r="K63" s="302"/>
    </row>
    <row r="64" spans="1:11" x14ac:dyDescent="0.3">
      <c r="A64" s="309"/>
      <c r="B64" s="309"/>
      <c r="C64" s="309"/>
      <c r="D64" s="309"/>
      <c r="E64" s="309"/>
      <c r="F64" s="309"/>
      <c r="G64" s="310"/>
      <c r="H64" s="309"/>
      <c r="I64" s="309"/>
      <c r="J64" s="309"/>
      <c r="K64" s="302"/>
    </row>
    <row r="65" spans="1:11" x14ac:dyDescent="0.3">
      <c r="A65" s="309"/>
      <c r="B65" s="309"/>
      <c r="C65" s="309"/>
      <c r="D65" s="309"/>
      <c r="E65" s="309"/>
      <c r="F65" s="309"/>
      <c r="G65" s="310"/>
      <c r="H65" s="309"/>
      <c r="I65" s="309"/>
      <c r="J65" s="309"/>
      <c r="K65" s="302"/>
    </row>
    <row r="66" spans="1:11" x14ac:dyDescent="0.3">
      <c r="A66" s="309"/>
      <c r="B66" s="309"/>
      <c r="C66" s="309"/>
      <c r="D66" s="309"/>
      <c r="E66" s="309"/>
      <c r="F66" s="309"/>
      <c r="G66" s="310"/>
      <c r="H66" s="309"/>
      <c r="I66" s="309"/>
      <c r="J66" s="309"/>
      <c r="K66" s="302"/>
    </row>
    <row r="67" spans="1:11" x14ac:dyDescent="0.3">
      <c r="A67" s="309"/>
      <c r="B67" s="309"/>
      <c r="C67" s="309"/>
      <c r="D67" s="309"/>
      <c r="E67" s="309"/>
      <c r="F67" s="309"/>
      <c r="G67" s="310"/>
      <c r="H67" s="309"/>
      <c r="I67" s="309"/>
      <c r="J67" s="309"/>
      <c r="K67" s="302"/>
    </row>
    <row r="68" spans="1:11" x14ac:dyDescent="0.3">
      <c r="A68" s="309"/>
      <c r="B68" s="309"/>
      <c r="C68" s="309"/>
      <c r="D68" s="309"/>
      <c r="E68" s="309"/>
      <c r="F68" s="309"/>
      <c r="G68" s="310"/>
      <c r="H68" s="309"/>
      <c r="I68" s="309"/>
      <c r="J68" s="309"/>
      <c r="K68" s="302"/>
    </row>
    <row r="69" spans="1:11" x14ac:dyDescent="0.3">
      <c r="A69" s="309"/>
      <c r="B69" s="309"/>
      <c r="C69" s="309"/>
      <c r="D69" s="309"/>
      <c r="E69" s="309"/>
      <c r="F69" s="309"/>
      <c r="G69" s="310"/>
      <c r="H69" s="309"/>
      <c r="I69" s="309"/>
      <c r="J69" s="309"/>
      <c r="K69" s="302"/>
    </row>
    <row r="70" spans="1:11" x14ac:dyDescent="0.3">
      <c r="A70" s="309"/>
      <c r="B70" s="309"/>
      <c r="C70" s="309"/>
      <c r="D70" s="309"/>
      <c r="E70" s="309"/>
      <c r="F70" s="309"/>
      <c r="G70" s="310"/>
      <c r="H70" s="309"/>
      <c r="I70" s="309"/>
      <c r="J70" s="309"/>
      <c r="K70" s="302"/>
    </row>
    <row r="71" spans="1:11" x14ac:dyDescent="0.3">
      <c r="A71" s="309"/>
      <c r="B71" s="309"/>
      <c r="C71" s="309"/>
      <c r="D71" s="309"/>
      <c r="E71" s="309"/>
      <c r="F71" s="309"/>
      <c r="G71" s="310"/>
      <c r="H71" s="309"/>
      <c r="I71" s="309"/>
      <c r="J71" s="309"/>
      <c r="K71" s="302"/>
    </row>
    <row r="72" spans="1:11" x14ac:dyDescent="0.3">
      <c r="A72" s="309"/>
      <c r="B72" s="309"/>
      <c r="C72" s="309"/>
      <c r="D72" s="309"/>
      <c r="E72" s="309"/>
      <c r="F72" s="309"/>
      <c r="G72" s="310"/>
      <c r="H72" s="309"/>
      <c r="I72" s="309"/>
      <c r="J72" s="309"/>
      <c r="K72" s="302"/>
    </row>
    <row r="73" spans="1:11" x14ac:dyDescent="0.3">
      <c r="A73" s="309"/>
      <c r="B73" s="309"/>
      <c r="C73" s="309"/>
      <c r="D73" s="309"/>
      <c r="E73" s="309"/>
      <c r="F73" s="309"/>
      <c r="G73" s="310"/>
      <c r="H73" s="309"/>
      <c r="I73" s="309"/>
      <c r="J73" s="309"/>
      <c r="K73" s="302"/>
    </row>
    <row r="74" spans="1:11" x14ac:dyDescent="0.3">
      <c r="A74" s="309"/>
      <c r="B74" s="309"/>
      <c r="C74" s="309"/>
      <c r="D74" s="309"/>
      <c r="E74" s="309"/>
      <c r="F74" s="309"/>
      <c r="G74" s="310"/>
      <c r="H74" s="309"/>
      <c r="I74" s="309"/>
      <c r="J74" s="309"/>
      <c r="K74" s="302"/>
    </row>
    <row r="75" spans="1:11" x14ac:dyDescent="0.3">
      <c r="A75" s="309"/>
      <c r="B75" s="309"/>
      <c r="C75" s="309"/>
      <c r="D75" s="309"/>
      <c r="E75" s="309"/>
      <c r="F75" s="309"/>
      <c r="G75" s="310"/>
      <c r="H75" s="309"/>
      <c r="I75" s="309"/>
      <c r="J75" s="309"/>
      <c r="K75" s="302"/>
    </row>
    <row r="76" spans="1:11" x14ac:dyDescent="0.3">
      <c r="A76" s="309"/>
      <c r="B76" s="309"/>
      <c r="C76" s="309"/>
      <c r="D76" s="309"/>
      <c r="E76" s="309"/>
      <c r="F76" s="309"/>
      <c r="G76" s="310"/>
      <c r="H76" s="309"/>
      <c r="I76" s="309"/>
      <c r="J76" s="309"/>
      <c r="K76" s="302"/>
    </row>
    <row r="77" spans="1:11" x14ac:dyDescent="0.3">
      <c r="A77" s="309"/>
      <c r="B77" s="309"/>
      <c r="C77" s="309"/>
      <c r="D77" s="309"/>
      <c r="E77" s="309"/>
      <c r="F77" s="309"/>
      <c r="G77" s="310"/>
      <c r="H77" s="309"/>
      <c r="I77" s="309"/>
      <c r="J77" s="309"/>
      <c r="K77" s="302"/>
    </row>
    <row r="78" spans="1:11" x14ac:dyDescent="0.3">
      <c r="A78" s="309"/>
      <c r="B78" s="309"/>
      <c r="C78" s="309"/>
      <c r="D78" s="309"/>
      <c r="E78" s="309"/>
      <c r="F78" s="309"/>
      <c r="G78" s="310"/>
      <c r="H78" s="309"/>
      <c r="I78" s="309"/>
      <c r="J78" s="309"/>
      <c r="K78" s="302"/>
    </row>
    <row r="79" spans="1:11" x14ac:dyDescent="0.3">
      <c r="A79" s="309"/>
      <c r="B79" s="309"/>
      <c r="C79" s="309"/>
      <c r="D79" s="309"/>
      <c r="E79" s="309"/>
      <c r="F79" s="309"/>
      <c r="G79" s="310"/>
      <c r="H79" s="309"/>
      <c r="I79" s="309"/>
      <c r="J79" s="309"/>
      <c r="K79" s="302"/>
    </row>
    <row r="80" spans="1:11" x14ac:dyDescent="0.3">
      <c r="A80" s="309"/>
      <c r="B80" s="309"/>
      <c r="C80" s="309"/>
      <c r="D80" s="309"/>
      <c r="E80" s="309"/>
      <c r="F80" s="309"/>
      <c r="G80" s="310"/>
      <c r="H80" s="309"/>
      <c r="I80" s="309"/>
      <c r="J80" s="309"/>
      <c r="K80" s="302"/>
    </row>
    <row r="81" spans="1:11" x14ac:dyDescent="0.3">
      <c r="A81" s="309"/>
      <c r="B81" s="309"/>
      <c r="C81" s="309"/>
      <c r="D81" s="309"/>
      <c r="E81" s="309"/>
      <c r="F81" s="309"/>
      <c r="G81" s="310"/>
      <c r="H81" s="309"/>
      <c r="I81" s="309"/>
      <c r="J81" s="309"/>
      <c r="K81" s="302"/>
    </row>
    <row r="82" spans="1:11" x14ac:dyDescent="0.3">
      <c r="A82" s="309"/>
      <c r="B82" s="309"/>
      <c r="C82" s="309"/>
      <c r="D82" s="309"/>
      <c r="E82" s="309"/>
      <c r="F82" s="309"/>
      <c r="G82" s="310"/>
      <c r="H82" s="309"/>
      <c r="I82" s="309"/>
      <c r="J82" s="309"/>
      <c r="K82" s="302"/>
    </row>
    <row r="83" spans="1:11" x14ac:dyDescent="0.3">
      <c r="A83" s="309"/>
      <c r="B83" s="309"/>
      <c r="C83" s="309"/>
      <c r="D83" s="309"/>
      <c r="E83" s="309"/>
      <c r="F83" s="309"/>
      <c r="G83" s="310"/>
      <c r="H83" s="309"/>
      <c r="I83" s="309"/>
      <c r="J83" s="309"/>
      <c r="K83" s="302"/>
    </row>
    <row r="84" spans="1:11" x14ac:dyDescent="0.3">
      <c r="A84" s="309"/>
      <c r="B84" s="309"/>
      <c r="C84" s="309"/>
      <c r="D84" s="309"/>
      <c r="E84" s="309"/>
      <c r="F84" s="309"/>
      <c r="G84" s="310"/>
      <c r="H84" s="309"/>
      <c r="I84" s="309"/>
      <c r="J84" s="309"/>
      <c r="K84" s="302"/>
    </row>
    <row r="85" spans="1:11" x14ac:dyDescent="0.3">
      <c r="A85" s="309"/>
      <c r="B85" s="309"/>
      <c r="C85" s="309"/>
      <c r="D85" s="309"/>
      <c r="E85" s="309"/>
      <c r="F85" s="309"/>
      <c r="G85" s="310"/>
      <c r="H85" s="309"/>
      <c r="I85" s="309"/>
      <c r="J85" s="309"/>
      <c r="K85" s="302"/>
    </row>
    <row r="86" spans="1:11" x14ac:dyDescent="0.3">
      <c r="A86" s="309"/>
      <c r="B86" s="309"/>
      <c r="C86" s="309"/>
      <c r="D86" s="309"/>
      <c r="E86" s="309"/>
      <c r="F86" s="309"/>
      <c r="G86" s="310"/>
      <c r="H86" s="309"/>
      <c r="I86" s="309"/>
      <c r="J86" s="309"/>
      <c r="K86" s="302"/>
    </row>
    <row r="87" spans="1:11" x14ac:dyDescent="0.3">
      <c r="A87" s="309"/>
      <c r="B87" s="309"/>
      <c r="C87" s="309"/>
      <c r="D87" s="309"/>
      <c r="E87" s="309"/>
      <c r="F87" s="309"/>
      <c r="G87" s="310"/>
      <c r="H87" s="309"/>
      <c r="I87" s="309"/>
      <c r="J87" s="309"/>
      <c r="K87" s="302"/>
    </row>
    <row r="88" spans="1:11" x14ac:dyDescent="0.3">
      <c r="A88" s="309"/>
      <c r="B88" s="309"/>
      <c r="C88" s="309"/>
      <c r="D88" s="309"/>
      <c r="E88" s="309"/>
      <c r="F88" s="309"/>
      <c r="G88" s="310"/>
      <c r="H88" s="309"/>
      <c r="I88" s="309"/>
      <c r="J88" s="309"/>
      <c r="K88" s="302"/>
    </row>
    <row r="89" spans="1:11" x14ac:dyDescent="0.3">
      <c r="A89" s="309"/>
      <c r="B89" s="309"/>
      <c r="C89" s="309"/>
      <c r="D89" s="309"/>
      <c r="E89" s="309"/>
      <c r="F89" s="309"/>
      <c r="G89" s="310"/>
      <c r="H89" s="309"/>
      <c r="I89" s="309"/>
      <c r="J89" s="309"/>
      <c r="K89" s="302"/>
    </row>
    <row r="90" spans="1:11" x14ac:dyDescent="0.3">
      <c r="A90" s="309"/>
      <c r="B90" s="309"/>
      <c r="C90" s="309"/>
      <c r="D90" s="309"/>
      <c r="E90" s="309"/>
      <c r="F90" s="309"/>
      <c r="G90" s="310"/>
      <c r="H90" s="309"/>
      <c r="I90" s="309"/>
      <c r="J90" s="309"/>
      <c r="K90" s="302"/>
    </row>
    <row r="91" spans="1:11" x14ac:dyDescent="0.3">
      <c r="A91" s="309"/>
      <c r="B91" s="309"/>
      <c r="C91" s="309"/>
      <c r="D91" s="309"/>
      <c r="E91" s="309"/>
      <c r="F91" s="309"/>
      <c r="G91" s="310"/>
      <c r="H91" s="309"/>
      <c r="I91" s="309"/>
      <c r="J91" s="309"/>
      <c r="K91" s="302"/>
    </row>
    <row r="92" spans="1:11" x14ac:dyDescent="0.3">
      <c r="A92" s="309"/>
      <c r="B92" s="309"/>
      <c r="C92" s="309"/>
      <c r="D92" s="309"/>
      <c r="E92" s="309"/>
      <c r="F92" s="309"/>
      <c r="G92" s="310"/>
      <c r="H92" s="309"/>
      <c r="I92" s="309"/>
      <c r="J92" s="309"/>
      <c r="K92" s="302"/>
    </row>
    <row r="93" spans="1:11" x14ac:dyDescent="0.3">
      <c r="A93" s="309"/>
      <c r="B93" s="309"/>
      <c r="C93" s="309"/>
      <c r="D93" s="309"/>
      <c r="E93" s="309"/>
      <c r="F93" s="309"/>
      <c r="G93" s="310"/>
      <c r="H93" s="309"/>
      <c r="I93" s="309"/>
      <c r="J93" s="309"/>
      <c r="K93" s="302"/>
    </row>
    <row r="94" spans="1:11" x14ac:dyDescent="0.3">
      <c r="A94" s="309"/>
      <c r="B94" s="309"/>
      <c r="C94" s="309"/>
      <c r="D94" s="309"/>
      <c r="E94" s="309"/>
      <c r="F94" s="309"/>
      <c r="G94" s="310"/>
      <c r="H94" s="309"/>
      <c r="I94" s="309"/>
      <c r="J94" s="309"/>
      <c r="K94" s="302"/>
    </row>
    <row r="95" spans="1:11" x14ac:dyDescent="0.3">
      <c r="A95" s="309"/>
      <c r="B95" s="309"/>
      <c r="C95" s="309"/>
      <c r="D95" s="309"/>
      <c r="E95" s="309"/>
      <c r="F95" s="309"/>
      <c r="G95" s="310"/>
      <c r="H95" s="309"/>
      <c r="I95" s="309"/>
      <c r="J95" s="309"/>
      <c r="K95" s="302"/>
    </row>
    <row r="96" spans="1:11" x14ac:dyDescent="0.3">
      <c r="A96" s="309"/>
      <c r="B96" s="309"/>
      <c r="C96" s="309"/>
      <c r="D96" s="309"/>
      <c r="E96" s="309"/>
      <c r="F96" s="309"/>
      <c r="G96" s="310"/>
      <c r="H96" s="309"/>
      <c r="I96" s="309"/>
      <c r="J96" s="309"/>
      <c r="K96" s="302"/>
    </row>
    <row r="97" spans="1:11" x14ac:dyDescent="0.3">
      <c r="A97" s="309"/>
      <c r="B97" s="309"/>
      <c r="C97" s="309"/>
      <c r="D97" s="309"/>
      <c r="E97" s="309"/>
      <c r="F97" s="309"/>
      <c r="G97" s="310"/>
      <c r="H97" s="309"/>
      <c r="I97" s="309"/>
      <c r="J97" s="309"/>
      <c r="K97" s="302"/>
    </row>
    <row r="98" spans="1:11" x14ac:dyDescent="0.3">
      <c r="A98" s="309"/>
      <c r="B98" s="309"/>
      <c r="C98" s="309"/>
      <c r="D98" s="309"/>
      <c r="E98" s="309"/>
      <c r="F98" s="309"/>
      <c r="G98" s="310"/>
      <c r="H98" s="309"/>
      <c r="I98" s="309"/>
      <c r="J98" s="309"/>
      <c r="K98" s="302"/>
    </row>
    <row r="99" spans="1:11" x14ac:dyDescent="0.3">
      <c r="A99" s="309"/>
      <c r="B99" s="309"/>
      <c r="C99" s="309"/>
      <c r="D99" s="309"/>
      <c r="E99" s="309"/>
      <c r="F99" s="309"/>
      <c r="G99" s="310"/>
      <c r="H99" s="309"/>
      <c r="I99" s="309"/>
      <c r="J99" s="309"/>
      <c r="K99" s="302"/>
    </row>
    <row r="100" spans="1:11" x14ac:dyDescent="0.3">
      <c r="A100" s="309"/>
      <c r="B100" s="309"/>
      <c r="C100" s="309"/>
      <c r="D100" s="309"/>
      <c r="E100" s="309"/>
      <c r="F100" s="309"/>
      <c r="G100" s="310"/>
      <c r="H100" s="309"/>
      <c r="I100" s="309"/>
      <c r="J100" s="309"/>
      <c r="K100" s="302"/>
    </row>
    <row r="101" spans="1:11" x14ac:dyDescent="0.3">
      <c r="A101" s="309"/>
      <c r="B101" s="309"/>
      <c r="C101" s="309"/>
      <c r="D101" s="309"/>
      <c r="E101" s="309"/>
      <c r="F101" s="309"/>
      <c r="G101" s="310"/>
      <c r="H101" s="309"/>
      <c r="I101" s="309"/>
      <c r="J101" s="309"/>
      <c r="K101" s="302"/>
    </row>
    <row r="102" spans="1:11" x14ac:dyDescent="0.3">
      <c r="A102" s="309"/>
      <c r="B102" s="309"/>
      <c r="C102" s="309"/>
      <c r="D102" s="309"/>
      <c r="E102" s="309"/>
      <c r="F102" s="309"/>
      <c r="G102" s="310"/>
      <c r="H102" s="309"/>
      <c r="I102" s="309"/>
      <c r="J102" s="309"/>
      <c r="K102" s="302"/>
    </row>
    <row r="103" spans="1:11" x14ac:dyDescent="0.3">
      <c r="A103" s="309"/>
      <c r="B103" s="309"/>
      <c r="C103" s="309"/>
      <c r="D103" s="309"/>
      <c r="E103" s="309"/>
      <c r="F103" s="309"/>
      <c r="G103" s="310"/>
      <c r="H103" s="309"/>
      <c r="I103" s="309"/>
      <c r="J103" s="309"/>
      <c r="K103" s="302"/>
    </row>
    <row r="104" spans="1:11" x14ac:dyDescent="0.3">
      <c r="A104" s="309"/>
      <c r="B104" s="309"/>
      <c r="C104" s="309"/>
      <c r="D104" s="309"/>
      <c r="E104" s="309"/>
      <c r="F104" s="309"/>
      <c r="G104" s="310"/>
      <c r="H104" s="309"/>
      <c r="I104" s="309"/>
      <c r="J104" s="309"/>
      <c r="K104" s="302"/>
    </row>
    <row r="105" spans="1:11" x14ac:dyDescent="0.3">
      <c r="A105" s="309"/>
      <c r="B105" s="309"/>
      <c r="C105" s="309"/>
      <c r="D105" s="309"/>
      <c r="E105" s="309"/>
      <c r="F105" s="309"/>
      <c r="G105" s="310"/>
      <c r="H105" s="309"/>
      <c r="I105" s="309"/>
      <c r="J105" s="309"/>
      <c r="K105" s="302"/>
    </row>
    <row r="106" spans="1:11" x14ac:dyDescent="0.3">
      <c r="A106" s="309"/>
      <c r="B106" s="309"/>
      <c r="C106" s="309"/>
      <c r="D106" s="309"/>
      <c r="E106" s="309"/>
      <c r="F106" s="309"/>
      <c r="G106" s="310"/>
      <c r="H106" s="309"/>
      <c r="I106" s="309"/>
      <c r="J106" s="309"/>
      <c r="K106" s="302"/>
    </row>
    <row r="107" spans="1:11" x14ac:dyDescent="0.3">
      <c r="A107" s="309"/>
      <c r="B107" s="309"/>
      <c r="C107" s="309"/>
      <c r="D107" s="309"/>
      <c r="E107" s="309"/>
      <c r="F107" s="309"/>
      <c r="G107" s="310"/>
      <c r="H107" s="309"/>
      <c r="I107" s="309"/>
      <c r="J107" s="309"/>
      <c r="K107" s="302"/>
    </row>
    <row r="108" spans="1:11" x14ac:dyDescent="0.3">
      <c r="A108" s="309"/>
      <c r="B108" s="309"/>
      <c r="C108" s="309"/>
      <c r="D108" s="309"/>
      <c r="E108" s="309"/>
      <c r="F108" s="309"/>
      <c r="G108" s="310"/>
      <c r="H108" s="309"/>
      <c r="I108" s="309"/>
      <c r="J108" s="309"/>
      <c r="K108" s="302"/>
    </row>
    <row r="109" spans="1:11" x14ac:dyDescent="0.3">
      <c r="A109" s="309"/>
      <c r="B109" s="309"/>
      <c r="C109" s="309"/>
      <c r="D109" s="309"/>
      <c r="E109" s="309"/>
      <c r="F109" s="309"/>
      <c r="G109" s="310"/>
      <c r="H109" s="309"/>
      <c r="I109" s="309"/>
      <c r="J109" s="309"/>
      <c r="K109" s="302"/>
    </row>
    <row r="110" spans="1:11" x14ac:dyDescent="0.3">
      <c r="A110" s="309"/>
      <c r="B110" s="309"/>
      <c r="C110" s="309"/>
      <c r="D110" s="309"/>
      <c r="E110" s="309"/>
      <c r="F110" s="309"/>
      <c r="G110" s="310"/>
      <c r="H110" s="309"/>
      <c r="I110" s="309"/>
      <c r="J110" s="309"/>
      <c r="K110" s="302"/>
    </row>
    <row r="111" spans="1:11" x14ac:dyDescent="0.3">
      <c r="A111" s="309"/>
      <c r="B111" s="309"/>
      <c r="C111" s="309"/>
      <c r="D111" s="309"/>
      <c r="E111" s="309"/>
      <c r="F111" s="309"/>
      <c r="G111" s="310"/>
      <c r="H111" s="309"/>
      <c r="I111" s="309"/>
      <c r="J111" s="309"/>
      <c r="K111" s="302"/>
    </row>
    <row r="112" spans="1:11" x14ac:dyDescent="0.3">
      <c r="A112" s="309"/>
      <c r="B112" s="309"/>
      <c r="C112" s="309"/>
      <c r="D112" s="309"/>
      <c r="E112" s="309"/>
      <c r="F112" s="309"/>
      <c r="G112" s="310"/>
      <c r="H112" s="309"/>
      <c r="I112" s="309"/>
      <c r="J112" s="309"/>
      <c r="K112" s="302"/>
    </row>
    <row r="113" spans="1:11" x14ac:dyDescent="0.3">
      <c r="A113" s="309"/>
      <c r="B113" s="309"/>
      <c r="C113" s="309"/>
      <c r="D113" s="309"/>
      <c r="E113" s="309"/>
      <c r="F113" s="309"/>
      <c r="G113" s="310"/>
      <c r="H113" s="309"/>
      <c r="I113" s="309"/>
      <c r="J113" s="309"/>
      <c r="K113" s="302"/>
    </row>
    <row r="114" spans="1:11" x14ac:dyDescent="0.3">
      <c r="A114" s="309"/>
      <c r="B114" s="309"/>
      <c r="C114" s="309"/>
      <c r="D114" s="309"/>
      <c r="E114" s="309"/>
      <c r="F114" s="309"/>
      <c r="G114" s="310"/>
      <c r="H114" s="309"/>
      <c r="I114" s="309"/>
      <c r="J114" s="309"/>
      <c r="K114" s="302"/>
    </row>
    <row r="115" spans="1:11" x14ac:dyDescent="0.3">
      <c r="A115" s="309"/>
      <c r="B115" s="309"/>
      <c r="C115" s="309"/>
      <c r="D115" s="309"/>
      <c r="E115" s="309"/>
      <c r="F115" s="309"/>
      <c r="G115" s="310"/>
      <c r="H115" s="309"/>
      <c r="I115" s="309"/>
      <c r="J115" s="309"/>
      <c r="K115" s="302"/>
    </row>
    <row r="116" spans="1:11" x14ac:dyDescent="0.3">
      <c r="A116" s="309"/>
      <c r="B116" s="309"/>
      <c r="C116" s="309"/>
      <c r="D116" s="309"/>
      <c r="E116" s="309"/>
      <c r="F116" s="309"/>
      <c r="G116" s="310"/>
      <c r="H116" s="309"/>
      <c r="I116" s="309"/>
      <c r="J116" s="309"/>
      <c r="K116" s="302"/>
    </row>
    <row r="117" spans="1:11" x14ac:dyDescent="0.3">
      <c r="A117" s="309"/>
      <c r="B117" s="309"/>
      <c r="C117" s="309"/>
      <c r="D117" s="309"/>
      <c r="E117" s="309"/>
      <c r="F117" s="309"/>
      <c r="G117" s="310"/>
      <c r="H117" s="309"/>
      <c r="I117" s="309"/>
      <c r="J117" s="309"/>
      <c r="K117" s="302"/>
    </row>
    <row r="118" spans="1:11" x14ac:dyDescent="0.3">
      <c r="A118" s="309"/>
      <c r="B118" s="309"/>
      <c r="C118" s="309"/>
      <c r="D118" s="309"/>
      <c r="E118" s="309"/>
      <c r="F118" s="309"/>
      <c r="G118" s="310"/>
      <c r="H118" s="309"/>
      <c r="I118" s="309"/>
      <c r="J118" s="309"/>
      <c r="K118" s="302"/>
    </row>
    <row r="119" spans="1:11" x14ac:dyDescent="0.3">
      <c r="A119" s="309"/>
      <c r="B119" s="309"/>
      <c r="C119" s="309"/>
      <c r="D119" s="309"/>
      <c r="E119" s="309"/>
      <c r="F119" s="309"/>
      <c r="G119" s="310"/>
      <c r="H119" s="309"/>
      <c r="I119" s="309"/>
      <c r="J119" s="309"/>
      <c r="K119" s="302"/>
    </row>
    <row r="120" spans="1:11" x14ac:dyDescent="0.3">
      <c r="A120" s="309"/>
      <c r="B120" s="309"/>
      <c r="C120" s="309"/>
      <c r="D120" s="309"/>
      <c r="E120" s="309"/>
      <c r="F120" s="309"/>
      <c r="G120" s="310"/>
      <c r="H120" s="309"/>
      <c r="I120" s="309"/>
      <c r="J120" s="309"/>
      <c r="K120" s="302"/>
    </row>
    <row r="121" spans="1:11" x14ac:dyDescent="0.3">
      <c r="A121" s="309"/>
      <c r="B121" s="309"/>
      <c r="C121" s="309"/>
      <c r="D121" s="309"/>
      <c r="E121" s="309"/>
      <c r="F121" s="309"/>
      <c r="G121" s="310"/>
      <c r="H121" s="309"/>
      <c r="I121" s="309"/>
      <c r="J121" s="309"/>
      <c r="K121" s="302"/>
    </row>
    <row r="122" spans="1:11" x14ac:dyDescent="0.3">
      <c r="A122" s="309"/>
      <c r="B122" s="309"/>
      <c r="C122" s="309"/>
      <c r="D122" s="309"/>
      <c r="E122" s="309"/>
      <c r="F122" s="309"/>
      <c r="G122" s="310"/>
      <c r="H122" s="309"/>
      <c r="I122" s="309"/>
      <c r="J122" s="309"/>
      <c r="K122" s="302"/>
    </row>
    <row r="123" spans="1:11" x14ac:dyDescent="0.3">
      <c r="A123" s="309"/>
      <c r="B123" s="309"/>
      <c r="C123" s="309"/>
      <c r="D123" s="309"/>
      <c r="E123" s="309"/>
      <c r="F123" s="309"/>
      <c r="G123" s="310"/>
      <c r="H123" s="309"/>
      <c r="I123" s="309"/>
      <c r="J123" s="309"/>
      <c r="K123" s="302"/>
    </row>
    <row r="124" spans="1:11" x14ac:dyDescent="0.3">
      <c r="A124" s="309"/>
      <c r="B124" s="309"/>
      <c r="C124" s="309"/>
      <c r="D124" s="309"/>
      <c r="E124" s="309"/>
      <c r="F124" s="309"/>
      <c r="G124" s="310"/>
      <c r="H124" s="309"/>
      <c r="I124" s="309"/>
      <c r="J124" s="309"/>
      <c r="K124" s="302"/>
    </row>
    <row r="125" spans="1:11" x14ac:dyDescent="0.3">
      <c r="A125" s="309"/>
      <c r="B125" s="309"/>
      <c r="C125" s="309"/>
      <c r="D125" s="309"/>
      <c r="E125" s="309"/>
      <c r="F125" s="309"/>
      <c r="G125" s="310"/>
      <c r="H125" s="309"/>
      <c r="I125" s="309"/>
      <c r="J125" s="309"/>
      <c r="K125" s="302"/>
    </row>
    <row r="126" spans="1:11" x14ac:dyDescent="0.3">
      <c r="A126" s="309"/>
      <c r="B126" s="309"/>
      <c r="C126" s="309"/>
      <c r="D126" s="309"/>
      <c r="E126" s="309"/>
      <c r="F126" s="309"/>
      <c r="G126" s="310"/>
      <c r="H126" s="309"/>
      <c r="I126" s="309"/>
      <c r="J126" s="309"/>
      <c r="K126" s="302"/>
    </row>
    <row r="127" spans="1:11" x14ac:dyDescent="0.3">
      <c r="A127" s="309"/>
      <c r="B127" s="309"/>
      <c r="C127" s="309"/>
      <c r="D127" s="309"/>
      <c r="E127" s="309"/>
      <c r="F127" s="309"/>
      <c r="G127" s="310"/>
      <c r="H127" s="309"/>
      <c r="I127" s="309"/>
      <c r="J127" s="309"/>
      <c r="K127" s="302"/>
    </row>
    <row r="128" spans="1:11" x14ac:dyDescent="0.3">
      <c r="A128" s="309"/>
      <c r="B128" s="309"/>
      <c r="C128" s="309"/>
      <c r="D128" s="309"/>
      <c r="E128" s="309"/>
      <c r="F128" s="309"/>
      <c r="G128" s="310"/>
      <c r="H128" s="309"/>
      <c r="I128" s="309"/>
      <c r="J128" s="309"/>
      <c r="K128" s="302"/>
    </row>
    <row r="129" spans="1:11" x14ac:dyDescent="0.3">
      <c r="A129" s="309"/>
      <c r="B129" s="309"/>
      <c r="C129" s="309"/>
      <c r="D129" s="309"/>
      <c r="E129" s="309"/>
      <c r="F129" s="309"/>
      <c r="G129" s="310"/>
      <c r="H129" s="309"/>
      <c r="I129" s="309"/>
      <c r="J129" s="309"/>
      <c r="K129" s="302"/>
    </row>
    <row r="130" spans="1:11" x14ac:dyDescent="0.3">
      <c r="A130" s="309"/>
      <c r="B130" s="309"/>
      <c r="C130" s="309"/>
      <c r="D130" s="309"/>
      <c r="E130" s="309"/>
      <c r="F130" s="309"/>
      <c r="G130" s="310"/>
      <c r="H130" s="309"/>
      <c r="I130" s="309"/>
      <c r="J130" s="309"/>
      <c r="K130" s="302"/>
    </row>
    <row r="131" spans="1:11" x14ac:dyDescent="0.3">
      <c r="A131" s="309"/>
      <c r="B131" s="309"/>
      <c r="C131" s="309"/>
      <c r="D131" s="309"/>
      <c r="E131" s="309"/>
      <c r="F131" s="309"/>
      <c r="G131" s="310"/>
      <c r="H131" s="309"/>
      <c r="I131" s="309"/>
      <c r="J131" s="309"/>
      <c r="K131" s="302"/>
    </row>
    <row r="132" spans="1:11" x14ac:dyDescent="0.3">
      <c r="A132" s="309"/>
      <c r="B132" s="309"/>
      <c r="C132" s="309"/>
      <c r="D132" s="309"/>
      <c r="E132" s="309"/>
      <c r="F132" s="309"/>
      <c r="G132" s="310"/>
      <c r="H132" s="309"/>
      <c r="I132" s="309"/>
      <c r="J132" s="309"/>
      <c r="K132" s="302"/>
    </row>
    <row r="133" spans="1:11" x14ac:dyDescent="0.3">
      <c r="A133" s="309"/>
      <c r="B133" s="309"/>
      <c r="C133" s="309"/>
      <c r="D133" s="309"/>
      <c r="E133" s="309"/>
      <c r="F133" s="309"/>
      <c r="G133" s="310"/>
      <c r="H133" s="309"/>
      <c r="I133" s="309"/>
      <c r="J133" s="309"/>
      <c r="K133" s="302"/>
    </row>
    <row r="134" spans="1:11" x14ac:dyDescent="0.3">
      <c r="A134" s="309"/>
      <c r="B134" s="309"/>
      <c r="C134" s="309"/>
      <c r="D134" s="309"/>
      <c r="E134" s="309"/>
      <c r="F134" s="309"/>
      <c r="G134" s="310"/>
      <c r="H134" s="309"/>
      <c r="I134" s="309"/>
      <c r="J134" s="309"/>
      <c r="K134" s="302"/>
    </row>
    <row r="135" spans="1:11" x14ac:dyDescent="0.3">
      <c r="A135" s="309"/>
      <c r="B135" s="309"/>
      <c r="C135" s="309"/>
      <c r="D135" s="309"/>
      <c r="E135" s="309"/>
      <c r="F135" s="309"/>
      <c r="G135" s="310"/>
      <c r="H135" s="309"/>
      <c r="I135" s="309"/>
      <c r="J135" s="309"/>
      <c r="K135" s="302"/>
    </row>
    <row r="136" spans="1:11" x14ac:dyDescent="0.3">
      <c r="A136" s="309"/>
      <c r="B136" s="309"/>
      <c r="C136" s="309"/>
      <c r="D136" s="309"/>
      <c r="E136" s="309"/>
      <c r="F136" s="309"/>
      <c r="G136" s="310"/>
      <c r="H136" s="309"/>
      <c r="I136" s="309"/>
      <c r="J136" s="309"/>
      <c r="K136" s="302"/>
    </row>
    <row r="137" spans="1:11" x14ac:dyDescent="0.3">
      <c r="A137" s="309"/>
      <c r="B137" s="309"/>
      <c r="C137" s="309"/>
      <c r="D137" s="309"/>
      <c r="E137" s="309"/>
      <c r="F137" s="309"/>
      <c r="G137" s="310"/>
      <c r="H137" s="309"/>
      <c r="I137" s="309"/>
      <c r="J137" s="309"/>
      <c r="K137" s="302"/>
    </row>
    <row r="138" spans="1:11" x14ac:dyDescent="0.3">
      <c r="A138" s="309"/>
      <c r="B138" s="309"/>
      <c r="C138" s="309"/>
      <c r="D138" s="309"/>
      <c r="E138" s="309"/>
      <c r="F138" s="309"/>
      <c r="G138" s="310"/>
      <c r="H138" s="309"/>
      <c r="I138" s="309"/>
      <c r="J138" s="309"/>
      <c r="K138" s="302"/>
    </row>
    <row r="139" spans="1:11" x14ac:dyDescent="0.3">
      <c r="A139" s="309"/>
      <c r="B139" s="309"/>
      <c r="C139" s="309"/>
      <c r="D139" s="309"/>
      <c r="E139" s="309"/>
      <c r="F139" s="309"/>
      <c r="G139" s="310"/>
      <c r="H139" s="309"/>
      <c r="I139" s="309"/>
      <c r="J139" s="309"/>
      <c r="K139" s="302"/>
    </row>
    <row r="140" spans="1:11" x14ac:dyDescent="0.3">
      <c r="A140" s="309"/>
      <c r="B140" s="309"/>
      <c r="C140" s="309"/>
      <c r="D140" s="309"/>
      <c r="E140" s="309"/>
      <c r="F140" s="309"/>
      <c r="G140" s="310"/>
      <c r="H140" s="309"/>
      <c r="I140" s="309"/>
      <c r="J140" s="309"/>
      <c r="K140" s="302"/>
    </row>
    <row r="141" spans="1:11" x14ac:dyDescent="0.3">
      <c r="A141" s="309"/>
      <c r="B141" s="309"/>
      <c r="C141" s="309"/>
      <c r="D141" s="309"/>
      <c r="E141" s="309"/>
      <c r="F141" s="309"/>
      <c r="G141" s="310"/>
      <c r="H141" s="309"/>
      <c r="I141" s="309"/>
      <c r="J141" s="309"/>
      <c r="K141" s="302"/>
    </row>
    <row r="142" spans="1:11" x14ac:dyDescent="0.3">
      <c r="A142" s="309"/>
      <c r="B142" s="309"/>
      <c r="C142" s="309"/>
      <c r="D142" s="309"/>
      <c r="E142" s="309"/>
      <c r="F142" s="309"/>
      <c r="G142" s="310"/>
      <c r="H142" s="309"/>
      <c r="I142" s="309"/>
      <c r="J142" s="309"/>
      <c r="K142" s="302"/>
    </row>
    <row r="143" spans="1:11" x14ac:dyDescent="0.3">
      <c r="A143" s="309"/>
      <c r="B143" s="309"/>
      <c r="C143" s="309"/>
      <c r="D143" s="309"/>
      <c r="E143" s="309"/>
      <c r="F143" s="309"/>
      <c r="G143" s="310"/>
      <c r="H143" s="309"/>
      <c r="I143" s="309"/>
      <c r="J143" s="309"/>
      <c r="K143" s="302"/>
    </row>
    <row r="144" spans="1:11" x14ac:dyDescent="0.3">
      <c r="A144" s="309"/>
      <c r="B144" s="309"/>
      <c r="C144" s="309"/>
      <c r="D144" s="309"/>
      <c r="E144" s="309"/>
      <c r="F144" s="309"/>
      <c r="G144" s="310"/>
      <c r="H144" s="309"/>
      <c r="I144" s="309"/>
      <c r="J144" s="309"/>
      <c r="K144" s="302"/>
    </row>
    <row r="145" spans="1:11" x14ac:dyDescent="0.3">
      <c r="A145" s="309"/>
      <c r="B145" s="309"/>
      <c r="C145" s="309"/>
      <c r="D145" s="309"/>
      <c r="E145" s="309"/>
      <c r="F145" s="309"/>
      <c r="G145" s="310"/>
      <c r="H145" s="309"/>
      <c r="I145" s="309"/>
      <c r="J145" s="309"/>
      <c r="K145" s="302"/>
    </row>
    <row r="146" spans="1:11" x14ac:dyDescent="0.3">
      <c r="A146" s="309"/>
      <c r="B146" s="309"/>
      <c r="C146" s="309"/>
      <c r="D146" s="309"/>
      <c r="E146" s="309"/>
      <c r="F146" s="309"/>
      <c r="G146" s="310"/>
      <c r="H146" s="309"/>
      <c r="I146" s="309"/>
      <c r="J146" s="309"/>
      <c r="K146" s="302"/>
    </row>
    <row r="147" spans="1:11" x14ac:dyDescent="0.3">
      <c r="A147" s="309"/>
      <c r="B147" s="309"/>
      <c r="C147" s="309"/>
      <c r="D147" s="309"/>
      <c r="E147" s="309"/>
      <c r="F147" s="309"/>
      <c r="G147" s="310"/>
      <c r="H147" s="309"/>
      <c r="I147" s="309"/>
      <c r="J147" s="309"/>
      <c r="K147" s="302"/>
    </row>
    <row r="148" spans="1:11" x14ac:dyDescent="0.3">
      <c r="A148" s="309"/>
      <c r="B148" s="309"/>
      <c r="C148" s="309"/>
      <c r="D148" s="309"/>
      <c r="E148" s="309"/>
      <c r="F148" s="309"/>
      <c r="G148" s="310"/>
      <c r="H148" s="309"/>
      <c r="I148" s="309"/>
      <c r="J148" s="309"/>
      <c r="K148" s="302"/>
    </row>
    <row r="149" spans="1:11" x14ac:dyDescent="0.3">
      <c r="A149" s="309"/>
      <c r="B149" s="309"/>
      <c r="C149" s="309"/>
      <c r="D149" s="309"/>
      <c r="E149" s="309"/>
      <c r="F149" s="309"/>
      <c r="G149" s="310"/>
      <c r="H149" s="309"/>
      <c r="I149" s="309"/>
      <c r="J149" s="309"/>
      <c r="K149" s="302"/>
    </row>
    <row r="150" spans="1:11" x14ac:dyDescent="0.3">
      <c r="A150" s="309"/>
      <c r="B150" s="309"/>
      <c r="C150" s="309"/>
      <c r="D150" s="309"/>
      <c r="E150" s="309"/>
      <c r="F150" s="309"/>
      <c r="G150" s="310"/>
      <c r="H150" s="309"/>
      <c r="I150" s="309"/>
      <c r="J150" s="309"/>
      <c r="K150" s="302"/>
    </row>
    <row r="151" spans="1:11" x14ac:dyDescent="0.3">
      <c r="A151" s="309"/>
      <c r="B151" s="309"/>
      <c r="C151" s="309"/>
      <c r="D151" s="309"/>
      <c r="E151" s="309"/>
      <c r="F151" s="309"/>
      <c r="G151" s="310"/>
      <c r="H151" s="309"/>
      <c r="I151" s="309"/>
      <c r="J151" s="309"/>
      <c r="K151" s="302"/>
    </row>
    <row r="152" spans="1:11" x14ac:dyDescent="0.3">
      <c r="A152" s="309"/>
      <c r="B152" s="309"/>
      <c r="C152" s="309"/>
      <c r="D152" s="309"/>
      <c r="E152" s="309"/>
      <c r="F152" s="309"/>
      <c r="G152" s="310"/>
      <c r="H152" s="309"/>
      <c r="I152" s="309"/>
      <c r="J152" s="309"/>
      <c r="K152" s="302"/>
    </row>
    <row r="153" spans="1:11" x14ac:dyDescent="0.3">
      <c r="A153" s="309"/>
      <c r="B153" s="309"/>
      <c r="C153" s="309"/>
      <c r="D153" s="309"/>
      <c r="E153" s="309"/>
      <c r="F153" s="309"/>
      <c r="G153" s="310"/>
      <c r="H153" s="309"/>
      <c r="I153" s="309"/>
      <c r="J153" s="309"/>
      <c r="K153" s="302"/>
    </row>
    <row r="154" spans="1:11" x14ac:dyDescent="0.3">
      <c r="A154" s="309"/>
      <c r="B154" s="309"/>
      <c r="C154" s="309"/>
      <c r="D154" s="309"/>
      <c r="E154" s="309"/>
      <c r="F154" s="309"/>
      <c r="G154" s="310"/>
      <c r="H154" s="309"/>
      <c r="I154" s="309"/>
      <c r="J154" s="309"/>
      <c r="K154" s="302"/>
    </row>
    <row r="155" spans="1:11" x14ac:dyDescent="0.3">
      <c r="A155" s="309"/>
      <c r="B155" s="309"/>
      <c r="C155" s="309"/>
      <c r="D155" s="309"/>
      <c r="E155" s="309"/>
      <c r="F155" s="309"/>
      <c r="G155" s="310"/>
      <c r="H155" s="309"/>
      <c r="I155" s="309"/>
      <c r="J155" s="309"/>
      <c r="K155" s="302"/>
    </row>
    <row r="156" spans="1:11" x14ac:dyDescent="0.3">
      <c r="A156" s="309"/>
      <c r="B156" s="309"/>
      <c r="C156" s="309"/>
      <c r="D156" s="309"/>
      <c r="E156" s="309"/>
      <c r="F156" s="309"/>
      <c r="G156" s="310"/>
      <c r="H156" s="309"/>
      <c r="I156" s="309"/>
      <c r="J156" s="309"/>
      <c r="K156" s="302"/>
    </row>
    <row r="157" spans="1:11" x14ac:dyDescent="0.3">
      <c r="A157" s="309"/>
      <c r="B157" s="309"/>
      <c r="C157" s="309"/>
      <c r="D157" s="309"/>
      <c r="E157" s="309"/>
      <c r="F157" s="309"/>
      <c r="G157" s="310"/>
      <c r="H157" s="309"/>
      <c r="I157" s="309"/>
      <c r="J157" s="309"/>
      <c r="K157" s="302"/>
    </row>
    <row r="158" spans="1:11" x14ac:dyDescent="0.3">
      <c r="A158" s="309"/>
      <c r="B158" s="309"/>
      <c r="C158" s="309"/>
      <c r="D158" s="309"/>
      <c r="E158" s="309"/>
      <c r="F158" s="309"/>
      <c r="G158" s="310"/>
      <c r="H158" s="309"/>
      <c r="I158" s="309"/>
      <c r="J158" s="309"/>
      <c r="K158" s="302"/>
    </row>
    <row r="159" spans="1:11" x14ac:dyDescent="0.3">
      <c r="A159" s="309"/>
      <c r="B159" s="309"/>
      <c r="C159" s="309"/>
      <c r="D159" s="309"/>
      <c r="E159" s="309"/>
      <c r="F159" s="309"/>
      <c r="G159" s="310"/>
      <c r="H159" s="309"/>
      <c r="I159" s="309"/>
      <c r="J159" s="309"/>
      <c r="K159" s="302"/>
    </row>
    <row r="160" spans="1:11" x14ac:dyDescent="0.3">
      <c r="A160" s="309"/>
      <c r="B160" s="309"/>
      <c r="C160" s="309"/>
      <c r="D160" s="309"/>
      <c r="E160" s="309"/>
      <c r="F160" s="309"/>
      <c r="G160" s="310"/>
      <c r="H160" s="309"/>
      <c r="I160" s="309"/>
      <c r="J160" s="309"/>
      <c r="K160" s="302"/>
    </row>
    <row r="161" spans="1:11" x14ac:dyDescent="0.3">
      <c r="A161" s="309"/>
      <c r="B161" s="309"/>
      <c r="C161" s="309"/>
      <c r="D161" s="309"/>
      <c r="E161" s="309"/>
      <c r="F161" s="309"/>
      <c r="G161" s="310"/>
      <c r="H161" s="309"/>
      <c r="I161" s="309"/>
      <c r="J161" s="309"/>
      <c r="K161" s="302"/>
    </row>
    <row r="162" spans="1:11" x14ac:dyDescent="0.3">
      <c r="A162" s="309"/>
      <c r="B162" s="309"/>
      <c r="C162" s="309"/>
      <c r="D162" s="309"/>
      <c r="E162" s="309"/>
      <c r="F162" s="309"/>
      <c r="G162" s="310"/>
      <c r="H162" s="309"/>
      <c r="I162" s="309"/>
      <c r="J162" s="309"/>
      <c r="K162" s="302"/>
    </row>
    <row r="163" spans="1:11" x14ac:dyDescent="0.3">
      <c r="A163" s="309"/>
      <c r="B163" s="309"/>
      <c r="C163" s="309"/>
      <c r="D163" s="309"/>
      <c r="E163" s="309"/>
      <c r="F163" s="309"/>
      <c r="G163" s="310"/>
      <c r="H163" s="309"/>
      <c r="I163" s="309"/>
      <c r="J163" s="309"/>
      <c r="K163" s="302"/>
    </row>
    <row r="164" spans="1:11" x14ac:dyDescent="0.3">
      <c r="A164" s="309"/>
      <c r="B164" s="309"/>
      <c r="C164" s="309"/>
      <c r="D164" s="309"/>
      <c r="E164" s="309"/>
      <c r="F164" s="309"/>
      <c r="G164" s="310"/>
      <c r="H164" s="309"/>
      <c r="I164" s="309"/>
      <c r="J164" s="309"/>
      <c r="K164" s="302"/>
    </row>
    <row r="165" spans="1:11" x14ac:dyDescent="0.3">
      <c r="A165" s="309"/>
      <c r="B165" s="309"/>
      <c r="C165" s="309"/>
      <c r="D165" s="309"/>
      <c r="E165" s="309"/>
      <c r="F165" s="309"/>
      <c r="G165" s="310"/>
      <c r="H165" s="309"/>
      <c r="I165" s="309"/>
      <c r="J165" s="309"/>
      <c r="K165" s="302"/>
    </row>
    <row r="166" spans="1:11" x14ac:dyDescent="0.3">
      <c r="A166" s="309"/>
      <c r="B166" s="309"/>
      <c r="C166" s="309"/>
      <c r="D166" s="309"/>
      <c r="E166" s="309"/>
      <c r="F166" s="309"/>
      <c r="G166" s="310"/>
      <c r="H166" s="309"/>
      <c r="I166" s="309"/>
      <c r="J166" s="309"/>
      <c r="K166" s="302"/>
    </row>
    <row r="167" spans="1:11" x14ac:dyDescent="0.3">
      <c r="A167" s="309"/>
      <c r="B167" s="309"/>
      <c r="C167" s="309"/>
      <c r="D167" s="309"/>
      <c r="E167" s="309"/>
      <c r="F167" s="309"/>
      <c r="G167" s="310"/>
      <c r="H167" s="309"/>
      <c r="I167" s="309"/>
      <c r="J167" s="309"/>
      <c r="K167" s="302"/>
    </row>
    <row r="168" spans="1:11" x14ac:dyDescent="0.3">
      <c r="A168" s="309"/>
      <c r="B168" s="309"/>
      <c r="C168" s="309"/>
      <c r="D168" s="309"/>
      <c r="E168" s="309"/>
      <c r="F168" s="309"/>
      <c r="G168" s="310"/>
      <c r="H168" s="309"/>
      <c r="I168" s="309"/>
      <c r="J168" s="309"/>
      <c r="K168" s="302"/>
    </row>
    <row r="169" spans="1:11" x14ac:dyDescent="0.3">
      <c r="A169" s="309"/>
      <c r="B169" s="309"/>
      <c r="C169" s="309"/>
      <c r="D169" s="309"/>
      <c r="E169" s="309"/>
      <c r="F169" s="309"/>
      <c r="G169" s="310"/>
      <c r="H169" s="309"/>
      <c r="I169" s="309"/>
      <c r="J169" s="309"/>
      <c r="K169" s="302"/>
    </row>
    <row r="170" spans="1:11" x14ac:dyDescent="0.3">
      <c r="A170" s="309"/>
      <c r="B170" s="309"/>
      <c r="C170" s="309"/>
      <c r="D170" s="309"/>
      <c r="E170" s="309"/>
      <c r="F170" s="309"/>
      <c r="G170" s="310"/>
      <c r="H170" s="309"/>
      <c r="I170" s="309"/>
      <c r="J170" s="309"/>
      <c r="K170" s="302"/>
    </row>
    <row r="171" spans="1:11" x14ac:dyDescent="0.3">
      <c r="A171" s="309"/>
      <c r="B171" s="309"/>
      <c r="C171" s="309"/>
      <c r="D171" s="309"/>
      <c r="E171" s="309"/>
      <c r="F171" s="309"/>
      <c r="G171" s="310"/>
      <c r="H171" s="309"/>
      <c r="I171" s="309"/>
      <c r="J171" s="309"/>
      <c r="K171" s="302"/>
    </row>
    <row r="172" spans="1:11" x14ac:dyDescent="0.3">
      <c r="A172" s="309"/>
      <c r="B172" s="309"/>
      <c r="C172" s="309"/>
      <c r="D172" s="309"/>
      <c r="E172" s="309"/>
      <c r="F172" s="309"/>
      <c r="G172" s="310"/>
      <c r="H172" s="309"/>
      <c r="I172" s="309"/>
      <c r="J172" s="309"/>
      <c r="K172" s="302"/>
    </row>
    <row r="173" spans="1:11" x14ac:dyDescent="0.3">
      <c r="A173" s="309"/>
      <c r="B173" s="309"/>
      <c r="C173" s="309"/>
      <c r="D173" s="309"/>
      <c r="E173" s="309"/>
      <c r="F173" s="309"/>
      <c r="G173" s="310"/>
      <c r="H173" s="309"/>
      <c r="I173" s="309"/>
      <c r="J173" s="309"/>
      <c r="K173" s="302"/>
    </row>
    <row r="174" spans="1:11" x14ac:dyDescent="0.3">
      <c r="A174" s="309"/>
      <c r="B174" s="309"/>
      <c r="C174" s="309"/>
      <c r="D174" s="309"/>
      <c r="E174" s="309"/>
      <c r="F174" s="309"/>
      <c r="G174" s="310"/>
      <c r="H174" s="309"/>
      <c r="I174" s="309"/>
      <c r="J174" s="309"/>
      <c r="K174" s="302"/>
    </row>
    <row r="175" spans="1:11" x14ac:dyDescent="0.3">
      <c r="A175" s="309"/>
      <c r="B175" s="309"/>
      <c r="C175" s="309"/>
      <c r="D175" s="309"/>
      <c r="E175" s="309"/>
      <c r="F175" s="309"/>
      <c r="G175" s="310"/>
      <c r="H175" s="309"/>
      <c r="I175" s="309"/>
      <c r="J175" s="309"/>
      <c r="K175" s="302"/>
    </row>
    <row r="176" spans="1:11" x14ac:dyDescent="0.3">
      <c r="A176" s="309"/>
      <c r="B176" s="309"/>
      <c r="C176" s="309"/>
      <c r="D176" s="309"/>
      <c r="E176" s="309"/>
      <c r="F176" s="309"/>
      <c r="G176" s="310"/>
      <c r="H176" s="309"/>
      <c r="I176" s="309"/>
      <c r="J176" s="309"/>
      <c r="K176" s="302"/>
    </row>
    <row r="177" spans="1:11" x14ac:dyDescent="0.3">
      <c r="A177" s="309"/>
      <c r="B177" s="309"/>
      <c r="C177" s="309"/>
      <c r="D177" s="309"/>
      <c r="E177" s="309"/>
      <c r="F177" s="309"/>
      <c r="G177" s="310"/>
      <c r="H177" s="309"/>
      <c r="I177" s="309"/>
      <c r="J177" s="309"/>
      <c r="K177" s="302"/>
    </row>
    <row r="178" spans="1:11" x14ac:dyDescent="0.3">
      <c r="A178" s="309"/>
      <c r="B178" s="309"/>
      <c r="C178" s="309"/>
      <c r="D178" s="309"/>
      <c r="E178" s="309"/>
      <c r="F178" s="309"/>
      <c r="G178" s="310"/>
      <c r="H178" s="309"/>
      <c r="I178" s="309"/>
      <c r="J178" s="309"/>
      <c r="K178" s="302"/>
    </row>
    <row r="179" spans="1:11" x14ac:dyDescent="0.3">
      <c r="A179" s="309"/>
      <c r="B179" s="309"/>
      <c r="C179" s="309"/>
      <c r="D179" s="309"/>
      <c r="E179" s="309"/>
      <c r="F179" s="309"/>
      <c r="G179" s="310"/>
      <c r="H179" s="309"/>
      <c r="I179" s="309"/>
      <c r="J179" s="309"/>
      <c r="K179" s="302"/>
    </row>
    <row r="180" spans="1:11" x14ac:dyDescent="0.3">
      <c r="A180" s="309"/>
      <c r="B180" s="309"/>
      <c r="C180" s="309"/>
      <c r="D180" s="309"/>
      <c r="E180" s="309"/>
      <c r="F180" s="309"/>
      <c r="G180" s="310"/>
      <c r="H180" s="309"/>
      <c r="I180" s="309"/>
      <c r="J180" s="309"/>
      <c r="K180" s="302"/>
    </row>
    <row r="181" spans="1:11" x14ac:dyDescent="0.3">
      <c r="A181" s="309"/>
      <c r="B181" s="309"/>
      <c r="C181" s="309"/>
      <c r="D181" s="309"/>
      <c r="E181" s="309"/>
      <c r="F181" s="309"/>
      <c r="G181" s="310"/>
      <c r="H181" s="309"/>
      <c r="I181" s="309"/>
      <c r="J181" s="309"/>
      <c r="K181" s="302"/>
    </row>
    <row r="182" spans="1:11" x14ac:dyDescent="0.3">
      <c r="A182" s="309"/>
      <c r="B182" s="309"/>
      <c r="C182" s="309"/>
      <c r="D182" s="309"/>
      <c r="E182" s="309"/>
      <c r="F182" s="309"/>
      <c r="G182" s="310"/>
      <c r="H182" s="309"/>
      <c r="I182" s="309"/>
      <c r="J182" s="309"/>
      <c r="K182" s="302"/>
    </row>
    <row r="183" spans="1:11" x14ac:dyDescent="0.3">
      <c r="A183" s="309"/>
      <c r="B183" s="309"/>
      <c r="C183" s="309"/>
      <c r="D183" s="309"/>
      <c r="E183" s="309"/>
      <c r="F183" s="309"/>
      <c r="G183" s="310"/>
      <c r="H183" s="309"/>
      <c r="I183" s="309"/>
      <c r="J183" s="309"/>
      <c r="K183" s="302"/>
    </row>
    <row r="184" spans="1:11" x14ac:dyDescent="0.3">
      <c r="A184" s="309"/>
      <c r="B184" s="309"/>
      <c r="C184" s="309"/>
      <c r="D184" s="309"/>
      <c r="E184" s="309"/>
      <c r="F184" s="309"/>
      <c r="G184" s="310"/>
      <c r="H184" s="309"/>
      <c r="I184" s="309"/>
      <c r="J184" s="309"/>
      <c r="K184" s="302"/>
    </row>
    <row r="185" spans="1:11" x14ac:dyDescent="0.3">
      <c r="A185" s="309"/>
      <c r="B185" s="309"/>
      <c r="C185" s="309"/>
      <c r="D185" s="309"/>
      <c r="E185" s="309"/>
      <c r="F185" s="309"/>
      <c r="G185" s="310"/>
      <c r="H185" s="309"/>
      <c r="I185" s="309"/>
      <c r="J185" s="309"/>
      <c r="K185" s="302"/>
    </row>
    <row r="186" spans="1:11" x14ac:dyDescent="0.3">
      <c r="A186" s="309"/>
      <c r="B186" s="309"/>
      <c r="C186" s="309"/>
      <c r="D186" s="309"/>
      <c r="E186" s="309"/>
      <c r="F186" s="309"/>
      <c r="G186" s="310"/>
      <c r="H186" s="309"/>
      <c r="I186" s="309"/>
      <c r="J186" s="309"/>
      <c r="K186" s="302"/>
    </row>
    <row r="187" spans="1:11" x14ac:dyDescent="0.3">
      <c r="A187" s="309"/>
      <c r="B187" s="309"/>
      <c r="C187" s="309"/>
      <c r="D187" s="309"/>
      <c r="E187" s="309"/>
      <c r="F187" s="309"/>
      <c r="G187" s="310"/>
      <c r="H187" s="309"/>
      <c r="I187" s="309"/>
      <c r="J187" s="309"/>
      <c r="K187" s="302"/>
    </row>
    <row r="188" spans="1:11" x14ac:dyDescent="0.3">
      <c r="A188" s="309"/>
      <c r="B188" s="309"/>
      <c r="C188" s="309"/>
      <c r="D188" s="309"/>
      <c r="E188" s="309"/>
      <c r="F188" s="309"/>
      <c r="G188" s="310"/>
      <c r="H188" s="309"/>
      <c r="I188" s="309"/>
      <c r="J188" s="309"/>
      <c r="K188" s="302"/>
    </row>
    <row r="189" spans="1:11" x14ac:dyDescent="0.3">
      <c r="A189" s="309"/>
      <c r="B189" s="309"/>
      <c r="C189" s="309"/>
      <c r="D189" s="309"/>
      <c r="E189" s="309"/>
      <c r="F189" s="309"/>
      <c r="G189" s="310"/>
      <c r="H189" s="309"/>
      <c r="I189" s="309"/>
      <c r="J189" s="309"/>
      <c r="K189" s="302"/>
    </row>
    <row r="190" spans="1:11" x14ac:dyDescent="0.3">
      <c r="A190" s="309"/>
      <c r="B190" s="309"/>
      <c r="C190" s="309"/>
      <c r="D190" s="309"/>
      <c r="E190" s="309"/>
      <c r="F190" s="309"/>
      <c r="G190" s="310"/>
      <c r="H190" s="309"/>
      <c r="I190" s="309"/>
      <c r="J190" s="309"/>
      <c r="K190" s="302"/>
    </row>
    <row r="191" spans="1:11" x14ac:dyDescent="0.3">
      <c r="A191" s="309"/>
      <c r="B191" s="309"/>
      <c r="C191" s="309"/>
      <c r="D191" s="309"/>
      <c r="E191" s="309"/>
      <c r="F191" s="309"/>
      <c r="G191" s="310"/>
      <c r="H191" s="309"/>
      <c r="I191" s="309"/>
      <c r="J191" s="309"/>
      <c r="K191" s="302"/>
    </row>
    <row r="192" spans="1:11" x14ac:dyDescent="0.3">
      <c r="A192" s="309"/>
      <c r="B192" s="309"/>
      <c r="C192" s="309"/>
      <c r="D192" s="309"/>
      <c r="E192" s="309"/>
      <c r="F192" s="309"/>
      <c r="G192" s="310"/>
      <c r="H192" s="309"/>
      <c r="I192" s="309"/>
      <c r="J192" s="309"/>
      <c r="K192" s="302"/>
    </row>
    <row r="193" spans="1:11" x14ac:dyDescent="0.3">
      <c r="A193" s="309"/>
      <c r="B193" s="309"/>
      <c r="C193" s="309"/>
      <c r="D193" s="309"/>
      <c r="E193" s="309"/>
      <c r="F193" s="309"/>
      <c r="G193" s="310"/>
      <c r="H193" s="309"/>
      <c r="I193" s="309"/>
      <c r="J193" s="309"/>
      <c r="K193" s="302"/>
    </row>
    <row r="194" spans="1:11" x14ac:dyDescent="0.3">
      <c r="A194" s="309"/>
      <c r="B194" s="309"/>
      <c r="C194" s="309"/>
      <c r="D194" s="309"/>
      <c r="E194" s="309"/>
      <c r="F194" s="309"/>
      <c r="G194" s="310"/>
      <c r="H194" s="309"/>
      <c r="I194" s="309"/>
      <c r="J194" s="309"/>
      <c r="K194" s="302"/>
    </row>
    <row r="195" spans="1:11" x14ac:dyDescent="0.3">
      <c r="A195" s="309"/>
      <c r="B195" s="309"/>
      <c r="C195" s="309"/>
      <c r="D195" s="309"/>
      <c r="E195" s="309"/>
      <c r="F195" s="309"/>
      <c r="G195" s="310"/>
      <c r="H195" s="309"/>
      <c r="I195" s="309"/>
      <c r="J195" s="309"/>
      <c r="K195" s="302"/>
    </row>
    <row r="196" spans="1:11" x14ac:dyDescent="0.3">
      <c r="A196" s="309"/>
      <c r="B196" s="309"/>
      <c r="C196" s="309"/>
      <c r="D196" s="309"/>
      <c r="E196" s="309"/>
      <c r="F196" s="309"/>
      <c r="G196" s="310"/>
      <c r="H196" s="309"/>
      <c r="I196" s="309"/>
      <c r="J196" s="309"/>
      <c r="K196" s="302"/>
    </row>
    <row r="197" spans="1:11" x14ac:dyDescent="0.3">
      <c r="A197" s="309"/>
      <c r="B197" s="309"/>
      <c r="C197" s="309"/>
      <c r="D197" s="309"/>
      <c r="E197" s="309"/>
      <c r="F197" s="309"/>
      <c r="G197" s="310"/>
      <c r="H197" s="309"/>
      <c r="I197" s="309"/>
      <c r="J197" s="309"/>
      <c r="K197" s="302"/>
    </row>
    <row r="198" spans="1:11" x14ac:dyDescent="0.3">
      <c r="A198" s="309"/>
      <c r="B198" s="309"/>
      <c r="C198" s="309"/>
      <c r="D198" s="309"/>
      <c r="E198" s="309"/>
      <c r="F198" s="309"/>
      <c r="G198" s="310"/>
      <c r="H198" s="309"/>
      <c r="I198" s="309"/>
      <c r="J198" s="309"/>
      <c r="K198" s="302"/>
    </row>
    <row r="199" spans="1:11" x14ac:dyDescent="0.3">
      <c r="A199" s="309"/>
      <c r="B199" s="309"/>
      <c r="C199" s="309"/>
      <c r="D199" s="309"/>
      <c r="E199" s="309"/>
      <c r="F199" s="309"/>
      <c r="G199" s="310"/>
      <c r="H199" s="309"/>
      <c r="I199" s="309"/>
      <c r="J199" s="309"/>
      <c r="K199" s="302"/>
    </row>
    <row r="200" spans="1:11" x14ac:dyDescent="0.3">
      <c r="A200" s="309"/>
      <c r="B200" s="309"/>
      <c r="C200" s="309"/>
      <c r="D200" s="309"/>
      <c r="E200" s="309"/>
      <c r="F200" s="309"/>
      <c r="G200" s="310"/>
      <c r="H200" s="309"/>
      <c r="I200" s="309"/>
      <c r="J200" s="309"/>
      <c r="K200" s="302"/>
    </row>
    <row r="201" spans="1:11" x14ac:dyDescent="0.3">
      <c r="A201" s="309"/>
      <c r="B201" s="309"/>
      <c r="C201" s="309"/>
      <c r="D201" s="309"/>
      <c r="E201" s="309"/>
      <c r="F201" s="309"/>
      <c r="G201" s="310"/>
      <c r="H201" s="309"/>
      <c r="I201" s="309"/>
      <c r="J201" s="309"/>
      <c r="K201" s="302"/>
    </row>
    <row r="202" spans="1:11" x14ac:dyDescent="0.3">
      <c r="A202" s="309"/>
      <c r="B202" s="309"/>
      <c r="C202" s="309"/>
      <c r="D202" s="309"/>
      <c r="E202" s="309"/>
      <c r="F202" s="309"/>
      <c r="G202" s="310"/>
      <c r="H202" s="309"/>
      <c r="I202" s="309"/>
      <c r="J202" s="309"/>
      <c r="K202" s="302"/>
    </row>
    <row r="203" spans="1:11" x14ac:dyDescent="0.3">
      <c r="A203" s="309"/>
      <c r="B203" s="309"/>
      <c r="C203" s="309"/>
      <c r="D203" s="309"/>
      <c r="E203" s="309"/>
      <c r="F203" s="309"/>
      <c r="G203" s="310"/>
      <c r="H203" s="309"/>
      <c r="I203" s="309"/>
      <c r="J203" s="309"/>
      <c r="K203" s="302"/>
    </row>
    <row r="204" spans="1:11" x14ac:dyDescent="0.3">
      <c r="A204" s="588"/>
      <c r="B204" s="588"/>
      <c r="C204" s="588"/>
      <c r="D204" s="588"/>
      <c r="E204" s="588"/>
      <c r="F204" s="588"/>
      <c r="G204" s="600"/>
      <c r="H204" s="588"/>
      <c r="I204" s="588"/>
      <c r="J204" s="588"/>
    </row>
    <row r="205" spans="1:11" x14ac:dyDescent="0.3">
      <c r="A205" s="588"/>
      <c r="B205" s="588"/>
      <c r="C205" s="588"/>
      <c r="D205" s="588"/>
      <c r="E205" s="588"/>
      <c r="F205" s="588"/>
      <c r="G205" s="600"/>
      <c r="H205" s="588"/>
      <c r="I205" s="588"/>
      <c r="J205" s="588"/>
    </row>
    <row r="206" spans="1:11" x14ac:dyDescent="0.3">
      <c r="A206" s="588"/>
      <c r="B206" s="588"/>
      <c r="C206" s="588"/>
      <c r="D206" s="588"/>
      <c r="E206" s="588"/>
      <c r="F206" s="588"/>
      <c r="G206" s="600"/>
      <c r="H206" s="588"/>
      <c r="I206" s="588"/>
      <c r="J206" s="588"/>
    </row>
    <row r="207" spans="1:11" x14ac:dyDescent="0.3">
      <c r="A207" s="588"/>
      <c r="B207" s="588"/>
      <c r="C207" s="588"/>
      <c r="D207" s="588"/>
      <c r="E207" s="588"/>
      <c r="F207" s="588"/>
      <c r="G207" s="600"/>
      <c r="H207" s="588"/>
      <c r="I207" s="588"/>
      <c r="J207" s="588"/>
    </row>
    <row r="208" spans="1:11" x14ac:dyDescent="0.3">
      <c r="A208" s="588"/>
      <c r="B208" s="588"/>
      <c r="C208" s="588"/>
      <c r="D208" s="588"/>
      <c r="E208" s="588"/>
      <c r="F208" s="588"/>
      <c r="G208" s="600"/>
      <c r="H208" s="588"/>
      <c r="I208" s="588"/>
      <c r="J208" s="588"/>
    </row>
    <row r="209" spans="1:10" x14ac:dyDescent="0.3">
      <c r="A209" s="588"/>
      <c r="B209" s="588"/>
      <c r="C209" s="588"/>
      <c r="D209" s="588"/>
      <c r="E209" s="588"/>
      <c r="F209" s="588"/>
      <c r="G209" s="600"/>
      <c r="H209" s="588"/>
      <c r="I209" s="588"/>
      <c r="J209" s="588"/>
    </row>
    <row r="210" spans="1:10" x14ac:dyDescent="0.3">
      <c r="A210" s="588"/>
      <c r="B210" s="588"/>
      <c r="C210" s="588"/>
      <c r="D210" s="588"/>
      <c r="E210" s="588"/>
      <c r="F210" s="588"/>
      <c r="G210" s="600"/>
      <c r="H210" s="588"/>
      <c r="I210" s="588"/>
      <c r="J210" s="588"/>
    </row>
    <row r="211" spans="1:10" x14ac:dyDescent="0.3">
      <c r="A211" s="588"/>
      <c r="B211" s="588"/>
      <c r="C211" s="588"/>
      <c r="D211" s="588"/>
      <c r="E211" s="588"/>
      <c r="F211" s="588"/>
      <c r="G211" s="600"/>
      <c r="H211" s="588"/>
      <c r="I211" s="588"/>
      <c r="J211" s="588"/>
    </row>
    <row r="212" spans="1:10" x14ac:dyDescent="0.3">
      <c r="A212" s="588"/>
      <c r="B212" s="588"/>
      <c r="C212" s="588"/>
      <c r="D212" s="588"/>
      <c r="E212" s="588"/>
      <c r="F212" s="588"/>
      <c r="G212" s="600"/>
      <c r="H212" s="588"/>
      <c r="I212" s="588"/>
      <c r="J212" s="588"/>
    </row>
    <row r="213" spans="1:10" x14ac:dyDescent="0.3">
      <c r="A213" s="588"/>
      <c r="B213" s="588"/>
      <c r="C213" s="588"/>
      <c r="D213" s="588"/>
      <c r="E213" s="588"/>
      <c r="F213" s="588"/>
      <c r="G213" s="600"/>
      <c r="H213" s="588"/>
      <c r="I213" s="588"/>
      <c r="J213" s="588"/>
    </row>
    <row r="214" spans="1:10" x14ac:dyDescent="0.3">
      <c r="A214" s="588"/>
      <c r="B214" s="588"/>
      <c r="C214" s="588"/>
      <c r="D214" s="588"/>
      <c r="E214" s="588"/>
      <c r="F214" s="588"/>
      <c r="G214" s="600"/>
      <c r="H214" s="588"/>
      <c r="I214" s="588"/>
      <c r="J214" s="588"/>
    </row>
    <row r="215" spans="1:10" x14ac:dyDescent="0.3">
      <c r="A215" s="588"/>
      <c r="B215" s="588"/>
      <c r="C215" s="588"/>
      <c r="D215" s="588"/>
      <c r="E215" s="588"/>
      <c r="F215" s="588"/>
      <c r="G215" s="600"/>
      <c r="H215" s="588"/>
      <c r="I215" s="588"/>
      <c r="J215" s="588"/>
    </row>
    <row r="216" spans="1:10" x14ac:dyDescent="0.3">
      <c r="A216" s="588"/>
      <c r="B216" s="588"/>
      <c r="C216" s="588"/>
      <c r="D216" s="588"/>
      <c r="E216" s="588"/>
      <c r="F216" s="588"/>
      <c r="G216" s="600"/>
      <c r="H216" s="588"/>
      <c r="I216" s="588"/>
      <c r="J216" s="588"/>
    </row>
    <row r="217" spans="1:10" x14ac:dyDescent="0.3">
      <c r="A217" s="588"/>
      <c r="B217" s="588"/>
      <c r="C217" s="588"/>
      <c r="D217" s="588"/>
      <c r="E217" s="588"/>
      <c r="F217" s="588"/>
      <c r="G217" s="600"/>
      <c r="H217" s="588"/>
      <c r="I217" s="588"/>
      <c r="J217" s="588"/>
    </row>
    <row r="218" spans="1:10" x14ac:dyDescent="0.3">
      <c r="A218" s="588"/>
      <c r="B218" s="588"/>
      <c r="C218" s="588"/>
      <c r="D218" s="588"/>
      <c r="E218" s="588"/>
      <c r="F218" s="588"/>
      <c r="G218" s="600"/>
      <c r="H218" s="588"/>
      <c r="I218" s="588"/>
      <c r="J218" s="588"/>
    </row>
    <row r="219" spans="1:10" x14ac:dyDescent="0.3">
      <c r="A219" s="588"/>
      <c r="B219" s="588"/>
      <c r="C219" s="588"/>
      <c r="D219" s="588"/>
      <c r="E219" s="588"/>
      <c r="F219" s="588"/>
      <c r="G219" s="600"/>
      <c r="H219" s="588"/>
      <c r="I219" s="588"/>
      <c r="J219" s="588"/>
    </row>
    <row r="220" spans="1:10" x14ac:dyDescent="0.3">
      <c r="A220" s="588"/>
      <c r="B220" s="588"/>
      <c r="C220" s="588"/>
      <c r="D220" s="588"/>
      <c r="E220" s="588"/>
      <c r="F220" s="588"/>
      <c r="G220" s="600"/>
      <c r="H220" s="588"/>
      <c r="I220" s="588"/>
      <c r="J220" s="588"/>
    </row>
    <row r="221" spans="1:10" x14ac:dyDescent="0.3">
      <c r="A221" s="588"/>
      <c r="B221" s="588"/>
      <c r="C221" s="588"/>
      <c r="D221" s="588"/>
      <c r="E221" s="588"/>
      <c r="F221" s="588"/>
      <c r="G221" s="600"/>
      <c r="H221" s="588"/>
      <c r="I221" s="588"/>
      <c r="J221" s="588"/>
    </row>
    <row r="222" spans="1:10" x14ac:dyDescent="0.3">
      <c r="A222" s="588"/>
      <c r="B222" s="588"/>
      <c r="C222" s="588"/>
      <c r="D222" s="588"/>
      <c r="E222" s="588"/>
      <c r="F222" s="588"/>
      <c r="G222" s="600"/>
      <c r="H222" s="588"/>
      <c r="I222" s="588"/>
      <c r="J222" s="588"/>
    </row>
    <row r="223" spans="1:10" x14ac:dyDescent="0.3">
      <c r="A223" s="588"/>
      <c r="B223" s="588"/>
      <c r="C223" s="588"/>
      <c r="D223" s="588"/>
      <c r="E223" s="588"/>
      <c r="F223" s="588"/>
      <c r="G223" s="600"/>
      <c r="H223" s="588"/>
      <c r="I223" s="588"/>
      <c r="J223" s="588"/>
    </row>
    <row r="224" spans="1:10" x14ac:dyDescent="0.3">
      <c r="A224" s="588"/>
      <c r="B224" s="588"/>
      <c r="C224" s="588"/>
      <c r="D224" s="588"/>
      <c r="E224" s="588"/>
      <c r="F224" s="588"/>
      <c r="G224" s="600"/>
      <c r="H224" s="588"/>
      <c r="I224" s="588"/>
      <c r="J224" s="588"/>
    </row>
    <row r="225" spans="1:10" x14ac:dyDescent="0.3">
      <c r="A225" s="588"/>
      <c r="B225" s="588"/>
      <c r="C225" s="588"/>
      <c r="D225" s="588"/>
      <c r="E225" s="588"/>
      <c r="F225" s="588"/>
      <c r="G225" s="600"/>
      <c r="H225" s="588"/>
      <c r="I225" s="588"/>
      <c r="J225" s="588"/>
    </row>
    <row r="226" spans="1:10" x14ac:dyDescent="0.3">
      <c r="A226" s="588"/>
      <c r="B226" s="588"/>
      <c r="C226" s="588"/>
      <c r="D226" s="588"/>
      <c r="E226" s="588"/>
      <c r="F226" s="588"/>
      <c r="G226" s="600"/>
      <c r="H226" s="588"/>
      <c r="I226" s="588"/>
      <c r="J226" s="588"/>
    </row>
    <row r="227" spans="1:10" x14ac:dyDescent="0.3">
      <c r="A227" s="588"/>
      <c r="B227" s="588"/>
      <c r="C227" s="588"/>
      <c r="D227" s="588"/>
      <c r="E227" s="588"/>
      <c r="F227" s="588"/>
      <c r="G227" s="600"/>
      <c r="H227" s="588"/>
      <c r="I227" s="588"/>
      <c r="J227" s="588"/>
    </row>
    <row r="228" spans="1:10" x14ac:dyDescent="0.3">
      <c r="A228" s="588"/>
      <c r="B228" s="588"/>
      <c r="C228" s="588"/>
      <c r="D228" s="588"/>
      <c r="E228" s="588"/>
      <c r="F228" s="588"/>
      <c r="G228" s="600"/>
      <c r="H228" s="588"/>
      <c r="I228" s="588"/>
      <c r="J228" s="588"/>
    </row>
    <row r="229" spans="1:10" x14ac:dyDescent="0.3">
      <c r="A229" s="588"/>
      <c r="B229" s="588"/>
      <c r="C229" s="588"/>
      <c r="D229" s="588"/>
      <c r="E229" s="588"/>
      <c r="F229" s="588"/>
      <c r="G229" s="600"/>
      <c r="H229" s="588"/>
      <c r="I229" s="588"/>
      <c r="J229" s="588"/>
    </row>
    <row r="230" spans="1:10" x14ac:dyDescent="0.3">
      <c r="A230" s="588"/>
      <c r="B230" s="588"/>
      <c r="C230" s="588"/>
      <c r="D230" s="588"/>
      <c r="E230" s="588"/>
      <c r="F230" s="588"/>
      <c r="G230" s="600"/>
      <c r="H230" s="588"/>
      <c r="I230" s="588"/>
      <c r="J230" s="588"/>
    </row>
    <row r="231" spans="1:10" x14ac:dyDescent="0.3">
      <c r="A231" s="588"/>
      <c r="B231" s="588"/>
      <c r="C231" s="588"/>
      <c r="D231" s="588"/>
      <c r="E231" s="588"/>
      <c r="F231" s="588"/>
      <c r="G231" s="600"/>
      <c r="H231" s="588"/>
      <c r="I231" s="588"/>
      <c r="J231" s="588"/>
    </row>
    <row r="232" spans="1:10" x14ac:dyDescent="0.3">
      <c r="A232" s="588"/>
      <c r="B232" s="588"/>
      <c r="C232" s="588"/>
      <c r="D232" s="588"/>
      <c r="E232" s="588"/>
      <c r="F232" s="588"/>
      <c r="G232" s="600"/>
      <c r="H232" s="588"/>
      <c r="I232" s="588"/>
      <c r="J232" s="588"/>
    </row>
    <row r="233" spans="1:10" x14ac:dyDescent="0.3">
      <c r="A233" s="588"/>
      <c r="B233" s="588"/>
      <c r="C233" s="588"/>
      <c r="D233" s="588"/>
      <c r="E233" s="588"/>
      <c r="F233" s="588"/>
      <c r="G233" s="600"/>
      <c r="H233" s="588"/>
      <c r="I233" s="588"/>
      <c r="J233" s="588"/>
    </row>
    <row r="234" spans="1:10" x14ac:dyDescent="0.3">
      <c r="A234" s="588"/>
      <c r="B234" s="588"/>
      <c r="C234" s="588"/>
      <c r="D234" s="588"/>
      <c r="E234" s="588"/>
      <c r="F234" s="588"/>
      <c r="G234" s="600"/>
      <c r="H234" s="588"/>
      <c r="I234" s="588"/>
      <c r="J234" s="588"/>
    </row>
    <row r="235" spans="1:10" x14ac:dyDescent="0.3">
      <c r="A235" s="588"/>
      <c r="B235" s="588"/>
      <c r="C235" s="588"/>
      <c r="D235" s="588"/>
      <c r="E235" s="588"/>
      <c r="F235" s="588"/>
      <c r="G235" s="600"/>
      <c r="H235" s="588"/>
      <c r="I235" s="588"/>
      <c r="J235" s="588"/>
    </row>
    <row r="236" spans="1:10" x14ac:dyDescent="0.3">
      <c r="A236" s="588"/>
      <c r="B236" s="588"/>
      <c r="C236" s="588"/>
      <c r="D236" s="588"/>
      <c r="E236" s="588"/>
      <c r="F236" s="588"/>
      <c r="G236" s="600"/>
      <c r="H236" s="588"/>
      <c r="I236" s="588"/>
      <c r="J236" s="588"/>
    </row>
    <row r="237" spans="1:10" x14ac:dyDescent="0.3">
      <c r="A237" s="588"/>
      <c r="B237" s="588"/>
      <c r="C237" s="588"/>
      <c r="D237" s="588"/>
      <c r="E237" s="588"/>
      <c r="F237" s="588"/>
      <c r="G237" s="600"/>
      <c r="H237" s="588"/>
      <c r="I237" s="588"/>
      <c r="J237" s="588"/>
    </row>
    <row r="238" spans="1:10" x14ac:dyDescent="0.3">
      <c r="A238" s="588"/>
      <c r="B238" s="588"/>
      <c r="C238" s="588"/>
      <c r="D238" s="588"/>
      <c r="E238" s="588"/>
      <c r="F238" s="588"/>
      <c r="G238" s="600"/>
      <c r="H238" s="588"/>
      <c r="I238" s="588"/>
      <c r="J238" s="588"/>
    </row>
    <row r="239" spans="1:10" x14ac:dyDescent="0.3">
      <c r="A239" s="588"/>
      <c r="B239" s="588"/>
      <c r="C239" s="588"/>
      <c r="D239" s="588"/>
      <c r="E239" s="588"/>
      <c r="F239" s="588"/>
      <c r="G239" s="600"/>
      <c r="H239" s="588"/>
      <c r="I239" s="588"/>
      <c r="J239" s="588"/>
    </row>
    <row r="240" spans="1:10" x14ac:dyDescent="0.3">
      <c r="A240" s="588"/>
      <c r="B240" s="588"/>
      <c r="C240" s="588"/>
      <c r="D240" s="588"/>
      <c r="E240" s="588"/>
      <c r="F240" s="588"/>
      <c r="G240" s="600"/>
      <c r="H240" s="588"/>
      <c r="I240" s="588"/>
      <c r="J240" s="588"/>
    </row>
    <row r="241" spans="1:10" x14ac:dyDescent="0.3">
      <c r="A241" s="588"/>
      <c r="B241" s="588"/>
      <c r="C241" s="588"/>
      <c r="D241" s="588"/>
      <c r="E241" s="588"/>
      <c r="F241" s="588"/>
      <c r="G241" s="600"/>
      <c r="H241" s="588"/>
      <c r="I241" s="588"/>
      <c r="J241" s="588"/>
    </row>
    <row r="242" spans="1:10" x14ac:dyDescent="0.3">
      <c r="A242" s="588"/>
      <c r="B242" s="588"/>
      <c r="C242" s="588"/>
      <c r="D242" s="588"/>
      <c r="E242" s="588"/>
      <c r="F242" s="588"/>
      <c r="G242" s="600"/>
      <c r="H242" s="588"/>
      <c r="I242" s="588"/>
      <c r="J242" s="588"/>
    </row>
    <row r="243" spans="1:10" x14ac:dyDescent="0.3">
      <c r="A243" s="588"/>
      <c r="B243" s="588"/>
      <c r="C243" s="588"/>
      <c r="D243" s="588"/>
      <c r="E243" s="588"/>
      <c r="F243" s="588"/>
      <c r="G243" s="600"/>
      <c r="H243" s="588"/>
      <c r="I243" s="588"/>
      <c r="J243" s="588"/>
    </row>
    <row r="244" spans="1:10" x14ac:dyDescent="0.3">
      <c r="A244" s="588"/>
      <c r="B244" s="588"/>
      <c r="C244" s="588"/>
      <c r="D244" s="588"/>
      <c r="E244" s="588"/>
      <c r="F244" s="588"/>
      <c r="G244" s="600"/>
      <c r="H244" s="588"/>
      <c r="I244" s="588"/>
      <c r="J244" s="588"/>
    </row>
    <row r="245" spans="1:10" x14ac:dyDescent="0.3">
      <c r="A245" s="588"/>
      <c r="B245" s="588"/>
      <c r="C245" s="588"/>
      <c r="D245" s="588"/>
      <c r="E245" s="588"/>
      <c r="F245" s="588"/>
      <c r="G245" s="600"/>
      <c r="H245" s="588"/>
      <c r="I245" s="588"/>
      <c r="J245" s="588"/>
    </row>
    <row r="246" spans="1:10" x14ac:dyDescent="0.3">
      <c r="A246" s="588"/>
      <c r="B246" s="588"/>
      <c r="C246" s="588"/>
      <c r="D246" s="588"/>
      <c r="E246" s="588"/>
      <c r="F246" s="588"/>
      <c r="G246" s="600"/>
      <c r="H246" s="588"/>
      <c r="I246" s="588"/>
      <c r="J246" s="588"/>
    </row>
    <row r="247" spans="1:10" x14ac:dyDescent="0.3">
      <c r="A247" s="588"/>
      <c r="B247" s="588"/>
      <c r="C247" s="588"/>
      <c r="D247" s="588"/>
      <c r="E247" s="588"/>
      <c r="F247" s="588"/>
      <c r="G247" s="600"/>
      <c r="H247" s="588"/>
      <c r="I247" s="588"/>
      <c r="J247" s="588"/>
    </row>
    <row r="248" spans="1:10" x14ac:dyDescent="0.3">
      <c r="A248" s="588"/>
      <c r="B248" s="588"/>
      <c r="C248" s="588"/>
      <c r="D248" s="588"/>
      <c r="E248" s="588"/>
      <c r="F248" s="588"/>
      <c r="G248" s="600"/>
      <c r="H248" s="588"/>
      <c r="I248" s="588"/>
      <c r="J248" s="588"/>
    </row>
    <row r="249" spans="1:10" x14ac:dyDescent="0.3">
      <c r="A249" s="588"/>
      <c r="B249" s="588"/>
      <c r="C249" s="588"/>
      <c r="D249" s="588"/>
      <c r="E249" s="588"/>
      <c r="F249" s="588"/>
      <c r="G249" s="600"/>
      <c r="H249" s="588"/>
      <c r="I249" s="588"/>
      <c r="J249" s="588"/>
    </row>
    <row r="250" spans="1:10" x14ac:dyDescent="0.3">
      <c r="A250" s="588"/>
      <c r="B250" s="588"/>
      <c r="C250" s="588"/>
      <c r="D250" s="588"/>
      <c r="E250" s="588"/>
      <c r="F250" s="588"/>
      <c r="G250" s="600"/>
      <c r="H250" s="588"/>
      <c r="I250" s="588"/>
      <c r="J250" s="588"/>
    </row>
    <row r="251" spans="1:10" x14ac:dyDescent="0.3">
      <c r="A251" s="588"/>
      <c r="B251" s="588"/>
      <c r="C251" s="588"/>
      <c r="D251" s="588"/>
      <c r="E251" s="588"/>
      <c r="F251" s="588"/>
      <c r="G251" s="600"/>
      <c r="H251" s="588"/>
      <c r="I251" s="588"/>
      <c r="J251" s="588"/>
    </row>
    <row r="252" spans="1:10" x14ac:dyDescent="0.3">
      <c r="A252" s="588"/>
      <c r="B252" s="588"/>
      <c r="C252" s="588"/>
      <c r="D252" s="588"/>
      <c r="E252" s="588"/>
      <c r="F252" s="588"/>
      <c r="G252" s="600"/>
      <c r="H252" s="588"/>
      <c r="I252" s="588"/>
      <c r="J252" s="588"/>
    </row>
    <row r="253" spans="1:10" x14ac:dyDescent="0.3">
      <c r="A253" s="588"/>
      <c r="B253" s="588"/>
      <c r="C253" s="588"/>
      <c r="D253" s="588"/>
      <c r="E253" s="588"/>
      <c r="F253" s="588"/>
      <c r="G253" s="600"/>
      <c r="H253" s="588"/>
      <c r="I253" s="588"/>
      <c r="J253" s="588"/>
    </row>
    <row r="254" spans="1:10" x14ac:dyDescent="0.3">
      <c r="A254" s="588"/>
      <c r="B254" s="588"/>
      <c r="C254" s="588"/>
      <c r="D254" s="588"/>
      <c r="E254" s="588"/>
      <c r="F254" s="588"/>
      <c r="G254" s="600"/>
      <c r="H254" s="588"/>
      <c r="I254" s="588"/>
      <c r="J254" s="588"/>
    </row>
    <row r="255" spans="1:10" x14ac:dyDescent="0.3">
      <c r="A255" s="588"/>
      <c r="B255" s="588"/>
      <c r="C255" s="588"/>
      <c r="D255" s="588"/>
      <c r="E255" s="588"/>
      <c r="F255" s="588"/>
      <c r="G255" s="600"/>
      <c r="H255" s="588"/>
      <c r="I255" s="588"/>
      <c r="J255" s="588"/>
    </row>
    <row r="256" spans="1:10" x14ac:dyDescent="0.3">
      <c r="A256" s="588"/>
      <c r="B256" s="588"/>
      <c r="C256" s="588"/>
      <c r="D256" s="588"/>
      <c r="E256" s="588"/>
      <c r="F256" s="588"/>
      <c r="G256" s="600"/>
      <c r="H256" s="588"/>
      <c r="I256" s="588"/>
      <c r="J256" s="588"/>
    </row>
    <row r="257" spans="1:10" x14ac:dyDescent="0.3">
      <c r="A257" s="588"/>
      <c r="B257" s="588"/>
      <c r="C257" s="588"/>
      <c r="D257" s="588"/>
      <c r="E257" s="588"/>
      <c r="F257" s="588"/>
      <c r="G257" s="600"/>
      <c r="H257" s="588"/>
      <c r="I257" s="588"/>
      <c r="J257" s="588"/>
    </row>
    <row r="258" spans="1:10" x14ac:dyDescent="0.3">
      <c r="A258" s="588"/>
      <c r="B258" s="588"/>
      <c r="C258" s="588"/>
      <c r="D258" s="588"/>
      <c r="E258" s="588"/>
      <c r="F258" s="588"/>
      <c r="G258" s="600"/>
      <c r="H258" s="588"/>
      <c r="I258" s="588"/>
      <c r="J258" s="588"/>
    </row>
    <row r="259" spans="1:10" x14ac:dyDescent="0.3">
      <c r="A259" s="588"/>
      <c r="B259" s="588"/>
      <c r="C259" s="588"/>
      <c r="D259" s="588"/>
      <c r="E259" s="588"/>
      <c r="F259" s="588"/>
      <c r="G259" s="600"/>
      <c r="H259" s="588"/>
      <c r="I259" s="588"/>
      <c r="J259" s="588"/>
    </row>
    <row r="260" spans="1:10" x14ac:dyDescent="0.3">
      <c r="A260" s="588"/>
      <c r="B260" s="588"/>
      <c r="C260" s="588"/>
      <c r="D260" s="588"/>
      <c r="E260" s="588"/>
      <c r="F260" s="588"/>
      <c r="G260" s="600"/>
      <c r="H260" s="588"/>
      <c r="I260" s="588"/>
      <c r="J260" s="588"/>
    </row>
    <row r="261" spans="1:10" x14ac:dyDescent="0.3">
      <c r="A261" s="588"/>
      <c r="B261" s="588"/>
      <c r="C261" s="588"/>
      <c r="D261" s="588"/>
      <c r="E261" s="588"/>
      <c r="F261" s="588"/>
      <c r="G261" s="600"/>
      <c r="H261" s="588"/>
      <c r="I261" s="588"/>
      <c r="J261" s="588"/>
    </row>
    <row r="262" spans="1:10" x14ac:dyDescent="0.3">
      <c r="A262" s="588"/>
      <c r="B262" s="588"/>
      <c r="C262" s="588"/>
      <c r="D262" s="588"/>
      <c r="E262" s="588"/>
      <c r="F262" s="588"/>
      <c r="G262" s="600"/>
      <c r="H262" s="588"/>
      <c r="I262" s="588"/>
      <c r="J262" s="588"/>
    </row>
    <row r="263" spans="1:10" x14ac:dyDescent="0.3">
      <c r="A263" s="588"/>
      <c r="B263" s="588"/>
      <c r="C263" s="588"/>
      <c r="D263" s="588"/>
      <c r="E263" s="588"/>
      <c r="F263" s="588"/>
      <c r="G263" s="600"/>
      <c r="H263" s="588"/>
      <c r="I263" s="588"/>
      <c r="J263" s="588"/>
    </row>
    <row r="264" spans="1:10" x14ac:dyDescent="0.3">
      <c r="A264" s="588"/>
      <c r="B264" s="588"/>
      <c r="C264" s="588"/>
      <c r="D264" s="588"/>
      <c r="E264" s="588"/>
      <c r="F264" s="588"/>
      <c r="G264" s="600"/>
      <c r="H264" s="588"/>
      <c r="I264" s="588"/>
      <c r="J264" s="588"/>
    </row>
    <row r="265" spans="1:10" x14ac:dyDescent="0.3">
      <c r="A265" s="588"/>
      <c r="B265" s="588"/>
      <c r="C265" s="588"/>
      <c r="D265" s="588"/>
      <c r="E265" s="588"/>
      <c r="F265" s="588"/>
      <c r="G265" s="600"/>
      <c r="H265" s="588"/>
      <c r="I265" s="588"/>
      <c r="J265" s="588"/>
    </row>
    <row r="266" spans="1:10" x14ac:dyDescent="0.3">
      <c r="A266" s="588"/>
      <c r="B266" s="588"/>
      <c r="C266" s="588"/>
      <c r="D266" s="588"/>
      <c r="E266" s="588"/>
      <c r="F266" s="588"/>
      <c r="G266" s="600"/>
      <c r="H266" s="588"/>
      <c r="I266" s="588"/>
      <c r="J266" s="588"/>
    </row>
    <row r="267" spans="1:10" x14ac:dyDescent="0.3">
      <c r="A267" s="588"/>
      <c r="B267" s="588"/>
      <c r="C267" s="588"/>
      <c r="D267" s="588"/>
      <c r="E267" s="588"/>
      <c r="F267" s="588"/>
      <c r="G267" s="600"/>
      <c r="H267" s="588"/>
      <c r="I267" s="588"/>
      <c r="J267" s="588"/>
    </row>
    <row r="268" spans="1:10" x14ac:dyDescent="0.3">
      <c r="A268" s="588"/>
      <c r="B268" s="588"/>
      <c r="C268" s="588"/>
      <c r="D268" s="588"/>
      <c r="E268" s="588"/>
      <c r="F268" s="588"/>
      <c r="G268" s="600"/>
      <c r="H268" s="588"/>
      <c r="I268" s="588"/>
      <c r="J268" s="588"/>
    </row>
    <row r="269" spans="1:10" x14ac:dyDescent="0.3">
      <c r="A269" s="588"/>
      <c r="B269" s="588"/>
      <c r="C269" s="588"/>
      <c r="D269" s="588"/>
      <c r="E269" s="588"/>
      <c r="F269" s="588"/>
      <c r="G269" s="600"/>
      <c r="H269" s="588"/>
      <c r="I269" s="588"/>
      <c r="J269" s="588"/>
    </row>
    <row r="270" spans="1:10" x14ac:dyDescent="0.3">
      <c r="A270" s="588"/>
      <c r="B270" s="588"/>
      <c r="C270" s="588"/>
      <c r="D270" s="588"/>
      <c r="E270" s="588"/>
      <c r="F270" s="588"/>
      <c r="G270" s="600"/>
      <c r="H270" s="588"/>
      <c r="I270" s="588"/>
      <c r="J270" s="588"/>
    </row>
    <row r="271" spans="1:10" x14ac:dyDescent="0.3">
      <c r="A271" s="588"/>
      <c r="B271" s="588"/>
      <c r="C271" s="588"/>
      <c r="D271" s="588"/>
      <c r="E271" s="588"/>
      <c r="F271" s="588"/>
      <c r="G271" s="600"/>
      <c r="H271" s="588"/>
      <c r="I271" s="588"/>
      <c r="J271" s="588"/>
    </row>
    <row r="272" spans="1:10" x14ac:dyDescent="0.3">
      <c r="A272" s="588"/>
      <c r="B272" s="588"/>
      <c r="C272" s="588"/>
      <c r="D272" s="588"/>
      <c r="E272" s="588"/>
      <c r="F272" s="588"/>
      <c r="G272" s="600"/>
      <c r="H272" s="588"/>
      <c r="I272" s="588"/>
      <c r="J272" s="588"/>
    </row>
    <row r="273" spans="1:10" x14ac:dyDescent="0.3">
      <c r="A273" s="588"/>
      <c r="B273" s="588"/>
      <c r="C273" s="588"/>
      <c r="D273" s="588"/>
      <c r="E273" s="588"/>
      <c r="F273" s="588"/>
      <c r="G273" s="600"/>
      <c r="H273" s="588"/>
      <c r="I273" s="588"/>
      <c r="J273" s="588"/>
    </row>
    <row r="274" spans="1:10" x14ac:dyDescent="0.3">
      <c r="A274" s="588"/>
      <c r="B274" s="588"/>
      <c r="C274" s="588"/>
      <c r="D274" s="588"/>
      <c r="E274" s="588"/>
      <c r="F274" s="588"/>
      <c r="G274" s="600"/>
      <c r="H274" s="588"/>
      <c r="I274" s="588"/>
      <c r="J274" s="588"/>
    </row>
    <row r="275" spans="1:10" x14ac:dyDescent="0.3">
      <c r="A275" s="588"/>
      <c r="B275" s="588"/>
      <c r="C275" s="588"/>
      <c r="D275" s="588"/>
      <c r="E275" s="588"/>
      <c r="F275" s="588"/>
      <c r="G275" s="600"/>
      <c r="H275" s="588"/>
      <c r="I275" s="588"/>
      <c r="J275" s="588"/>
    </row>
    <row r="276" spans="1:10" x14ac:dyDescent="0.3">
      <c r="A276" s="588"/>
      <c r="B276" s="588"/>
      <c r="C276" s="588"/>
      <c r="D276" s="588"/>
      <c r="E276" s="588"/>
      <c r="F276" s="588"/>
      <c r="G276" s="600"/>
      <c r="H276" s="588"/>
      <c r="I276" s="588"/>
      <c r="J276" s="588"/>
    </row>
    <row r="277" spans="1:10" x14ac:dyDescent="0.3">
      <c r="A277" s="588"/>
      <c r="B277" s="588"/>
      <c r="C277" s="588"/>
      <c r="D277" s="588"/>
      <c r="E277" s="588"/>
      <c r="F277" s="588"/>
      <c r="G277" s="600"/>
      <c r="H277" s="588"/>
      <c r="I277" s="588"/>
      <c r="J277" s="588"/>
    </row>
    <row r="278" spans="1:10" x14ac:dyDescent="0.3">
      <c r="A278" s="588"/>
      <c r="B278" s="588"/>
      <c r="C278" s="588"/>
      <c r="D278" s="588"/>
      <c r="E278" s="588"/>
      <c r="F278" s="588"/>
      <c r="G278" s="600"/>
      <c r="H278" s="588"/>
      <c r="I278" s="588"/>
      <c r="J278" s="588"/>
    </row>
    <row r="279" spans="1:10" x14ac:dyDescent="0.3">
      <c r="A279" s="588"/>
      <c r="B279" s="588"/>
      <c r="C279" s="588"/>
      <c r="D279" s="588"/>
      <c r="E279" s="588"/>
      <c r="F279" s="588"/>
      <c r="G279" s="600"/>
      <c r="H279" s="588"/>
      <c r="I279" s="588"/>
      <c r="J279" s="588"/>
    </row>
    <row r="280" spans="1:10" x14ac:dyDescent="0.3">
      <c r="A280" s="588"/>
      <c r="B280" s="588"/>
      <c r="C280" s="588"/>
      <c r="D280" s="588"/>
      <c r="E280" s="588"/>
      <c r="F280" s="588"/>
      <c r="G280" s="600"/>
      <c r="H280" s="588"/>
      <c r="I280" s="588"/>
      <c r="J280" s="588"/>
    </row>
    <row r="281" spans="1:10" x14ac:dyDescent="0.3">
      <c r="A281" s="588"/>
      <c r="B281" s="588"/>
      <c r="C281" s="588"/>
      <c r="D281" s="588"/>
      <c r="E281" s="588"/>
      <c r="F281" s="588"/>
      <c r="G281" s="600"/>
      <c r="H281" s="588"/>
      <c r="I281" s="588"/>
      <c r="J281" s="588"/>
    </row>
    <row r="282" spans="1:10" x14ac:dyDescent="0.3">
      <c r="A282" s="588"/>
      <c r="B282" s="588"/>
      <c r="C282" s="588"/>
      <c r="D282" s="588"/>
      <c r="E282" s="588"/>
      <c r="F282" s="588"/>
      <c r="G282" s="600"/>
      <c r="H282" s="588"/>
      <c r="I282" s="588"/>
      <c r="J282" s="588"/>
    </row>
    <row r="283" spans="1:10" x14ac:dyDescent="0.3">
      <c r="A283" s="588"/>
      <c r="B283" s="588"/>
      <c r="C283" s="588"/>
      <c r="D283" s="588"/>
      <c r="E283" s="588"/>
      <c r="F283" s="588"/>
      <c r="G283" s="600"/>
      <c r="H283" s="588"/>
      <c r="I283" s="588"/>
      <c r="J283" s="588"/>
    </row>
    <row r="284" spans="1:10" x14ac:dyDescent="0.3">
      <c r="A284" s="588"/>
      <c r="B284" s="588"/>
      <c r="C284" s="588"/>
      <c r="D284" s="588"/>
      <c r="E284" s="588"/>
      <c r="F284" s="588"/>
      <c r="G284" s="600"/>
      <c r="H284" s="588"/>
      <c r="I284" s="588"/>
      <c r="J284" s="588"/>
    </row>
    <row r="285" spans="1:10" x14ac:dyDescent="0.3">
      <c r="A285" s="588"/>
      <c r="B285" s="588"/>
      <c r="C285" s="588"/>
      <c r="D285" s="588"/>
      <c r="E285" s="588"/>
      <c r="F285" s="588"/>
      <c r="G285" s="600"/>
      <c r="H285" s="588"/>
      <c r="I285" s="588"/>
      <c r="J285" s="588"/>
    </row>
    <row r="286" spans="1:10" x14ac:dyDescent="0.3">
      <c r="A286" s="588"/>
      <c r="B286" s="588"/>
      <c r="C286" s="588"/>
      <c r="D286" s="588"/>
      <c r="E286" s="588"/>
      <c r="F286" s="588"/>
      <c r="G286" s="600"/>
      <c r="H286" s="588"/>
      <c r="I286" s="588"/>
      <c r="J286" s="588"/>
    </row>
    <row r="287" spans="1:10" x14ac:dyDescent="0.3">
      <c r="A287" s="588"/>
      <c r="B287" s="588"/>
      <c r="C287" s="588"/>
      <c r="D287" s="588"/>
      <c r="E287" s="588"/>
      <c r="F287" s="588"/>
      <c r="G287" s="600"/>
      <c r="H287" s="588"/>
      <c r="I287" s="588"/>
      <c r="J287" s="588"/>
    </row>
    <row r="288" spans="1:10" x14ac:dyDescent="0.3">
      <c r="A288" s="588"/>
      <c r="B288" s="588"/>
      <c r="C288" s="588"/>
      <c r="D288" s="588"/>
      <c r="E288" s="588"/>
      <c r="F288" s="588"/>
      <c r="G288" s="600"/>
      <c r="H288" s="588"/>
      <c r="I288" s="588"/>
      <c r="J288" s="588"/>
    </row>
    <row r="289" spans="1:10" x14ac:dyDescent="0.3">
      <c r="A289" s="588"/>
      <c r="B289" s="588"/>
      <c r="C289" s="588"/>
      <c r="D289" s="588"/>
      <c r="E289" s="588"/>
      <c r="F289" s="588"/>
      <c r="G289" s="600"/>
      <c r="H289" s="588"/>
      <c r="I289" s="588"/>
      <c r="J289" s="588"/>
    </row>
    <row r="290" spans="1:10" x14ac:dyDescent="0.3">
      <c r="A290" s="588"/>
      <c r="B290" s="588"/>
      <c r="C290" s="588"/>
      <c r="D290" s="588"/>
      <c r="E290" s="588"/>
      <c r="F290" s="588"/>
      <c r="G290" s="600"/>
      <c r="H290" s="588"/>
      <c r="I290" s="588"/>
      <c r="J290" s="588"/>
    </row>
    <row r="291" spans="1:10" x14ac:dyDescent="0.3">
      <c r="A291" s="588"/>
      <c r="B291" s="588"/>
      <c r="C291" s="588"/>
      <c r="D291" s="588"/>
      <c r="E291" s="588"/>
      <c r="F291" s="588"/>
      <c r="G291" s="600"/>
      <c r="H291" s="588"/>
      <c r="I291" s="588"/>
      <c r="J291" s="588"/>
    </row>
    <row r="292" spans="1:10" x14ac:dyDescent="0.3">
      <c r="A292" s="588"/>
      <c r="B292" s="588"/>
      <c r="C292" s="588"/>
      <c r="D292" s="588"/>
      <c r="E292" s="588"/>
      <c r="F292" s="588"/>
      <c r="G292" s="600"/>
      <c r="H292" s="588"/>
      <c r="I292" s="588"/>
      <c r="J292" s="588"/>
    </row>
    <row r="293" spans="1:10" x14ac:dyDescent="0.3">
      <c r="A293" s="588"/>
      <c r="B293" s="588"/>
      <c r="C293" s="588"/>
      <c r="D293" s="588"/>
      <c r="E293" s="588"/>
      <c r="F293" s="588"/>
      <c r="G293" s="600"/>
      <c r="H293" s="588"/>
      <c r="I293" s="588"/>
      <c r="J293" s="588"/>
    </row>
    <row r="294" spans="1:10" x14ac:dyDescent="0.3">
      <c r="A294" s="588"/>
      <c r="B294" s="588"/>
      <c r="C294" s="588"/>
      <c r="D294" s="588"/>
      <c r="E294" s="588"/>
      <c r="F294" s="588"/>
      <c r="G294" s="600"/>
      <c r="H294" s="588"/>
      <c r="I294" s="588"/>
      <c r="J294" s="588"/>
    </row>
    <row r="295" spans="1:10" x14ac:dyDescent="0.3">
      <c r="A295" s="588"/>
      <c r="B295" s="588"/>
      <c r="C295" s="588"/>
      <c r="D295" s="588"/>
      <c r="E295" s="588"/>
      <c r="F295" s="588"/>
      <c r="G295" s="600"/>
      <c r="H295" s="588"/>
      <c r="I295" s="588"/>
      <c r="J295" s="588"/>
    </row>
    <row r="296" spans="1:10" x14ac:dyDescent="0.3">
      <c r="A296" s="588"/>
      <c r="B296" s="588"/>
      <c r="C296" s="588"/>
      <c r="D296" s="588"/>
      <c r="E296" s="588"/>
      <c r="F296" s="588"/>
      <c r="G296" s="600"/>
      <c r="H296" s="588"/>
      <c r="I296" s="588"/>
      <c r="J296" s="588"/>
    </row>
    <row r="297" spans="1:10" x14ac:dyDescent="0.3">
      <c r="A297" s="588"/>
      <c r="B297" s="588"/>
      <c r="C297" s="588"/>
      <c r="D297" s="588"/>
      <c r="E297" s="588"/>
      <c r="F297" s="588"/>
      <c r="G297" s="600"/>
      <c r="H297" s="588"/>
      <c r="I297" s="588"/>
      <c r="J297" s="588"/>
    </row>
    <row r="298" spans="1:10" x14ac:dyDescent="0.3">
      <c r="A298" s="588"/>
      <c r="B298" s="588"/>
      <c r="C298" s="588"/>
      <c r="D298" s="588"/>
      <c r="E298" s="588"/>
      <c r="F298" s="588"/>
      <c r="G298" s="600"/>
      <c r="H298" s="588"/>
      <c r="I298" s="588"/>
      <c r="J298" s="588"/>
    </row>
    <row r="299" spans="1:10" x14ac:dyDescent="0.3">
      <c r="A299" s="588"/>
      <c r="B299" s="588"/>
      <c r="C299" s="588"/>
      <c r="D299" s="588"/>
      <c r="E299" s="588"/>
      <c r="F299" s="588"/>
      <c r="G299" s="600"/>
      <c r="H299" s="588"/>
      <c r="I299" s="588"/>
      <c r="J299" s="588"/>
    </row>
    <row r="300" spans="1:10" x14ac:dyDescent="0.3">
      <c r="A300" s="588"/>
      <c r="B300" s="588"/>
      <c r="C300" s="588"/>
      <c r="D300" s="588"/>
      <c r="E300" s="588"/>
      <c r="F300" s="588"/>
      <c r="G300" s="600"/>
      <c r="H300" s="588"/>
      <c r="I300" s="588"/>
      <c r="J300" s="588"/>
    </row>
    <row r="301" spans="1:10" x14ac:dyDescent="0.3">
      <c r="A301" s="588"/>
      <c r="B301" s="588"/>
      <c r="C301" s="588"/>
      <c r="D301" s="588"/>
      <c r="E301" s="588"/>
      <c r="F301" s="588"/>
      <c r="G301" s="600"/>
      <c r="H301" s="588"/>
      <c r="I301" s="588"/>
      <c r="J301" s="588"/>
    </row>
    <row r="302" spans="1:10" x14ac:dyDescent="0.3">
      <c r="A302" s="588"/>
      <c r="B302" s="588"/>
      <c r="C302" s="588"/>
      <c r="D302" s="588"/>
      <c r="E302" s="588"/>
      <c r="F302" s="588"/>
      <c r="G302" s="600"/>
      <c r="H302" s="588"/>
      <c r="I302" s="588"/>
      <c r="J302" s="588"/>
    </row>
    <row r="303" spans="1:10" x14ac:dyDescent="0.3">
      <c r="A303" s="588"/>
      <c r="B303" s="588"/>
      <c r="C303" s="588"/>
      <c r="D303" s="588"/>
      <c r="E303" s="588"/>
      <c r="F303" s="588"/>
      <c r="G303" s="600"/>
      <c r="H303" s="588"/>
      <c r="I303" s="588"/>
      <c r="J303" s="588"/>
    </row>
    <row r="304" spans="1:10" x14ac:dyDescent="0.3">
      <c r="A304" s="588"/>
      <c r="B304" s="588"/>
      <c r="C304" s="588"/>
      <c r="D304" s="588"/>
      <c r="E304" s="588"/>
      <c r="F304" s="588"/>
      <c r="G304" s="600"/>
      <c r="H304" s="588"/>
      <c r="I304" s="588"/>
      <c r="J304" s="588"/>
    </row>
    <row r="305" spans="1:10" x14ac:dyDescent="0.3">
      <c r="A305" s="588"/>
      <c r="B305" s="588"/>
      <c r="C305" s="588"/>
      <c r="D305" s="588"/>
      <c r="E305" s="588"/>
      <c r="F305" s="588"/>
      <c r="G305" s="600"/>
      <c r="H305" s="588"/>
      <c r="I305" s="588"/>
      <c r="J305" s="588"/>
    </row>
    <row r="306" spans="1:10" x14ac:dyDescent="0.3">
      <c r="A306" s="588"/>
      <c r="B306" s="588"/>
      <c r="C306" s="588"/>
      <c r="D306" s="588"/>
      <c r="E306" s="588"/>
      <c r="F306" s="588"/>
      <c r="G306" s="600"/>
      <c r="H306" s="588"/>
      <c r="I306" s="588"/>
      <c r="J306" s="588"/>
    </row>
    <row r="307" spans="1:10" x14ac:dyDescent="0.3">
      <c r="A307" s="588"/>
      <c r="B307" s="588"/>
      <c r="C307" s="588"/>
      <c r="D307" s="588"/>
      <c r="E307" s="588"/>
      <c r="F307" s="588"/>
      <c r="G307" s="600"/>
      <c r="H307" s="588"/>
      <c r="I307" s="588"/>
      <c r="J307" s="588"/>
    </row>
    <row r="308" spans="1:10" x14ac:dyDescent="0.3">
      <c r="A308" s="588"/>
      <c r="B308" s="588"/>
      <c r="C308" s="588"/>
      <c r="D308" s="588"/>
      <c r="E308" s="588"/>
      <c r="F308" s="588"/>
      <c r="G308" s="600"/>
      <c r="H308" s="588"/>
      <c r="I308" s="588"/>
      <c r="J308" s="588"/>
    </row>
    <row r="309" spans="1:10" x14ac:dyDescent="0.3">
      <c r="A309" s="588"/>
      <c r="B309" s="588"/>
      <c r="C309" s="588"/>
      <c r="D309" s="588"/>
      <c r="E309" s="588"/>
      <c r="F309" s="588"/>
      <c r="G309" s="600"/>
      <c r="H309" s="588"/>
      <c r="I309" s="588"/>
      <c r="J309" s="588"/>
    </row>
    <row r="310" spans="1:10" x14ac:dyDescent="0.3">
      <c r="A310" s="588"/>
      <c r="B310" s="588"/>
      <c r="C310" s="588"/>
      <c r="D310" s="588"/>
      <c r="E310" s="588"/>
      <c r="F310" s="588"/>
      <c r="G310" s="600"/>
      <c r="H310" s="588"/>
      <c r="I310" s="588"/>
      <c r="J310" s="588"/>
    </row>
    <row r="311" spans="1:10" x14ac:dyDescent="0.3">
      <c r="A311" s="588"/>
      <c r="B311" s="588"/>
      <c r="C311" s="588"/>
      <c r="D311" s="588"/>
      <c r="E311" s="588"/>
      <c r="F311" s="588"/>
      <c r="G311" s="600"/>
      <c r="H311" s="588"/>
      <c r="I311" s="588"/>
      <c r="J311" s="588"/>
    </row>
    <row r="312" spans="1:10" x14ac:dyDescent="0.3">
      <c r="A312" s="588"/>
      <c r="B312" s="588"/>
      <c r="C312" s="588"/>
      <c r="D312" s="588"/>
      <c r="E312" s="588"/>
      <c r="F312" s="588"/>
      <c r="G312" s="600"/>
      <c r="H312" s="588"/>
      <c r="I312" s="588"/>
      <c r="J312" s="588"/>
    </row>
    <row r="313" spans="1:10" x14ac:dyDescent="0.3">
      <c r="A313" s="588"/>
      <c r="B313" s="588"/>
      <c r="C313" s="588"/>
      <c r="D313" s="588"/>
      <c r="E313" s="588"/>
      <c r="F313" s="588"/>
      <c r="G313" s="600"/>
      <c r="H313" s="588"/>
      <c r="I313" s="588"/>
      <c r="J313" s="588"/>
    </row>
    <row r="314" spans="1:10" x14ac:dyDescent="0.3">
      <c r="A314" s="588"/>
      <c r="B314" s="588"/>
      <c r="C314" s="588"/>
      <c r="D314" s="588"/>
      <c r="E314" s="588"/>
      <c r="F314" s="588"/>
      <c r="G314" s="600"/>
      <c r="H314" s="588"/>
      <c r="I314" s="588"/>
      <c r="J314" s="588"/>
    </row>
    <row r="315" spans="1:10" x14ac:dyDescent="0.3">
      <c r="A315" s="588"/>
      <c r="B315" s="588"/>
      <c r="C315" s="588"/>
      <c r="D315" s="588"/>
      <c r="E315" s="588"/>
      <c r="F315" s="588"/>
      <c r="G315" s="600"/>
      <c r="H315" s="588"/>
      <c r="I315" s="588"/>
      <c r="J315" s="588"/>
    </row>
    <row r="316" spans="1:10" x14ac:dyDescent="0.3">
      <c r="A316" s="588"/>
      <c r="B316" s="588"/>
      <c r="C316" s="588"/>
      <c r="D316" s="588"/>
      <c r="E316" s="588"/>
      <c r="F316" s="588"/>
      <c r="G316" s="600"/>
      <c r="H316" s="588"/>
      <c r="I316" s="588"/>
      <c r="J316" s="588"/>
    </row>
    <row r="317" spans="1:10" x14ac:dyDescent="0.3">
      <c r="A317" s="588"/>
      <c r="B317" s="588"/>
      <c r="C317" s="588"/>
      <c r="D317" s="588"/>
      <c r="E317" s="588"/>
      <c r="F317" s="588"/>
      <c r="G317" s="600"/>
      <c r="H317" s="588"/>
      <c r="I317" s="588"/>
      <c r="J317" s="588"/>
    </row>
    <row r="318" spans="1:10" x14ac:dyDescent="0.3">
      <c r="A318" s="588"/>
      <c r="B318" s="588"/>
      <c r="C318" s="588"/>
      <c r="D318" s="588"/>
      <c r="E318" s="588"/>
      <c r="F318" s="588"/>
      <c r="G318" s="600"/>
      <c r="H318" s="588"/>
      <c r="I318" s="588"/>
      <c r="J318" s="588"/>
    </row>
    <row r="319" spans="1:10" x14ac:dyDescent="0.3">
      <c r="A319" s="588"/>
      <c r="B319" s="588"/>
      <c r="C319" s="588"/>
      <c r="D319" s="588"/>
      <c r="E319" s="588"/>
      <c r="F319" s="588"/>
      <c r="G319" s="600"/>
      <c r="H319" s="588"/>
      <c r="I319" s="588"/>
      <c r="J319" s="588"/>
    </row>
    <row r="320" spans="1:10" x14ac:dyDescent="0.3">
      <c r="A320" s="588"/>
      <c r="B320" s="588"/>
      <c r="C320" s="588"/>
      <c r="D320" s="588"/>
      <c r="E320" s="588"/>
      <c r="F320" s="588"/>
      <c r="G320" s="600"/>
      <c r="H320" s="588"/>
      <c r="I320" s="588"/>
      <c r="J320" s="588"/>
    </row>
    <row r="321" spans="1:10" x14ac:dyDescent="0.3">
      <c r="A321" s="588"/>
      <c r="B321" s="588"/>
      <c r="C321" s="588"/>
      <c r="D321" s="588"/>
      <c r="E321" s="588"/>
      <c r="F321" s="588"/>
      <c r="G321" s="600"/>
      <c r="H321" s="588"/>
      <c r="I321" s="588"/>
      <c r="J321" s="588"/>
    </row>
    <row r="322" spans="1:10" x14ac:dyDescent="0.3">
      <c r="A322" s="588"/>
      <c r="B322" s="588"/>
      <c r="C322" s="588"/>
      <c r="D322" s="588"/>
      <c r="E322" s="588"/>
      <c r="F322" s="588"/>
      <c r="G322" s="600"/>
      <c r="H322" s="588"/>
      <c r="I322" s="588"/>
      <c r="J322" s="588"/>
    </row>
    <row r="323" spans="1:10" x14ac:dyDescent="0.3">
      <c r="A323" s="588"/>
      <c r="B323" s="588"/>
      <c r="C323" s="588"/>
      <c r="D323" s="588"/>
      <c r="E323" s="588"/>
      <c r="F323" s="588"/>
      <c r="G323" s="600"/>
      <c r="H323" s="588"/>
      <c r="I323" s="588"/>
      <c r="J323" s="588"/>
    </row>
    <row r="324" spans="1:10" x14ac:dyDescent="0.3">
      <c r="A324" s="588"/>
      <c r="B324" s="588"/>
      <c r="C324" s="588"/>
      <c r="D324" s="588"/>
      <c r="E324" s="588"/>
      <c r="F324" s="588"/>
      <c r="G324" s="600"/>
      <c r="H324" s="588"/>
      <c r="I324" s="588"/>
      <c r="J324" s="588"/>
    </row>
    <row r="325" spans="1:10" x14ac:dyDescent="0.3">
      <c r="A325" s="588"/>
      <c r="B325" s="588"/>
      <c r="C325" s="588"/>
      <c r="D325" s="588"/>
      <c r="E325" s="588"/>
      <c r="F325" s="588"/>
      <c r="G325" s="600"/>
      <c r="H325" s="588"/>
      <c r="I325" s="588"/>
      <c r="J325" s="588"/>
    </row>
    <row r="326" spans="1:10" x14ac:dyDescent="0.3">
      <c r="A326" s="588"/>
      <c r="B326" s="588"/>
      <c r="C326" s="588"/>
      <c r="D326" s="588"/>
      <c r="E326" s="588"/>
      <c r="F326" s="588"/>
      <c r="G326" s="600"/>
      <c r="H326" s="588"/>
      <c r="I326" s="588"/>
      <c r="J326" s="588"/>
    </row>
    <row r="327" spans="1:10" x14ac:dyDescent="0.3">
      <c r="A327" s="588"/>
      <c r="B327" s="588"/>
      <c r="C327" s="588"/>
      <c r="D327" s="588"/>
      <c r="E327" s="588"/>
      <c r="F327" s="588"/>
      <c r="G327" s="600"/>
      <c r="H327" s="588"/>
      <c r="I327" s="588"/>
      <c r="J327" s="588"/>
    </row>
    <row r="328" spans="1:10" x14ac:dyDescent="0.3">
      <c r="A328" s="588"/>
      <c r="B328" s="588"/>
      <c r="C328" s="588"/>
      <c r="D328" s="588"/>
      <c r="E328" s="588"/>
      <c r="F328" s="588"/>
      <c r="G328" s="600"/>
      <c r="H328" s="588"/>
      <c r="I328" s="588"/>
      <c r="J328" s="588"/>
    </row>
    <row r="329" spans="1:10" x14ac:dyDescent="0.3">
      <c r="A329" s="588"/>
      <c r="B329" s="588"/>
      <c r="C329" s="588"/>
      <c r="D329" s="588"/>
      <c r="E329" s="588"/>
      <c r="F329" s="588"/>
      <c r="G329" s="600"/>
      <c r="H329" s="588"/>
      <c r="I329" s="588"/>
      <c r="J329" s="588"/>
    </row>
    <row r="330" spans="1:10" x14ac:dyDescent="0.3">
      <c r="A330" s="588"/>
      <c r="B330" s="588"/>
      <c r="C330" s="588"/>
      <c r="D330" s="588"/>
      <c r="E330" s="588"/>
      <c r="F330" s="588"/>
      <c r="G330" s="600"/>
      <c r="H330" s="588"/>
      <c r="I330" s="588"/>
      <c r="J330" s="588"/>
    </row>
    <row r="331" spans="1:10" x14ac:dyDescent="0.3">
      <c r="A331" s="588"/>
      <c r="B331" s="588"/>
      <c r="C331" s="588"/>
      <c r="D331" s="588"/>
      <c r="E331" s="588"/>
      <c r="F331" s="588"/>
      <c r="G331" s="600"/>
      <c r="H331" s="588"/>
      <c r="I331" s="588"/>
      <c r="J331" s="588"/>
    </row>
    <row r="332" spans="1:10" x14ac:dyDescent="0.3">
      <c r="A332" s="588"/>
      <c r="B332" s="588"/>
      <c r="C332" s="588"/>
      <c r="D332" s="588"/>
      <c r="E332" s="588"/>
      <c r="F332" s="588"/>
      <c r="G332" s="600"/>
      <c r="H332" s="588"/>
      <c r="I332" s="588"/>
      <c r="J332" s="588"/>
    </row>
    <row r="333" spans="1:10" x14ac:dyDescent="0.3">
      <c r="A333" s="588"/>
      <c r="B333" s="588"/>
      <c r="C333" s="588"/>
      <c r="D333" s="588"/>
      <c r="E333" s="588"/>
      <c r="F333" s="588"/>
      <c r="G333" s="600"/>
      <c r="H333" s="588"/>
      <c r="I333" s="588"/>
      <c r="J333" s="588"/>
    </row>
    <row r="334" spans="1:10" x14ac:dyDescent="0.3">
      <c r="A334" s="588"/>
      <c r="B334" s="588"/>
      <c r="C334" s="588"/>
      <c r="D334" s="588"/>
      <c r="E334" s="588"/>
      <c r="F334" s="588"/>
      <c r="G334" s="600"/>
      <c r="H334" s="588"/>
      <c r="I334" s="588"/>
      <c r="J334" s="588"/>
    </row>
    <row r="335" spans="1:10" x14ac:dyDescent="0.3">
      <c r="A335" s="588"/>
      <c r="B335" s="588"/>
      <c r="C335" s="588"/>
      <c r="D335" s="588"/>
      <c r="E335" s="588"/>
      <c r="F335" s="588"/>
      <c r="G335" s="600"/>
      <c r="H335" s="588"/>
      <c r="I335" s="588"/>
      <c r="J335" s="588"/>
    </row>
    <row r="336" spans="1:10" x14ac:dyDescent="0.3">
      <c r="A336" s="588"/>
      <c r="B336" s="588"/>
      <c r="C336" s="588"/>
      <c r="D336" s="588"/>
      <c r="E336" s="588"/>
      <c r="F336" s="588"/>
      <c r="G336" s="600"/>
      <c r="H336" s="588"/>
      <c r="I336" s="588"/>
      <c r="J336" s="588"/>
    </row>
    <row r="337" spans="1:10" x14ac:dyDescent="0.3">
      <c r="A337" s="588"/>
      <c r="B337" s="588"/>
      <c r="C337" s="588"/>
      <c r="D337" s="588"/>
      <c r="E337" s="588"/>
      <c r="F337" s="588"/>
      <c r="G337" s="600"/>
      <c r="H337" s="588"/>
      <c r="I337" s="588"/>
      <c r="J337" s="588"/>
    </row>
    <row r="338" spans="1:10" x14ac:dyDescent="0.3">
      <c r="A338" s="588"/>
      <c r="B338" s="588"/>
      <c r="C338" s="588"/>
      <c r="D338" s="588"/>
      <c r="E338" s="588"/>
      <c r="F338" s="588"/>
      <c r="G338" s="600"/>
      <c r="H338" s="588"/>
      <c r="I338" s="588"/>
      <c r="J338" s="588"/>
    </row>
    <row r="339" spans="1:10" x14ac:dyDescent="0.3">
      <c r="A339" s="588"/>
      <c r="B339" s="588"/>
      <c r="C339" s="588"/>
      <c r="D339" s="588"/>
      <c r="E339" s="588"/>
      <c r="F339" s="588"/>
      <c r="G339" s="600"/>
      <c r="H339" s="588"/>
      <c r="I339" s="588"/>
      <c r="J339" s="588"/>
    </row>
    <row r="340" spans="1:10" x14ac:dyDescent="0.3">
      <c r="A340" s="588"/>
      <c r="B340" s="588"/>
      <c r="C340" s="588"/>
      <c r="D340" s="588"/>
      <c r="E340" s="588"/>
      <c r="F340" s="588"/>
      <c r="G340" s="600"/>
      <c r="H340" s="588"/>
      <c r="I340" s="588"/>
      <c r="J340" s="588"/>
    </row>
    <row r="341" spans="1:10" x14ac:dyDescent="0.3">
      <c r="A341" s="588"/>
      <c r="B341" s="588"/>
      <c r="C341" s="588"/>
      <c r="D341" s="588"/>
      <c r="E341" s="588"/>
      <c r="F341" s="588"/>
      <c r="G341" s="600"/>
      <c r="H341" s="588"/>
      <c r="I341" s="588"/>
      <c r="J341" s="588"/>
    </row>
    <row r="342" spans="1:10" x14ac:dyDescent="0.3">
      <c r="A342" s="588"/>
      <c r="B342" s="588"/>
      <c r="C342" s="588"/>
      <c r="D342" s="588"/>
      <c r="E342" s="588"/>
      <c r="F342" s="588"/>
      <c r="G342" s="600"/>
      <c r="H342" s="588"/>
      <c r="I342" s="588"/>
      <c r="J342" s="588"/>
    </row>
    <row r="343" spans="1:10" x14ac:dyDescent="0.3">
      <c r="A343" s="588"/>
      <c r="B343" s="588"/>
      <c r="C343" s="588"/>
      <c r="D343" s="588"/>
      <c r="E343" s="588"/>
      <c r="F343" s="588"/>
      <c r="G343" s="600"/>
      <c r="H343" s="588"/>
      <c r="I343" s="588"/>
      <c r="J343" s="588"/>
    </row>
    <row r="344" spans="1:10" x14ac:dyDescent="0.3">
      <c r="A344" s="588"/>
      <c r="B344" s="588"/>
      <c r="C344" s="588"/>
      <c r="D344" s="588"/>
      <c r="E344" s="588"/>
      <c r="F344" s="588"/>
      <c r="G344" s="600"/>
      <c r="H344" s="588"/>
      <c r="I344" s="588"/>
      <c r="J344" s="588"/>
    </row>
    <row r="345" spans="1:10" x14ac:dyDescent="0.3">
      <c r="A345" s="588"/>
      <c r="B345" s="588"/>
      <c r="C345" s="588"/>
      <c r="D345" s="588"/>
      <c r="E345" s="588"/>
      <c r="F345" s="588"/>
      <c r="G345" s="600"/>
      <c r="H345" s="588"/>
      <c r="I345" s="588"/>
      <c r="J345" s="588"/>
    </row>
    <row r="346" spans="1:10" x14ac:dyDescent="0.3">
      <c r="A346" s="588"/>
      <c r="B346" s="588"/>
      <c r="C346" s="588"/>
      <c r="D346" s="588"/>
      <c r="E346" s="588"/>
      <c r="F346" s="588"/>
      <c r="G346" s="600"/>
      <c r="H346" s="588"/>
      <c r="I346" s="588"/>
      <c r="J346" s="588"/>
    </row>
    <row r="347" spans="1:10" x14ac:dyDescent="0.3">
      <c r="A347" s="588"/>
      <c r="B347" s="588"/>
      <c r="C347" s="588"/>
      <c r="D347" s="588"/>
      <c r="E347" s="588"/>
      <c r="F347" s="588"/>
      <c r="G347" s="600"/>
      <c r="H347" s="588"/>
      <c r="I347" s="588"/>
      <c r="J347" s="588"/>
    </row>
    <row r="348" spans="1:10" x14ac:dyDescent="0.3">
      <c r="A348" s="588"/>
      <c r="B348" s="588"/>
      <c r="C348" s="588"/>
      <c r="D348" s="588"/>
      <c r="E348" s="588"/>
      <c r="F348" s="588"/>
      <c r="G348" s="600"/>
      <c r="H348" s="588"/>
      <c r="I348" s="588"/>
      <c r="J348" s="588"/>
    </row>
    <row r="349" spans="1:10" x14ac:dyDescent="0.3">
      <c r="A349" s="588"/>
      <c r="B349" s="588"/>
      <c r="C349" s="588"/>
      <c r="D349" s="588"/>
      <c r="E349" s="588"/>
      <c r="F349" s="588"/>
      <c r="G349" s="600"/>
      <c r="H349" s="588"/>
      <c r="I349" s="588"/>
      <c r="J349" s="588"/>
    </row>
    <row r="350" spans="1:10" x14ac:dyDescent="0.3">
      <c r="A350" s="588"/>
      <c r="B350" s="588"/>
      <c r="C350" s="588"/>
      <c r="D350" s="588"/>
      <c r="E350" s="588"/>
      <c r="F350" s="588"/>
      <c r="G350" s="600"/>
      <c r="H350" s="588"/>
      <c r="I350" s="588"/>
      <c r="J350" s="588"/>
    </row>
    <row r="351" spans="1:10" x14ac:dyDescent="0.3">
      <c r="A351" s="588"/>
      <c r="B351" s="588"/>
      <c r="C351" s="588"/>
      <c r="D351" s="588"/>
      <c r="E351" s="588"/>
      <c r="F351" s="588"/>
      <c r="G351" s="600"/>
      <c r="H351" s="588"/>
      <c r="I351" s="588"/>
      <c r="J351" s="588"/>
    </row>
    <row r="352" spans="1:10" x14ac:dyDescent="0.3">
      <c r="A352" s="588"/>
      <c r="B352" s="588"/>
      <c r="C352" s="588"/>
      <c r="D352" s="588"/>
      <c r="E352" s="588"/>
      <c r="F352" s="588"/>
      <c r="G352" s="600"/>
      <c r="H352" s="588"/>
      <c r="I352" s="588"/>
      <c r="J352" s="588"/>
    </row>
    <row r="353" spans="1:10" x14ac:dyDescent="0.3">
      <c r="A353" s="588"/>
      <c r="B353" s="588"/>
      <c r="C353" s="588"/>
      <c r="D353" s="588"/>
      <c r="E353" s="588"/>
      <c r="F353" s="588"/>
      <c r="G353" s="600"/>
      <c r="H353" s="588"/>
      <c r="I353" s="588"/>
      <c r="J353" s="588"/>
    </row>
    <row r="354" spans="1:10" x14ac:dyDescent="0.3">
      <c r="A354" s="588"/>
      <c r="B354" s="588"/>
      <c r="C354" s="588"/>
      <c r="D354" s="588"/>
      <c r="E354" s="588"/>
      <c r="F354" s="588"/>
      <c r="G354" s="600"/>
      <c r="H354" s="588"/>
      <c r="I354" s="588"/>
      <c r="J354" s="588"/>
    </row>
    <row r="355" spans="1:10" x14ac:dyDescent="0.3">
      <c r="A355" s="588"/>
      <c r="B355" s="588"/>
      <c r="C355" s="588"/>
      <c r="D355" s="588"/>
      <c r="E355" s="588"/>
      <c r="F355" s="588"/>
      <c r="G355" s="600"/>
      <c r="H355" s="588"/>
      <c r="I355" s="588"/>
      <c r="J355" s="588"/>
    </row>
    <row r="356" spans="1:10" x14ac:dyDescent="0.3">
      <c r="A356" s="588"/>
      <c r="B356" s="588"/>
      <c r="C356" s="588"/>
      <c r="D356" s="588"/>
      <c r="E356" s="588"/>
      <c r="F356" s="588"/>
      <c r="G356" s="600"/>
      <c r="H356" s="588"/>
      <c r="I356" s="588"/>
      <c r="J356" s="588"/>
    </row>
    <row r="357" spans="1:10" x14ac:dyDescent="0.3">
      <c r="A357" s="588"/>
      <c r="B357" s="588"/>
      <c r="C357" s="588"/>
      <c r="D357" s="588"/>
      <c r="E357" s="588"/>
      <c r="F357" s="588"/>
      <c r="G357" s="600"/>
      <c r="H357" s="588"/>
      <c r="I357" s="588"/>
      <c r="J357" s="588"/>
    </row>
    <row r="358" spans="1:10" x14ac:dyDescent="0.3">
      <c r="A358" s="588"/>
      <c r="B358" s="588"/>
      <c r="C358" s="588"/>
      <c r="D358" s="588"/>
      <c r="E358" s="588"/>
      <c r="F358" s="588"/>
      <c r="G358" s="600"/>
      <c r="H358" s="588"/>
      <c r="I358" s="588"/>
      <c r="J358" s="588"/>
    </row>
    <row r="359" spans="1:10" x14ac:dyDescent="0.3">
      <c r="A359" s="588"/>
      <c r="B359" s="588"/>
      <c r="C359" s="588"/>
      <c r="D359" s="588"/>
      <c r="E359" s="588"/>
      <c r="F359" s="588"/>
      <c r="G359" s="600"/>
      <c r="H359" s="588"/>
      <c r="I359" s="588"/>
      <c r="J359" s="588"/>
    </row>
    <row r="360" spans="1:10" x14ac:dyDescent="0.3">
      <c r="A360" s="588"/>
      <c r="B360" s="588"/>
      <c r="C360" s="588"/>
      <c r="D360" s="588"/>
      <c r="E360" s="588"/>
      <c r="F360" s="588"/>
      <c r="G360" s="600"/>
      <c r="H360" s="588"/>
      <c r="I360" s="588"/>
      <c r="J360" s="588"/>
    </row>
    <row r="361" spans="1:10" x14ac:dyDescent="0.3">
      <c r="A361" s="588"/>
      <c r="B361" s="588"/>
      <c r="C361" s="588"/>
      <c r="D361" s="588"/>
      <c r="E361" s="588"/>
      <c r="F361" s="588"/>
      <c r="G361" s="600"/>
      <c r="H361" s="588"/>
      <c r="I361" s="588"/>
      <c r="J361" s="588"/>
    </row>
    <row r="362" spans="1:10" x14ac:dyDescent="0.3">
      <c r="A362" s="588"/>
      <c r="B362" s="588"/>
      <c r="C362" s="588"/>
      <c r="D362" s="588"/>
      <c r="E362" s="588"/>
      <c r="F362" s="588"/>
      <c r="G362" s="600"/>
      <c r="H362" s="588"/>
      <c r="I362" s="588"/>
      <c r="J362" s="588"/>
    </row>
    <row r="363" spans="1:10" x14ac:dyDescent="0.3">
      <c r="A363" s="588"/>
      <c r="B363" s="588"/>
      <c r="C363" s="588"/>
      <c r="D363" s="588"/>
      <c r="E363" s="588"/>
      <c r="F363" s="588"/>
      <c r="G363" s="600"/>
      <c r="H363" s="588"/>
      <c r="I363" s="588"/>
      <c r="J363" s="588"/>
    </row>
    <row r="364" spans="1:10" x14ac:dyDescent="0.3">
      <c r="A364" s="588"/>
      <c r="B364" s="588"/>
      <c r="C364" s="588"/>
      <c r="D364" s="588"/>
      <c r="E364" s="588"/>
      <c r="F364" s="588"/>
      <c r="G364" s="600"/>
      <c r="H364" s="588"/>
      <c r="I364" s="588"/>
      <c r="J364" s="588"/>
    </row>
    <row r="365" spans="1:10" x14ac:dyDescent="0.3">
      <c r="A365" s="588"/>
      <c r="B365" s="588"/>
      <c r="C365" s="588"/>
      <c r="D365" s="588"/>
      <c r="E365" s="588"/>
      <c r="F365" s="588"/>
      <c r="G365" s="600"/>
      <c r="H365" s="588"/>
      <c r="I365" s="588"/>
      <c r="J365" s="588"/>
    </row>
    <row r="366" spans="1:10" x14ac:dyDescent="0.3">
      <c r="A366" s="588"/>
      <c r="B366" s="588"/>
      <c r="C366" s="588"/>
      <c r="D366" s="588"/>
      <c r="E366" s="588"/>
      <c r="F366" s="588"/>
      <c r="G366" s="600"/>
      <c r="H366" s="588"/>
      <c r="I366" s="588"/>
      <c r="J366" s="588"/>
    </row>
    <row r="367" spans="1:10" x14ac:dyDescent="0.3">
      <c r="A367" s="588"/>
      <c r="B367" s="588"/>
      <c r="C367" s="588"/>
      <c r="D367" s="588"/>
      <c r="E367" s="588"/>
      <c r="F367" s="588"/>
      <c r="G367" s="600"/>
      <c r="H367" s="588"/>
      <c r="I367" s="588"/>
      <c r="J367" s="588"/>
    </row>
    <row r="368" spans="1:10" x14ac:dyDescent="0.3">
      <c r="A368" s="588"/>
      <c r="B368" s="588"/>
      <c r="C368" s="588"/>
      <c r="D368" s="588"/>
      <c r="E368" s="588"/>
      <c r="F368" s="588"/>
      <c r="G368" s="600"/>
      <c r="H368" s="588"/>
      <c r="I368" s="588"/>
      <c r="J368" s="588"/>
    </row>
    <row r="369" spans="1:10" x14ac:dyDescent="0.3">
      <c r="A369" s="588"/>
      <c r="B369" s="588"/>
      <c r="C369" s="588"/>
      <c r="D369" s="588"/>
      <c r="E369" s="588"/>
      <c r="F369" s="588"/>
      <c r="G369" s="600"/>
      <c r="H369" s="588"/>
      <c r="I369" s="588"/>
      <c r="J369" s="588"/>
    </row>
    <row r="370" spans="1:10" x14ac:dyDescent="0.3">
      <c r="A370" s="588"/>
      <c r="B370" s="588"/>
      <c r="C370" s="588"/>
      <c r="D370" s="588"/>
      <c r="E370" s="588"/>
      <c r="F370" s="588"/>
      <c r="G370" s="600"/>
      <c r="H370" s="588"/>
      <c r="I370" s="588"/>
      <c r="J370" s="588"/>
    </row>
    <row r="371" spans="1:10" x14ac:dyDescent="0.3">
      <c r="A371" s="588"/>
      <c r="B371" s="588"/>
      <c r="C371" s="588"/>
      <c r="D371" s="588"/>
      <c r="E371" s="588"/>
      <c r="F371" s="588"/>
      <c r="G371" s="600"/>
      <c r="H371" s="588"/>
      <c r="I371" s="588"/>
      <c r="J371" s="588"/>
    </row>
    <row r="372" spans="1:10" x14ac:dyDescent="0.3">
      <c r="A372" s="588"/>
      <c r="B372" s="588"/>
      <c r="C372" s="588"/>
      <c r="D372" s="588"/>
      <c r="E372" s="588"/>
      <c r="F372" s="588"/>
      <c r="G372" s="600"/>
      <c r="H372" s="588"/>
      <c r="I372" s="588"/>
      <c r="J372" s="588"/>
    </row>
    <row r="373" spans="1:10" x14ac:dyDescent="0.3">
      <c r="A373" s="588"/>
      <c r="B373" s="588"/>
      <c r="C373" s="588"/>
      <c r="D373" s="588"/>
      <c r="E373" s="588"/>
      <c r="F373" s="588"/>
      <c r="G373" s="600"/>
      <c r="H373" s="588"/>
      <c r="I373" s="588"/>
      <c r="J373" s="588"/>
    </row>
    <row r="374" spans="1:10" x14ac:dyDescent="0.3">
      <c r="A374" s="588"/>
      <c r="B374" s="588"/>
      <c r="C374" s="588"/>
      <c r="D374" s="588"/>
      <c r="E374" s="588"/>
      <c r="F374" s="588"/>
      <c r="G374" s="600"/>
      <c r="H374" s="588"/>
      <c r="I374" s="588"/>
      <c r="J374" s="588"/>
    </row>
    <row r="375" spans="1:10" x14ac:dyDescent="0.3">
      <c r="A375" s="588"/>
      <c r="B375" s="588"/>
      <c r="C375" s="588"/>
      <c r="D375" s="588"/>
      <c r="E375" s="588"/>
      <c r="F375" s="588"/>
      <c r="G375" s="600"/>
      <c r="H375" s="588"/>
      <c r="I375" s="588"/>
      <c r="J375" s="588"/>
    </row>
    <row r="376" spans="1:10" x14ac:dyDescent="0.3">
      <c r="A376" s="588"/>
      <c r="B376" s="588"/>
      <c r="C376" s="588"/>
      <c r="D376" s="588"/>
      <c r="E376" s="588"/>
      <c r="F376" s="588"/>
      <c r="G376" s="600"/>
      <c r="H376" s="588"/>
      <c r="I376" s="588"/>
      <c r="J376" s="588"/>
    </row>
    <row r="377" spans="1:10" x14ac:dyDescent="0.3">
      <c r="A377" s="588"/>
      <c r="B377" s="588"/>
      <c r="C377" s="588"/>
      <c r="D377" s="588"/>
      <c r="E377" s="588"/>
      <c r="F377" s="588"/>
      <c r="G377" s="600"/>
      <c r="H377" s="588"/>
      <c r="I377" s="588"/>
      <c r="J377" s="588"/>
    </row>
    <row r="378" spans="1:10" x14ac:dyDescent="0.3">
      <c r="A378" s="588"/>
      <c r="B378" s="588"/>
      <c r="C378" s="588"/>
      <c r="D378" s="588"/>
      <c r="E378" s="588"/>
      <c r="F378" s="588"/>
      <c r="G378" s="600"/>
      <c r="H378" s="588"/>
      <c r="I378" s="588"/>
      <c r="J378" s="588"/>
    </row>
    <row r="379" spans="1:10" x14ac:dyDescent="0.3">
      <c r="A379" s="588"/>
      <c r="B379" s="588"/>
      <c r="C379" s="588"/>
      <c r="D379" s="588"/>
      <c r="E379" s="588"/>
      <c r="F379" s="588"/>
      <c r="G379" s="600"/>
      <c r="H379" s="588"/>
      <c r="I379" s="588"/>
      <c r="J379" s="588"/>
    </row>
    <row r="380" spans="1:10" x14ac:dyDescent="0.3">
      <c r="A380" s="588"/>
      <c r="B380" s="588"/>
      <c r="C380" s="588"/>
      <c r="D380" s="588"/>
      <c r="E380" s="588"/>
      <c r="F380" s="588"/>
      <c r="G380" s="600"/>
      <c r="H380" s="588"/>
      <c r="I380" s="588"/>
      <c r="J380" s="588"/>
    </row>
    <row r="381" spans="1:10" x14ac:dyDescent="0.3">
      <c r="A381" s="588"/>
      <c r="B381" s="588"/>
      <c r="C381" s="588"/>
      <c r="D381" s="588"/>
      <c r="E381" s="588"/>
      <c r="F381" s="588"/>
      <c r="G381" s="600"/>
      <c r="H381" s="588"/>
      <c r="I381" s="588"/>
      <c r="J381" s="588"/>
    </row>
    <row r="382" spans="1:10" x14ac:dyDescent="0.3">
      <c r="A382" s="588"/>
      <c r="B382" s="588"/>
      <c r="C382" s="588"/>
      <c r="D382" s="588"/>
      <c r="E382" s="588"/>
      <c r="F382" s="588"/>
      <c r="G382" s="600"/>
      <c r="H382" s="588"/>
      <c r="I382" s="588"/>
      <c r="J382" s="588"/>
    </row>
    <row r="383" spans="1:10" x14ac:dyDescent="0.3">
      <c r="A383" s="588"/>
      <c r="B383" s="588"/>
      <c r="C383" s="588"/>
      <c r="D383" s="588"/>
      <c r="E383" s="588"/>
      <c r="F383" s="588"/>
      <c r="G383" s="600"/>
      <c r="H383" s="588"/>
      <c r="I383" s="588"/>
      <c r="J383" s="588"/>
    </row>
    <row r="384" spans="1:10" x14ac:dyDescent="0.3">
      <c r="A384" s="588"/>
      <c r="B384" s="588"/>
      <c r="C384" s="588"/>
      <c r="D384" s="588"/>
      <c r="E384" s="588"/>
      <c r="F384" s="588"/>
      <c r="G384" s="600"/>
      <c r="H384" s="588"/>
      <c r="I384" s="588"/>
      <c r="J384" s="588"/>
    </row>
    <row r="385" spans="1:10" x14ac:dyDescent="0.3">
      <c r="A385" s="588"/>
      <c r="B385" s="588"/>
      <c r="C385" s="588"/>
      <c r="D385" s="588"/>
      <c r="E385" s="588"/>
      <c r="F385" s="588"/>
      <c r="G385" s="600"/>
      <c r="H385" s="588"/>
      <c r="I385" s="588"/>
      <c r="J385" s="588"/>
    </row>
    <row r="386" spans="1:10" x14ac:dyDescent="0.3">
      <c r="A386" s="588"/>
      <c r="B386" s="588"/>
      <c r="C386" s="588"/>
      <c r="D386" s="588"/>
      <c r="E386" s="588"/>
      <c r="F386" s="588"/>
      <c r="G386" s="600"/>
      <c r="H386" s="588"/>
      <c r="I386" s="588"/>
      <c r="J386" s="588"/>
    </row>
    <row r="387" spans="1:10" x14ac:dyDescent="0.3">
      <c r="A387" s="588"/>
      <c r="B387" s="588"/>
      <c r="C387" s="588"/>
      <c r="D387" s="588"/>
      <c r="E387" s="588"/>
      <c r="F387" s="588"/>
      <c r="G387" s="600"/>
      <c r="H387" s="588"/>
      <c r="I387" s="588"/>
      <c r="J387" s="588"/>
    </row>
    <row r="388" spans="1:10" x14ac:dyDescent="0.3">
      <c r="A388" s="588"/>
      <c r="B388" s="588"/>
      <c r="C388" s="588"/>
      <c r="D388" s="588"/>
      <c r="E388" s="588"/>
      <c r="F388" s="588"/>
      <c r="G388" s="600"/>
      <c r="H388" s="588"/>
      <c r="I388" s="588"/>
      <c r="J388" s="588"/>
    </row>
    <row r="389" spans="1:10" x14ac:dyDescent="0.3">
      <c r="A389" s="588"/>
      <c r="B389" s="588"/>
      <c r="C389" s="588"/>
      <c r="D389" s="588"/>
      <c r="E389" s="588"/>
      <c r="F389" s="588"/>
      <c r="G389" s="600"/>
      <c r="H389" s="588"/>
      <c r="I389" s="588"/>
      <c r="J389" s="588"/>
    </row>
    <row r="390" spans="1:10" x14ac:dyDescent="0.3">
      <c r="A390" s="588"/>
      <c r="B390" s="588"/>
      <c r="C390" s="588"/>
      <c r="D390" s="588"/>
      <c r="E390" s="588"/>
      <c r="F390" s="588"/>
      <c r="G390" s="600"/>
      <c r="H390" s="588"/>
      <c r="I390" s="588"/>
      <c r="J390" s="588"/>
    </row>
    <row r="391" spans="1:10" x14ac:dyDescent="0.3">
      <c r="A391" s="588"/>
      <c r="B391" s="588"/>
      <c r="C391" s="588"/>
      <c r="D391" s="588"/>
      <c r="E391" s="588"/>
      <c r="F391" s="588"/>
      <c r="G391" s="600"/>
      <c r="H391" s="588"/>
      <c r="I391" s="588"/>
      <c r="J391" s="588"/>
    </row>
    <row r="392" spans="1:10" x14ac:dyDescent="0.3">
      <c r="A392" s="588"/>
      <c r="B392" s="588"/>
      <c r="C392" s="588"/>
      <c r="D392" s="588"/>
      <c r="E392" s="588"/>
      <c r="F392" s="588"/>
      <c r="G392" s="600"/>
      <c r="H392" s="588"/>
      <c r="I392" s="588"/>
      <c r="J392" s="588"/>
    </row>
    <row r="393" spans="1:10" x14ac:dyDescent="0.3">
      <c r="A393" s="588"/>
      <c r="B393" s="588"/>
      <c r="C393" s="588"/>
      <c r="D393" s="588"/>
      <c r="E393" s="588"/>
      <c r="F393" s="588"/>
      <c r="G393" s="600"/>
      <c r="H393" s="588"/>
      <c r="I393" s="588"/>
      <c r="J393" s="588"/>
    </row>
    <row r="394" spans="1:10" x14ac:dyDescent="0.3">
      <c r="A394" s="588"/>
      <c r="B394" s="588"/>
      <c r="C394" s="588"/>
      <c r="D394" s="588"/>
      <c r="E394" s="588"/>
      <c r="F394" s="588"/>
      <c r="G394" s="600"/>
      <c r="H394" s="588"/>
      <c r="I394" s="588"/>
      <c r="J394" s="588"/>
    </row>
    <row r="395" spans="1:10" x14ac:dyDescent="0.3">
      <c r="A395" s="588"/>
      <c r="B395" s="588"/>
      <c r="C395" s="588"/>
      <c r="D395" s="588"/>
      <c r="E395" s="588"/>
      <c r="F395" s="588"/>
      <c r="G395" s="600"/>
      <c r="H395" s="588"/>
      <c r="I395" s="588"/>
      <c r="J395" s="588"/>
    </row>
    <row r="396" spans="1:10" x14ac:dyDescent="0.3">
      <c r="A396" s="588"/>
      <c r="B396" s="588"/>
      <c r="C396" s="588"/>
      <c r="D396" s="588"/>
      <c r="E396" s="588"/>
      <c r="F396" s="588"/>
      <c r="G396" s="600"/>
      <c r="H396" s="588"/>
      <c r="I396" s="588"/>
      <c r="J396" s="588"/>
    </row>
    <row r="397" spans="1:10" x14ac:dyDescent="0.3">
      <c r="A397" s="588"/>
      <c r="B397" s="588"/>
      <c r="C397" s="588"/>
      <c r="D397" s="588"/>
      <c r="E397" s="588"/>
      <c r="F397" s="588"/>
      <c r="G397" s="600"/>
      <c r="H397" s="588"/>
      <c r="I397" s="588"/>
      <c r="J397" s="588"/>
    </row>
    <row r="398" spans="1:10" x14ac:dyDescent="0.3">
      <c r="A398" s="588"/>
      <c r="B398" s="588"/>
      <c r="C398" s="588"/>
      <c r="D398" s="588"/>
      <c r="E398" s="588"/>
      <c r="F398" s="588"/>
      <c r="G398" s="600"/>
      <c r="H398" s="588"/>
      <c r="I398" s="588"/>
      <c r="J398" s="588"/>
    </row>
    <row r="399" spans="1:10" x14ac:dyDescent="0.3">
      <c r="A399" s="588"/>
      <c r="B399" s="588"/>
      <c r="C399" s="588"/>
      <c r="D399" s="588"/>
      <c r="E399" s="588"/>
      <c r="F399" s="588"/>
      <c r="G399" s="600"/>
      <c r="H399" s="588"/>
      <c r="I399" s="588"/>
      <c r="J399" s="588"/>
    </row>
    <row r="400" spans="1:10" x14ac:dyDescent="0.3">
      <c r="A400" s="588"/>
      <c r="B400" s="588"/>
      <c r="C400" s="588"/>
      <c r="D400" s="588"/>
      <c r="E400" s="588"/>
      <c r="F400" s="588"/>
      <c r="G400" s="600"/>
      <c r="H400" s="588"/>
      <c r="I400" s="588"/>
      <c r="J400" s="588"/>
    </row>
    <row r="401" spans="1:10" x14ac:dyDescent="0.3">
      <c r="A401" s="588"/>
      <c r="B401" s="588"/>
      <c r="C401" s="588"/>
      <c r="D401" s="588"/>
      <c r="E401" s="588"/>
      <c r="F401" s="588"/>
      <c r="G401" s="600"/>
      <c r="H401" s="588"/>
      <c r="I401" s="588"/>
      <c r="J401" s="588"/>
    </row>
    <row r="402" spans="1:10" x14ac:dyDescent="0.3">
      <c r="A402" s="588"/>
      <c r="B402" s="588"/>
      <c r="C402" s="588"/>
      <c r="D402" s="588"/>
      <c r="E402" s="588"/>
      <c r="F402" s="588"/>
      <c r="G402" s="600"/>
      <c r="H402" s="588"/>
      <c r="I402" s="588"/>
      <c r="J402" s="588"/>
    </row>
    <row r="403" spans="1:10" x14ac:dyDescent="0.3">
      <c r="A403" s="588"/>
      <c r="B403" s="588"/>
      <c r="C403" s="588"/>
      <c r="D403" s="588"/>
      <c r="E403" s="588"/>
      <c r="F403" s="588"/>
      <c r="G403" s="600"/>
      <c r="H403" s="588"/>
      <c r="I403" s="588"/>
      <c r="J403" s="588"/>
    </row>
    <row r="404" spans="1:10" x14ac:dyDescent="0.3">
      <c r="A404" s="588"/>
      <c r="B404" s="588"/>
      <c r="C404" s="588"/>
      <c r="D404" s="588"/>
      <c r="E404" s="588"/>
      <c r="F404" s="588"/>
      <c r="G404" s="600"/>
      <c r="H404" s="588"/>
      <c r="I404" s="588"/>
      <c r="J404" s="588"/>
    </row>
    <row r="405" spans="1:10" x14ac:dyDescent="0.3">
      <c r="A405" s="588"/>
      <c r="B405" s="588"/>
      <c r="C405" s="588"/>
      <c r="D405" s="588"/>
      <c r="E405" s="588"/>
      <c r="F405" s="588"/>
      <c r="G405" s="600"/>
      <c r="H405" s="588"/>
      <c r="I405" s="588"/>
      <c r="J405" s="588"/>
    </row>
    <row r="406" spans="1:10" x14ac:dyDescent="0.3">
      <c r="A406" s="588"/>
      <c r="B406" s="588"/>
      <c r="C406" s="588"/>
      <c r="D406" s="588"/>
      <c r="E406" s="588"/>
      <c r="F406" s="588"/>
      <c r="G406" s="600"/>
      <c r="H406" s="588"/>
      <c r="I406" s="588"/>
      <c r="J406" s="588"/>
    </row>
    <row r="407" spans="1:10" x14ac:dyDescent="0.3">
      <c r="A407" s="588"/>
      <c r="B407" s="588"/>
      <c r="C407" s="588"/>
      <c r="D407" s="588"/>
      <c r="E407" s="588"/>
      <c r="F407" s="588"/>
      <c r="G407" s="600"/>
      <c r="H407" s="588"/>
      <c r="I407" s="588"/>
      <c r="J407" s="588"/>
    </row>
    <row r="408" spans="1:10" x14ac:dyDescent="0.3">
      <c r="A408" s="588"/>
      <c r="B408" s="588"/>
      <c r="C408" s="588"/>
      <c r="D408" s="588"/>
      <c r="E408" s="588"/>
      <c r="F408" s="588"/>
      <c r="G408" s="600"/>
      <c r="H408" s="588"/>
      <c r="I408" s="588"/>
      <c r="J408" s="588"/>
    </row>
    <row r="409" spans="1:10" x14ac:dyDescent="0.3">
      <c r="A409" s="588"/>
      <c r="B409" s="588"/>
      <c r="C409" s="588"/>
      <c r="D409" s="588"/>
      <c r="E409" s="588"/>
      <c r="F409" s="588"/>
      <c r="G409" s="600"/>
      <c r="H409" s="588"/>
      <c r="I409" s="588"/>
      <c r="J409" s="588"/>
    </row>
    <row r="410" spans="1:10" x14ac:dyDescent="0.3">
      <c r="A410" s="588"/>
      <c r="B410" s="588"/>
      <c r="C410" s="588"/>
      <c r="D410" s="588"/>
      <c r="E410" s="588"/>
      <c r="F410" s="588"/>
      <c r="G410" s="600"/>
      <c r="H410" s="588"/>
      <c r="I410" s="588"/>
      <c r="J410" s="588"/>
    </row>
    <row r="411" spans="1:10" x14ac:dyDescent="0.3">
      <c r="A411" s="588"/>
      <c r="B411" s="588"/>
      <c r="C411" s="588"/>
      <c r="D411" s="588"/>
      <c r="E411" s="588"/>
      <c r="F411" s="588"/>
      <c r="G411" s="600"/>
      <c r="H411" s="588"/>
      <c r="I411" s="588"/>
      <c r="J411" s="588"/>
    </row>
    <row r="412" spans="1:10" x14ac:dyDescent="0.3">
      <c r="A412" s="588"/>
      <c r="B412" s="588"/>
      <c r="C412" s="588"/>
      <c r="D412" s="588"/>
      <c r="E412" s="588"/>
      <c r="F412" s="588"/>
      <c r="G412" s="600"/>
      <c r="H412" s="588"/>
      <c r="I412" s="588"/>
      <c r="J412" s="588"/>
    </row>
    <row r="413" spans="1:10" x14ac:dyDescent="0.3">
      <c r="A413" s="588"/>
      <c r="B413" s="588"/>
      <c r="C413" s="588"/>
      <c r="D413" s="588"/>
      <c r="E413" s="588"/>
      <c r="F413" s="588"/>
      <c r="G413" s="600"/>
      <c r="H413" s="588"/>
      <c r="I413" s="588"/>
      <c r="J413" s="588"/>
    </row>
    <row r="414" spans="1:10" x14ac:dyDescent="0.3">
      <c r="A414" s="588"/>
      <c r="B414" s="588"/>
      <c r="C414" s="588"/>
      <c r="D414" s="588"/>
      <c r="E414" s="588"/>
      <c r="F414" s="588"/>
      <c r="G414" s="600"/>
      <c r="H414" s="588"/>
      <c r="I414" s="588"/>
      <c r="J414" s="588"/>
    </row>
    <row r="415" spans="1:10" x14ac:dyDescent="0.3">
      <c r="A415" s="588"/>
      <c r="B415" s="588"/>
      <c r="C415" s="588"/>
      <c r="D415" s="588"/>
      <c r="E415" s="588"/>
      <c r="F415" s="588"/>
      <c r="G415" s="600"/>
      <c r="H415" s="588"/>
      <c r="I415" s="588"/>
      <c r="J415" s="588"/>
    </row>
    <row r="416" spans="1:10" x14ac:dyDescent="0.3">
      <c r="A416" s="588"/>
      <c r="B416" s="588"/>
      <c r="C416" s="588"/>
      <c r="D416" s="588"/>
      <c r="E416" s="588"/>
      <c r="F416" s="588"/>
      <c r="G416" s="600"/>
      <c r="H416" s="588"/>
      <c r="I416" s="588"/>
      <c r="J416" s="588"/>
    </row>
    <row r="417" spans="1:10" x14ac:dyDescent="0.3">
      <c r="A417" s="588"/>
      <c r="B417" s="588"/>
      <c r="C417" s="588"/>
      <c r="D417" s="588"/>
      <c r="E417" s="588"/>
      <c r="F417" s="588"/>
      <c r="G417" s="600"/>
      <c r="H417" s="588"/>
      <c r="I417" s="588"/>
      <c r="J417" s="588"/>
    </row>
    <row r="418" spans="1:10" x14ac:dyDescent="0.3">
      <c r="A418" s="588"/>
      <c r="B418" s="588"/>
      <c r="C418" s="588"/>
      <c r="D418" s="588"/>
      <c r="E418" s="588"/>
      <c r="F418" s="588"/>
      <c r="G418" s="600"/>
      <c r="H418" s="588"/>
      <c r="I418" s="588"/>
      <c r="J418" s="588"/>
    </row>
    <row r="419" spans="1:10" x14ac:dyDescent="0.3">
      <c r="A419" s="588"/>
      <c r="B419" s="588"/>
      <c r="C419" s="588"/>
      <c r="D419" s="588"/>
      <c r="E419" s="588"/>
      <c r="F419" s="588"/>
      <c r="G419" s="600"/>
      <c r="H419" s="588"/>
      <c r="I419" s="588"/>
      <c r="J419" s="588"/>
    </row>
    <row r="420" spans="1:10" x14ac:dyDescent="0.3">
      <c r="A420" s="588"/>
      <c r="B420" s="588"/>
      <c r="C420" s="588"/>
      <c r="D420" s="588"/>
      <c r="E420" s="588"/>
      <c r="F420" s="588"/>
      <c r="G420" s="600"/>
      <c r="H420" s="588"/>
      <c r="I420" s="588"/>
      <c r="J420" s="588"/>
    </row>
    <row r="421" spans="1:10" x14ac:dyDescent="0.3">
      <c r="A421" s="588"/>
      <c r="B421" s="588"/>
      <c r="C421" s="588"/>
      <c r="D421" s="588"/>
      <c r="E421" s="588"/>
      <c r="F421" s="588"/>
      <c r="G421" s="600"/>
      <c r="H421" s="588"/>
      <c r="I421" s="588"/>
      <c r="J421" s="588"/>
    </row>
    <row r="422" spans="1:10" x14ac:dyDescent="0.3">
      <c r="A422" s="588"/>
      <c r="B422" s="588"/>
      <c r="C422" s="588"/>
      <c r="D422" s="588"/>
      <c r="E422" s="588"/>
      <c r="F422" s="588"/>
      <c r="G422" s="600"/>
      <c r="H422" s="588"/>
      <c r="I422" s="588"/>
      <c r="J422" s="588"/>
    </row>
    <row r="423" spans="1:10" x14ac:dyDescent="0.3">
      <c r="A423" s="588"/>
      <c r="B423" s="588"/>
      <c r="C423" s="588"/>
      <c r="D423" s="588"/>
      <c r="E423" s="588"/>
      <c r="F423" s="588"/>
      <c r="G423" s="600"/>
      <c r="H423" s="588"/>
      <c r="I423" s="588"/>
      <c r="J423" s="588"/>
    </row>
    <row r="424" spans="1:10" x14ac:dyDescent="0.3">
      <c r="A424" s="588"/>
      <c r="B424" s="588"/>
      <c r="C424" s="588"/>
      <c r="D424" s="588"/>
      <c r="E424" s="588"/>
      <c r="F424" s="588"/>
      <c r="G424" s="600"/>
      <c r="H424" s="588"/>
      <c r="I424" s="588"/>
      <c r="J424" s="588"/>
    </row>
    <row r="425" spans="1:10" x14ac:dyDescent="0.3">
      <c r="A425" s="588"/>
      <c r="B425" s="588"/>
      <c r="C425" s="588"/>
      <c r="D425" s="588"/>
      <c r="E425" s="588"/>
      <c r="F425" s="588"/>
      <c r="G425" s="600"/>
      <c r="H425" s="588"/>
      <c r="I425" s="588"/>
      <c r="J425" s="588"/>
    </row>
    <row r="426" spans="1:10" x14ac:dyDescent="0.3">
      <c r="A426" s="588"/>
      <c r="B426" s="588"/>
      <c r="C426" s="588"/>
      <c r="D426" s="588"/>
      <c r="E426" s="588"/>
      <c r="F426" s="588"/>
      <c r="G426" s="600"/>
      <c r="H426" s="588"/>
      <c r="I426" s="588"/>
      <c r="J426" s="588"/>
    </row>
    <row r="427" spans="1:10" x14ac:dyDescent="0.3">
      <c r="A427" s="588"/>
      <c r="B427" s="588"/>
      <c r="C427" s="588"/>
      <c r="D427" s="588"/>
      <c r="E427" s="588"/>
      <c r="F427" s="588"/>
      <c r="G427" s="600"/>
      <c r="H427" s="588"/>
      <c r="I427" s="588"/>
      <c r="J427" s="588"/>
    </row>
    <row r="428" spans="1:10" x14ac:dyDescent="0.3">
      <c r="A428" s="588"/>
      <c r="B428" s="588"/>
      <c r="C428" s="588"/>
      <c r="D428" s="588"/>
      <c r="E428" s="588"/>
      <c r="F428" s="588"/>
      <c r="G428" s="600"/>
      <c r="H428" s="588"/>
      <c r="I428" s="588"/>
      <c r="J428" s="588"/>
    </row>
    <row r="429" spans="1:10" x14ac:dyDescent="0.3">
      <c r="A429" s="588"/>
      <c r="B429" s="588"/>
      <c r="C429" s="588"/>
      <c r="D429" s="588"/>
      <c r="E429" s="588"/>
      <c r="F429" s="588"/>
      <c r="G429" s="600"/>
      <c r="H429" s="588"/>
      <c r="I429" s="588"/>
      <c r="J429" s="588"/>
    </row>
    <row r="430" spans="1:10" x14ac:dyDescent="0.3">
      <c r="A430" s="588"/>
      <c r="B430" s="588"/>
      <c r="C430" s="588"/>
      <c r="D430" s="588"/>
      <c r="E430" s="588"/>
      <c r="F430" s="588"/>
      <c r="G430" s="600"/>
      <c r="H430" s="588"/>
      <c r="I430" s="588"/>
      <c r="J430" s="588"/>
    </row>
    <row r="431" spans="1:10" x14ac:dyDescent="0.3">
      <c r="A431" s="588"/>
      <c r="B431" s="588"/>
      <c r="C431" s="588"/>
      <c r="D431" s="588"/>
      <c r="E431" s="588"/>
      <c r="F431" s="588"/>
      <c r="G431" s="600"/>
      <c r="H431" s="588"/>
      <c r="I431" s="588"/>
      <c r="J431" s="588"/>
    </row>
    <row r="432" spans="1:10" x14ac:dyDescent="0.3">
      <c r="A432" s="588"/>
      <c r="B432" s="588"/>
      <c r="C432" s="588"/>
      <c r="D432" s="588"/>
      <c r="E432" s="588"/>
      <c r="F432" s="588"/>
      <c r="G432" s="600"/>
      <c r="H432" s="588"/>
      <c r="I432" s="588"/>
      <c r="J432" s="588"/>
    </row>
    <row r="433" spans="1:10" x14ac:dyDescent="0.3">
      <c r="A433" s="588"/>
      <c r="B433" s="588"/>
      <c r="C433" s="588"/>
      <c r="D433" s="588"/>
      <c r="E433" s="588"/>
      <c r="F433" s="588"/>
      <c r="G433" s="600"/>
      <c r="H433" s="588"/>
      <c r="I433" s="588"/>
      <c r="J433" s="588"/>
    </row>
    <row r="434" spans="1:10" x14ac:dyDescent="0.3">
      <c r="A434" s="588"/>
      <c r="B434" s="588"/>
      <c r="C434" s="588"/>
      <c r="D434" s="588"/>
      <c r="E434" s="588"/>
      <c r="F434" s="588"/>
      <c r="G434" s="600"/>
      <c r="H434" s="588"/>
      <c r="I434" s="588"/>
      <c r="J434" s="588"/>
    </row>
    <row r="435" spans="1:10" x14ac:dyDescent="0.3">
      <c r="A435" s="588"/>
      <c r="B435" s="588"/>
      <c r="C435" s="588"/>
      <c r="D435" s="588"/>
      <c r="E435" s="588"/>
      <c r="F435" s="588"/>
      <c r="G435" s="600"/>
      <c r="H435" s="588"/>
      <c r="I435" s="588"/>
      <c r="J435" s="588"/>
    </row>
    <row r="436" spans="1:10" x14ac:dyDescent="0.3">
      <c r="A436" s="588"/>
      <c r="B436" s="588"/>
      <c r="C436" s="588"/>
      <c r="D436" s="588"/>
      <c r="E436" s="588"/>
      <c r="F436" s="588"/>
      <c r="G436" s="600"/>
      <c r="H436" s="588"/>
      <c r="I436" s="588"/>
      <c r="J436" s="588"/>
    </row>
    <row r="437" spans="1:10" x14ac:dyDescent="0.3">
      <c r="A437" s="588"/>
      <c r="B437" s="588"/>
      <c r="C437" s="588"/>
      <c r="D437" s="588"/>
      <c r="E437" s="588"/>
      <c r="F437" s="588"/>
      <c r="G437" s="600"/>
      <c r="H437" s="588"/>
      <c r="I437" s="588"/>
      <c r="J437" s="588"/>
    </row>
    <row r="438" spans="1:10" x14ac:dyDescent="0.3">
      <c r="A438" s="588"/>
      <c r="B438" s="588"/>
      <c r="C438" s="588"/>
      <c r="D438" s="588"/>
      <c r="E438" s="588"/>
      <c r="F438" s="588"/>
      <c r="G438" s="600"/>
      <c r="H438" s="588"/>
      <c r="I438" s="588"/>
      <c r="J438" s="588"/>
    </row>
    <row r="439" spans="1:10" x14ac:dyDescent="0.3">
      <c r="A439" s="588"/>
      <c r="B439" s="588"/>
      <c r="C439" s="588"/>
      <c r="D439" s="588"/>
      <c r="E439" s="588"/>
      <c r="F439" s="588"/>
      <c r="G439" s="600"/>
      <c r="H439" s="588"/>
      <c r="I439" s="588"/>
      <c r="J439" s="588"/>
    </row>
    <row r="440" spans="1:10" x14ac:dyDescent="0.3">
      <c r="A440" s="588"/>
      <c r="B440" s="588"/>
      <c r="C440" s="588"/>
      <c r="D440" s="588"/>
      <c r="E440" s="588"/>
      <c r="F440" s="588"/>
      <c r="G440" s="600"/>
      <c r="H440" s="588"/>
      <c r="I440" s="588"/>
      <c r="J440" s="588"/>
    </row>
    <row r="441" spans="1:10" x14ac:dyDescent="0.3">
      <c r="A441" s="588"/>
      <c r="B441" s="588"/>
      <c r="C441" s="588"/>
      <c r="D441" s="588"/>
      <c r="E441" s="588"/>
      <c r="F441" s="588"/>
      <c r="G441" s="600"/>
      <c r="H441" s="588"/>
      <c r="I441" s="588"/>
      <c r="J441" s="588"/>
    </row>
    <row r="442" spans="1:10" x14ac:dyDescent="0.3">
      <c r="A442" s="588"/>
      <c r="B442" s="588"/>
      <c r="C442" s="588"/>
      <c r="D442" s="588"/>
      <c r="E442" s="588"/>
      <c r="F442" s="588"/>
      <c r="G442" s="600"/>
      <c r="H442" s="588"/>
      <c r="I442" s="588"/>
      <c r="J442" s="588"/>
    </row>
    <row r="443" spans="1:10" x14ac:dyDescent="0.3">
      <c r="A443" s="588"/>
      <c r="B443" s="588"/>
      <c r="C443" s="588"/>
      <c r="D443" s="588"/>
      <c r="E443" s="588"/>
      <c r="F443" s="588"/>
      <c r="G443" s="600"/>
      <c r="H443" s="588"/>
      <c r="I443" s="588"/>
      <c r="J443" s="588"/>
    </row>
    <row r="444" spans="1:10" x14ac:dyDescent="0.3">
      <c r="A444" s="588"/>
      <c r="B444" s="588"/>
      <c r="C444" s="588"/>
      <c r="D444" s="588"/>
      <c r="E444" s="588"/>
      <c r="F444" s="588"/>
      <c r="G444" s="600"/>
      <c r="H444" s="588"/>
      <c r="I444" s="588"/>
      <c r="J444" s="588"/>
    </row>
    <row r="445" spans="1:10" x14ac:dyDescent="0.3">
      <c r="A445" s="588"/>
      <c r="B445" s="588"/>
      <c r="C445" s="588"/>
      <c r="D445" s="588"/>
      <c r="E445" s="588"/>
      <c r="F445" s="588"/>
      <c r="G445" s="600"/>
      <c r="H445" s="588"/>
      <c r="I445" s="588"/>
      <c r="J445" s="588"/>
    </row>
    <row r="446" spans="1:10" x14ac:dyDescent="0.3">
      <c r="A446" s="588"/>
      <c r="B446" s="588"/>
      <c r="C446" s="588"/>
      <c r="D446" s="588"/>
      <c r="E446" s="588"/>
      <c r="F446" s="588"/>
      <c r="G446" s="600"/>
      <c r="H446" s="588"/>
      <c r="I446" s="588"/>
      <c r="J446" s="588"/>
    </row>
    <row r="447" spans="1:10" x14ac:dyDescent="0.3">
      <c r="A447" s="588"/>
      <c r="B447" s="588"/>
      <c r="C447" s="588"/>
      <c r="D447" s="588"/>
      <c r="E447" s="588"/>
      <c r="F447" s="588"/>
      <c r="G447" s="600"/>
      <c r="H447" s="588"/>
      <c r="I447" s="588"/>
      <c r="J447" s="588"/>
    </row>
    <row r="448" spans="1:10" x14ac:dyDescent="0.3">
      <c r="A448" s="588"/>
      <c r="B448" s="588"/>
      <c r="C448" s="588"/>
      <c r="D448" s="588"/>
      <c r="E448" s="588"/>
      <c r="F448" s="588"/>
      <c r="G448" s="600"/>
      <c r="H448" s="588"/>
      <c r="I448" s="588"/>
      <c r="J448" s="588"/>
    </row>
    <row r="449" spans="1:10" x14ac:dyDescent="0.3">
      <c r="A449" s="588"/>
      <c r="B449" s="588"/>
      <c r="C449" s="588"/>
      <c r="D449" s="588"/>
      <c r="E449" s="588"/>
      <c r="F449" s="588"/>
      <c r="G449" s="600"/>
      <c r="H449" s="588"/>
      <c r="I449" s="588"/>
      <c r="J449" s="588"/>
    </row>
    <row r="450" spans="1:10" x14ac:dyDescent="0.3">
      <c r="A450" s="588"/>
      <c r="B450" s="588"/>
      <c r="C450" s="588"/>
      <c r="D450" s="588"/>
      <c r="E450" s="588"/>
      <c r="F450" s="588"/>
      <c r="G450" s="600"/>
      <c r="H450" s="588"/>
      <c r="I450" s="588"/>
      <c r="J450" s="588"/>
    </row>
    <row r="451" spans="1:10" x14ac:dyDescent="0.3">
      <c r="A451" s="588"/>
      <c r="B451" s="588"/>
      <c r="C451" s="588"/>
      <c r="D451" s="588"/>
      <c r="E451" s="588"/>
      <c r="F451" s="588"/>
      <c r="G451" s="600"/>
      <c r="H451" s="588"/>
      <c r="I451" s="588"/>
      <c r="J451" s="588"/>
    </row>
    <row r="452" spans="1:10" x14ac:dyDescent="0.3">
      <c r="A452" s="588"/>
      <c r="B452" s="588"/>
      <c r="C452" s="588"/>
      <c r="D452" s="588"/>
      <c r="E452" s="588"/>
      <c r="F452" s="588"/>
      <c r="G452" s="600"/>
      <c r="H452" s="588"/>
      <c r="I452" s="588"/>
      <c r="J452" s="588"/>
    </row>
    <row r="453" spans="1:10" x14ac:dyDescent="0.3">
      <c r="A453" s="588"/>
      <c r="B453" s="588"/>
      <c r="C453" s="588"/>
      <c r="D453" s="588"/>
      <c r="E453" s="588"/>
      <c r="F453" s="588"/>
      <c r="G453" s="600"/>
      <c r="H453" s="588"/>
      <c r="I453" s="588"/>
      <c r="J453" s="588"/>
    </row>
    <row r="454" spans="1:10" x14ac:dyDescent="0.3">
      <c r="A454" s="588"/>
      <c r="B454" s="588"/>
      <c r="C454" s="588"/>
      <c r="D454" s="588"/>
      <c r="E454" s="588"/>
      <c r="F454" s="588"/>
      <c r="G454" s="600"/>
      <c r="H454" s="588"/>
      <c r="I454" s="588"/>
      <c r="J454" s="588"/>
    </row>
    <row r="455" spans="1:10" x14ac:dyDescent="0.3">
      <c r="A455" s="588"/>
      <c r="B455" s="588"/>
      <c r="C455" s="588"/>
      <c r="D455" s="588"/>
      <c r="E455" s="588"/>
      <c r="F455" s="588"/>
      <c r="G455" s="600"/>
      <c r="H455" s="588"/>
      <c r="I455" s="588"/>
      <c r="J455" s="588"/>
    </row>
    <row r="456" spans="1:10" x14ac:dyDescent="0.3">
      <c r="A456" s="588"/>
      <c r="B456" s="588"/>
      <c r="C456" s="588"/>
      <c r="D456" s="588"/>
      <c r="E456" s="588"/>
      <c r="F456" s="588"/>
      <c r="G456" s="600"/>
      <c r="H456" s="588"/>
      <c r="I456" s="588"/>
      <c r="J456" s="588"/>
    </row>
    <row r="457" spans="1:10" x14ac:dyDescent="0.3">
      <c r="A457" s="588"/>
      <c r="B457" s="588"/>
      <c r="C457" s="588"/>
      <c r="D457" s="588"/>
      <c r="E457" s="588"/>
      <c r="F457" s="588"/>
      <c r="G457" s="600"/>
      <c r="H457" s="588"/>
      <c r="I457" s="588"/>
      <c r="J457" s="588"/>
    </row>
    <row r="458" spans="1:10" x14ac:dyDescent="0.3">
      <c r="A458" s="588"/>
      <c r="B458" s="588"/>
      <c r="C458" s="588"/>
      <c r="D458" s="588"/>
      <c r="E458" s="588"/>
      <c r="F458" s="588"/>
      <c r="G458" s="600"/>
      <c r="H458" s="588"/>
      <c r="I458" s="588"/>
      <c r="J458" s="588"/>
    </row>
    <row r="459" spans="1:10" x14ac:dyDescent="0.3">
      <c r="A459" s="588"/>
      <c r="B459" s="588"/>
      <c r="C459" s="588"/>
      <c r="D459" s="588"/>
      <c r="E459" s="588"/>
      <c r="F459" s="588"/>
      <c r="G459" s="600"/>
      <c r="H459" s="588"/>
      <c r="I459" s="588"/>
      <c r="J459" s="588"/>
    </row>
    <row r="460" spans="1:10" x14ac:dyDescent="0.3">
      <c r="A460" s="588"/>
      <c r="B460" s="588"/>
      <c r="C460" s="588"/>
      <c r="D460" s="588"/>
      <c r="E460" s="588"/>
      <c r="F460" s="588"/>
      <c r="G460" s="600"/>
      <c r="H460" s="588"/>
      <c r="I460" s="588"/>
      <c r="J460" s="588"/>
    </row>
    <row r="461" spans="1:10" x14ac:dyDescent="0.3">
      <c r="A461" s="588"/>
      <c r="B461" s="588"/>
      <c r="C461" s="588"/>
      <c r="D461" s="588"/>
      <c r="E461" s="588"/>
      <c r="F461" s="588"/>
      <c r="G461" s="600"/>
      <c r="H461" s="588"/>
      <c r="I461" s="588"/>
      <c r="J461" s="588"/>
    </row>
    <row r="462" spans="1:10" x14ac:dyDescent="0.3">
      <c r="A462" s="588"/>
      <c r="B462" s="588"/>
      <c r="C462" s="588"/>
      <c r="D462" s="588"/>
      <c r="E462" s="588"/>
      <c r="F462" s="588"/>
      <c r="G462" s="600"/>
      <c r="H462" s="588"/>
      <c r="I462" s="588"/>
      <c r="J462" s="588"/>
    </row>
    <row r="463" spans="1:10" x14ac:dyDescent="0.3">
      <c r="A463" s="588"/>
      <c r="B463" s="588"/>
      <c r="C463" s="588"/>
      <c r="D463" s="588"/>
      <c r="E463" s="588"/>
      <c r="F463" s="588"/>
      <c r="G463" s="600"/>
      <c r="H463" s="588"/>
      <c r="I463" s="588"/>
      <c r="J463" s="588"/>
    </row>
    <row r="464" spans="1:10" x14ac:dyDescent="0.3">
      <c r="A464" s="588"/>
      <c r="B464" s="588"/>
      <c r="C464" s="588"/>
      <c r="D464" s="588"/>
      <c r="E464" s="588"/>
      <c r="F464" s="588"/>
      <c r="G464" s="600"/>
      <c r="H464" s="588"/>
      <c r="I464" s="588"/>
      <c r="J464" s="588"/>
    </row>
    <row r="465" spans="1:10" x14ac:dyDescent="0.3">
      <c r="A465" s="588"/>
      <c r="B465" s="588"/>
      <c r="C465" s="588"/>
      <c r="D465" s="588"/>
      <c r="E465" s="588"/>
      <c r="F465" s="588"/>
      <c r="G465" s="600"/>
      <c r="H465" s="588"/>
      <c r="I465" s="588"/>
      <c r="J465" s="588"/>
    </row>
    <row r="466" spans="1:10" x14ac:dyDescent="0.3">
      <c r="A466" s="588"/>
      <c r="B466" s="588"/>
      <c r="C466" s="588"/>
      <c r="D466" s="588"/>
      <c r="E466" s="588"/>
      <c r="F466" s="588"/>
      <c r="G466" s="600"/>
      <c r="H466" s="588"/>
      <c r="I466" s="588"/>
      <c r="J466" s="588"/>
    </row>
    <row r="467" spans="1:10" x14ac:dyDescent="0.3">
      <c r="A467" s="588"/>
      <c r="B467" s="588"/>
      <c r="C467" s="588"/>
      <c r="D467" s="588"/>
      <c r="E467" s="588"/>
      <c r="F467" s="588"/>
      <c r="G467" s="600"/>
      <c r="H467" s="588"/>
      <c r="I467" s="588"/>
      <c r="J467" s="588"/>
    </row>
    <row r="468" spans="1:10" x14ac:dyDescent="0.3">
      <c r="A468" s="588"/>
      <c r="B468" s="588"/>
      <c r="C468" s="588"/>
      <c r="D468" s="588"/>
      <c r="E468" s="588"/>
      <c r="F468" s="588"/>
      <c r="G468" s="600"/>
      <c r="H468" s="588"/>
      <c r="I468" s="588"/>
      <c r="J468" s="588"/>
    </row>
    <row r="469" spans="1:10" x14ac:dyDescent="0.3">
      <c r="A469" s="588"/>
      <c r="B469" s="588"/>
      <c r="C469" s="588"/>
      <c r="D469" s="588"/>
      <c r="E469" s="588"/>
      <c r="F469" s="588"/>
      <c r="G469" s="600"/>
      <c r="H469" s="588"/>
      <c r="I469" s="588"/>
      <c r="J469" s="588"/>
    </row>
    <row r="470" spans="1:10" x14ac:dyDescent="0.3">
      <c r="A470" s="588"/>
      <c r="B470" s="588"/>
      <c r="C470" s="588"/>
      <c r="D470" s="588"/>
      <c r="E470" s="588"/>
      <c r="F470" s="588"/>
      <c r="G470" s="600"/>
      <c r="H470" s="588"/>
      <c r="I470" s="588"/>
      <c r="J470" s="588"/>
    </row>
    <row r="471" spans="1:10" x14ac:dyDescent="0.3">
      <c r="A471" s="588"/>
      <c r="B471" s="588"/>
      <c r="C471" s="588"/>
      <c r="D471" s="588"/>
      <c r="E471" s="588"/>
      <c r="F471" s="588"/>
      <c r="G471" s="600"/>
      <c r="H471" s="588"/>
      <c r="I471" s="588"/>
      <c r="J471" s="588"/>
    </row>
    <row r="472" spans="1:10" x14ac:dyDescent="0.3">
      <c r="A472" s="588"/>
      <c r="B472" s="588"/>
      <c r="C472" s="588"/>
      <c r="D472" s="588"/>
      <c r="E472" s="588"/>
      <c r="F472" s="588"/>
      <c r="G472" s="600"/>
      <c r="H472" s="588"/>
      <c r="I472" s="588"/>
      <c r="J472" s="588"/>
    </row>
    <row r="473" spans="1:10" x14ac:dyDescent="0.3">
      <c r="A473" s="588"/>
      <c r="B473" s="588"/>
      <c r="C473" s="588"/>
      <c r="D473" s="588"/>
      <c r="E473" s="588"/>
      <c r="F473" s="588"/>
      <c r="G473" s="600"/>
      <c r="H473" s="588"/>
      <c r="I473" s="588"/>
      <c r="J473" s="588"/>
    </row>
    <row r="474" spans="1:10" x14ac:dyDescent="0.3">
      <c r="A474" s="588"/>
      <c r="B474" s="588"/>
      <c r="C474" s="588"/>
      <c r="D474" s="588"/>
      <c r="E474" s="588"/>
      <c r="F474" s="588"/>
      <c r="G474" s="600"/>
      <c r="H474" s="588"/>
      <c r="I474" s="588"/>
      <c r="J474" s="588"/>
    </row>
    <row r="475" spans="1:10" x14ac:dyDescent="0.3">
      <c r="A475" s="588"/>
      <c r="B475" s="588"/>
      <c r="C475" s="588"/>
      <c r="D475" s="588"/>
      <c r="E475" s="588"/>
      <c r="F475" s="588"/>
      <c r="G475" s="600"/>
      <c r="H475" s="588"/>
      <c r="I475" s="588"/>
      <c r="J475" s="588"/>
    </row>
    <row r="476" spans="1:10" x14ac:dyDescent="0.3">
      <c r="A476" s="588"/>
      <c r="B476" s="588"/>
      <c r="C476" s="588"/>
      <c r="D476" s="588"/>
      <c r="E476" s="588"/>
      <c r="F476" s="588"/>
      <c r="G476" s="600"/>
      <c r="H476" s="588"/>
      <c r="I476" s="588"/>
      <c r="J476" s="588"/>
    </row>
    <row r="477" spans="1:10" x14ac:dyDescent="0.3">
      <c r="A477" s="588"/>
      <c r="B477" s="588"/>
      <c r="C477" s="588"/>
      <c r="D477" s="588"/>
      <c r="E477" s="588"/>
      <c r="F477" s="588"/>
      <c r="G477" s="600"/>
      <c r="H477" s="588"/>
      <c r="I477" s="588"/>
      <c r="J477" s="588"/>
    </row>
    <row r="478" spans="1:10" x14ac:dyDescent="0.3">
      <c r="A478" s="588"/>
      <c r="B478" s="588"/>
      <c r="C478" s="588"/>
      <c r="D478" s="588"/>
      <c r="E478" s="588"/>
      <c r="F478" s="588"/>
      <c r="G478" s="600"/>
      <c r="H478" s="588"/>
      <c r="I478" s="588"/>
      <c r="J478" s="588"/>
    </row>
    <row r="479" spans="1:10" x14ac:dyDescent="0.3">
      <c r="A479" s="588"/>
      <c r="B479" s="588"/>
      <c r="C479" s="588"/>
      <c r="D479" s="588"/>
      <c r="E479" s="588"/>
      <c r="F479" s="588"/>
      <c r="G479" s="600"/>
      <c r="H479" s="588"/>
      <c r="I479" s="588"/>
      <c r="J479" s="588"/>
    </row>
    <row r="480" spans="1:10" x14ac:dyDescent="0.3">
      <c r="A480" s="588"/>
      <c r="B480" s="588"/>
      <c r="C480" s="588"/>
      <c r="D480" s="588"/>
      <c r="E480" s="588"/>
      <c r="F480" s="588"/>
      <c r="G480" s="600"/>
      <c r="H480" s="588"/>
      <c r="I480" s="588"/>
      <c r="J480" s="588"/>
    </row>
    <row r="481" spans="1:10" x14ac:dyDescent="0.3">
      <c r="A481" s="588"/>
      <c r="B481" s="588"/>
      <c r="C481" s="588"/>
      <c r="D481" s="588"/>
      <c r="E481" s="588"/>
      <c r="F481" s="588"/>
      <c r="G481" s="600"/>
      <c r="H481" s="588"/>
      <c r="I481" s="588"/>
      <c r="J481" s="588"/>
    </row>
    <row r="482" spans="1:10" x14ac:dyDescent="0.3">
      <c r="A482" s="588"/>
      <c r="B482" s="588"/>
      <c r="C482" s="588"/>
      <c r="D482" s="588"/>
      <c r="E482" s="588"/>
      <c r="F482" s="588"/>
      <c r="G482" s="600"/>
      <c r="H482" s="588"/>
      <c r="I482" s="588"/>
      <c r="J482" s="588"/>
    </row>
    <row r="483" spans="1:10" x14ac:dyDescent="0.3">
      <c r="A483" s="588"/>
      <c r="B483" s="588"/>
      <c r="C483" s="588"/>
      <c r="D483" s="588"/>
      <c r="E483" s="588"/>
      <c r="F483" s="588"/>
      <c r="G483" s="600"/>
      <c r="H483" s="588"/>
      <c r="I483" s="588"/>
      <c r="J483" s="588"/>
    </row>
    <row r="484" spans="1:10" x14ac:dyDescent="0.3">
      <c r="A484" s="588"/>
      <c r="B484" s="588"/>
      <c r="C484" s="588"/>
      <c r="D484" s="588"/>
      <c r="E484" s="588"/>
      <c r="F484" s="588"/>
      <c r="G484" s="600"/>
      <c r="H484" s="588"/>
      <c r="I484" s="588"/>
      <c r="J484" s="588"/>
    </row>
    <row r="485" spans="1:10" x14ac:dyDescent="0.3">
      <c r="A485" s="588"/>
      <c r="B485" s="588"/>
      <c r="C485" s="588"/>
      <c r="D485" s="588"/>
      <c r="E485" s="588"/>
      <c r="F485" s="588"/>
      <c r="G485" s="600"/>
      <c r="H485" s="588"/>
      <c r="I485" s="588"/>
      <c r="J485" s="588"/>
    </row>
    <row r="486" spans="1:10" x14ac:dyDescent="0.3">
      <c r="A486" s="588"/>
      <c r="B486" s="588"/>
      <c r="C486" s="588"/>
      <c r="D486" s="588"/>
      <c r="E486" s="588"/>
      <c r="F486" s="588"/>
      <c r="G486" s="600"/>
      <c r="H486" s="588"/>
      <c r="I486" s="588"/>
      <c r="J486" s="588"/>
    </row>
    <row r="487" spans="1:10" x14ac:dyDescent="0.3">
      <c r="A487" s="588"/>
      <c r="B487" s="588"/>
      <c r="C487" s="588"/>
      <c r="D487" s="588"/>
      <c r="E487" s="588"/>
      <c r="F487" s="588"/>
      <c r="G487" s="600"/>
      <c r="H487" s="588"/>
      <c r="I487" s="588"/>
      <c r="J487" s="588"/>
    </row>
    <row r="488" spans="1:10" x14ac:dyDescent="0.3">
      <c r="A488" s="588"/>
      <c r="B488" s="588"/>
      <c r="C488" s="588"/>
      <c r="D488" s="588"/>
      <c r="E488" s="588"/>
      <c r="F488" s="588"/>
      <c r="G488" s="600"/>
      <c r="H488" s="588"/>
      <c r="I488" s="588"/>
      <c r="J488" s="588"/>
    </row>
    <row r="489" spans="1:10" x14ac:dyDescent="0.3">
      <c r="A489" s="588"/>
      <c r="B489" s="588"/>
      <c r="C489" s="588"/>
      <c r="D489" s="588"/>
      <c r="E489" s="588"/>
      <c r="F489" s="588"/>
      <c r="G489" s="600"/>
      <c r="H489" s="588"/>
      <c r="I489" s="588"/>
      <c r="J489" s="588"/>
    </row>
    <row r="490" spans="1:10" x14ac:dyDescent="0.3">
      <c r="A490" s="588"/>
      <c r="B490" s="588"/>
      <c r="C490" s="588"/>
      <c r="D490" s="588"/>
      <c r="E490" s="588"/>
      <c r="F490" s="588"/>
      <c r="G490" s="600"/>
      <c r="H490" s="588"/>
      <c r="I490" s="588"/>
      <c r="J490" s="588"/>
    </row>
    <row r="491" spans="1:10" x14ac:dyDescent="0.3">
      <c r="A491" s="588"/>
      <c r="B491" s="588"/>
      <c r="C491" s="588"/>
      <c r="D491" s="588"/>
      <c r="E491" s="588"/>
      <c r="F491" s="588"/>
      <c r="G491" s="600"/>
      <c r="H491" s="588"/>
      <c r="I491" s="588"/>
      <c r="J491" s="588"/>
    </row>
    <row r="492" spans="1:10" x14ac:dyDescent="0.3">
      <c r="A492" s="588"/>
      <c r="B492" s="588"/>
      <c r="C492" s="588"/>
      <c r="D492" s="588"/>
      <c r="E492" s="588"/>
      <c r="F492" s="588"/>
      <c r="G492" s="600"/>
      <c r="H492" s="588"/>
      <c r="I492" s="588"/>
      <c r="J492" s="588"/>
    </row>
    <row r="493" spans="1:10" x14ac:dyDescent="0.3">
      <c r="A493" s="588"/>
      <c r="B493" s="588"/>
      <c r="C493" s="588"/>
      <c r="D493" s="588"/>
      <c r="E493" s="588"/>
      <c r="F493" s="588"/>
      <c r="G493" s="600"/>
      <c r="H493" s="588"/>
      <c r="I493" s="588"/>
      <c r="J493" s="588"/>
    </row>
    <row r="494" spans="1:10" x14ac:dyDescent="0.3">
      <c r="A494" s="588"/>
      <c r="B494" s="588"/>
      <c r="C494" s="588"/>
      <c r="D494" s="588"/>
      <c r="E494" s="588"/>
      <c r="F494" s="588"/>
      <c r="G494" s="600"/>
      <c r="H494" s="588"/>
      <c r="I494" s="588"/>
      <c r="J494" s="588"/>
    </row>
    <row r="495" spans="1:10" x14ac:dyDescent="0.3">
      <c r="A495" s="588"/>
      <c r="B495" s="588"/>
      <c r="C495" s="588"/>
      <c r="D495" s="588"/>
      <c r="E495" s="588"/>
      <c r="F495" s="588"/>
      <c r="G495" s="600"/>
      <c r="H495" s="588"/>
      <c r="I495" s="588"/>
      <c r="J495" s="588"/>
    </row>
    <row r="496" spans="1:10" x14ac:dyDescent="0.3">
      <c r="A496" s="588"/>
      <c r="B496" s="588"/>
      <c r="C496" s="588"/>
      <c r="D496" s="588"/>
      <c r="E496" s="588"/>
      <c r="F496" s="588"/>
      <c r="G496" s="600"/>
      <c r="H496" s="588"/>
      <c r="I496" s="588"/>
      <c r="J496" s="588"/>
    </row>
    <row r="497" spans="1:10" x14ac:dyDescent="0.3">
      <c r="A497" s="588"/>
      <c r="B497" s="588"/>
      <c r="C497" s="588"/>
      <c r="D497" s="588"/>
      <c r="E497" s="588"/>
      <c r="F497" s="588"/>
      <c r="G497" s="600"/>
      <c r="H497" s="588"/>
      <c r="I497" s="588"/>
      <c r="J497" s="588"/>
    </row>
    <row r="498" spans="1:10" x14ac:dyDescent="0.3">
      <c r="A498" s="588"/>
      <c r="B498" s="588"/>
      <c r="C498" s="588"/>
      <c r="D498" s="588"/>
      <c r="E498" s="588"/>
      <c r="F498" s="588"/>
      <c r="G498" s="600"/>
      <c r="H498" s="588"/>
      <c r="I498" s="588"/>
      <c r="J498" s="588"/>
    </row>
    <row r="499" spans="1:10" x14ac:dyDescent="0.3">
      <c r="A499" s="588"/>
      <c r="B499" s="588"/>
      <c r="C499" s="588"/>
      <c r="D499" s="588"/>
      <c r="E499" s="588"/>
      <c r="F499" s="588"/>
      <c r="G499" s="600"/>
      <c r="H499" s="588"/>
      <c r="I499" s="588"/>
      <c r="J499" s="588"/>
    </row>
    <row r="500" spans="1:10" x14ac:dyDescent="0.3">
      <c r="A500" s="588"/>
      <c r="B500" s="588"/>
      <c r="C500" s="588"/>
      <c r="D500" s="588"/>
      <c r="E500" s="588"/>
      <c r="F500" s="588"/>
      <c r="G500" s="600"/>
      <c r="H500" s="588"/>
      <c r="I500" s="588"/>
      <c r="J500" s="588"/>
    </row>
    <row r="501" spans="1:10" x14ac:dyDescent="0.3">
      <c r="A501" s="588"/>
      <c r="B501" s="588"/>
      <c r="C501" s="588"/>
      <c r="D501" s="588"/>
      <c r="E501" s="588"/>
      <c r="F501" s="588"/>
      <c r="G501" s="600"/>
      <c r="H501" s="588"/>
      <c r="I501" s="588"/>
      <c r="J501" s="588"/>
    </row>
    <row r="502" spans="1:10" x14ac:dyDescent="0.3">
      <c r="A502" s="588"/>
      <c r="B502" s="588"/>
      <c r="C502" s="588"/>
      <c r="D502" s="588"/>
      <c r="E502" s="588"/>
      <c r="F502" s="588"/>
      <c r="G502" s="600"/>
      <c r="H502" s="588"/>
      <c r="I502" s="588"/>
      <c r="J502" s="588"/>
    </row>
    <row r="503" spans="1:10" x14ac:dyDescent="0.3">
      <c r="A503" s="588"/>
      <c r="B503" s="588"/>
      <c r="C503" s="588"/>
      <c r="D503" s="588"/>
      <c r="E503" s="588"/>
      <c r="F503" s="588"/>
      <c r="G503" s="600"/>
      <c r="H503" s="588"/>
      <c r="I503" s="588"/>
      <c r="J503" s="588"/>
    </row>
    <row r="504" spans="1:10" x14ac:dyDescent="0.3">
      <c r="A504" s="588"/>
      <c r="B504" s="588"/>
      <c r="C504" s="588"/>
      <c r="D504" s="588"/>
      <c r="E504" s="588"/>
      <c r="F504" s="588"/>
      <c r="G504" s="600"/>
      <c r="H504" s="588"/>
      <c r="I504" s="588"/>
      <c r="J504" s="588"/>
    </row>
    <row r="505" spans="1:10" x14ac:dyDescent="0.3">
      <c r="A505" s="588"/>
      <c r="B505" s="588"/>
      <c r="C505" s="588"/>
      <c r="D505" s="588"/>
      <c r="E505" s="588"/>
      <c r="F505" s="588"/>
      <c r="G505" s="600"/>
      <c r="H505" s="588"/>
      <c r="I505" s="588"/>
      <c r="J505" s="588"/>
    </row>
    <row r="506" spans="1:10" x14ac:dyDescent="0.3">
      <c r="A506" s="588"/>
      <c r="B506" s="588"/>
      <c r="C506" s="588"/>
      <c r="D506" s="588"/>
      <c r="E506" s="588"/>
      <c r="F506" s="588"/>
      <c r="G506" s="600"/>
      <c r="H506" s="588"/>
      <c r="I506" s="588"/>
      <c r="J506" s="588"/>
    </row>
    <row r="507" spans="1:10" x14ac:dyDescent="0.3">
      <c r="A507" s="588"/>
      <c r="B507" s="588"/>
      <c r="C507" s="588"/>
      <c r="D507" s="588"/>
      <c r="E507" s="588"/>
      <c r="F507" s="588"/>
      <c r="G507" s="600"/>
      <c r="H507" s="588"/>
      <c r="I507" s="588"/>
      <c r="J507" s="588"/>
    </row>
    <row r="508" spans="1:10" x14ac:dyDescent="0.3">
      <c r="A508" s="588"/>
      <c r="B508" s="588"/>
      <c r="C508" s="588"/>
      <c r="D508" s="588"/>
      <c r="E508" s="588"/>
      <c r="F508" s="588"/>
      <c r="G508" s="600"/>
      <c r="H508" s="588"/>
      <c r="I508" s="588"/>
      <c r="J508" s="588"/>
    </row>
    <row r="509" spans="1:10" x14ac:dyDescent="0.3">
      <c r="A509" s="588"/>
      <c r="B509" s="588"/>
      <c r="C509" s="588"/>
      <c r="D509" s="588"/>
      <c r="E509" s="588"/>
      <c r="F509" s="588"/>
      <c r="G509" s="600"/>
      <c r="H509" s="588"/>
      <c r="I509" s="588"/>
      <c r="J509" s="588"/>
    </row>
    <row r="510" spans="1:10" x14ac:dyDescent="0.3">
      <c r="A510" s="588"/>
      <c r="B510" s="588"/>
      <c r="C510" s="588"/>
      <c r="D510" s="588"/>
      <c r="E510" s="588"/>
      <c r="F510" s="588"/>
      <c r="G510" s="600"/>
      <c r="H510" s="588"/>
      <c r="I510" s="588"/>
      <c r="J510" s="588"/>
    </row>
    <row r="511" spans="1:10" x14ac:dyDescent="0.3">
      <c r="A511" s="588"/>
      <c r="B511" s="588"/>
      <c r="C511" s="588"/>
      <c r="D511" s="588"/>
      <c r="E511" s="588"/>
      <c r="F511" s="588"/>
      <c r="G511" s="600"/>
      <c r="H511" s="588"/>
      <c r="I511" s="588"/>
      <c r="J511" s="588"/>
    </row>
    <row r="512" spans="1:10" x14ac:dyDescent="0.3">
      <c r="A512" s="588"/>
      <c r="B512" s="588"/>
      <c r="C512" s="588"/>
      <c r="D512" s="588"/>
      <c r="E512" s="588"/>
      <c r="F512" s="588"/>
      <c r="G512" s="600"/>
      <c r="H512" s="588"/>
      <c r="I512" s="588"/>
      <c r="J512" s="588"/>
    </row>
    <row r="513" spans="1:10" x14ac:dyDescent="0.3">
      <c r="A513" s="588"/>
      <c r="B513" s="588"/>
      <c r="C513" s="588"/>
      <c r="D513" s="588"/>
      <c r="E513" s="588"/>
      <c r="F513" s="588"/>
      <c r="G513" s="600"/>
      <c r="H513" s="588"/>
      <c r="I513" s="588"/>
      <c r="J513" s="588"/>
    </row>
    <row r="514" spans="1:10" x14ac:dyDescent="0.3">
      <c r="A514" s="588"/>
      <c r="B514" s="588"/>
      <c r="C514" s="588"/>
      <c r="D514" s="588"/>
      <c r="E514" s="588"/>
      <c r="F514" s="588"/>
      <c r="G514" s="600"/>
      <c r="H514" s="588"/>
      <c r="I514" s="588"/>
      <c r="J514" s="588"/>
    </row>
    <row r="515" spans="1:10" x14ac:dyDescent="0.3">
      <c r="A515" s="588"/>
      <c r="B515" s="588"/>
      <c r="C515" s="588"/>
      <c r="D515" s="588"/>
      <c r="E515" s="588"/>
      <c r="F515" s="588"/>
      <c r="G515" s="600"/>
      <c r="H515" s="588"/>
      <c r="I515" s="588"/>
      <c r="J515" s="588"/>
    </row>
    <row r="516" spans="1:10" x14ac:dyDescent="0.3">
      <c r="A516" s="588"/>
      <c r="B516" s="588"/>
      <c r="C516" s="588"/>
      <c r="D516" s="588"/>
      <c r="E516" s="588"/>
      <c r="F516" s="588"/>
      <c r="G516" s="600"/>
      <c r="H516" s="588"/>
      <c r="I516" s="588"/>
      <c r="J516" s="588"/>
    </row>
    <row r="517" spans="1:10" x14ac:dyDescent="0.3">
      <c r="A517" s="588"/>
      <c r="B517" s="588"/>
      <c r="C517" s="588"/>
      <c r="D517" s="588"/>
      <c r="E517" s="588"/>
      <c r="F517" s="588"/>
      <c r="G517" s="600"/>
      <c r="H517" s="588"/>
      <c r="I517" s="588"/>
      <c r="J517" s="588"/>
    </row>
    <row r="518" spans="1:10" x14ac:dyDescent="0.3">
      <c r="A518" s="588"/>
      <c r="B518" s="588"/>
      <c r="C518" s="588"/>
      <c r="D518" s="588"/>
      <c r="E518" s="588"/>
      <c r="F518" s="588"/>
      <c r="G518" s="600"/>
      <c r="H518" s="588"/>
      <c r="I518" s="588"/>
      <c r="J518" s="588"/>
    </row>
    <row r="519" spans="1:10" x14ac:dyDescent="0.3">
      <c r="A519" s="588"/>
      <c r="B519" s="588"/>
      <c r="C519" s="588"/>
      <c r="D519" s="588"/>
      <c r="E519" s="588"/>
      <c r="F519" s="588"/>
      <c r="G519" s="600"/>
      <c r="H519" s="588"/>
      <c r="I519" s="588"/>
      <c r="J519" s="588"/>
    </row>
    <row r="520" spans="1:10" x14ac:dyDescent="0.3">
      <c r="A520" s="588"/>
      <c r="B520" s="588"/>
      <c r="C520" s="588"/>
      <c r="D520" s="588"/>
      <c r="E520" s="588"/>
      <c r="F520" s="588"/>
      <c r="G520" s="600"/>
      <c r="H520" s="588"/>
      <c r="I520" s="588"/>
      <c r="J520" s="588"/>
    </row>
    <row r="521" spans="1:10" x14ac:dyDescent="0.3">
      <c r="A521" s="588"/>
      <c r="B521" s="588"/>
      <c r="C521" s="588"/>
      <c r="D521" s="588"/>
      <c r="E521" s="588"/>
      <c r="F521" s="588"/>
      <c r="G521" s="600"/>
      <c r="H521" s="588"/>
      <c r="I521" s="588"/>
      <c r="J521" s="588"/>
    </row>
    <row r="522" spans="1:10" x14ac:dyDescent="0.3">
      <c r="A522" s="588"/>
      <c r="B522" s="588"/>
      <c r="C522" s="588"/>
      <c r="D522" s="588"/>
      <c r="E522" s="588"/>
      <c r="F522" s="588"/>
      <c r="G522" s="600"/>
      <c r="H522" s="588"/>
      <c r="I522" s="588"/>
      <c r="J522" s="588"/>
    </row>
    <row r="523" spans="1:10" x14ac:dyDescent="0.3">
      <c r="A523" s="588"/>
      <c r="B523" s="588"/>
      <c r="C523" s="588"/>
      <c r="D523" s="588"/>
      <c r="E523" s="588"/>
      <c r="F523" s="588"/>
      <c r="G523" s="600"/>
      <c r="H523" s="588"/>
      <c r="I523" s="588"/>
      <c r="J523" s="588"/>
    </row>
    <row r="524" spans="1:10" x14ac:dyDescent="0.3">
      <c r="A524" s="588"/>
      <c r="B524" s="588"/>
      <c r="C524" s="588"/>
      <c r="D524" s="588"/>
      <c r="E524" s="588"/>
      <c r="F524" s="588"/>
      <c r="G524" s="600"/>
      <c r="H524" s="588"/>
      <c r="I524" s="588"/>
      <c r="J524" s="588"/>
    </row>
    <row r="525" spans="1:10" x14ac:dyDescent="0.3">
      <c r="A525" s="588"/>
      <c r="B525" s="588"/>
      <c r="C525" s="588"/>
      <c r="D525" s="588"/>
      <c r="E525" s="588"/>
      <c r="F525" s="588"/>
      <c r="G525" s="600"/>
      <c r="H525" s="588"/>
      <c r="I525" s="588"/>
      <c r="J525" s="588"/>
    </row>
    <row r="526" spans="1:10" x14ac:dyDescent="0.3">
      <c r="A526" s="588"/>
      <c r="B526" s="588"/>
      <c r="C526" s="588"/>
      <c r="D526" s="588"/>
      <c r="E526" s="588"/>
      <c r="F526" s="588"/>
      <c r="G526" s="600"/>
      <c r="H526" s="588"/>
      <c r="I526" s="588"/>
      <c r="J526" s="588"/>
    </row>
    <row r="527" spans="1:10" x14ac:dyDescent="0.3">
      <c r="A527" s="588"/>
      <c r="B527" s="588"/>
      <c r="C527" s="588"/>
      <c r="D527" s="588"/>
      <c r="E527" s="588"/>
      <c r="F527" s="588"/>
      <c r="G527" s="600"/>
      <c r="H527" s="588"/>
      <c r="I527" s="588"/>
      <c r="J527" s="588"/>
    </row>
    <row r="528" spans="1:10" x14ac:dyDescent="0.3">
      <c r="A528" s="588"/>
      <c r="B528" s="588"/>
      <c r="C528" s="588"/>
      <c r="D528" s="588"/>
      <c r="E528" s="588"/>
      <c r="F528" s="588"/>
      <c r="G528" s="600"/>
      <c r="H528" s="588"/>
      <c r="I528" s="588"/>
      <c r="J528" s="588"/>
    </row>
    <row r="529" spans="1:10" x14ac:dyDescent="0.3">
      <c r="A529" s="588"/>
      <c r="B529" s="588"/>
      <c r="C529" s="588"/>
      <c r="D529" s="588"/>
      <c r="E529" s="588"/>
      <c r="F529" s="588"/>
      <c r="G529" s="600"/>
      <c r="H529" s="588"/>
      <c r="I529" s="588"/>
      <c r="J529" s="588"/>
    </row>
    <row r="530" spans="1:10" x14ac:dyDescent="0.3">
      <c r="A530" s="588"/>
      <c r="B530" s="588"/>
      <c r="C530" s="588"/>
      <c r="D530" s="588"/>
      <c r="E530" s="588"/>
      <c r="F530" s="588"/>
      <c r="G530" s="600"/>
      <c r="H530" s="588"/>
      <c r="I530" s="588"/>
      <c r="J530" s="588"/>
    </row>
    <row r="531" spans="1:10" x14ac:dyDescent="0.3">
      <c r="A531" s="588"/>
      <c r="B531" s="588"/>
      <c r="C531" s="588"/>
      <c r="D531" s="588"/>
      <c r="E531" s="588"/>
      <c r="F531" s="588"/>
      <c r="G531" s="600"/>
      <c r="H531" s="588"/>
      <c r="I531" s="588"/>
      <c r="J531" s="588"/>
    </row>
    <row r="532" spans="1:10" x14ac:dyDescent="0.3">
      <c r="A532" s="588"/>
      <c r="B532" s="588"/>
      <c r="C532" s="588"/>
      <c r="D532" s="588"/>
      <c r="E532" s="588"/>
      <c r="F532" s="588"/>
      <c r="G532" s="600"/>
      <c r="H532" s="588"/>
      <c r="I532" s="588"/>
      <c r="J532" s="588"/>
    </row>
    <row r="533" spans="1:10" x14ac:dyDescent="0.3">
      <c r="A533" s="588"/>
      <c r="B533" s="588"/>
      <c r="C533" s="588"/>
      <c r="D533" s="588"/>
      <c r="E533" s="588"/>
      <c r="F533" s="588"/>
      <c r="G533" s="600"/>
      <c r="H533" s="588"/>
      <c r="I533" s="588"/>
      <c r="J533" s="588"/>
    </row>
    <row r="534" spans="1:10" x14ac:dyDescent="0.3">
      <c r="A534" s="588"/>
      <c r="B534" s="588"/>
      <c r="C534" s="588"/>
      <c r="D534" s="588"/>
      <c r="E534" s="588"/>
      <c r="F534" s="588"/>
      <c r="G534" s="600"/>
      <c r="H534" s="588"/>
      <c r="I534" s="588"/>
      <c r="J534" s="588"/>
    </row>
    <row r="535" spans="1:10" x14ac:dyDescent="0.3">
      <c r="A535" s="588"/>
      <c r="B535" s="588"/>
      <c r="C535" s="588"/>
      <c r="D535" s="588"/>
      <c r="E535" s="588"/>
      <c r="F535" s="588"/>
      <c r="G535" s="600"/>
      <c r="H535" s="588"/>
      <c r="I535" s="588"/>
      <c r="J535" s="588"/>
    </row>
    <row r="536" spans="1:10" x14ac:dyDescent="0.3">
      <c r="A536" s="588"/>
      <c r="B536" s="588"/>
      <c r="C536" s="588"/>
      <c r="D536" s="588"/>
      <c r="E536" s="588"/>
      <c r="F536" s="588"/>
      <c r="G536" s="600"/>
      <c r="H536" s="588"/>
      <c r="I536" s="588"/>
      <c r="J536" s="588"/>
    </row>
    <row r="537" spans="1:10" x14ac:dyDescent="0.3">
      <c r="A537" s="588"/>
      <c r="B537" s="588"/>
      <c r="C537" s="588"/>
      <c r="D537" s="588"/>
      <c r="E537" s="588"/>
      <c r="F537" s="588"/>
      <c r="G537" s="600"/>
      <c r="H537" s="588"/>
      <c r="I537" s="588"/>
      <c r="J537" s="588"/>
    </row>
    <row r="538" spans="1:10" x14ac:dyDescent="0.3">
      <c r="A538" s="588"/>
      <c r="B538" s="588"/>
      <c r="C538" s="588"/>
      <c r="D538" s="588"/>
      <c r="E538" s="588"/>
      <c r="F538" s="588"/>
      <c r="G538" s="600"/>
      <c r="H538" s="588"/>
      <c r="I538" s="588"/>
      <c r="J538" s="588"/>
    </row>
    <row r="539" spans="1:10" x14ac:dyDescent="0.3">
      <c r="A539" s="588"/>
      <c r="B539" s="588"/>
      <c r="C539" s="588"/>
      <c r="D539" s="588"/>
      <c r="E539" s="588"/>
      <c r="F539" s="588"/>
      <c r="G539" s="600"/>
      <c r="H539" s="588"/>
      <c r="I539" s="588"/>
      <c r="J539" s="588"/>
    </row>
    <row r="540" spans="1:10" x14ac:dyDescent="0.3">
      <c r="A540" s="588"/>
      <c r="B540" s="588"/>
      <c r="C540" s="588"/>
      <c r="D540" s="588"/>
      <c r="E540" s="588"/>
      <c r="F540" s="588"/>
      <c r="G540" s="600"/>
      <c r="H540" s="588"/>
      <c r="I540" s="588"/>
      <c r="J540" s="588"/>
    </row>
    <row r="541" spans="1:10" x14ac:dyDescent="0.3">
      <c r="A541" s="588"/>
      <c r="B541" s="588"/>
      <c r="C541" s="588"/>
      <c r="D541" s="588"/>
      <c r="E541" s="588"/>
      <c r="F541" s="588"/>
      <c r="G541" s="600"/>
      <c r="H541" s="588"/>
      <c r="I541" s="588"/>
      <c r="J541" s="588"/>
    </row>
    <row r="542" spans="1:10" x14ac:dyDescent="0.3">
      <c r="A542" s="588"/>
      <c r="B542" s="588"/>
      <c r="C542" s="588"/>
      <c r="D542" s="588"/>
      <c r="E542" s="588"/>
      <c r="F542" s="588"/>
      <c r="G542" s="600"/>
      <c r="H542" s="588"/>
      <c r="I542" s="588"/>
      <c r="J542" s="588"/>
    </row>
    <row r="543" spans="1:10" x14ac:dyDescent="0.3">
      <c r="A543" s="588"/>
      <c r="B543" s="588"/>
      <c r="C543" s="588"/>
      <c r="D543" s="588"/>
      <c r="E543" s="588"/>
      <c r="F543" s="588"/>
      <c r="G543" s="600"/>
      <c r="H543" s="588"/>
      <c r="I543" s="588"/>
      <c r="J543" s="588"/>
    </row>
    <row r="544" spans="1:10" x14ac:dyDescent="0.3">
      <c r="A544" s="588"/>
      <c r="B544" s="588"/>
      <c r="C544" s="588"/>
      <c r="D544" s="588"/>
      <c r="E544" s="588"/>
      <c r="F544" s="588"/>
      <c r="G544" s="600"/>
      <c r="H544" s="588"/>
      <c r="I544" s="588"/>
      <c r="J544" s="588"/>
    </row>
    <row r="545" spans="1:10" x14ac:dyDescent="0.3">
      <c r="A545" s="588"/>
      <c r="B545" s="588"/>
      <c r="C545" s="588"/>
      <c r="D545" s="588"/>
      <c r="E545" s="588"/>
      <c r="F545" s="588"/>
      <c r="G545" s="600"/>
      <c r="H545" s="588"/>
      <c r="I545" s="588"/>
      <c r="J545" s="588"/>
    </row>
    <row r="546" spans="1:10" x14ac:dyDescent="0.3">
      <c r="A546" s="588"/>
      <c r="B546" s="588"/>
      <c r="C546" s="588"/>
      <c r="D546" s="588"/>
      <c r="E546" s="588"/>
      <c r="F546" s="588"/>
      <c r="G546" s="600"/>
      <c r="H546" s="588"/>
      <c r="I546" s="588"/>
      <c r="J546" s="588"/>
    </row>
    <row r="547" spans="1:10" x14ac:dyDescent="0.3">
      <c r="A547" s="588"/>
      <c r="B547" s="588"/>
      <c r="C547" s="588"/>
      <c r="D547" s="588"/>
      <c r="E547" s="588"/>
      <c r="F547" s="588"/>
      <c r="G547" s="600"/>
      <c r="H547" s="588"/>
      <c r="I547" s="588"/>
      <c r="J547" s="588"/>
    </row>
    <row r="548" spans="1:10" x14ac:dyDescent="0.3">
      <c r="A548" s="588"/>
      <c r="B548" s="588"/>
      <c r="C548" s="588"/>
      <c r="D548" s="588"/>
      <c r="E548" s="588"/>
      <c r="F548" s="588"/>
      <c r="G548" s="600"/>
      <c r="H548" s="588"/>
      <c r="I548" s="588"/>
      <c r="J548" s="588"/>
    </row>
    <row r="549" spans="1:10" x14ac:dyDescent="0.3">
      <c r="A549" s="588"/>
      <c r="B549" s="588"/>
      <c r="C549" s="588"/>
      <c r="D549" s="588"/>
      <c r="E549" s="588"/>
      <c r="F549" s="588"/>
      <c r="G549" s="600"/>
      <c r="H549" s="588"/>
      <c r="I549" s="588"/>
      <c r="J549" s="588"/>
    </row>
    <row r="550" spans="1:10" x14ac:dyDescent="0.3">
      <c r="A550" s="588"/>
      <c r="B550" s="588"/>
      <c r="C550" s="588"/>
      <c r="D550" s="588"/>
      <c r="E550" s="588"/>
      <c r="F550" s="588"/>
      <c r="G550" s="600"/>
      <c r="H550" s="588"/>
      <c r="I550" s="588"/>
      <c r="J550" s="588"/>
    </row>
    <row r="551" spans="1:10" x14ac:dyDescent="0.3">
      <c r="A551" s="588"/>
      <c r="B551" s="588"/>
      <c r="C551" s="588"/>
      <c r="D551" s="588"/>
      <c r="E551" s="588"/>
      <c r="F551" s="588"/>
      <c r="G551" s="600"/>
      <c r="H551" s="588"/>
      <c r="I551" s="588"/>
      <c r="J551" s="588"/>
    </row>
    <row r="552" spans="1:10" x14ac:dyDescent="0.3">
      <c r="A552" s="588"/>
      <c r="B552" s="588"/>
      <c r="C552" s="588"/>
      <c r="D552" s="588"/>
      <c r="E552" s="588"/>
      <c r="F552" s="588"/>
      <c r="G552" s="600"/>
      <c r="H552" s="588"/>
      <c r="I552" s="588"/>
      <c r="J552" s="588"/>
    </row>
    <row r="553" spans="1:10" x14ac:dyDescent="0.3">
      <c r="A553" s="588"/>
      <c r="B553" s="588"/>
      <c r="C553" s="588"/>
      <c r="D553" s="588"/>
      <c r="E553" s="588"/>
      <c r="F553" s="588"/>
      <c r="G553" s="600"/>
      <c r="H553" s="588"/>
      <c r="I553" s="588"/>
      <c r="J553" s="588"/>
    </row>
    <row r="554" spans="1:10" x14ac:dyDescent="0.3">
      <c r="A554" s="588"/>
      <c r="B554" s="588"/>
      <c r="C554" s="588"/>
      <c r="D554" s="588"/>
      <c r="E554" s="588"/>
      <c r="F554" s="588"/>
      <c r="G554" s="600"/>
      <c r="H554" s="588"/>
      <c r="I554" s="588"/>
      <c r="J554" s="588"/>
    </row>
    <row r="555" spans="1:10" x14ac:dyDescent="0.3">
      <c r="A555" s="588"/>
      <c r="B555" s="588"/>
      <c r="C555" s="588"/>
      <c r="D555" s="588"/>
      <c r="E555" s="588"/>
      <c r="F555" s="588"/>
      <c r="G555" s="600"/>
      <c r="H555" s="588"/>
      <c r="I555" s="588"/>
      <c r="J555" s="588"/>
    </row>
    <row r="556" spans="1:10" x14ac:dyDescent="0.3">
      <c r="A556" s="588"/>
      <c r="B556" s="588"/>
      <c r="C556" s="588"/>
      <c r="D556" s="588"/>
      <c r="E556" s="588"/>
      <c r="F556" s="588"/>
      <c r="G556" s="600"/>
      <c r="H556" s="588"/>
      <c r="I556" s="588"/>
      <c r="J556" s="588"/>
    </row>
    <row r="557" spans="1:10" x14ac:dyDescent="0.3">
      <c r="A557" s="588"/>
      <c r="B557" s="588"/>
      <c r="C557" s="588"/>
      <c r="D557" s="588"/>
      <c r="E557" s="588"/>
      <c r="F557" s="588"/>
      <c r="G557" s="600"/>
      <c r="H557" s="588"/>
      <c r="I557" s="588"/>
      <c r="J557" s="588"/>
    </row>
    <row r="558" spans="1:10" x14ac:dyDescent="0.3">
      <c r="A558" s="588"/>
      <c r="B558" s="588"/>
      <c r="C558" s="588"/>
      <c r="D558" s="588"/>
      <c r="E558" s="588"/>
      <c r="F558" s="588"/>
      <c r="G558" s="600"/>
      <c r="H558" s="588"/>
      <c r="I558" s="588"/>
      <c r="J558" s="588"/>
    </row>
    <row r="559" spans="1:10" x14ac:dyDescent="0.3">
      <c r="A559" s="588"/>
      <c r="B559" s="588"/>
      <c r="C559" s="588"/>
      <c r="D559" s="588"/>
      <c r="E559" s="588"/>
      <c r="F559" s="588"/>
      <c r="G559" s="600"/>
      <c r="H559" s="588"/>
      <c r="I559" s="588"/>
      <c r="J559" s="588"/>
    </row>
    <row r="560" spans="1:10" x14ac:dyDescent="0.3">
      <c r="A560" s="588"/>
      <c r="B560" s="588"/>
      <c r="C560" s="588"/>
      <c r="D560" s="588"/>
      <c r="E560" s="588"/>
      <c r="F560" s="588"/>
      <c r="G560" s="600"/>
      <c r="H560" s="588"/>
      <c r="I560" s="588"/>
      <c r="J560" s="588"/>
    </row>
    <row r="561" spans="1:10" x14ac:dyDescent="0.3">
      <c r="A561" s="588"/>
      <c r="B561" s="588"/>
      <c r="C561" s="588"/>
      <c r="D561" s="588"/>
      <c r="E561" s="588"/>
      <c r="F561" s="588"/>
      <c r="G561" s="600"/>
      <c r="H561" s="588"/>
      <c r="I561" s="588"/>
      <c r="J561" s="588"/>
    </row>
    <row r="562" spans="1:10" x14ac:dyDescent="0.3">
      <c r="A562" s="588"/>
      <c r="B562" s="588"/>
      <c r="C562" s="588"/>
      <c r="D562" s="588"/>
      <c r="E562" s="588"/>
      <c r="F562" s="588"/>
      <c r="G562" s="600"/>
      <c r="H562" s="588"/>
      <c r="I562" s="588"/>
      <c r="J562" s="588"/>
    </row>
    <row r="563" spans="1:10" x14ac:dyDescent="0.3">
      <c r="A563" s="588"/>
      <c r="B563" s="588"/>
      <c r="C563" s="588"/>
      <c r="D563" s="588"/>
      <c r="E563" s="588"/>
      <c r="F563" s="588"/>
      <c r="G563" s="600"/>
      <c r="H563" s="588"/>
      <c r="I563" s="588"/>
      <c r="J563" s="588"/>
    </row>
    <row r="564" spans="1:10" x14ac:dyDescent="0.3">
      <c r="A564" s="588"/>
      <c r="B564" s="588"/>
      <c r="C564" s="588"/>
      <c r="D564" s="588"/>
      <c r="E564" s="588"/>
      <c r="F564" s="588"/>
      <c r="G564" s="600"/>
      <c r="H564" s="588"/>
      <c r="I564" s="588"/>
      <c r="J564" s="588"/>
    </row>
    <row r="565" spans="1:10" x14ac:dyDescent="0.3">
      <c r="A565" s="588"/>
      <c r="B565" s="588"/>
      <c r="C565" s="588"/>
      <c r="D565" s="588"/>
      <c r="E565" s="588"/>
      <c r="F565" s="588"/>
      <c r="G565" s="600"/>
      <c r="H565" s="588"/>
      <c r="I565" s="588"/>
      <c r="J565" s="588"/>
    </row>
    <row r="566" spans="1:10" x14ac:dyDescent="0.3">
      <c r="A566" s="588"/>
      <c r="B566" s="588"/>
      <c r="C566" s="588"/>
      <c r="D566" s="588"/>
      <c r="E566" s="588"/>
      <c r="F566" s="588"/>
      <c r="G566" s="600"/>
      <c r="H566" s="588"/>
      <c r="I566" s="588"/>
      <c r="J566" s="588"/>
    </row>
    <row r="567" spans="1:10" x14ac:dyDescent="0.3">
      <c r="A567" s="588"/>
      <c r="B567" s="588"/>
      <c r="C567" s="588"/>
      <c r="D567" s="588"/>
      <c r="E567" s="588"/>
      <c r="F567" s="588"/>
      <c r="G567" s="600"/>
      <c r="H567" s="588"/>
      <c r="I567" s="588"/>
      <c r="J567" s="588"/>
    </row>
    <row r="568" spans="1:10" x14ac:dyDescent="0.3">
      <c r="A568" s="588"/>
      <c r="B568" s="588"/>
      <c r="C568" s="588"/>
      <c r="D568" s="588"/>
      <c r="E568" s="588"/>
      <c r="F568" s="588"/>
      <c r="G568" s="600"/>
      <c r="H568" s="588"/>
      <c r="I568" s="588"/>
      <c r="J568" s="588"/>
    </row>
    <row r="569" spans="1:10" x14ac:dyDescent="0.3">
      <c r="A569" s="588"/>
      <c r="B569" s="588"/>
      <c r="C569" s="588"/>
      <c r="D569" s="588"/>
      <c r="E569" s="588"/>
      <c r="F569" s="588"/>
      <c r="G569" s="600"/>
      <c r="H569" s="588"/>
      <c r="I569" s="588"/>
      <c r="J569" s="588"/>
    </row>
    <row r="570" spans="1:10" x14ac:dyDescent="0.3">
      <c r="A570" s="588"/>
      <c r="B570" s="588"/>
      <c r="C570" s="588"/>
      <c r="D570" s="588"/>
      <c r="E570" s="588"/>
      <c r="F570" s="588"/>
      <c r="G570" s="600"/>
      <c r="H570" s="588"/>
      <c r="I570" s="588"/>
      <c r="J570" s="588"/>
    </row>
    <row r="571" spans="1:10" x14ac:dyDescent="0.3">
      <c r="A571" s="588"/>
      <c r="B571" s="588"/>
      <c r="C571" s="588"/>
      <c r="D571" s="588"/>
      <c r="E571" s="588"/>
      <c r="F571" s="588"/>
      <c r="G571" s="600"/>
      <c r="H571" s="588"/>
      <c r="I571" s="588"/>
      <c r="J571" s="588"/>
    </row>
    <row r="572" spans="1:10" x14ac:dyDescent="0.3">
      <c r="A572" s="588"/>
      <c r="B572" s="588"/>
      <c r="C572" s="588"/>
      <c r="D572" s="588"/>
      <c r="E572" s="588"/>
      <c r="F572" s="588"/>
      <c r="G572" s="600"/>
      <c r="H572" s="588"/>
      <c r="I572" s="588"/>
      <c r="J572" s="588"/>
    </row>
    <row r="573" spans="1:10" x14ac:dyDescent="0.3">
      <c r="A573" s="588"/>
      <c r="B573" s="588"/>
      <c r="C573" s="588"/>
      <c r="D573" s="588"/>
      <c r="E573" s="588"/>
      <c r="F573" s="588"/>
      <c r="G573" s="600"/>
      <c r="H573" s="588"/>
      <c r="I573" s="588"/>
      <c r="J573" s="588"/>
    </row>
    <row r="574" spans="1:10" x14ac:dyDescent="0.3">
      <c r="A574" s="588"/>
      <c r="B574" s="588"/>
      <c r="C574" s="588"/>
      <c r="D574" s="588"/>
      <c r="E574" s="588"/>
      <c r="F574" s="588"/>
      <c r="G574" s="600"/>
      <c r="H574" s="588"/>
      <c r="I574" s="588"/>
      <c r="J574" s="588"/>
    </row>
    <row r="575" spans="1:10" x14ac:dyDescent="0.3">
      <c r="A575" s="588"/>
      <c r="B575" s="588"/>
      <c r="C575" s="588"/>
      <c r="D575" s="588"/>
      <c r="E575" s="588"/>
      <c r="F575" s="588"/>
      <c r="G575" s="600"/>
      <c r="H575" s="588"/>
      <c r="I575" s="588"/>
      <c r="J575" s="588"/>
    </row>
    <row r="576" spans="1:10" x14ac:dyDescent="0.3">
      <c r="A576" s="588"/>
      <c r="B576" s="588"/>
      <c r="C576" s="588"/>
      <c r="D576" s="588"/>
      <c r="E576" s="588"/>
      <c r="F576" s="588"/>
      <c r="G576" s="600"/>
      <c r="H576" s="588"/>
      <c r="I576" s="588"/>
      <c r="J576" s="588"/>
    </row>
    <row r="577" spans="1:10" x14ac:dyDescent="0.3">
      <c r="A577" s="588"/>
      <c r="B577" s="588"/>
      <c r="C577" s="588"/>
      <c r="D577" s="588"/>
      <c r="E577" s="588"/>
      <c r="F577" s="588"/>
      <c r="G577" s="600"/>
      <c r="H577" s="588"/>
      <c r="I577" s="588"/>
      <c r="J577" s="588"/>
    </row>
    <row r="578" spans="1:10" x14ac:dyDescent="0.3">
      <c r="A578" s="588"/>
      <c r="B578" s="588"/>
      <c r="C578" s="588"/>
      <c r="D578" s="588"/>
      <c r="E578" s="588"/>
      <c r="F578" s="588"/>
      <c r="G578" s="600"/>
      <c r="H578" s="588"/>
      <c r="I578" s="588"/>
      <c r="J578" s="588"/>
    </row>
    <row r="579" spans="1:10" x14ac:dyDescent="0.3">
      <c r="A579" s="588"/>
      <c r="B579" s="588"/>
      <c r="C579" s="588"/>
      <c r="D579" s="588"/>
      <c r="E579" s="588"/>
      <c r="F579" s="588"/>
      <c r="G579" s="600"/>
      <c r="H579" s="588"/>
      <c r="I579" s="588"/>
      <c r="J579" s="588"/>
    </row>
    <row r="580" spans="1:10" x14ac:dyDescent="0.3">
      <c r="A580" s="588"/>
      <c r="B580" s="588"/>
      <c r="C580" s="588"/>
      <c r="D580" s="588"/>
      <c r="E580" s="588"/>
      <c r="F580" s="588"/>
      <c r="G580" s="600"/>
      <c r="H580" s="588"/>
      <c r="I580" s="588"/>
      <c r="J580" s="588"/>
    </row>
    <row r="581" spans="1:10" x14ac:dyDescent="0.3">
      <c r="A581" s="588"/>
      <c r="B581" s="588"/>
      <c r="C581" s="588"/>
      <c r="D581" s="588"/>
      <c r="E581" s="588"/>
      <c r="F581" s="588"/>
      <c r="G581" s="600"/>
      <c r="H581" s="588"/>
      <c r="I581" s="588"/>
      <c r="J581" s="588"/>
    </row>
    <row r="582" spans="1:10" x14ac:dyDescent="0.3">
      <c r="A582" s="588"/>
      <c r="B582" s="588"/>
      <c r="C582" s="588"/>
      <c r="D582" s="588"/>
      <c r="E582" s="588"/>
      <c r="F582" s="588"/>
      <c r="G582" s="600"/>
      <c r="H582" s="588"/>
      <c r="I582" s="588"/>
      <c r="J582" s="588"/>
    </row>
    <row r="583" spans="1:10" x14ac:dyDescent="0.3">
      <c r="A583" s="588"/>
      <c r="B583" s="588"/>
      <c r="C583" s="588"/>
      <c r="D583" s="588"/>
      <c r="E583" s="588"/>
      <c r="F583" s="588"/>
      <c r="G583" s="600"/>
      <c r="H583" s="588"/>
      <c r="I583" s="588"/>
      <c r="J583" s="588"/>
    </row>
    <row r="584" spans="1:10" x14ac:dyDescent="0.3">
      <c r="A584" s="588"/>
      <c r="B584" s="588"/>
      <c r="C584" s="588"/>
      <c r="D584" s="588"/>
      <c r="E584" s="588"/>
      <c r="F584" s="588"/>
      <c r="G584" s="600"/>
      <c r="H584" s="588"/>
      <c r="I584" s="588"/>
      <c r="J584" s="588"/>
    </row>
    <row r="585" spans="1:10" x14ac:dyDescent="0.3">
      <c r="A585" s="588"/>
      <c r="B585" s="588"/>
      <c r="C585" s="588"/>
      <c r="D585" s="588"/>
      <c r="E585" s="588"/>
      <c r="F585" s="588"/>
      <c r="G585" s="600"/>
      <c r="H585" s="588"/>
      <c r="I585" s="588"/>
      <c r="J585" s="588"/>
    </row>
    <row r="586" spans="1:10" x14ac:dyDescent="0.3">
      <c r="A586" s="588"/>
      <c r="B586" s="588"/>
      <c r="C586" s="588"/>
      <c r="D586" s="588"/>
      <c r="E586" s="588"/>
      <c r="F586" s="588"/>
      <c r="G586" s="600"/>
      <c r="H586" s="588"/>
      <c r="I586" s="588"/>
      <c r="J586" s="588"/>
    </row>
    <row r="587" spans="1:10" x14ac:dyDescent="0.3">
      <c r="A587" s="588"/>
      <c r="B587" s="588"/>
      <c r="C587" s="588"/>
      <c r="D587" s="588"/>
      <c r="E587" s="588"/>
      <c r="F587" s="588"/>
      <c r="G587" s="600"/>
      <c r="H587" s="588"/>
      <c r="I587" s="588"/>
      <c r="J587" s="588"/>
    </row>
    <row r="588" spans="1:10" x14ac:dyDescent="0.3">
      <c r="A588" s="588"/>
      <c r="B588" s="588"/>
      <c r="C588" s="588"/>
      <c r="D588" s="588"/>
      <c r="E588" s="588"/>
      <c r="F588" s="588"/>
      <c r="G588" s="600"/>
      <c r="H588" s="588"/>
      <c r="I588" s="588"/>
      <c r="J588" s="588"/>
    </row>
    <row r="589" spans="1:10" x14ac:dyDescent="0.3">
      <c r="A589" s="588"/>
      <c r="B589" s="588"/>
      <c r="C589" s="588"/>
      <c r="D589" s="588"/>
      <c r="E589" s="588"/>
      <c r="F589" s="588"/>
      <c r="G589" s="600"/>
      <c r="H589" s="588"/>
      <c r="I589" s="588"/>
      <c r="J589" s="588"/>
    </row>
    <row r="590" spans="1:10" x14ac:dyDescent="0.3">
      <c r="A590" s="588"/>
      <c r="B590" s="588"/>
      <c r="C590" s="588"/>
      <c r="D590" s="588"/>
      <c r="E590" s="588"/>
      <c r="F590" s="588"/>
      <c r="G590" s="600"/>
      <c r="H590" s="588"/>
      <c r="I590" s="588"/>
      <c r="J590" s="588"/>
    </row>
    <row r="591" spans="1:10" x14ac:dyDescent="0.3">
      <c r="A591" s="588"/>
      <c r="B591" s="588"/>
      <c r="C591" s="588"/>
      <c r="D591" s="588"/>
      <c r="E591" s="588"/>
      <c r="F591" s="588"/>
      <c r="G591" s="600"/>
      <c r="H591" s="588"/>
      <c r="I591" s="588"/>
      <c r="J591" s="588"/>
    </row>
    <row r="592" spans="1:10" x14ac:dyDescent="0.3">
      <c r="A592" s="588"/>
      <c r="B592" s="588"/>
      <c r="C592" s="588"/>
      <c r="D592" s="588"/>
      <c r="E592" s="588"/>
      <c r="F592" s="588"/>
      <c r="G592" s="600"/>
      <c r="H592" s="588"/>
      <c r="I592" s="588"/>
      <c r="J592" s="588"/>
    </row>
    <row r="593" spans="1:10" x14ac:dyDescent="0.3">
      <c r="A593" s="588"/>
      <c r="B593" s="588"/>
      <c r="C593" s="588"/>
      <c r="D593" s="588"/>
      <c r="E593" s="588"/>
      <c r="F593" s="588"/>
      <c r="G593" s="600"/>
      <c r="H593" s="588"/>
      <c r="I593" s="588"/>
      <c r="J593" s="588"/>
    </row>
    <row r="594" spans="1:10" x14ac:dyDescent="0.3">
      <c r="A594" s="588"/>
      <c r="B594" s="588"/>
      <c r="C594" s="588"/>
      <c r="D594" s="588"/>
      <c r="E594" s="588"/>
      <c r="F594" s="588"/>
      <c r="G594" s="600"/>
      <c r="H594" s="588"/>
      <c r="I594" s="588"/>
      <c r="J594" s="588"/>
    </row>
    <row r="595" spans="1:10" x14ac:dyDescent="0.3">
      <c r="A595" s="588"/>
      <c r="B595" s="588"/>
      <c r="C595" s="588"/>
      <c r="D595" s="588"/>
      <c r="E595" s="588"/>
      <c r="F595" s="588"/>
      <c r="G595" s="600"/>
      <c r="H595" s="588"/>
      <c r="I595" s="588"/>
      <c r="J595" s="588"/>
    </row>
    <row r="596" spans="1:10" x14ac:dyDescent="0.3">
      <c r="A596" s="588"/>
      <c r="B596" s="588"/>
      <c r="C596" s="588"/>
      <c r="D596" s="588"/>
      <c r="E596" s="588"/>
      <c r="F596" s="588"/>
      <c r="G596" s="600"/>
      <c r="H596" s="588"/>
      <c r="I596" s="588"/>
      <c r="J596" s="588"/>
    </row>
    <row r="597" spans="1:10" x14ac:dyDescent="0.3">
      <c r="A597" s="588"/>
      <c r="B597" s="588"/>
      <c r="C597" s="588"/>
      <c r="D597" s="588"/>
      <c r="E597" s="588"/>
      <c r="F597" s="588"/>
      <c r="G597" s="600"/>
      <c r="H597" s="588"/>
      <c r="I597" s="588"/>
      <c r="J597" s="588"/>
    </row>
    <row r="598" spans="1:10" x14ac:dyDescent="0.3">
      <c r="A598" s="588"/>
      <c r="B598" s="588"/>
      <c r="C598" s="588"/>
      <c r="D598" s="588"/>
      <c r="E598" s="588"/>
      <c r="F598" s="588"/>
      <c r="G598" s="600"/>
      <c r="H598" s="588"/>
      <c r="I598" s="588"/>
      <c r="J598" s="588"/>
    </row>
    <row r="599" spans="1:10" x14ac:dyDescent="0.3">
      <c r="A599" s="588"/>
      <c r="B599" s="588"/>
      <c r="C599" s="588"/>
      <c r="D599" s="588"/>
      <c r="E599" s="588"/>
      <c r="F599" s="588"/>
      <c r="G599" s="600"/>
      <c r="H599" s="588"/>
      <c r="I599" s="588"/>
      <c r="J599" s="588"/>
    </row>
    <row r="600" spans="1:10" x14ac:dyDescent="0.3">
      <c r="A600" s="588"/>
      <c r="B600" s="588"/>
      <c r="C600" s="588"/>
      <c r="D600" s="588"/>
      <c r="E600" s="588"/>
      <c r="F600" s="588"/>
      <c r="G600" s="600"/>
      <c r="H600" s="588"/>
      <c r="I600" s="588"/>
      <c r="J600" s="588"/>
    </row>
    <row r="601" spans="1:10" x14ac:dyDescent="0.3">
      <c r="A601" s="588"/>
      <c r="B601" s="588"/>
      <c r="C601" s="588"/>
      <c r="D601" s="588"/>
      <c r="E601" s="588"/>
      <c r="F601" s="588"/>
      <c r="G601" s="600"/>
      <c r="H601" s="588"/>
      <c r="I601" s="588"/>
      <c r="J601" s="588"/>
    </row>
    <row r="602" spans="1:10" x14ac:dyDescent="0.3">
      <c r="A602" s="588"/>
      <c r="B602" s="588"/>
      <c r="C602" s="588"/>
      <c r="D602" s="588"/>
      <c r="E602" s="588"/>
      <c r="F602" s="588"/>
      <c r="G602" s="600"/>
      <c r="H602" s="588"/>
      <c r="I602" s="588"/>
      <c r="J602" s="588"/>
    </row>
    <row r="603" spans="1:10" x14ac:dyDescent="0.3">
      <c r="A603" s="588"/>
      <c r="B603" s="588"/>
      <c r="C603" s="588"/>
      <c r="D603" s="588"/>
      <c r="E603" s="588"/>
      <c r="F603" s="588"/>
      <c r="G603" s="600"/>
      <c r="H603" s="588"/>
      <c r="I603" s="588"/>
      <c r="J603" s="588"/>
    </row>
    <row r="604" spans="1:10" x14ac:dyDescent="0.3">
      <c r="A604" s="588"/>
      <c r="B604" s="588"/>
      <c r="C604" s="588"/>
      <c r="D604" s="588"/>
      <c r="E604" s="588"/>
      <c r="F604" s="588"/>
      <c r="G604" s="600"/>
      <c r="H604" s="588"/>
      <c r="I604" s="588"/>
      <c r="J604" s="588"/>
    </row>
    <row r="605" spans="1:10" x14ac:dyDescent="0.3">
      <c r="A605" s="588"/>
      <c r="B605" s="588"/>
      <c r="C605" s="588"/>
      <c r="D605" s="588"/>
      <c r="E605" s="588"/>
      <c r="F605" s="588"/>
      <c r="G605" s="600"/>
      <c r="H605" s="588"/>
      <c r="I605" s="588"/>
      <c r="J605" s="588"/>
    </row>
    <row r="606" spans="1:10" x14ac:dyDescent="0.3">
      <c r="A606" s="588"/>
      <c r="B606" s="588"/>
      <c r="C606" s="588"/>
      <c r="D606" s="588"/>
      <c r="E606" s="588"/>
      <c r="F606" s="588"/>
      <c r="G606" s="600"/>
      <c r="H606" s="588"/>
      <c r="I606" s="588"/>
      <c r="J606" s="588"/>
    </row>
    <row r="607" spans="1:10" x14ac:dyDescent="0.3">
      <c r="A607" s="588"/>
      <c r="B607" s="588"/>
      <c r="C607" s="588"/>
      <c r="D607" s="588"/>
      <c r="E607" s="588"/>
      <c r="F607" s="588"/>
      <c r="G607" s="600"/>
      <c r="H607" s="588"/>
      <c r="I607" s="588"/>
      <c r="J607" s="588"/>
    </row>
    <row r="608" spans="1:10" x14ac:dyDescent="0.3">
      <c r="A608" s="588"/>
      <c r="B608" s="588"/>
      <c r="C608" s="588"/>
      <c r="D608" s="588"/>
      <c r="E608" s="588"/>
      <c r="F608" s="588"/>
      <c r="G608" s="600"/>
      <c r="H608" s="588"/>
      <c r="I608" s="588"/>
      <c r="J608" s="588"/>
    </row>
    <row r="609" spans="1:10" x14ac:dyDescent="0.3">
      <c r="A609" s="588"/>
      <c r="B609" s="588"/>
      <c r="C609" s="588"/>
      <c r="D609" s="588"/>
      <c r="E609" s="588"/>
      <c r="F609" s="588"/>
      <c r="G609" s="600"/>
      <c r="H609" s="588"/>
      <c r="I609" s="588"/>
      <c r="J609" s="588"/>
    </row>
    <row r="610" spans="1:10" x14ac:dyDescent="0.3">
      <c r="A610" s="588"/>
      <c r="B610" s="588"/>
      <c r="C610" s="588"/>
      <c r="D610" s="588"/>
      <c r="E610" s="588"/>
      <c r="F610" s="588"/>
      <c r="G610" s="600"/>
      <c r="H610" s="588"/>
      <c r="I610" s="588"/>
      <c r="J610" s="588"/>
    </row>
    <row r="611" spans="1:10" x14ac:dyDescent="0.3">
      <c r="A611" s="588"/>
      <c r="B611" s="588"/>
      <c r="C611" s="588"/>
      <c r="D611" s="588"/>
      <c r="E611" s="588"/>
      <c r="F611" s="588"/>
      <c r="G611" s="600"/>
      <c r="H611" s="588"/>
      <c r="I611" s="588"/>
      <c r="J611" s="588"/>
    </row>
    <row r="612" spans="1:10" x14ac:dyDescent="0.3">
      <c r="A612" s="588"/>
      <c r="B612" s="588"/>
      <c r="C612" s="588"/>
      <c r="D612" s="588"/>
      <c r="E612" s="588"/>
      <c r="F612" s="588"/>
      <c r="G612" s="600"/>
      <c r="H612" s="588"/>
      <c r="I612" s="588"/>
      <c r="J612" s="588"/>
    </row>
    <row r="613" spans="1:10" x14ac:dyDescent="0.3">
      <c r="A613" s="588"/>
      <c r="B613" s="588"/>
      <c r="C613" s="588"/>
      <c r="D613" s="588"/>
      <c r="E613" s="588"/>
      <c r="F613" s="588"/>
      <c r="G613" s="600"/>
      <c r="H613" s="588"/>
      <c r="I613" s="588"/>
      <c r="J613" s="588"/>
    </row>
    <row r="614" spans="1:10" x14ac:dyDescent="0.3">
      <c r="A614" s="588"/>
      <c r="B614" s="588"/>
      <c r="C614" s="588"/>
      <c r="D614" s="588"/>
      <c r="E614" s="588"/>
      <c r="F614" s="588"/>
      <c r="G614" s="600"/>
      <c r="H614" s="588"/>
      <c r="I614" s="588"/>
      <c r="J614" s="588"/>
    </row>
    <row r="615" spans="1:10" x14ac:dyDescent="0.3">
      <c r="A615" s="588"/>
      <c r="B615" s="588"/>
      <c r="C615" s="588"/>
      <c r="D615" s="588"/>
      <c r="E615" s="588"/>
      <c r="F615" s="588"/>
      <c r="G615" s="600"/>
      <c r="H615" s="588"/>
      <c r="I615" s="588"/>
      <c r="J615" s="588"/>
    </row>
    <row r="616" spans="1:10" x14ac:dyDescent="0.3">
      <c r="A616" s="588"/>
      <c r="B616" s="588"/>
      <c r="C616" s="588"/>
      <c r="D616" s="588"/>
      <c r="E616" s="588"/>
      <c r="F616" s="588"/>
      <c r="G616" s="600"/>
      <c r="H616" s="588"/>
      <c r="I616" s="588"/>
      <c r="J616" s="588"/>
    </row>
    <row r="617" spans="1:10" x14ac:dyDescent="0.3">
      <c r="A617" s="588"/>
      <c r="B617" s="588"/>
      <c r="C617" s="588"/>
      <c r="D617" s="588"/>
      <c r="E617" s="588"/>
      <c r="F617" s="588"/>
      <c r="G617" s="600"/>
      <c r="H617" s="588"/>
      <c r="I617" s="588"/>
      <c r="J617" s="588"/>
    </row>
    <row r="618" spans="1:10" x14ac:dyDescent="0.3">
      <c r="A618" s="588"/>
      <c r="B618" s="588"/>
      <c r="C618" s="588"/>
      <c r="D618" s="588"/>
      <c r="E618" s="588"/>
      <c r="F618" s="588"/>
      <c r="G618" s="600"/>
      <c r="H618" s="588"/>
      <c r="I618" s="588"/>
      <c r="J618" s="588"/>
    </row>
    <row r="619" spans="1:10" x14ac:dyDescent="0.3">
      <c r="A619" s="588"/>
      <c r="B619" s="588"/>
      <c r="C619" s="588"/>
      <c r="D619" s="588"/>
      <c r="E619" s="588"/>
      <c r="F619" s="588"/>
      <c r="G619" s="600"/>
      <c r="H619" s="588"/>
      <c r="I619" s="588"/>
      <c r="J619" s="588"/>
    </row>
    <row r="620" spans="1:10" x14ac:dyDescent="0.3">
      <c r="A620" s="588"/>
      <c r="B620" s="588"/>
      <c r="C620" s="588"/>
      <c r="D620" s="588"/>
      <c r="E620" s="588"/>
      <c r="F620" s="588"/>
      <c r="G620" s="600"/>
      <c r="H620" s="588"/>
      <c r="I620" s="588"/>
      <c r="J620" s="588"/>
    </row>
    <row r="621" spans="1:10" x14ac:dyDescent="0.3">
      <c r="A621" s="588"/>
      <c r="B621" s="588"/>
      <c r="C621" s="588"/>
      <c r="D621" s="588"/>
      <c r="E621" s="588"/>
      <c r="F621" s="588"/>
      <c r="G621" s="600"/>
      <c r="H621" s="588"/>
      <c r="I621" s="588"/>
      <c r="J621" s="588"/>
    </row>
    <row r="622" spans="1:10" x14ac:dyDescent="0.3">
      <c r="A622" s="588"/>
      <c r="B622" s="588"/>
      <c r="C622" s="588"/>
      <c r="D622" s="588"/>
      <c r="E622" s="588"/>
      <c r="F622" s="588"/>
      <c r="G622" s="600"/>
      <c r="H622" s="588"/>
      <c r="I622" s="588"/>
      <c r="J622" s="588"/>
    </row>
    <row r="623" spans="1:10" x14ac:dyDescent="0.3">
      <c r="A623" s="588"/>
      <c r="B623" s="588"/>
      <c r="C623" s="588"/>
      <c r="D623" s="588"/>
      <c r="E623" s="588"/>
      <c r="F623" s="588"/>
      <c r="G623" s="600"/>
      <c r="H623" s="588"/>
      <c r="I623" s="588"/>
      <c r="J623" s="588"/>
    </row>
    <row r="624" spans="1:10" x14ac:dyDescent="0.3">
      <c r="A624" s="588"/>
      <c r="B624" s="588"/>
      <c r="C624" s="588"/>
      <c r="D624" s="588"/>
      <c r="E624" s="588"/>
      <c r="F624" s="588"/>
      <c r="G624" s="600"/>
      <c r="H624" s="588"/>
      <c r="I624" s="588"/>
      <c r="J624" s="588"/>
    </row>
    <row r="625" spans="1:10" x14ac:dyDescent="0.3">
      <c r="A625" s="588"/>
      <c r="B625" s="588"/>
      <c r="C625" s="588"/>
      <c r="D625" s="588"/>
      <c r="E625" s="588"/>
      <c r="F625" s="588"/>
      <c r="G625" s="600"/>
      <c r="H625" s="588"/>
      <c r="I625" s="588"/>
      <c r="J625" s="588"/>
    </row>
    <row r="626" spans="1:10" x14ac:dyDescent="0.3">
      <c r="A626" s="588"/>
      <c r="B626" s="588"/>
      <c r="C626" s="588"/>
      <c r="D626" s="588"/>
      <c r="E626" s="588"/>
      <c r="F626" s="588"/>
      <c r="G626" s="600"/>
      <c r="H626" s="588"/>
      <c r="I626" s="588"/>
      <c r="J626" s="588"/>
    </row>
    <row r="627" spans="1:10" x14ac:dyDescent="0.3">
      <c r="A627" s="588"/>
      <c r="B627" s="588"/>
      <c r="C627" s="588"/>
      <c r="D627" s="588"/>
      <c r="E627" s="588"/>
      <c r="F627" s="588"/>
      <c r="G627" s="600"/>
      <c r="H627" s="588"/>
      <c r="I627" s="588"/>
      <c r="J627" s="588"/>
    </row>
    <row r="628" spans="1:10" x14ac:dyDescent="0.3">
      <c r="A628" s="588"/>
      <c r="B628" s="588"/>
      <c r="C628" s="588"/>
      <c r="D628" s="588"/>
      <c r="E628" s="588"/>
      <c r="F628" s="588"/>
      <c r="G628" s="600"/>
      <c r="H628" s="588"/>
      <c r="I628" s="588"/>
      <c r="J628" s="588"/>
    </row>
    <row r="629" spans="1:10" x14ac:dyDescent="0.3">
      <c r="A629" s="588"/>
      <c r="B629" s="588"/>
      <c r="C629" s="588"/>
      <c r="D629" s="588"/>
      <c r="E629" s="588"/>
      <c r="F629" s="588"/>
      <c r="G629" s="600"/>
      <c r="H629" s="588"/>
      <c r="I629" s="588"/>
      <c r="J629" s="588"/>
    </row>
    <row r="630" spans="1:10" x14ac:dyDescent="0.3">
      <c r="A630" s="588"/>
      <c r="B630" s="588"/>
      <c r="C630" s="588"/>
      <c r="D630" s="588"/>
      <c r="E630" s="588"/>
      <c r="F630" s="588"/>
      <c r="G630" s="600"/>
      <c r="H630" s="588"/>
      <c r="I630" s="588"/>
      <c r="J630" s="588"/>
    </row>
    <row r="631" spans="1:10" x14ac:dyDescent="0.3">
      <c r="A631" s="588"/>
      <c r="B631" s="588"/>
      <c r="C631" s="588"/>
      <c r="D631" s="588"/>
      <c r="E631" s="588"/>
      <c r="F631" s="588"/>
      <c r="G631" s="600"/>
      <c r="H631" s="588"/>
      <c r="I631" s="588"/>
      <c r="J631" s="588"/>
    </row>
    <row r="632" spans="1:10" x14ac:dyDescent="0.3">
      <c r="A632" s="588"/>
      <c r="B632" s="588"/>
      <c r="C632" s="588"/>
      <c r="D632" s="588"/>
      <c r="E632" s="588"/>
      <c r="F632" s="588"/>
      <c r="G632" s="600"/>
      <c r="H632" s="588"/>
      <c r="I632" s="588"/>
      <c r="J632" s="588"/>
    </row>
    <row r="633" spans="1:10" x14ac:dyDescent="0.3">
      <c r="A633" s="588"/>
      <c r="B633" s="588"/>
      <c r="C633" s="588"/>
      <c r="D633" s="588"/>
      <c r="E633" s="588"/>
      <c r="F633" s="588"/>
      <c r="G633" s="600"/>
      <c r="H633" s="588"/>
      <c r="I633" s="588"/>
      <c r="J633" s="588"/>
    </row>
    <row r="634" spans="1:10" x14ac:dyDescent="0.3">
      <c r="A634" s="588"/>
      <c r="B634" s="588"/>
      <c r="C634" s="588"/>
      <c r="D634" s="588"/>
      <c r="E634" s="588"/>
      <c r="F634" s="588"/>
      <c r="G634" s="600"/>
      <c r="H634" s="588"/>
      <c r="I634" s="588"/>
      <c r="J634" s="588"/>
    </row>
    <row r="635" spans="1:10" x14ac:dyDescent="0.3">
      <c r="A635" s="588"/>
      <c r="B635" s="588"/>
      <c r="C635" s="588"/>
      <c r="D635" s="588"/>
      <c r="E635" s="588"/>
      <c r="F635" s="588"/>
      <c r="G635" s="600"/>
      <c r="H635" s="588"/>
      <c r="I635" s="588"/>
      <c r="J635" s="588"/>
    </row>
    <row r="636" spans="1:10" x14ac:dyDescent="0.3">
      <c r="A636" s="588"/>
      <c r="B636" s="588"/>
      <c r="C636" s="588"/>
      <c r="D636" s="588"/>
      <c r="E636" s="588"/>
      <c r="F636" s="588"/>
      <c r="G636" s="600"/>
      <c r="H636" s="588"/>
      <c r="I636" s="588"/>
      <c r="J636" s="588"/>
    </row>
    <row r="637" spans="1:10" x14ac:dyDescent="0.3">
      <c r="A637" s="588"/>
      <c r="B637" s="588"/>
      <c r="C637" s="588"/>
      <c r="D637" s="588"/>
      <c r="E637" s="588"/>
      <c r="F637" s="588"/>
      <c r="G637" s="600"/>
      <c r="H637" s="588"/>
      <c r="I637" s="588"/>
      <c r="J637" s="588"/>
    </row>
    <row r="638" spans="1:10" x14ac:dyDescent="0.3">
      <c r="A638" s="588"/>
      <c r="B638" s="588"/>
      <c r="C638" s="588"/>
      <c r="D638" s="588"/>
      <c r="E638" s="588"/>
      <c r="F638" s="588"/>
      <c r="G638" s="600"/>
      <c r="H638" s="588"/>
      <c r="I638" s="588"/>
      <c r="J638" s="588"/>
    </row>
    <row r="639" spans="1:10" x14ac:dyDescent="0.3">
      <c r="A639" s="588"/>
      <c r="B639" s="588"/>
      <c r="C639" s="588"/>
      <c r="D639" s="588"/>
      <c r="E639" s="588"/>
      <c r="F639" s="588"/>
      <c r="G639" s="600"/>
      <c r="H639" s="588"/>
      <c r="I639" s="588"/>
      <c r="J639" s="588"/>
    </row>
    <row r="640" spans="1:10" x14ac:dyDescent="0.3">
      <c r="A640" s="588"/>
      <c r="B640" s="588"/>
      <c r="C640" s="588"/>
      <c r="D640" s="588"/>
      <c r="E640" s="588"/>
      <c r="F640" s="588"/>
      <c r="G640" s="600"/>
      <c r="H640" s="588"/>
      <c r="I640" s="588"/>
      <c r="J640" s="588"/>
    </row>
    <row r="641" spans="1:10" x14ac:dyDescent="0.3">
      <c r="A641" s="588"/>
      <c r="B641" s="588"/>
      <c r="C641" s="588"/>
      <c r="D641" s="588"/>
      <c r="E641" s="588"/>
      <c r="F641" s="588"/>
      <c r="G641" s="600"/>
      <c r="H641" s="588"/>
      <c r="I641" s="588"/>
      <c r="J641" s="588"/>
    </row>
    <row r="642" spans="1:10" x14ac:dyDescent="0.3">
      <c r="A642" s="588"/>
      <c r="B642" s="588"/>
      <c r="C642" s="588"/>
      <c r="D642" s="588"/>
      <c r="E642" s="588"/>
      <c r="F642" s="588"/>
      <c r="G642" s="600"/>
      <c r="H642" s="588"/>
      <c r="I642" s="588"/>
      <c r="J642" s="588"/>
    </row>
    <row r="643" spans="1:10" x14ac:dyDescent="0.3">
      <c r="A643" s="588"/>
      <c r="B643" s="588"/>
      <c r="C643" s="588"/>
      <c r="D643" s="588"/>
      <c r="E643" s="588"/>
      <c r="F643" s="588"/>
      <c r="G643" s="600"/>
      <c r="H643" s="588"/>
      <c r="I643" s="588"/>
      <c r="J643" s="588"/>
    </row>
    <row r="644" spans="1:10" x14ac:dyDescent="0.3">
      <c r="A644" s="588"/>
      <c r="B644" s="588"/>
      <c r="C644" s="588"/>
      <c r="D644" s="588"/>
      <c r="E644" s="588"/>
      <c r="F644" s="588"/>
      <c r="G644" s="600"/>
      <c r="H644" s="588"/>
      <c r="I644" s="588"/>
      <c r="J644" s="588"/>
    </row>
    <row r="645" spans="1:10" x14ac:dyDescent="0.3">
      <c r="A645" s="588"/>
      <c r="B645" s="588"/>
      <c r="C645" s="588"/>
      <c r="D645" s="588"/>
      <c r="E645" s="588"/>
      <c r="F645" s="588"/>
      <c r="G645" s="600"/>
      <c r="H645" s="588"/>
      <c r="I645" s="588"/>
      <c r="J645" s="588"/>
    </row>
    <row r="646" spans="1:10" x14ac:dyDescent="0.3">
      <c r="A646" s="588"/>
      <c r="B646" s="588"/>
      <c r="C646" s="588"/>
      <c r="D646" s="588"/>
      <c r="E646" s="588"/>
      <c r="F646" s="588"/>
      <c r="G646" s="600"/>
      <c r="H646" s="588"/>
      <c r="I646" s="588"/>
      <c r="J646" s="588"/>
    </row>
    <row r="647" spans="1:10" x14ac:dyDescent="0.3">
      <c r="A647" s="588"/>
      <c r="B647" s="588"/>
      <c r="C647" s="588"/>
      <c r="D647" s="588"/>
      <c r="E647" s="588"/>
      <c r="F647" s="588"/>
      <c r="G647" s="600"/>
      <c r="H647" s="588"/>
      <c r="I647" s="588"/>
      <c r="J647" s="588"/>
    </row>
    <row r="648" spans="1:10" x14ac:dyDescent="0.3">
      <c r="A648" s="588"/>
      <c r="B648" s="588"/>
      <c r="C648" s="588"/>
      <c r="D648" s="588"/>
      <c r="E648" s="588"/>
      <c r="F648" s="588"/>
      <c r="G648" s="600"/>
      <c r="H648" s="588"/>
      <c r="I648" s="588"/>
      <c r="J648" s="588"/>
    </row>
    <row r="649" spans="1:10" x14ac:dyDescent="0.3">
      <c r="A649" s="588"/>
      <c r="B649" s="588"/>
      <c r="C649" s="588"/>
      <c r="D649" s="588"/>
      <c r="E649" s="588"/>
      <c r="F649" s="588"/>
      <c r="G649" s="600"/>
      <c r="H649" s="588"/>
      <c r="I649" s="588"/>
      <c r="J649" s="588"/>
    </row>
    <row r="650" spans="1:10" x14ac:dyDescent="0.3">
      <c r="A650" s="588"/>
      <c r="B650" s="588"/>
      <c r="C650" s="588"/>
      <c r="D650" s="588"/>
      <c r="E650" s="588"/>
      <c r="F650" s="588"/>
      <c r="G650" s="600"/>
      <c r="H650" s="588"/>
      <c r="I650" s="588"/>
      <c r="J650" s="588"/>
    </row>
    <row r="651" spans="1:10" x14ac:dyDescent="0.3">
      <c r="A651" s="588"/>
      <c r="B651" s="588"/>
      <c r="C651" s="588"/>
      <c r="D651" s="588"/>
      <c r="E651" s="588"/>
      <c r="F651" s="588"/>
      <c r="G651" s="600"/>
      <c r="H651" s="588"/>
      <c r="I651" s="588"/>
      <c r="J651" s="588"/>
    </row>
    <row r="652" spans="1:10" x14ac:dyDescent="0.3">
      <c r="A652" s="588"/>
      <c r="B652" s="588"/>
      <c r="C652" s="588"/>
      <c r="D652" s="588"/>
      <c r="E652" s="588"/>
      <c r="F652" s="588"/>
      <c r="G652" s="600"/>
      <c r="H652" s="588"/>
      <c r="I652" s="588"/>
      <c r="J652" s="588"/>
    </row>
    <row r="653" spans="1:10" x14ac:dyDescent="0.3">
      <c r="A653" s="588"/>
      <c r="B653" s="588"/>
      <c r="C653" s="588"/>
      <c r="D653" s="588"/>
      <c r="E653" s="588"/>
      <c r="F653" s="588"/>
      <c r="G653" s="600"/>
      <c r="H653" s="588"/>
      <c r="I653" s="588"/>
      <c r="J653" s="588"/>
    </row>
    <row r="654" spans="1:10" x14ac:dyDescent="0.3">
      <c r="A654" s="588"/>
      <c r="B654" s="588"/>
      <c r="C654" s="588"/>
      <c r="D654" s="588"/>
      <c r="E654" s="588"/>
      <c r="F654" s="588"/>
      <c r="G654" s="600"/>
      <c r="H654" s="588"/>
      <c r="I654" s="588"/>
      <c r="J654" s="588"/>
    </row>
    <row r="655" spans="1:10" x14ac:dyDescent="0.3">
      <c r="A655" s="588"/>
      <c r="B655" s="588"/>
      <c r="C655" s="588"/>
      <c r="D655" s="588"/>
      <c r="E655" s="588"/>
      <c r="F655" s="588"/>
      <c r="G655" s="600"/>
      <c r="H655" s="588"/>
      <c r="I655" s="588"/>
      <c r="J655" s="588"/>
    </row>
    <row r="656" spans="1:10" x14ac:dyDescent="0.3">
      <c r="A656" s="588"/>
      <c r="B656" s="588"/>
      <c r="C656" s="588"/>
      <c r="D656" s="588"/>
      <c r="E656" s="588"/>
      <c r="F656" s="588"/>
      <c r="G656" s="600"/>
      <c r="H656" s="588"/>
      <c r="I656" s="588"/>
      <c r="J656" s="588"/>
    </row>
    <row r="657" spans="1:10" x14ac:dyDescent="0.3">
      <c r="A657" s="588"/>
      <c r="B657" s="588"/>
      <c r="C657" s="588"/>
      <c r="D657" s="588"/>
      <c r="E657" s="588"/>
      <c r="F657" s="588"/>
      <c r="G657" s="600"/>
      <c r="H657" s="588"/>
      <c r="I657" s="588"/>
      <c r="J657" s="588"/>
    </row>
    <row r="658" spans="1:10" x14ac:dyDescent="0.3">
      <c r="A658" s="588"/>
      <c r="B658" s="588"/>
      <c r="C658" s="588"/>
      <c r="D658" s="588"/>
      <c r="E658" s="588"/>
      <c r="F658" s="588"/>
      <c r="G658" s="600"/>
      <c r="H658" s="588"/>
      <c r="I658" s="588"/>
      <c r="J658" s="588"/>
    </row>
    <row r="659" spans="1:10" x14ac:dyDescent="0.3">
      <c r="A659" s="588"/>
      <c r="B659" s="588"/>
      <c r="C659" s="588"/>
      <c r="D659" s="588"/>
      <c r="E659" s="588"/>
      <c r="F659" s="588"/>
      <c r="G659" s="600"/>
      <c r="H659" s="588"/>
      <c r="I659" s="588"/>
      <c r="J659" s="588"/>
    </row>
    <row r="660" spans="1:10" x14ac:dyDescent="0.3">
      <c r="A660" s="588"/>
      <c r="B660" s="588"/>
      <c r="C660" s="588"/>
      <c r="D660" s="588"/>
      <c r="E660" s="588"/>
      <c r="F660" s="588"/>
      <c r="G660" s="600"/>
      <c r="H660" s="588"/>
      <c r="I660" s="588"/>
      <c r="J660" s="588"/>
    </row>
    <row r="661" spans="1:10" x14ac:dyDescent="0.3">
      <c r="A661" s="588"/>
      <c r="B661" s="588"/>
      <c r="C661" s="588"/>
      <c r="D661" s="588"/>
      <c r="E661" s="588"/>
      <c r="F661" s="588"/>
      <c r="G661" s="600"/>
      <c r="H661" s="588"/>
      <c r="I661" s="588"/>
      <c r="J661" s="588"/>
    </row>
    <row r="662" spans="1:10" x14ac:dyDescent="0.3">
      <c r="A662" s="588"/>
      <c r="B662" s="588"/>
      <c r="C662" s="588"/>
      <c r="D662" s="588"/>
      <c r="E662" s="588"/>
      <c r="F662" s="588"/>
      <c r="G662" s="600"/>
      <c r="H662" s="588"/>
      <c r="I662" s="588"/>
      <c r="J662" s="588"/>
    </row>
    <row r="663" spans="1:10" x14ac:dyDescent="0.3">
      <c r="A663" s="588"/>
      <c r="B663" s="588"/>
      <c r="C663" s="588"/>
      <c r="D663" s="588"/>
      <c r="E663" s="588"/>
      <c r="F663" s="588"/>
      <c r="G663" s="600"/>
      <c r="H663" s="588"/>
      <c r="I663" s="588"/>
      <c r="J663" s="588"/>
    </row>
    <row r="664" spans="1:10" x14ac:dyDescent="0.3">
      <c r="A664" s="588"/>
      <c r="B664" s="588"/>
      <c r="C664" s="588"/>
      <c r="D664" s="588"/>
      <c r="E664" s="588"/>
      <c r="F664" s="588"/>
      <c r="G664" s="600"/>
      <c r="H664" s="588"/>
      <c r="I664" s="588"/>
      <c r="J664" s="588"/>
    </row>
    <row r="665" spans="1:10" x14ac:dyDescent="0.3">
      <c r="A665" s="588"/>
      <c r="B665" s="588"/>
      <c r="C665" s="588"/>
      <c r="D665" s="588"/>
      <c r="E665" s="588"/>
      <c r="F665" s="588"/>
      <c r="G665" s="600"/>
      <c r="H665" s="588"/>
      <c r="I665" s="588"/>
      <c r="J665" s="588"/>
    </row>
    <row r="666" spans="1:10" x14ac:dyDescent="0.3">
      <c r="A666" s="588"/>
      <c r="B666" s="588"/>
      <c r="C666" s="588"/>
      <c r="D666" s="588"/>
      <c r="E666" s="588"/>
      <c r="F666" s="588"/>
      <c r="G666" s="600"/>
      <c r="H666" s="588"/>
      <c r="I666" s="588"/>
      <c r="J666" s="588"/>
    </row>
    <row r="667" spans="1:10" x14ac:dyDescent="0.3">
      <c r="A667" s="588"/>
      <c r="B667" s="588"/>
      <c r="C667" s="588"/>
      <c r="D667" s="588"/>
      <c r="E667" s="588"/>
      <c r="F667" s="588"/>
      <c r="G667" s="600"/>
      <c r="H667" s="588"/>
      <c r="I667" s="588"/>
      <c r="J667" s="588"/>
    </row>
    <row r="668" spans="1:10" x14ac:dyDescent="0.3">
      <c r="A668" s="588"/>
      <c r="B668" s="588"/>
      <c r="C668" s="588"/>
      <c r="D668" s="588"/>
      <c r="E668" s="588"/>
      <c r="F668" s="588"/>
      <c r="G668" s="600"/>
      <c r="H668" s="588"/>
      <c r="I668" s="588"/>
      <c r="J668" s="588"/>
    </row>
    <row r="669" spans="1:10" x14ac:dyDescent="0.3">
      <c r="A669" s="588"/>
      <c r="B669" s="588"/>
      <c r="C669" s="588"/>
      <c r="D669" s="588"/>
      <c r="E669" s="588"/>
      <c r="F669" s="588"/>
      <c r="G669" s="600"/>
      <c r="H669" s="588"/>
      <c r="I669" s="588"/>
      <c r="J669" s="588"/>
    </row>
    <row r="670" spans="1:10" x14ac:dyDescent="0.3">
      <c r="A670" s="588"/>
      <c r="B670" s="588"/>
      <c r="C670" s="588"/>
      <c r="D670" s="588"/>
      <c r="E670" s="588"/>
      <c r="F670" s="588"/>
      <c r="G670" s="600"/>
      <c r="H670" s="588"/>
      <c r="I670" s="588"/>
      <c r="J670" s="588"/>
    </row>
    <row r="671" spans="1:10" x14ac:dyDescent="0.3">
      <c r="A671" s="588"/>
      <c r="B671" s="588"/>
      <c r="C671" s="588"/>
      <c r="D671" s="588"/>
      <c r="E671" s="588"/>
      <c r="F671" s="588"/>
      <c r="G671" s="600"/>
      <c r="H671" s="588"/>
      <c r="I671" s="588"/>
      <c r="J671" s="588"/>
    </row>
    <row r="672" spans="1:10" x14ac:dyDescent="0.3">
      <c r="A672" s="588"/>
      <c r="B672" s="588"/>
      <c r="C672" s="588"/>
      <c r="D672" s="588"/>
      <c r="E672" s="588"/>
      <c r="F672" s="588"/>
      <c r="G672" s="600"/>
      <c r="H672" s="588"/>
      <c r="I672" s="588"/>
      <c r="J672" s="588"/>
    </row>
    <row r="673" spans="1:10" x14ac:dyDescent="0.3">
      <c r="A673" s="588"/>
      <c r="B673" s="588"/>
      <c r="C673" s="588"/>
      <c r="D673" s="588"/>
      <c r="E673" s="588"/>
      <c r="F673" s="588"/>
      <c r="G673" s="600"/>
      <c r="H673" s="588"/>
      <c r="I673" s="588"/>
      <c r="J673" s="588"/>
    </row>
    <row r="674" spans="1:10" x14ac:dyDescent="0.3">
      <c r="A674" s="588"/>
      <c r="B674" s="588"/>
      <c r="C674" s="588"/>
      <c r="D674" s="588"/>
      <c r="E674" s="588"/>
      <c r="F674" s="588"/>
      <c r="G674" s="600"/>
      <c r="H674" s="588"/>
      <c r="I674" s="588"/>
      <c r="J674" s="588"/>
    </row>
    <row r="675" spans="1:10" x14ac:dyDescent="0.3">
      <c r="A675" s="588"/>
      <c r="B675" s="588"/>
      <c r="C675" s="588"/>
      <c r="D675" s="588"/>
      <c r="E675" s="588"/>
      <c r="F675" s="588"/>
      <c r="G675" s="600"/>
      <c r="H675" s="588"/>
      <c r="I675" s="588"/>
      <c r="J675" s="588"/>
    </row>
    <row r="676" spans="1:10" x14ac:dyDescent="0.3">
      <c r="A676" s="588"/>
      <c r="B676" s="588"/>
      <c r="C676" s="588"/>
      <c r="D676" s="588"/>
      <c r="E676" s="588"/>
      <c r="F676" s="588"/>
      <c r="G676" s="600"/>
      <c r="H676" s="588"/>
      <c r="I676" s="588"/>
      <c r="J676" s="588"/>
    </row>
    <row r="677" spans="1:10" x14ac:dyDescent="0.3">
      <c r="A677" s="588"/>
      <c r="B677" s="588"/>
      <c r="C677" s="588"/>
      <c r="D677" s="588"/>
      <c r="E677" s="588"/>
      <c r="F677" s="588"/>
      <c r="G677" s="600"/>
      <c r="H677" s="588"/>
      <c r="I677" s="588"/>
      <c r="J677" s="588"/>
    </row>
    <row r="678" spans="1:10" x14ac:dyDescent="0.3">
      <c r="A678" s="588"/>
      <c r="B678" s="588"/>
      <c r="C678" s="588"/>
      <c r="D678" s="588"/>
      <c r="E678" s="588"/>
      <c r="F678" s="588"/>
      <c r="G678" s="600"/>
      <c r="H678" s="588"/>
      <c r="I678" s="588"/>
      <c r="J678" s="588"/>
    </row>
    <row r="679" spans="1:10" x14ac:dyDescent="0.3">
      <c r="A679" s="588"/>
      <c r="B679" s="588"/>
      <c r="C679" s="588"/>
      <c r="D679" s="588"/>
      <c r="E679" s="588"/>
      <c r="F679" s="588"/>
      <c r="G679" s="600"/>
      <c r="H679" s="588"/>
      <c r="I679" s="588"/>
      <c r="J679" s="588"/>
    </row>
    <row r="680" spans="1:10" x14ac:dyDescent="0.3">
      <c r="A680" s="588"/>
      <c r="B680" s="588"/>
      <c r="C680" s="588"/>
      <c r="D680" s="588"/>
      <c r="E680" s="588"/>
      <c r="F680" s="588"/>
      <c r="G680" s="600"/>
      <c r="H680" s="588"/>
      <c r="I680" s="588"/>
      <c r="J680" s="588"/>
    </row>
    <row r="681" spans="1:10" x14ac:dyDescent="0.3">
      <c r="A681" s="588"/>
      <c r="B681" s="588"/>
      <c r="C681" s="588"/>
      <c r="D681" s="588"/>
      <c r="E681" s="588"/>
      <c r="F681" s="588"/>
      <c r="G681" s="600"/>
      <c r="H681" s="588"/>
      <c r="I681" s="588"/>
      <c r="J681" s="588"/>
    </row>
    <row r="682" spans="1:10" x14ac:dyDescent="0.3">
      <c r="A682" s="588"/>
      <c r="B682" s="588"/>
      <c r="C682" s="588"/>
      <c r="D682" s="588"/>
      <c r="E682" s="588"/>
      <c r="F682" s="588"/>
      <c r="G682" s="600"/>
      <c r="H682" s="588"/>
      <c r="I682" s="588"/>
      <c r="J682" s="588"/>
    </row>
    <row r="683" spans="1:10" x14ac:dyDescent="0.3">
      <c r="A683" s="588"/>
      <c r="B683" s="588"/>
      <c r="C683" s="588"/>
      <c r="D683" s="588"/>
      <c r="E683" s="588"/>
      <c r="F683" s="588"/>
      <c r="G683" s="600"/>
      <c r="H683" s="588"/>
      <c r="I683" s="588"/>
      <c r="J683" s="588"/>
    </row>
    <row r="684" spans="1:10" x14ac:dyDescent="0.3">
      <c r="A684" s="588"/>
      <c r="B684" s="588"/>
      <c r="C684" s="588"/>
      <c r="D684" s="588"/>
      <c r="E684" s="588"/>
      <c r="F684" s="588"/>
      <c r="G684" s="600"/>
      <c r="H684" s="588"/>
      <c r="I684" s="588"/>
      <c r="J684" s="588"/>
    </row>
    <row r="685" spans="1:10" x14ac:dyDescent="0.3">
      <c r="A685" s="588"/>
      <c r="B685" s="588"/>
      <c r="C685" s="588"/>
      <c r="D685" s="588"/>
      <c r="E685" s="588"/>
      <c r="F685" s="588"/>
      <c r="G685" s="600"/>
      <c r="H685" s="588"/>
      <c r="I685" s="588"/>
      <c r="J685" s="588"/>
    </row>
    <row r="686" spans="1:10" x14ac:dyDescent="0.3">
      <c r="A686" s="588"/>
      <c r="B686" s="588"/>
      <c r="C686" s="588"/>
      <c r="D686" s="588"/>
      <c r="E686" s="588"/>
      <c r="F686" s="588"/>
      <c r="G686" s="600"/>
      <c r="H686" s="588"/>
      <c r="I686" s="588"/>
      <c r="J686" s="588"/>
    </row>
    <row r="687" spans="1:10" x14ac:dyDescent="0.3">
      <c r="A687" s="588"/>
      <c r="B687" s="588"/>
      <c r="C687" s="588"/>
      <c r="D687" s="588"/>
      <c r="E687" s="588"/>
      <c r="F687" s="588"/>
      <c r="G687" s="600"/>
      <c r="H687" s="588"/>
      <c r="I687" s="588"/>
      <c r="J687" s="588"/>
    </row>
    <row r="688" spans="1:10" x14ac:dyDescent="0.3">
      <c r="A688" s="588"/>
      <c r="B688" s="588"/>
      <c r="C688" s="588"/>
      <c r="D688" s="588"/>
      <c r="E688" s="588"/>
      <c r="F688" s="588"/>
      <c r="G688" s="600"/>
      <c r="H688" s="588"/>
      <c r="I688" s="588"/>
      <c r="J688" s="588"/>
    </row>
    <row r="689" spans="1:10" x14ac:dyDescent="0.3">
      <c r="A689" s="588"/>
      <c r="B689" s="588"/>
      <c r="C689" s="588"/>
      <c r="D689" s="588"/>
      <c r="E689" s="588"/>
      <c r="F689" s="588"/>
      <c r="G689" s="600"/>
      <c r="H689" s="588"/>
      <c r="I689" s="588"/>
      <c r="J689" s="588"/>
    </row>
    <row r="690" spans="1:10" x14ac:dyDescent="0.3">
      <c r="A690" s="588"/>
      <c r="B690" s="588"/>
      <c r="C690" s="588"/>
      <c r="D690" s="588"/>
      <c r="E690" s="588"/>
      <c r="F690" s="588"/>
      <c r="G690" s="600"/>
      <c r="H690" s="588"/>
      <c r="I690" s="588"/>
      <c r="J690" s="588"/>
    </row>
    <row r="691" spans="1:10" x14ac:dyDescent="0.3">
      <c r="A691" s="588"/>
      <c r="B691" s="588"/>
      <c r="C691" s="588"/>
      <c r="D691" s="588"/>
      <c r="E691" s="588"/>
      <c r="F691" s="588"/>
      <c r="G691" s="600"/>
      <c r="H691" s="588"/>
      <c r="I691" s="588"/>
      <c r="J691" s="588"/>
    </row>
    <row r="692" spans="1:10" x14ac:dyDescent="0.3">
      <c r="A692" s="588"/>
      <c r="B692" s="588"/>
      <c r="C692" s="588"/>
      <c r="D692" s="588"/>
      <c r="E692" s="588"/>
      <c r="F692" s="588"/>
      <c r="G692" s="600"/>
      <c r="H692" s="588"/>
      <c r="I692" s="588"/>
      <c r="J692" s="588"/>
    </row>
    <row r="693" spans="1:10" x14ac:dyDescent="0.3">
      <c r="A693" s="588"/>
      <c r="B693" s="588"/>
      <c r="C693" s="588"/>
      <c r="D693" s="588"/>
      <c r="E693" s="588"/>
      <c r="F693" s="588"/>
      <c r="G693" s="600"/>
      <c r="H693" s="588"/>
      <c r="I693" s="588"/>
      <c r="J693" s="588"/>
    </row>
    <row r="694" spans="1:10" x14ac:dyDescent="0.3">
      <c r="A694" s="588"/>
      <c r="B694" s="588"/>
      <c r="C694" s="588"/>
      <c r="D694" s="588"/>
      <c r="E694" s="588"/>
      <c r="F694" s="588"/>
      <c r="G694" s="600"/>
      <c r="H694" s="588"/>
      <c r="I694" s="588"/>
      <c r="J694" s="588"/>
    </row>
    <row r="695" spans="1:10" x14ac:dyDescent="0.3">
      <c r="A695" s="588"/>
      <c r="B695" s="588"/>
      <c r="C695" s="588"/>
      <c r="D695" s="588"/>
      <c r="E695" s="588"/>
      <c r="F695" s="588"/>
      <c r="G695" s="600"/>
      <c r="H695" s="588"/>
      <c r="I695" s="588"/>
      <c r="J695" s="588"/>
    </row>
    <row r="696" spans="1:10" x14ac:dyDescent="0.3">
      <c r="A696" s="588"/>
      <c r="B696" s="588"/>
      <c r="C696" s="588"/>
      <c r="D696" s="588"/>
      <c r="E696" s="588"/>
      <c r="F696" s="588"/>
      <c r="G696" s="600"/>
      <c r="H696" s="588"/>
      <c r="I696" s="588"/>
      <c r="J696" s="588"/>
    </row>
    <row r="697" spans="1:10" x14ac:dyDescent="0.3">
      <c r="A697" s="588"/>
      <c r="B697" s="588"/>
      <c r="C697" s="588"/>
      <c r="D697" s="588"/>
      <c r="E697" s="588"/>
      <c r="F697" s="588"/>
      <c r="G697" s="600"/>
      <c r="H697" s="588"/>
      <c r="I697" s="588"/>
      <c r="J697" s="588"/>
    </row>
    <row r="698" spans="1:10" x14ac:dyDescent="0.3">
      <c r="A698" s="588"/>
      <c r="B698" s="588"/>
      <c r="C698" s="588"/>
      <c r="D698" s="588"/>
      <c r="E698" s="588"/>
      <c r="F698" s="588"/>
      <c r="G698" s="600"/>
      <c r="H698" s="588"/>
      <c r="I698" s="588"/>
      <c r="J698" s="588"/>
    </row>
    <row r="699" spans="1:10" x14ac:dyDescent="0.3">
      <c r="A699" s="588"/>
      <c r="B699" s="588"/>
      <c r="C699" s="588"/>
      <c r="D699" s="588"/>
      <c r="E699" s="588"/>
      <c r="F699" s="588"/>
      <c r="G699" s="600"/>
      <c r="H699" s="588"/>
      <c r="I699" s="588"/>
      <c r="J699" s="588"/>
    </row>
    <row r="700" spans="1:10" x14ac:dyDescent="0.3">
      <c r="A700" s="588"/>
      <c r="B700" s="588"/>
      <c r="C700" s="588"/>
      <c r="D700" s="588"/>
      <c r="E700" s="588"/>
      <c r="F700" s="588"/>
      <c r="G700" s="600"/>
      <c r="H700" s="588"/>
      <c r="I700" s="588"/>
      <c r="J700" s="588"/>
    </row>
    <row r="701" spans="1:10" x14ac:dyDescent="0.3">
      <c r="A701" s="588"/>
      <c r="B701" s="588"/>
      <c r="C701" s="588"/>
      <c r="D701" s="588"/>
      <c r="E701" s="588"/>
      <c r="F701" s="588"/>
      <c r="G701" s="600"/>
      <c r="H701" s="588"/>
      <c r="I701" s="588"/>
      <c r="J701" s="588"/>
    </row>
    <row r="702" spans="1:10" x14ac:dyDescent="0.3">
      <c r="A702" s="588"/>
      <c r="B702" s="588"/>
      <c r="C702" s="588"/>
      <c r="D702" s="588"/>
      <c r="E702" s="588"/>
      <c r="F702" s="588"/>
      <c r="G702" s="600"/>
      <c r="H702" s="588"/>
      <c r="I702" s="588"/>
      <c r="J702" s="588"/>
    </row>
    <row r="703" spans="1:10" x14ac:dyDescent="0.3">
      <c r="A703" s="588"/>
      <c r="B703" s="588"/>
      <c r="C703" s="588"/>
      <c r="D703" s="588"/>
      <c r="E703" s="588"/>
      <c r="F703" s="588"/>
      <c r="G703" s="600"/>
      <c r="H703" s="588"/>
      <c r="I703" s="588"/>
      <c r="J703" s="588"/>
    </row>
    <row r="704" spans="1:10" x14ac:dyDescent="0.3">
      <c r="A704" s="588"/>
      <c r="B704" s="588"/>
      <c r="C704" s="588"/>
      <c r="D704" s="588"/>
      <c r="E704" s="588"/>
      <c r="F704" s="588"/>
      <c r="G704" s="600"/>
      <c r="H704" s="588"/>
      <c r="I704" s="588"/>
      <c r="J704" s="588"/>
    </row>
    <row r="705" spans="1:10" x14ac:dyDescent="0.3">
      <c r="A705" s="588"/>
      <c r="B705" s="588"/>
      <c r="C705" s="588"/>
      <c r="D705" s="588"/>
      <c r="E705" s="588"/>
      <c r="F705" s="588"/>
      <c r="G705" s="600"/>
      <c r="H705" s="588"/>
      <c r="I705" s="588"/>
      <c r="J705" s="588"/>
    </row>
    <row r="706" spans="1:10" x14ac:dyDescent="0.3">
      <c r="A706" s="588"/>
      <c r="B706" s="588"/>
      <c r="C706" s="588"/>
      <c r="D706" s="588"/>
      <c r="E706" s="588"/>
      <c r="F706" s="588"/>
      <c r="G706" s="600"/>
      <c r="H706" s="588"/>
      <c r="I706" s="588"/>
      <c r="J706" s="588"/>
    </row>
    <row r="707" spans="1:10" x14ac:dyDescent="0.3">
      <c r="A707" s="588"/>
      <c r="B707" s="588"/>
      <c r="C707" s="588"/>
      <c r="D707" s="588"/>
      <c r="E707" s="588"/>
      <c r="F707" s="588"/>
      <c r="G707" s="600"/>
      <c r="H707" s="588"/>
      <c r="I707" s="588"/>
      <c r="J707" s="588"/>
    </row>
    <row r="708" spans="1:10" x14ac:dyDescent="0.3">
      <c r="A708" s="588"/>
      <c r="B708" s="588"/>
      <c r="C708" s="588"/>
      <c r="D708" s="588"/>
      <c r="E708" s="588"/>
      <c r="F708" s="588"/>
      <c r="G708" s="600"/>
      <c r="H708" s="588"/>
      <c r="I708" s="588"/>
      <c r="J708" s="588"/>
    </row>
    <row r="709" spans="1:10" x14ac:dyDescent="0.3">
      <c r="A709" s="588"/>
      <c r="B709" s="588"/>
      <c r="C709" s="588"/>
      <c r="D709" s="588"/>
      <c r="E709" s="588"/>
      <c r="F709" s="588"/>
      <c r="G709" s="600"/>
      <c r="H709" s="588"/>
      <c r="I709" s="588"/>
      <c r="J709" s="588"/>
    </row>
    <row r="710" spans="1:10" x14ac:dyDescent="0.3">
      <c r="A710" s="588"/>
      <c r="B710" s="588"/>
      <c r="C710" s="588"/>
      <c r="D710" s="588"/>
      <c r="E710" s="588"/>
      <c r="F710" s="588"/>
      <c r="G710" s="600"/>
      <c r="H710" s="588"/>
      <c r="I710" s="588"/>
      <c r="J710" s="588"/>
    </row>
    <row r="711" spans="1:10" x14ac:dyDescent="0.3">
      <c r="A711" s="588"/>
      <c r="B711" s="588"/>
      <c r="C711" s="588"/>
      <c r="D711" s="588"/>
      <c r="E711" s="588"/>
      <c r="F711" s="588"/>
      <c r="G711" s="600"/>
      <c r="H711" s="588"/>
      <c r="I711" s="588"/>
      <c r="J711" s="588"/>
    </row>
    <row r="712" spans="1:10" x14ac:dyDescent="0.3">
      <c r="A712" s="588"/>
      <c r="B712" s="588"/>
      <c r="C712" s="588"/>
      <c r="D712" s="588"/>
      <c r="E712" s="588"/>
      <c r="F712" s="588"/>
      <c r="G712" s="600"/>
      <c r="H712" s="588"/>
      <c r="I712" s="588"/>
      <c r="J712" s="588"/>
    </row>
    <row r="713" spans="1:10" x14ac:dyDescent="0.3">
      <c r="A713" s="588"/>
      <c r="B713" s="588"/>
      <c r="C713" s="588"/>
      <c r="D713" s="588"/>
      <c r="E713" s="588"/>
      <c r="F713" s="588"/>
      <c r="G713" s="600"/>
      <c r="H713" s="588"/>
      <c r="I713" s="588"/>
      <c r="J713" s="588"/>
    </row>
    <row r="714" spans="1:10" x14ac:dyDescent="0.3">
      <c r="A714" s="588"/>
      <c r="B714" s="588"/>
      <c r="C714" s="588"/>
      <c r="D714" s="588"/>
      <c r="E714" s="588"/>
      <c r="F714" s="588"/>
      <c r="G714" s="600"/>
      <c r="H714" s="588"/>
      <c r="I714" s="588"/>
      <c r="J714" s="588"/>
    </row>
    <row r="715" spans="1:10" x14ac:dyDescent="0.3">
      <c r="A715" s="588"/>
      <c r="B715" s="588"/>
      <c r="C715" s="588"/>
      <c r="D715" s="588"/>
      <c r="E715" s="588"/>
      <c r="F715" s="588"/>
      <c r="G715" s="600"/>
      <c r="H715" s="588"/>
      <c r="I715" s="588"/>
      <c r="J715" s="588"/>
    </row>
    <row r="716" spans="1:10" x14ac:dyDescent="0.3">
      <c r="A716" s="588"/>
      <c r="B716" s="588"/>
      <c r="C716" s="588"/>
      <c r="D716" s="588"/>
      <c r="E716" s="588"/>
      <c r="F716" s="588"/>
      <c r="G716" s="600"/>
      <c r="H716" s="588"/>
      <c r="I716" s="588"/>
      <c r="J716" s="588"/>
    </row>
    <row r="717" spans="1:10" x14ac:dyDescent="0.3">
      <c r="A717" s="588"/>
      <c r="B717" s="588"/>
      <c r="C717" s="588"/>
      <c r="D717" s="588"/>
      <c r="E717" s="588"/>
      <c r="F717" s="588"/>
      <c r="G717" s="600"/>
      <c r="H717" s="588"/>
      <c r="I717" s="588"/>
      <c r="J717" s="588"/>
    </row>
    <row r="718" spans="1:10" x14ac:dyDescent="0.3">
      <c r="A718" s="588"/>
      <c r="B718" s="588"/>
      <c r="C718" s="588"/>
      <c r="D718" s="588"/>
      <c r="E718" s="588"/>
      <c r="F718" s="588"/>
      <c r="G718" s="600"/>
      <c r="H718" s="588"/>
      <c r="I718" s="588"/>
      <c r="J718" s="588"/>
    </row>
    <row r="719" spans="1:10" x14ac:dyDescent="0.3">
      <c r="A719" s="588"/>
      <c r="B719" s="588"/>
      <c r="C719" s="588"/>
      <c r="D719" s="588"/>
      <c r="E719" s="588"/>
      <c r="F719" s="588"/>
      <c r="G719" s="600"/>
      <c r="H719" s="588"/>
      <c r="I719" s="588"/>
      <c r="J719" s="588"/>
    </row>
    <row r="720" spans="1:10" x14ac:dyDescent="0.3">
      <c r="A720" s="588"/>
      <c r="B720" s="588"/>
      <c r="C720" s="588"/>
      <c r="D720" s="588"/>
      <c r="E720" s="588"/>
      <c r="F720" s="588"/>
      <c r="G720" s="600"/>
      <c r="H720" s="588"/>
      <c r="I720" s="588"/>
      <c r="J720" s="588"/>
    </row>
    <row r="721" spans="1:10" x14ac:dyDescent="0.3">
      <c r="A721" s="588"/>
      <c r="B721" s="588"/>
      <c r="C721" s="588"/>
      <c r="D721" s="588"/>
      <c r="E721" s="588"/>
      <c r="F721" s="588"/>
      <c r="G721" s="600"/>
      <c r="H721" s="588"/>
      <c r="I721" s="588"/>
      <c r="J721" s="588"/>
    </row>
    <row r="722" spans="1:10" x14ac:dyDescent="0.3">
      <c r="A722" s="588"/>
      <c r="B722" s="588"/>
      <c r="C722" s="588"/>
      <c r="D722" s="588"/>
      <c r="E722" s="588"/>
      <c r="F722" s="588"/>
      <c r="G722" s="600"/>
      <c r="H722" s="588"/>
      <c r="I722" s="588"/>
      <c r="J722" s="588"/>
    </row>
    <row r="723" spans="1:10" x14ac:dyDescent="0.3">
      <c r="A723" s="588"/>
      <c r="B723" s="588"/>
      <c r="C723" s="588"/>
      <c r="D723" s="588"/>
      <c r="E723" s="588"/>
      <c r="F723" s="588"/>
      <c r="G723" s="600"/>
      <c r="H723" s="588"/>
      <c r="I723" s="588"/>
      <c r="J723" s="588"/>
    </row>
    <row r="724" spans="1:10" x14ac:dyDescent="0.3">
      <c r="A724" s="588"/>
      <c r="B724" s="588"/>
      <c r="C724" s="588"/>
      <c r="D724" s="588"/>
      <c r="E724" s="588"/>
      <c r="F724" s="588"/>
      <c r="G724" s="600"/>
      <c r="H724" s="588"/>
      <c r="I724" s="588"/>
      <c r="J724" s="588"/>
    </row>
    <row r="725" spans="1:10" x14ac:dyDescent="0.3">
      <c r="A725" s="588"/>
      <c r="B725" s="588"/>
      <c r="C725" s="588"/>
      <c r="D725" s="588"/>
      <c r="E725" s="588"/>
      <c r="F725" s="588"/>
      <c r="G725" s="600"/>
      <c r="H725" s="588"/>
      <c r="I725" s="588"/>
      <c r="J725" s="588"/>
    </row>
    <row r="726" spans="1:10" x14ac:dyDescent="0.3">
      <c r="A726" s="588"/>
      <c r="B726" s="588"/>
      <c r="C726" s="588"/>
      <c r="D726" s="588"/>
      <c r="E726" s="588"/>
      <c r="F726" s="588"/>
      <c r="G726" s="600"/>
      <c r="H726" s="588"/>
      <c r="I726" s="588"/>
      <c r="J726" s="588"/>
    </row>
    <row r="727" spans="1:10" x14ac:dyDescent="0.3">
      <c r="A727" s="588"/>
      <c r="B727" s="588"/>
      <c r="C727" s="588"/>
      <c r="D727" s="588"/>
      <c r="E727" s="588"/>
      <c r="F727" s="588"/>
      <c r="G727" s="600"/>
      <c r="H727" s="588"/>
      <c r="I727" s="588"/>
      <c r="J727" s="588"/>
    </row>
    <row r="728" spans="1:10" x14ac:dyDescent="0.3">
      <c r="A728" s="588"/>
      <c r="B728" s="588"/>
      <c r="C728" s="588"/>
      <c r="D728" s="588"/>
      <c r="E728" s="588"/>
      <c r="F728" s="588"/>
      <c r="G728" s="600"/>
      <c r="H728" s="588"/>
      <c r="I728" s="588"/>
      <c r="J728" s="588"/>
    </row>
    <row r="729" spans="1:10" x14ac:dyDescent="0.3">
      <c r="A729" s="588"/>
      <c r="B729" s="588"/>
      <c r="C729" s="588"/>
      <c r="D729" s="588"/>
      <c r="E729" s="588"/>
      <c r="F729" s="588"/>
      <c r="G729" s="600"/>
      <c r="H729" s="588"/>
      <c r="I729" s="588"/>
      <c r="J729" s="588"/>
    </row>
    <row r="730" spans="1:10" x14ac:dyDescent="0.3">
      <c r="A730" s="588"/>
      <c r="B730" s="588"/>
      <c r="C730" s="588"/>
      <c r="D730" s="588"/>
      <c r="E730" s="588"/>
      <c r="F730" s="588"/>
      <c r="G730" s="600"/>
      <c r="H730" s="588"/>
      <c r="I730" s="588"/>
      <c r="J730" s="588"/>
    </row>
    <row r="731" spans="1:10" x14ac:dyDescent="0.3">
      <c r="A731" s="588"/>
      <c r="B731" s="588"/>
      <c r="C731" s="588"/>
      <c r="D731" s="588"/>
      <c r="E731" s="588"/>
      <c r="F731" s="588"/>
      <c r="G731" s="600"/>
      <c r="H731" s="588"/>
      <c r="I731" s="588"/>
      <c r="J731" s="588"/>
    </row>
    <row r="732" spans="1:10" x14ac:dyDescent="0.3">
      <c r="A732" s="588"/>
      <c r="B732" s="588"/>
      <c r="C732" s="588"/>
      <c r="D732" s="588"/>
      <c r="E732" s="588"/>
      <c r="F732" s="588"/>
      <c r="G732" s="600"/>
      <c r="H732" s="588"/>
      <c r="I732" s="588"/>
      <c r="J732" s="588"/>
    </row>
    <row r="733" spans="1:10" x14ac:dyDescent="0.3">
      <c r="A733" s="588"/>
      <c r="B733" s="588"/>
      <c r="C733" s="588"/>
      <c r="D733" s="588"/>
      <c r="E733" s="588"/>
      <c r="F733" s="588"/>
      <c r="G733" s="600"/>
      <c r="H733" s="588"/>
      <c r="I733" s="588"/>
      <c r="J733" s="588"/>
    </row>
    <row r="734" spans="1:10" x14ac:dyDescent="0.3">
      <c r="A734" s="588"/>
      <c r="B734" s="588"/>
      <c r="C734" s="588"/>
      <c r="D734" s="588"/>
      <c r="E734" s="588"/>
      <c r="F734" s="588"/>
      <c r="G734" s="600"/>
      <c r="H734" s="588"/>
      <c r="I734" s="588"/>
      <c r="J734" s="588"/>
    </row>
    <row r="735" spans="1:10" x14ac:dyDescent="0.3">
      <c r="A735" s="588"/>
      <c r="B735" s="588"/>
      <c r="C735" s="588"/>
      <c r="D735" s="588"/>
      <c r="E735" s="588"/>
      <c r="F735" s="588"/>
      <c r="G735" s="600"/>
      <c r="H735" s="588"/>
      <c r="I735" s="588"/>
      <c r="J735" s="588"/>
    </row>
    <row r="736" spans="1:10" x14ac:dyDescent="0.3">
      <c r="A736" s="588"/>
      <c r="B736" s="588"/>
      <c r="C736" s="588"/>
      <c r="D736" s="588"/>
      <c r="E736" s="588"/>
      <c r="F736" s="588"/>
      <c r="G736" s="600"/>
      <c r="H736" s="588"/>
      <c r="I736" s="588"/>
      <c r="J736" s="588"/>
    </row>
    <row r="737" spans="1:10" x14ac:dyDescent="0.3">
      <c r="A737" s="588"/>
      <c r="B737" s="588"/>
      <c r="C737" s="588"/>
      <c r="D737" s="588"/>
      <c r="E737" s="588"/>
      <c r="F737" s="588"/>
      <c r="G737" s="600"/>
      <c r="H737" s="588"/>
      <c r="I737" s="588"/>
      <c r="J737" s="588"/>
    </row>
    <row r="738" spans="1:10" x14ac:dyDescent="0.3">
      <c r="A738" s="588"/>
      <c r="B738" s="588"/>
      <c r="C738" s="588"/>
      <c r="D738" s="588"/>
      <c r="E738" s="588"/>
      <c r="F738" s="588"/>
      <c r="G738" s="600"/>
      <c r="H738" s="588"/>
      <c r="I738" s="588"/>
      <c r="J738" s="588"/>
    </row>
    <row r="739" spans="1:10" x14ac:dyDescent="0.3">
      <c r="A739" s="588"/>
      <c r="B739" s="588"/>
      <c r="C739" s="588"/>
      <c r="D739" s="588"/>
      <c r="E739" s="588"/>
      <c r="F739" s="588"/>
      <c r="G739" s="600"/>
      <c r="H739" s="588"/>
      <c r="I739" s="588"/>
      <c r="J739" s="588"/>
    </row>
    <row r="740" spans="1:10" x14ac:dyDescent="0.3">
      <c r="A740" s="588"/>
      <c r="B740" s="588"/>
      <c r="C740" s="588"/>
      <c r="D740" s="588"/>
      <c r="E740" s="588"/>
      <c r="F740" s="588"/>
      <c r="G740" s="600"/>
      <c r="H740" s="588"/>
      <c r="I740" s="588"/>
      <c r="J740" s="588"/>
    </row>
    <row r="741" spans="1:10" x14ac:dyDescent="0.3">
      <c r="A741" s="588"/>
      <c r="B741" s="588"/>
      <c r="C741" s="588"/>
      <c r="D741" s="588"/>
      <c r="E741" s="588"/>
      <c r="F741" s="588"/>
      <c r="G741" s="600"/>
      <c r="H741" s="588"/>
      <c r="I741" s="588"/>
      <c r="J741" s="588"/>
    </row>
    <row r="742" spans="1:10" x14ac:dyDescent="0.3">
      <c r="A742" s="588"/>
      <c r="B742" s="588"/>
      <c r="C742" s="588"/>
      <c r="D742" s="588"/>
      <c r="E742" s="588"/>
      <c r="F742" s="588"/>
      <c r="G742" s="600"/>
      <c r="H742" s="588"/>
      <c r="I742" s="588"/>
      <c r="J742" s="588"/>
    </row>
    <row r="743" spans="1:10" x14ac:dyDescent="0.3">
      <c r="A743" s="588"/>
      <c r="B743" s="588"/>
      <c r="C743" s="588"/>
      <c r="D743" s="588"/>
      <c r="E743" s="588"/>
      <c r="F743" s="588"/>
      <c r="G743" s="600"/>
      <c r="H743" s="588"/>
      <c r="I743" s="588"/>
      <c r="J743" s="588"/>
    </row>
    <row r="744" spans="1:10" x14ac:dyDescent="0.3">
      <c r="A744" s="588"/>
      <c r="B744" s="588"/>
      <c r="C744" s="588"/>
      <c r="D744" s="588"/>
      <c r="E744" s="588"/>
      <c r="F744" s="588"/>
      <c r="G744" s="600"/>
      <c r="H744" s="588"/>
      <c r="I744" s="588"/>
      <c r="J744" s="588"/>
    </row>
    <row r="745" spans="1:10" x14ac:dyDescent="0.3">
      <c r="A745" s="588"/>
      <c r="B745" s="588"/>
      <c r="C745" s="588"/>
      <c r="D745" s="588"/>
      <c r="E745" s="588"/>
      <c r="F745" s="588"/>
      <c r="G745" s="600"/>
      <c r="H745" s="588"/>
      <c r="I745" s="588"/>
      <c r="J745" s="588"/>
    </row>
    <row r="746" spans="1:10" x14ac:dyDescent="0.3">
      <c r="A746" s="588"/>
      <c r="B746" s="588"/>
      <c r="C746" s="588"/>
      <c r="D746" s="588"/>
      <c r="E746" s="588"/>
      <c r="F746" s="588"/>
      <c r="G746" s="600"/>
      <c r="H746" s="588"/>
      <c r="I746" s="588"/>
      <c r="J746" s="588"/>
    </row>
    <row r="747" spans="1:10" x14ac:dyDescent="0.3">
      <c r="A747" s="588"/>
      <c r="B747" s="588"/>
      <c r="C747" s="588"/>
      <c r="D747" s="588"/>
      <c r="E747" s="588"/>
      <c r="F747" s="588"/>
      <c r="G747" s="600"/>
      <c r="H747" s="588"/>
      <c r="I747" s="588"/>
      <c r="J747" s="588"/>
    </row>
    <row r="748" spans="1:10" x14ac:dyDescent="0.3">
      <c r="A748" s="588"/>
      <c r="B748" s="588"/>
      <c r="C748" s="588"/>
      <c r="D748" s="588"/>
      <c r="E748" s="588"/>
      <c r="F748" s="588"/>
      <c r="G748" s="600"/>
      <c r="H748" s="588"/>
      <c r="I748" s="588"/>
      <c r="J748" s="588"/>
    </row>
    <row r="749" spans="1:10" x14ac:dyDescent="0.3">
      <c r="A749" s="588"/>
      <c r="B749" s="588"/>
      <c r="C749" s="588"/>
      <c r="D749" s="588"/>
      <c r="E749" s="588"/>
      <c r="F749" s="588"/>
      <c r="G749" s="600"/>
      <c r="H749" s="588"/>
      <c r="I749" s="588"/>
      <c r="J749" s="588"/>
    </row>
    <row r="750" spans="1:10" x14ac:dyDescent="0.3">
      <c r="A750" s="588"/>
      <c r="B750" s="588"/>
      <c r="C750" s="588"/>
      <c r="D750" s="588"/>
      <c r="E750" s="588"/>
      <c r="F750" s="588"/>
      <c r="G750" s="600"/>
      <c r="H750" s="588"/>
      <c r="I750" s="588"/>
      <c r="J750" s="588"/>
    </row>
    <row r="751" spans="1:10" x14ac:dyDescent="0.3">
      <c r="A751" s="588"/>
      <c r="B751" s="588"/>
      <c r="C751" s="588"/>
      <c r="D751" s="588"/>
      <c r="E751" s="588"/>
      <c r="F751" s="588"/>
      <c r="G751" s="600"/>
      <c r="H751" s="588"/>
      <c r="I751" s="588"/>
      <c r="J751" s="588"/>
    </row>
    <row r="752" spans="1:10" x14ac:dyDescent="0.3">
      <c r="A752" s="588"/>
      <c r="B752" s="588"/>
      <c r="C752" s="588"/>
      <c r="D752" s="588"/>
      <c r="E752" s="588"/>
      <c r="F752" s="588"/>
      <c r="G752" s="600"/>
      <c r="H752" s="588"/>
      <c r="I752" s="588"/>
      <c r="J752" s="588"/>
    </row>
    <row r="753" spans="1:10" x14ac:dyDescent="0.3">
      <c r="A753" s="588"/>
      <c r="B753" s="588"/>
      <c r="C753" s="588"/>
      <c r="D753" s="588"/>
      <c r="E753" s="588"/>
      <c r="F753" s="588"/>
      <c r="G753" s="600"/>
      <c r="H753" s="588"/>
      <c r="I753" s="588"/>
      <c r="J753" s="588"/>
    </row>
    <row r="754" spans="1:10" x14ac:dyDescent="0.3">
      <c r="A754" s="588"/>
      <c r="B754" s="588"/>
      <c r="C754" s="588"/>
      <c r="D754" s="588"/>
      <c r="E754" s="588"/>
      <c r="F754" s="588"/>
      <c r="G754" s="600"/>
      <c r="H754" s="588"/>
      <c r="I754" s="588"/>
      <c r="J754" s="588"/>
    </row>
    <row r="755" spans="1:10" x14ac:dyDescent="0.3">
      <c r="A755" s="588"/>
      <c r="B755" s="588"/>
      <c r="C755" s="588"/>
      <c r="D755" s="588"/>
      <c r="E755" s="588"/>
      <c r="F755" s="588"/>
      <c r="G755" s="600"/>
      <c r="H755" s="588"/>
      <c r="I755" s="588"/>
      <c r="J755" s="588"/>
    </row>
    <row r="756" spans="1:10" x14ac:dyDescent="0.3">
      <c r="A756" s="588"/>
      <c r="B756" s="588"/>
      <c r="C756" s="588"/>
      <c r="D756" s="588"/>
      <c r="E756" s="588"/>
      <c r="F756" s="588"/>
      <c r="G756" s="600"/>
      <c r="H756" s="588"/>
      <c r="I756" s="588"/>
      <c r="J756" s="588"/>
    </row>
    <row r="757" spans="1:10" x14ac:dyDescent="0.3">
      <c r="A757" s="588"/>
      <c r="B757" s="588"/>
      <c r="C757" s="588"/>
      <c r="D757" s="588"/>
      <c r="E757" s="588"/>
      <c r="F757" s="588"/>
      <c r="G757" s="600"/>
      <c r="H757" s="588"/>
      <c r="I757" s="588"/>
      <c r="J757" s="588"/>
    </row>
    <row r="758" spans="1:10" x14ac:dyDescent="0.3">
      <c r="A758" s="588"/>
      <c r="B758" s="588"/>
      <c r="C758" s="588"/>
      <c r="D758" s="588"/>
      <c r="E758" s="588"/>
      <c r="F758" s="588"/>
      <c r="G758" s="600"/>
      <c r="H758" s="588"/>
      <c r="I758" s="588"/>
      <c r="J758" s="588"/>
    </row>
    <row r="759" spans="1:10" x14ac:dyDescent="0.3">
      <c r="A759" s="588"/>
      <c r="B759" s="588"/>
      <c r="C759" s="588"/>
      <c r="D759" s="588"/>
      <c r="E759" s="588"/>
      <c r="F759" s="588"/>
      <c r="G759" s="600"/>
      <c r="H759" s="588"/>
      <c r="I759" s="588"/>
      <c r="J759" s="588"/>
    </row>
    <row r="760" spans="1:10" x14ac:dyDescent="0.3">
      <c r="A760" s="588"/>
      <c r="B760" s="588"/>
      <c r="C760" s="588"/>
      <c r="D760" s="588"/>
      <c r="E760" s="588"/>
      <c r="F760" s="588"/>
      <c r="G760" s="600"/>
      <c r="H760" s="588"/>
      <c r="I760" s="588"/>
      <c r="J760" s="588"/>
    </row>
    <row r="761" spans="1:10" x14ac:dyDescent="0.3">
      <c r="A761" s="588"/>
      <c r="B761" s="588"/>
      <c r="C761" s="588"/>
      <c r="D761" s="588"/>
      <c r="E761" s="588"/>
      <c r="F761" s="588"/>
      <c r="G761" s="600"/>
      <c r="H761" s="588"/>
      <c r="I761" s="588"/>
      <c r="J761" s="588"/>
    </row>
    <row r="762" spans="1:10" x14ac:dyDescent="0.3">
      <c r="A762" s="588"/>
      <c r="B762" s="588"/>
      <c r="C762" s="588"/>
      <c r="D762" s="588"/>
      <c r="E762" s="588"/>
      <c r="F762" s="588"/>
      <c r="G762" s="600"/>
      <c r="H762" s="588"/>
      <c r="I762" s="588"/>
      <c r="J762" s="588"/>
    </row>
    <row r="763" spans="1:10" x14ac:dyDescent="0.3">
      <c r="A763" s="588"/>
      <c r="B763" s="588"/>
      <c r="C763" s="588"/>
      <c r="D763" s="588"/>
      <c r="E763" s="588"/>
      <c r="F763" s="588"/>
      <c r="G763" s="600"/>
      <c r="H763" s="588"/>
      <c r="I763" s="588"/>
      <c r="J763" s="588"/>
    </row>
    <row r="764" spans="1:10" x14ac:dyDescent="0.3">
      <c r="A764" s="588"/>
      <c r="B764" s="588"/>
      <c r="C764" s="588"/>
      <c r="D764" s="588"/>
      <c r="E764" s="588"/>
      <c r="F764" s="588"/>
      <c r="G764" s="600"/>
      <c r="H764" s="588"/>
      <c r="I764" s="588"/>
      <c r="J764" s="588"/>
    </row>
    <row r="765" spans="1:10" x14ac:dyDescent="0.3">
      <c r="A765" s="588"/>
      <c r="B765" s="588"/>
      <c r="C765" s="588"/>
      <c r="D765" s="588"/>
      <c r="E765" s="588"/>
      <c r="F765" s="588"/>
      <c r="G765" s="600"/>
      <c r="H765" s="588"/>
      <c r="I765" s="588"/>
      <c r="J765" s="588"/>
    </row>
    <row r="766" spans="1:10" x14ac:dyDescent="0.3">
      <c r="A766" s="588"/>
      <c r="B766" s="588"/>
      <c r="C766" s="588"/>
      <c r="D766" s="588"/>
      <c r="E766" s="588"/>
      <c r="F766" s="588"/>
      <c r="G766" s="600"/>
      <c r="H766" s="588"/>
      <c r="I766" s="588"/>
      <c r="J766" s="588"/>
    </row>
    <row r="767" spans="1:10" x14ac:dyDescent="0.3">
      <c r="A767" s="588"/>
      <c r="B767" s="588"/>
      <c r="C767" s="588"/>
      <c r="D767" s="588"/>
      <c r="E767" s="588"/>
      <c r="F767" s="588"/>
      <c r="G767" s="600"/>
      <c r="H767" s="588"/>
      <c r="I767" s="588"/>
      <c r="J767" s="588"/>
    </row>
    <row r="768" spans="1:10" x14ac:dyDescent="0.3">
      <c r="A768" s="588"/>
      <c r="B768" s="588"/>
      <c r="C768" s="588"/>
      <c r="D768" s="588"/>
      <c r="E768" s="588"/>
      <c r="F768" s="588"/>
      <c r="G768" s="600"/>
      <c r="H768" s="588"/>
      <c r="I768" s="588"/>
      <c r="J768" s="588"/>
    </row>
    <row r="769" spans="1:10" x14ac:dyDescent="0.3">
      <c r="A769" s="588"/>
      <c r="B769" s="588"/>
      <c r="C769" s="588"/>
      <c r="D769" s="588"/>
      <c r="E769" s="588"/>
      <c r="F769" s="588"/>
      <c r="G769" s="600"/>
      <c r="H769" s="588"/>
      <c r="I769" s="588"/>
      <c r="J769" s="588"/>
    </row>
    <row r="770" spans="1:10" x14ac:dyDescent="0.3">
      <c r="A770" s="588"/>
      <c r="B770" s="588"/>
      <c r="C770" s="588"/>
      <c r="D770" s="588"/>
      <c r="E770" s="588"/>
      <c r="F770" s="588"/>
      <c r="G770" s="600"/>
      <c r="H770" s="588"/>
      <c r="I770" s="588"/>
      <c r="J770" s="588"/>
    </row>
    <row r="771" spans="1:10" x14ac:dyDescent="0.3">
      <c r="A771" s="588"/>
      <c r="B771" s="588"/>
      <c r="C771" s="588"/>
      <c r="D771" s="588"/>
      <c r="E771" s="588"/>
      <c r="F771" s="588"/>
      <c r="G771" s="600"/>
      <c r="H771" s="588"/>
      <c r="I771" s="588"/>
      <c r="J771" s="588"/>
    </row>
    <row r="772" spans="1:10" x14ac:dyDescent="0.3">
      <c r="A772" s="588"/>
      <c r="B772" s="588"/>
      <c r="C772" s="588"/>
      <c r="D772" s="588"/>
      <c r="E772" s="588"/>
      <c r="F772" s="588"/>
      <c r="G772" s="600"/>
      <c r="H772" s="588"/>
      <c r="I772" s="588"/>
      <c r="J772" s="588"/>
    </row>
    <row r="773" spans="1:10" x14ac:dyDescent="0.3">
      <c r="A773" s="588"/>
      <c r="B773" s="588"/>
      <c r="C773" s="588"/>
      <c r="D773" s="588"/>
      <c r="E773" s="588"/>
      <c r="F773" s="588"/>
      <c r="G773" s="600"/>
      <c r="H773" s="588"/>
      <c r="I773" s="588"/>
      <c r="J773" s="588"/>
    </row>
    <row r="774" spans="1:10" x14ac:dyDescent="0.3">
      <c r="A774" s="588"/>
      <c r="B774" s="588"/>
      <c r="C774" s="588"/>
      <c r="D774" s="588"/>
      <c r="E774" s="588"/>
      <c r="F774" s="588"/>
      <c r="G774" s="600"/>
      <c r="H774" s="588"/>
      <c r="I774" s="588"/>
      <c r="J774" s="588"/>
    </row>
    <row r="775" spans="1:10" x14ac:dyDescent="0.3">
      <c r="A775" s="588"/>
      <c r="B775" s="588"/>
      <c r="C775" s="588"/>
      <c r="D775" s="588"/>
      <c r="E775" s="588"/>
      <c r="F775" s="588"/>
      <c r="G775" s="600"/>
      <c r="H775" s="588"/>
      <c r="I775" s="588"/>
      <c r="J775" s="588"/>
    </row>
    <row r="776" spans="1:10" x14ac:dyDescent="0.3">
      <c r="A776" s="588"/>
      <c r="B776" s="588"/>
      <c r="C776" s="588"/>
      <c r="D776" s="588"/>
      <c r="E776" s="588"/>
      <c r="F776" s="588"/>
      <c r="G776" s="600"/>
      <c r="H776" s="588"/>
      <c r="I776" s="588"/>
      <c r="J776" s="588"/>
    </row>
    <row r="777" spans="1:10" x14ac:dyDescent="0.3">
      <c r="A777" s="588"/>
      <c r="B777" s="588"/>
      <c r="C777" s="588"/>
      <c r="D777" s="588"/>
      <c r="E777" s="588"/>
      <c r="F777" s="588"/>
      <c r="G777" s="600"/>
      <c r="H777" s="588"/>
      <c r="I777" s="588"/>
      <c r="J777" s="588"/>
    </row>
    <row r="778" spans="1:10" x14ac:dyDescent="0.3">
      <c r="A778" s="588"/>
      <c r="B778" s="588"/>
      <c r="C778" s="588"/>
      <c r="D778" s="588"/>
      <c r="E778" s="588"/>
      <c r="F778" s="588"/>
      <c r="G778" s="600"/>
      <c r="H778" s="588"/>
      <c r="I778" s="588"/>
      <c r="J778" s="588"/>
    </row>
    <row r="779" spans="1:10" x14ac:dyDescent="0.3">
      <c r="A779" s="588"/>
      <c r="B779" s="588"/>
      <c r="C779" s="588"/>
      <c r="D779" s="588"/>
      <c r="E779" s="588"/>
      <c r="F779" s="588"/>
      <c r="G779" s="600"/>
      <c r="H779" s="588"/>
      <c r="I779" s="588"/>
      <c r="J779" s="588"/>
    </row>
    <row r="780" spans="1:10" x14ac:dyDescent="0.3">
      <c r="A780" s="588"/>
      <c r="B780" s="588"/>
      <c r="C780" s="588"/>
      <c r="D780" s="588"/>
      <c r="E780" s="588"/>
      <c r="F780" s="588"/>
      <c r="G780" s="600"/>
      <c r="H780" s="588"/>
      <c r="I780" s="588"/>
      <c r="J780" s="588"/>
    </row>
    <row r="781" spans="1:10" x14ac:dyDescent="0.3">
      <c r="A781" s="588"/>
      <c r="B781" s="588"/>
      <c r="C781" s="588"/>
      <c r="D781" s="588"/>
      <c r="E781" s="588"/>
      <c r="F781" s="588"/>
      <c r="G781" s="600"/>
      <c r="H781" s="588"/>
      <c r="I781" s="588"/>
      <c r="J781" s="588"/>
    </row>
    <row r="782" spans="1:10" x14ac:dyDescent="0.3">
      <c r="A782" s="588"/>
      <c r="B782" s="588"/>
      <c r="C782" s="588"/>
      <c r="D782" s="588"/>
      <c r="E782" s="588"/>
      <c r="F782" s="588"/>
      <c r="G782" s="600"/>
      <c r="H782" s="588"/>
      <c r="I782" s="588"/>
      <c r="J782" s="588"/>
    </row>
    <row r="783" spans="1:10" x14ac:dyDescent="0.3">
      <c r="A783" s="588"/>
      <c r="B783" s="588"/>
      <c r="C783" s="588"/>
      <c r="D783" s="588"/>
      <c r="E783" s="588"/>
      <c r="F783" s="588"/>
      <c r="G783" s="600"/>
      <c r="H783" s="588"/>
      <c r="I783" s="588"/>
      <c r="J783" s="588"/>
    </row>
    <row r="784" spans="1:10" x14ac:dyDescent="0.3">
      <c r="A784" s="588"/>
      <c r="B784" s="588"/>
      <c r="C784" s="588"/>
      <c r="D784" s="588"/>
      <c r="E784" s="588"/>
      <c r="F784" s="588"/>
      <c r="G784" s="600"/>
      <c r="H784" s="588"/>
      <c r="I784" s="588"/>
      <c r="J784" s="588"/>
    </row>
    <row r="785" spans="1:10" x14ac:dyDescent="0.3">
      <c r="A785" s="588"/>
      <c r="B785" s="588"/>
      <c r="C785" s="588"/>
      <c r="D785" s="588"/>
      <c r="E785" s="588"/>
      <c r="F785" s="588"/>
      <c r="G785" s="600"/>
      <c r="H785" s="588"/>
      <c r="I785" s="588"/>
      <c r="J785" s="588"/>
    </row>
    <row r="786" spans="1:10" x14ac:dyDescent="0.3">
      <c r="A786" s="588"/>
      <c r="B786" s="588"/>
      <c r="C786" s="588"/>
      <c r="D786" s="588"/>
      <c r="E786" s="588"/>
      <c r="F786" s="588"/>
      <c r="G786" s="600"/>
      <c r="H786" s="588"/>
      <c r="I786" s="588"/>
      <c r="J786" s="588"/>
    </row>
    <row r="787" spans="1:10" x14ac:dyDescent="0.3">
      <c r="A787" s="588"/>
      <c r="B787" s="588"/>
      <c r="C787" s="588"/>
      <c r="D787" s="588"/>
      <c r="E787" s="588"/>
      <c r="F787" s="588"/>
      <c r="G787" s="600"/>
      <c r="H787" s="588"/>
      <c r="I787" s="588"/>
      <c r="J787" s="588"/>
    </row>
    <row r="788" spans="1:10" x14ac:dyDescent="0.3">
      <c r="A788" s="588"/>
      <c r="B788" s="588"/>
      <c r="C788" s="588"/>
      <c r="D788" s="588"/>
      <c r="E788" s="588"/>
      <c r="F788" s="588"/>
      <c r="G788" s="600"/>
      <c r="H788" s="588"/>
      <c r="I788" s="588"/>
      <c r="J788" s="588"/>
    </row>
    <row r="789" spans="1:10" x14ac:dyDescent="0.3">
      <c r="A789" s="588"/>
      <c r="B789" s="588"/>
      <c r="C789" s="588"/>
      <c r="D789" s="588"/>
      <c r="E789" s="588"/>
      <c r="F789" s="588"/>
      <c r="G789" s="600"/>
      <c r="H789" s="588"/>
      <c r="I789" s="588"/>
      <c r="J789" s="588"/>
    </row>
    <row r="790" spans="1:10" x14ac:dyDescent="0.3">
      <c r="A790" s="588"/>
      <c r="B790" s="588"/>
      <c r="C790" s="588"/>
      <c r="D790" s="588"/>
      <c r="E790" s="588"/>
      <c r="F790" s="588"/>
      <c r="G790" s="600"/>
      <c r="H790" s="588"/>
      <c r="I790" s="588"/>
      <c r="J790" s="588"/>
    </row>
    <row r="791" spans="1:10" x14ac:dyDescent="0.3">
      <c r="A791" s="588"/>
      <c r="B791" s="588"/>
      <c r="C791" s="588"/>
      <c r="D791" s="588"/>
      <c r="E791" s="588"/>
      <c r="F791" s="588"/>
      <c r="G791" s="600"/>
      <c r="H791" s="588"/>
      <c r="I791" s="588"/>
      <c r="J791" s="588"/>
    </row>
    <row r="792" spans="1:10" x14ac:dyDescent="0.3">
      <c r="A792" s="588"/>
      <c r="B792" s="588"/>
      <c r="C792" s="588"/>
      <c r="D792" s="588"/>
      <c r="E792" s="588"/>
      <c r="F792" s="588"/>
      <c r="G792" s="600"/>
      <c r="H792" s="588"/>
      <c r="I792" s="588"/>
      <c r="J792" s="588"/>
    </row>
    <row r="793" spans="1:10" x14ac:dyDescent="0.3">
      <c r="A793" s="588"/>
      <c r="B793" s="588"/>
      <c r="C793" s="588"/>
      <c r="D793" s="588"/>
      <c r="E793" s="588"/>
      <c r="F793" s="588"/>
      <c r="G793" s="600"/>
      <c r="H793" s="588"/>
      <c r="I793" s="588"/>
      <c r="J793" s="588"/>
    </row>
    <row r="794" spans="1:10" x14ac:dyDescent="0.3">
      <c r="A794" s="588"/>
      <c r="B794" s="588"/>
      <c r="C794" s="588"/>
      <c r="D794" s="588"/>
      <c r="E794" s="588"/>
      <c r="F794" s="588"/>
      <c r="G794" s="600"/>
      <c r="H794" s="588"/>
      <c r="I794" s="588"/>
      <c r="J794" s="588"/>
    </row>
    <row r="795" spans="1:10" x14ac:dyDescent="0.3">
      <c r="A795" s="588"/>
      <c r="B795" s="588"/>
      <c r="C795" s="588"/>
      <c r="D795" s="588"/>
      <c r="E795" s="588"/>
      <c r="F795" s="588"/>
      <c r="G795" s="600"/>
      <c r="H795" s="588"/>
      <c r="I795" s="588"/>
      <c r="J795" s="588"/>
    </row>
    <row r="796" spans="1:10" x14ac:dyDescent="0.3">
      <c r="A796" s="588"/>
      <c r="B796" s="588"/>
      <c r="C796" s="588"/>
      <c r="D796" s="588"/>
      <c r="E796" s="588"/>
      <c r="F796" s="588"/>
      <c r="G796" s="600"/>
      <c r="H796" s="588"/>
      <c r="I796" s="588"/>
      <c r="J796" s="588"/>
    </row>
    <row r="797" spans="1:10" x14ac:dyDescent="0.3">
      <c r="A797" s="588"/>
      <c r="B797" s="588"/>
      <c r="C797" s="588"/>
      <c r="D797" s="588"/>
      <c r="E797" s="588"/>
      <c r="F797" s="588"/>
      <c r="G797" s="600"/>
      <c r="H797" s="588"/>
      <c r="I797" s="588"/>
      <c r="J797" s="588"/>
    </row>
    <row r="798" spans="1:10" x14ac:dyDescent="0.3">
      <c r="A798" s="588"/>
      <c r="B798" s="588"/>
      <c r="C798" s="588"/>
      <c r="D798" s="588"/>
      <c r="E798" s="588"/>
      <c r="F798" s="588"/>
      <c r="G798" s="600"/>
      <c r="H798" s="588"/>
      <c r="I798" s="588"/>
      <c r="J798" s="588"/>
    </row>
    <row r="799" spans="1:10" x14ac:dyDescent="0.3">
      <c r="A799" s="588"/>
      <c r="B799" s="588"/>
      <c r="C799" s="588"/>
      <c r="D799" s="588"/>
      <c r="E799" s="588"/>
      <c r="F799" s="588"/>
      <c r="G799" s="600"/>
      <c r="H799" s="588"/>
      <c r="I799" s="588"/>
      <c r="J799" s="588"/>
    </row>
    <row r="800" spans="1:10" x14ac:dyDescent="0.3">
      <c r="A800" s="588"/>
      <c r="B800" s="588"/>
      <c r="C800" s="588"/>
      <c r="D800" s="588"/>
      <c r="E800" s="588"/>
      <c r="F800" s="588"/>
      <c r="G800" s="600"/>
      <c r="H800" s="588"/>
      <c r="I800" s="588"/>
      <c r="J800" s="588"/>
    </row>
    <row r="801" spans="1:10" x14ac:dyDescent="0.3">
      <c r="A801" s="588"/>
      <c r="B801" s="588"/>
      <c r="C801" s="588"/>
      <c r="D801" s="588"/>
      <c r="E801" s="588"/>
      <c r="F801" s="588"/>
      <c r="G801" s="600"/>
      <c r="H801" s="588"/>
      <c r="I801" s="588"/>
      <c r="J801" s="588"/>
    </row>
    <row r="802" spans="1:10" x14ac:dyDescent="0.3">
      <c r="A802" s="588"/>
      <c r="B802" s="588"/>
      <c r="C802" s="588"/>
      <c r="D802" s="588"/>
      <c r="E802" s="588"/>
      <c r="F802" s="588"/>
      <c r="G802" s="600"/>
      <c r="H802" s="588"/>
      <c r="I802" s="588"/>
      <c r="J802" s="588"/>
    </row>
    <row r="803" spans="1:10" x14ac:dyDescent="0.3">
      <c r="A803" s="588"/>
      <c r="B803" s="588"/>
      <c r="C803" s="588"/>
      <c r="D803" s="588"/>
      <c r="E803" s="588"/>
      <c r="F803" s="588"/>
      <c r="G803" s="600"/>
      <c r="H803" s="588"/>
      <c r="I803" s="588"/>
      <c r="J803" s="588"/>
    </row>
    <row r="804" spans="1:10" x14ac:dyDescent="0.3">
      <c r="A804" s="588"/>
      <c r="B804" s="588"/>
      <c r="C804" s="588"/>
      <c r="D804" s="588"/>
      <c r="E804" s="588"/>
      <c r="F804" s="588"/>
      <c r="G804" s="600"/>
      <c r="H804" s="588"/>
      <c r="I804" s="588"/>
      <c r="J804" s="588"/>
    </row>
    <row r="805" spans="1:10" x14ac:dyDescent="0.3">
      <c r="A805" s="588"/>
      <c r="B805" s="588"/>
      <c r="C805" s="588"/>
      <c r="D805" s="588"/>
      <c r="E805" s="588"/>
      <c r="F805" s="588"/>
      <c r="G805" s="600"/>
      <c r="H805" s="588"/>
      <c r="I805" s="588"/>
      <c r="J805" s="588"/>
    </row>
    <row r="806" spans="1:10" x14ac:dyDescent="0.3">
      <c r="A806" s="588"/>
      <c r="B806" s="588"/>
      <c r="C806" s="588"/>
      <c r="D806" s="588"/>
      <c r="E806" s="588"/>
      <c r="F806" s="588"/>
      <c r="G806" s="600"/>
      <c r="H806" s="588"/>
      <c r="I806" s="588"/>
      <c r="J806" s="588"/>
    </row>
    <row r="807" spans="1:10" x14ac:dyDescent="0.3">
      <c r="A807" s="588"/>
      <c r="B807" s="588"/>
      <c r="C807" s="588"/>
      <c r="D807" s="588"/>
      <c r="E807" s="588"/>
      <c r="F807" s="588"/>
      <c r="G807" s="600"/>
      <c r="H807" s="588"/>
      <c r="I807" s="588"/>
      <c r="J807" s="588"/>
    </row>
    <row r="808" spans="1:10" x14ac:dyDescent="0.3">
      <c r="A808" s="588"/>
      <c r="B808" s="588"/>
      <c r="C808" s="588"/>
      <c r="D808" s="588"/>
      <c r="E808" s="588"/>
      <c r="F808" s="588"/>
      <c r="G808" s="600"/>
      <c r="H808" s="588"/>
      <c r="I808" s="588"/>
      <c r="J808" s="588"/>
    </row>
    <row r="809" spans="1:10" x14ac:dyDescent="0.3">
      <c r="A809" s="588"/>
      <c r="B809" s="588"/>
      <c r="C809" s="588"/>
      <c r="D809" s="588"/>
      <c r="E809" s="588"/>
      <c r="F809" s="588"/>
      <c r="G809" s="600"/>
      <c r="H809" s="588"/>
      <c r="I809" s="588"/>
      <c r="J809" s="588"/>
    </row>
    <row r="810" spans="1:10" x14ac:dyDescent="0.3">
      <c r="A810" s="588"/>
      <c r="B810" s="588"/>
      <c r="C810" s="588"/>
      <c r="D810" s="588"/>
      <c r="E810" s="588"/>
      <c r="F810" s="588"/>
      <c r="G810" s="600"/>
      <c r="H810" s="588"/>
      <c r="I810" s="588"/>
      <c r="J810" s="588"/>
    </row>
    <row r="811" spans="1:10" x14ac:dyDescent="0.3">
      <c r="A811" s="588"/>
      <c r="B811" s="588"/>
      <c r="C811" s="588"/>
      <c r="D811" s="588"/>
      <c r="E811" s="588"/>
      <c r="F811" s="588"/>
      <c r="G811" s="600"/>
      <c r="H811" s="588"/>
      <c r="I811" s="588"/>
      <c r="J811" s="588"/>
    </row>
    <row r="812" spans="1:10" x14ac:dyDescent="0.3">
      <c r="A812" s="588"/>
      <c r="B812" s="588"/>
      <c r="C812" s="588"/>
      <c r="D812" s="588"/>
      <c r="E812" s="588"/>
      <c r="F812" s="588"/>
      <c r="G812" s="600"/>
      <c r="H812" s="588"/>
      <c r="I812" s="588"/>
      <c r="J812" s="588"/>
    </row>
    <row r="813" spans="1:10" x14ac:dyDescent="0.3">
      <c r="A813" s="588"/>
      <c r="B813" s="588"/>
      <c r="C813" s="588"/>
      <c r="D813" s="588"/>
      <c r="E813" s="588"/>
      <c r="F813" s="588"/>
      <c r="G813" s="600"/>
      <c r="H813" s="588"/>
      <c r="I813" s="588"/>
      <c r="J813" s="588"/>
    </row>
    <row r="814" spans="1:10" x14ac:dyDescent="0.3">
      <c r="A814" s="588"/>
      <c r="B814" s="588"/>
      <c r="C814" s="588"/>
      <c r="D814" s="588"/>
      <c r="E814" s="588"/>
      <c r="F814" s="588"/>
      <c r="G814" s="600"/>
      <c r="H814" s="588"/>
      <c r="I814" s="588"/>
      <c r="J814" s="588"/>
    </row>
    <row r="815" spans="1:10" x14ac:dyDescent="0.3">
      <c r="A815" s="588"/>
      <c r="B815" s="588"/>
      <c r="C815" s="588"/>
      <c r="D815" s="588"/>
      <c r="E815" s="588"/>
      <c r="F815" s="588"/>
      <c r="G815" s="600"/>
      <c r="H815" s="588"/>
      <c r="I815" s="588"/>
      <c r="J815" s="588"/>
    </row>
    <row r="816" spans="1:10" x14ac:dyDescent="0.3">
      <c r="A816" s="588"/>
      <c r="B816" s="588"/>
      <c r="C816" s="588"/>
      <c r="D816" s="588"/>
      <c r="E816" s="588"/>
      <c r="F816" s="588"/>
      <c r="G816" s="600"/>
      <c r="H816" s="588"/>
      <c r="I816" s="588"/>
      <c r="J816" s="588"/>
    </row>
    <row r="817" spans="1:10" x14ac:dyDescent="0.3">
      <c r="A817" s="588"/>
      <c r="B817" s="588"/>
      <c r="C817" s="588"/>
      <c r="D817" s="588"/>
      <c r="E817" s="588"/>
      <c r="F817" s="588"/>
      <c r="G817" s="600"/>
      <c r="H817" s="588"/>
      <c r="I817" s="588"/>
      <c r="J817" s="588"/>
    </row>
    <row r="818" spans="1:10" x14ac:dyDescent="0.3">
      <c r="A818" s="588"/>
      <c r="B818" s="588"/>
      <c r="C818" s="588"/>
      <c r="D818" s="588"/>
      <c r="E818" s="588"/>
      <c r="F818" s="588"/>
      <c r="G818" s="600"/>
      <c r="H818" s="588"/>
      <c r="I818" s="588"/>
      <c r="J818" s="588"/>
    </row>
    <row r="819" spans="1:10" x14ac:dyDescent="0.3">
      <c r="A819" s="588"/>
      <c r="B819" s="588"/>
      <c r="C819" s="588"/>
      <c r="D819" s="588"/>
      <c r="E819" s="588"/>
      <c r="F819" s="588"/>
      <c r="G819" s="600"/>
      <c r="H819" s="588"/>
      <c r="I819" s="588"/>
      <c r="J819" s="588"/>
    </row>
    <row r="820" spans="1:10" x14ac:dyDescent="0.3">
      <c r="A820" s="588"/>
      <c r="B820" s="588"/>
      <c r="C820" s="588"/>
      <c r="D820" s="588"/>
      <c r="E820" s="588"/>
      <c r="F820" s="588"/>
      <c r="G820" s="600"/>
      <c r="H820" s="588"/>
      <c r="I820" s="588"/>
      <c r="J820" s="588"/>
    </row>
    <row r="821" spans="1:10" x14ac:dyDescent="0.3">
      <c r="A821" s="588"/>
      <c r="B821" s="588"/>
      <c r="C821" s="588"/>
      <c r="D821" s="588"/>
      <c r="E821" s="588"/>
      <c r="F821" s="588"/>
      <c r="G821" s="600"/>
      <c r="H821" s="588"/>
      <c r="I821" s="588"/>
      <c r="J821" s="588"/>
    </row>
    <row r="822" spans="1:10" x14ac:dyDescent="0.3">
      <c r="A822" s="588"/>
      <c r="B822" s="588"/>
      <c r="C822" s="588"/>
      <c r="D822" s="588"/>
      <c r="E822" s="588"/>
      <c r="F822" s="588"/>
      <c r="G822" s="600"/>
      <c r="H822" s="588"/>
      <c r="I822" s="588"/>
      <c r="J822" s="588"/>
    </row>
    <row r="823" spans="1:10" x14ac:dyDescent="0.3">
      <c r="A823" s="588"/>
      <c r="B823" s="588"/>
      <c r="C823" s="588"/>
      <c r="D823" s="588"/>
      <c r="E823" s="588"/>
      <c r="F823" s="588"/>
      <c r="G823" s="600"/>
      <c r="H823" s="588"/>
      <c r="I823" s="588"/>
      <c r="J823" s="588"/>
    </row>
    <row r="824" spans="1:10" x14ac:dyDescent="0.3">
      <c r="A824" s="588"/>
      <c r="B824" s="588"/>
      <c r="C824" s="588"/>
      <c r="D824" s="588"/>
      <c r="E824" s="588"/>
      <c r="F824" s="588"/>
      <c r="G824" s="600"/>
      <c r="H824" s="588"/>
      <c r="I824" s="588"/>
      <c r="J824" s="588"/>
    </row>
    <row r="825" spans="1:10" x14ac:dyDescent="0.3">
      <c r="A825" s="588"/>
      <c r="B825" s="588"/>
      <c r="C825" s="588"/>
      <c r="D825" s="588"/>
      <c r="E825" s="588"/>
      <c r="F825" s="588"/>
      <c r="G825" s="600"/>
      <c r="H825" s="588"/>
      <c r="I825" s="588"/>
      <c r="J825" s="588"/>
    </row>
    <row r="826" spans="1:10" x14ac:dyDescent="0.3">
      <c r="A826" s="588"/>
      <c r="B826" s="588"/>
      <c r="C826" s="588"/>
      <c r="D826" s="588"/>
      <c r="E826" s="588"/>
      <c r="F826" s="588"/>
      <c r="G826" s="600"/>
      <c r="H826" s="588"/>
      <c r="I826" s="588"/>
      <c r="J826" s="588"/>
    </row>
    <row r="827" spans="1:10" x14ac:dyDescent="0.3">
      <c r="A827" s="588"/>
      <c r="B827" s="588"/>
      <c r="C827" s="588"/>
      <c r="D827" s="588"/>
      <c r="E827" s="588"/>
      <c r="F827" s="588"/>
      <c r="G827" s="600"/>
      <c r="H827" s="588"/>
      <c r="I827" s="588"/>
      <c r="J827" s="588"/>
    </row>
    <row r="828" spans="1:10" x14ac:dyDescent="0.3">
      <c r="A828" s="588"/>
      <c r="B828" s="588"/>
      <c r="C828" s="588"/>
      <c r="D828" s="588"/>
      <c r="E828" s="588"/>
      <c r="F828" s="588"/>
      <c r="G828" s="600"/>
      <c r="H828" s="588"/>
      <c r="I828" s="588"/>
      <c r="J828" s="588"/>
    </row>
    <row r="829" spans="1:10" x14ac:dyDescent="0.3">
      <c r="A829" s="588"/>
      <c r="B829" s="588"/>
      <c r="C829" s="588"/>
      <c r="D829" s="588"/>
      <c r="E829" s="588"/>
      <c r="F829" s="588"/>
      <c r="G829" s="600"/>
      <c r="H829" s="588"/>
      <c r="I829" s="588"/>
      <c r="J829" s="588"/>
    </row>
    <row r="830" spans="1:10" x14ac:dyDescent="0.3">
      <c r="A830" s="588"/>
      <c r="B830" s="588"/>
      <c r="C830" s="588"/>
      <c r="D830" s="588"/>
      <c r="E830" s="588"/>
      <c r="F830" s="588"/>
      <c r="G830" s="600"/>
      <c r="H830" s="588"/>
      <c r="I830" s="588"/>
      <c r="J830" s="588"/>
    </row>
    <row r="831" spans="1:10" x14ac:dyDescent="0.3">
      <c r="A831" s="588"/>
      <c r="B831" s="588"/>
      <c r="C831" s="588"/>
      <c r="D831" s="588"/>
      <c r="E831" s="588"/>
      <c r="F831" s="588"/>
      <c r="G831" s="600"/>
      <c r="H831" s="588"/>
      <c r="I831" s="588"/>
      <c r="J831" s="588"/>
    </row>
    <row r="832" spans="1:10" x14ac:dyDescent="0.3">
      <c r="A832" s="588"/>
      <c r="B832" s="588"/>
      <c r="C832" s="588"/>
      <c r="D832" s="588"/>
      <c r="E832" s="588"/>
      <c r="F832" s="588"/>
      <c r="G832" s="600"/>
      <c r="H832" s="588"/>
      <c r="I832" s="588"/>
      <c r="J832" s="588"/>
    </row>
    <row r="833" spans="1:10" x14ac:dyDescent="0.3">
      <c r="A833" s="588"/>
      <c r="B833" s="588"/>
      <c r="C833" s="588"/>
      <c r="D833" s="588"/>
      <c r="E833" s="588"/>
      <c r="F833" s="588"/>
      <c r="G833" s="600"/>
      <c r="H833" s="588"/>
      <c r="I833" s="588"/>
      <c r="J833" s="588"/>
    </row>
    <row r="834" spans="1:10" x14ac:dyDescent="0.3">
      <c r="A834" s="588"/>
      <c r="B834" s="588"/>
      <c r="C834" s="588"/>
      <c r="D834" s="588"/>
      <c r="E834" s="588"/>
      <c r="F834" s="588"/>
      <c r="G834" s="600"/>
      <c r="H834" s="588"/>
      <c r="I834" s="588"/>
      <c r="J834" s="588"/>
    </row>
    <row r="835" spans="1:10" x14ac:dyDescent="0.3">
      <c r="A835" s="588"/>
      <c r="B835" s="588"/>
      <c r="C835" s="588"/>
      <c r="D835" s="588"/>
      <c r="E835" s="588"/>
      <c r="F835" s="588"/>
      <c r="G835" s="600"/>
      <c r="H835" s="588"/>
      <c r="I835" s="588"/>
      <c r="J835" s="588"/>
    </row>
    <row r="836" spans="1:10" x14ac:dyDescent="0.3">
      <c r="A836" s="588"/>
      <c r="B836" s="588"/>
      <c r="C836" s="588"/>
      <c r="D836" s="588"/>
      <c r="E836" s="588"/>
      <c r="F836" s="588"/>
      <c r="G836" s="600"/>
      <c r="H836" s="588"/>
      <c r="I836" s="588"/>
      <c r="J836" s="588"/>
    </row>
    <row r="837" spans="1:10" x14ac:dyDescent="0.3">
      <c r="A837" s="588"/>
      <c r="B837" s="588"/>
      <c r="C837" s="588"/>
      <c r="D837" s="588"/>
      <c r="E837" s="588"/>
      <c r="F837" s="588"/>
      <c r="G837" s="600"/>
      <c r="H837" s="588"/>
      <c r="I837" s="588"/>
      <c r="J837" s="588"/>
    </row>
    <row r="838" spans="1:10" x14ac:dyDescent="0.3">
      <c r="A838" s="588"/>
      <c r="B838" s="588"/>
      <c r="C838" s="588"/>
      <c r="D838" s="588"/>
      <c r="E838" s="588"/>
      <c r="F838" s="588"/>
      <c r="G838" s="600"/>
      <c r="H838" s="588"/>
      <c r="I838" s="588"/>
      <c r="J838" s="588"/>
    </row>
    <row r="839" spans="1:10" x14ac:dyDescent="0.3">
      <c r="A839" s="588"/>
      <c r="B839" s="588"/>
      <c r="C839" s="588"/>
      <c r="D839" s="588"/>
      <c r="E839" s="588"/>
      <c r="F839" s="588"/>
      <c r="G839" s="600"/>
      <c r="H839" s="588"/>
      <c r="I839" s="588"/>
      <c r="J839" s="588"/>
    </row>
    <row r="840" spans="1:10" x14ac:dyDescent="0.3">
      <c r="A840" s="588"/>
      <c r="B840" s="588"/>
      <c r="C840" s="588"/>
      <c r="D840" s="588"/>
      <c r="E840" s="588"/>
      <c r="F840" s="588"/>
      <c r="G840" s="600"/>
      <c r="H840" s="588"/>
      <c r="I840" s="588"/>
      <c r="J840" s="588"/>
    </row>
    <row r="841" spans="1:10" x14ac:dyDescent="0.3">
      <c r="A841" s="588"/>
      <c r="B841" s="588"/>
      <c r="C841" s="588"/>
      <c r="D841" s="588"/>
      <c r="E841" s="588"/>
      <c r="F841" s="588"/>
      <c r="G841" s="600"/>
      <c r="H841" s="588"/>
      <c r="I841" s="588"/>
      <c r="J841" s="588"/>
    </row>
    <row r="842" spans="1:10" x14ac:dyDescent="0.3">
      <c r="A842" s="588"/>
      <c r="B842" s="588"/>
      <c r="C842" s="588"/>
      <c r="D842" s="588"/>
      <c r="E842" s="588"/>
      <c r="F842" s="588"/>
      <c r="G842" s="600"/>
      <c r="H842" s="588"/>
      <c r="I842" s="588"/>
      <c r="J842" s="588"/>
    </row>
    <row r="843" spans="1:10" x14ac:dyDescent="0.3">
      <c r="A843" s="588"/>
      <c r="B843" s="588"/>
      <c r="C843" s="588"/>
      <c r="D843" s="588"/>
      <c r="E843" s="588"/>
      <c r="F843" s="588"/>
      <c r="G843" s="600"/>
      <c r="H843" s="588"/>
      <c r="I843" s="588"/>
      <c r="J843" s="588"/>
    </row>
    <row r="844" spans="1:10" x14ac:dyDescent="0.3">
      <c r="A844" s="588"/>
      <c r="B844" s="588"/>
      <c r="C844" s="588"/>
      <c r="D844" s="588"/>
      <c r="E844" s="588"/>
      <c r="F844" s="588"/>
      <c r="G844" s="600"/>
      <c r="H844" s="588"/>
      <c r="I844" s="588"/>
      <c r="J844" s="588"/>
    </row>
    <row r="845" spans="1:10" x14ac:dyDescent="0.3">
      <c r="A845" s="588"/>
      <c r="B845" s="588"/>
      <c r="C845" s="588"/>
      <c r="D845" s="588"/>
      <c r="E845" s="588"/>
      <c r="F845" s="588"/>
      <c r="G845" s="600"/>
      <c r="H845" s="588"/>
      <c r="I845" s="588"/>
      <c r="J845" s="588"/>
    </row>
    <row r="846" spans="1:10" x14ac:dyDescent="0.3">
      <c r="A846" s="588"/>
      <c r="B846" s="588"/>
      <c r="C846" s="588"/>
      <c r="D846" s="588"/>
      <c r="E846" s="588"/>
      <c r="F846" s="588"/>
      <c r="G846" s="600"/>
      <c r="H846" s="588"/>
      <c r="I846" s="588"/>
      <c r="J846" s="588"/>
    </row>
    <row r="847" spans="1:10" x14ac:dyDescent="0.3">
      <c r="A847" s="588"/>
      <c r="B847" s="588"/>
      <c r="C847" s="588"/>
      <c r="D847" s="588"/>
      <c r="E847" s="588"/>
      <c r="F847" s="588"/>
      <c r="G847" s="600"/>
      <c r="H847" s="588"/>
      <c r="I847" s="588"/>
      <c r="J847" s="588"/>
    </row>
    <row r="848" spans="1:10" x14ac:dyDescent="0.3">
      <c r="A848" s="588"/>
      <c r="B848" s="588"/>
      <c r="C848" s="588"/>
      <c r="D848" s="588"/>
      <c r="E848" s="588"/>
      <c r="F848" s="588"/>
      <c r="G848" s="600"/>
      <c r="H848" s="588"/>
      <c r="I848" s="588"/>
      <c r="J848" s="588"/>
    </row>
    <row r="849" spans="1:10" x14ac:dyDescent="0.3">
      <c r="A849" s="588"/>
      <c r="B849" s="588"/>
      <c r="C849" s="588"/>
      <c r="D849" s="588"/>
      <c r="E849" s="588"/>
      <c r="F849" s="588"/>
      <c r="G849" s="600"/>
      <c r="H849" s="588"/>
      <c r="I849" s="588"/>
      <c r="J849" s="588"/>
    </row>
    <row r="850" spans="1:10" x14ac:dyDescent="0.3">
      <c r="A850" s="588"/>
      <c r="B850" s="588"/>
      <c r="C850" s="588"/>
      <c r="D850" s="588"/>
      <c r="E850" s="588"/>
      <c r="F850" s="588"/>
      <c r="G850" s="600"/>
      <c r="H850" s="588"/>
      <c r="I850" s="588"/>
      <c r="J850" s="588"/>
    </row>
    <row r="851" spans="1:10" x14ac:dyDescent="0.3">
      <c r="A851" s="588"/>
      <c r="B851" s="588"/>
      <c r="C851" s="588"/>
      <c r="D851" s="588"/>
      <c r="E851" s="588"/>
      <c r="F851" s="588"/>
      <c r="G851" s="600"/>
      <c r="H851" s="588"/>
      <c r="I851" s="588"/>
      <c r="J851" s="588"/>
    </row>
    <row r="852" spans="1:10" x14ac:dyDescent="0.3">
      <c r="A852" s="588"/>
      <c r="B852" s="588"/>
      <c r="C852" s="588"/>
      <c r="D852" s="588"/>
      <c r="E852" s="588"/>
      <c r="F852" s="588"/>
      <c r="G852" s="600"/>
      <c r="H852" s="588"/>
      <c r="I852" s="588"/>
      <c r="J852" s="588"/>
    </row>
    <row r="853" spans="1:10" x14ac:dyDescent="0.3">
      <c r="A853" s="588"/>
      <c r="B853" s="588"/>
      <c r="C853" s="588"/>
      <c r="D853" s="588"/>
      <c r="E853" s="588"/>
      <c r="F853" s="588"/>
      <c r="G853" s="600"/>
      <c r="H853" s="588"/>
      <c r="I853" s="588"/>
      <c r="J853" s="588"/>
    </row>
    <row r="854" spans="1:10" x14ac:dyDescent="0.3">
      <c r="A854" s="588"/>
      <c r="B854" s="588"/>
      <c r="C854" s="588"/>
      <c r="D854" s="588"/>
      <c r="E854" s="588"/>
      <c r="F854" s="588"/>
      <c r="G854" s="600"/>
      <c r="H854" s="588"/>
      <c r="I854" s="588"/>
      <c r="J854" s="588"/>
    </row>
    <row r="855" spans="1:10" x14ac:dyDescent="0.3">
      <c r="A855" s="588"/>
      <c r="B855" s="588"/>
      <c r="C855" s="588"/>
      <c r="D855" s="588"/>
      <c r="E855" s="588"/>
      <c r="F855" s="588"/>
      <c r="G855" s="600"/>
      <c r="H855" s="588"/>
      <c r="I855" s="588"/>
      <c r="J855" s="588"/>
    </row>
    <row r="856" spans="1:10" x14ac:dyDescent="0.3">
      <c r="A856" s="588"/>
      <c r="B856" s="588"/>
      <c r="C856" s="588"/>
      <c r="D856" s="588"/>
      <c r="E856" s="588"/>
      <c r="F856" s="588"/>
      <c r="G856" s="600"/>
      <c r="H856" s="588"/>
      <c r="I856" s="588"/>
      <c r="J856" s="588"/>
    </row>
    <row r="857" spans="1:10" x14ac:dyDescent="0.3">
      <c r="A857" s="588"/>
      <c r="B857" s="588"/>
      <c r="C857" s="588"/>
      <c r="D857" s="588"/>
      <c r="E857" s="588"/>
      <c r="F857" s="588"/>
      <c r="G857" s="600"/>
      <c r="H857" s="588"/>
      <c r="I857" s="588"/>
      <c r="J857" s="588"/>
    </row>
    <row r="858" spans="1:10" x14ac:dyDescent="0.3">
      <c r="A858" s="588"/>
      <c r="B858" s="588"/>
      <c r="C858" s="588"/>
      <c r="D858" s="588"/>
      <c r="E858" s="588"/>
      <c r="F858" s="588"/>
      <c r="G858" s="600"/>
      <c r="H858" s="588"/>
      <c r="I858" s="588"/>
      <c r="J858" s="588"/>
    </row>
    <row r="859" spans="1:10" x14ac:dyDescent="0.3">
      <c r="A859" s="588"/>
      <c r="B859" s="588"/>
      <c r="C859" s="588"/>
      <c r="D859" s="588"/>
      <c r="E859" s="588"/>
      <c r="F859" s="588"/>
      <c r="G859" s="600"/>
      <c r="H859" s="588"/>
      <c r="I859" s="588"/>
      <c r="J859" s="588"/>
    </row>
    <row r="860" spans="1:10" x14ac:dyDescent="0.3">
      <c r="A860" s="588"/>
      <c r="B860" s="588"/>
      <c r="C860" s="588"/>
      <c r="D860" s="588"/>
      <c r="E860" s="588"/>
      <c r="F860" s="588"/>
      <c r="G860" s="600"/>
      <c r="H860" s="588"/>
      <c r="I860" s="588"/>
      <c r="J860" s="588"/>
    </row>
    <row r="861" spans="1:10" x14ac:dyDescent="0.3">
      <c r="A861" s="588"/>
      <c r="B861" s="588"/>
      <c r="C861" s="588"/>
      <c r="D861" s="588"/>
      <c r="E861" s="588"/>
      <c r="F861" s="588"/>
      <c r="G861" s="600"/>
      <c r="H861" s="588"/>
      <c r="I861" s="588"/>
      <c r="J861" s="588"/>
    </row>
    <row r="862" spans="1:10" x14ac:dyDescent="0.3">
      <c r="A862" s="588"/>
      <c r="B862" s="588"/>
      <c r="C862" s="588"/>
      <c r="D862" s="588"/>
      <c r="E862" s="588"/>
      <c r="F862" s="588"/>
      <c r="G862" s="600"/>
      <c r="H862" s="588"/>
      <c r="I862" s="588"/>
      <c r="J862" s="588"/>
    </row>
    <row r="863" spans="1:10" x14ac:dyDescent="0.3">
      <c r="A863" s="588"/>
      <c r="B863" s="588"/>
      <c r="C863" s="588"/>
      <c r="D863" s="588"/>
      <c r="E863" s="588"/>
      <c r="F863" s="588"/>
      <c r="G863" s="600"/>
      <c r="H863" s="588"/>
      <c r="I863" s="588"/>
      <c r="J863" s="588"/>
    </row>
    <row r="864" spans="1:10" x14ac:dyDescent="0.3">
      <c r="A864" s="588"/>
      <c r="B864" s="588"/>
      <c r="C864" s="588"/>
      <c r="D864" s="588"/>
      <c r="E864" s="588"/>
      <c r="F864" s="588"/>
      <c r="G864" s="600"/>
      <c r="H864" s="588"/>
      <c r="I864" s="588"/>
      <c r="J864" s="588"/>
    </row>
    <row r="865" spans="1:10" x14ac:dyDescent="0.3">
      <c r="A865" s="588"/>
      <c r="B865" s="588"/>
      <c r="C865" s="588"/>
      <c r="D865" s="588"/>
      <c r="E865" s="588"/>
      <c r="F865" s="588"/>
      <c r="G865" s="600"/>
      <c r="H865" s="588"/>
      <c r="I865" s="588"/>
      <c r="J865" s="588"/>
    </row>
    <row r="866" spans="1:10" x14ac:dyDescent="0.3">
      <c r="A866" s="588"/>
      <c r="B866" s="588"/>
      <c r="C866" s="588"/>
      <c r="D866" s="588"/>
      <c r="E866" s="588"/>
      <c r="F866" s="588"/>
      <c r="G866" s="600"/>
      <c r="H866" s="588"/>
      <c r="I866" s="588"/>
      <c r="J866" s="588"/>
    </row>
    <row r="867" spans="1:10" x14ac:dyDescent="0.3">
      <c r="A867" s="588"/>
      <c r="B867" s="588"/>
      <c r="C867" s="588"/>
      <c r="D867" s="588"/>
      <c r="E867" s="588"/>
      <c r="F867" s="588"/>
      <c r="G867" s="600"/>
      <c r="H867" s="588"/>
      <c r="I867" s="588"/>
      <c r="J867" s="588"/>
    </row>
    <row r="868" spans="1:10" x14ac:dyDescent="0.3">
      <c r="A868" s="588"/>
      <c r="B868" s="588"/>
      <c r="C868" s="588"/>
      <c r="D868" s="588"/>
      <c r="E868" s="588"/>
      <c r="F868" s="588"/>
      <c r="G868" s="600"/>
      <c r="H868" s="588"/>
      <c r="I868" s="588"/>
      <c r="J868" s="588"/>
    </row>
    <row r="869" spans="1:10" x14ac:dyDescent="0.3">
      <c r="A869" s="588"/>
      <c r="B869" s="588"/>
      <c r="C869" s="588"/>
      <c r="D869" s="588"/>
      <c r="E869" s="588"/>
      <c r="F869" s="588"/>
      <c r="G869" s="600"/>
      <c r="H869" s="588"/>
      <c r="I869" s="588"/>
      <c r="J869" s="588"/>
    </row>
    <row r="870" spans="1:10" x14ac:dyDescent="0.3">
      <c r="A870" s="588"/>
      <c r="B870" s="588"/>
      <c r="C870" s="588"/>
      <c r="D870" s="588"/>
      <c r="E870" s="588"/>
      <c r="F870" s="588"/>
      <c r="G870" s="600"/>
      <c r="H870" s="588"/>
      <c r="I870" s="588"/>
      <c r="J870" s="588"/>
    </row>
    <row r="871" spans="1:10" x14ac:dyDescent="0.3">
      <c r="A871" s="588"/>
      <c r="B871" s="588"/>
      <c r="C871" s="588"/>
      <c r="D871" s="588"/>
      <c r="E871" s="588"/>
      <c r="F871" s="588"/>
      <c r="G871" s="600"/>
      <c r="H871" s="588"/>
      <c r="I871" s="588"/>
      <c r="J871" s="588"/>
    </row>
    <row r="872" spans="1:10" x14ac:dyDescent="0.3">
      <c r="A872" s="588"/>
      <c r="B872" s="588"/>
      <c r="C872" s="588"/>
      <c r="D872" s="588"/>
      <c r="E872" s="588"/>
      <c r="F872" s="588"/>
      <c r="G872" s="600"/>
      <c r="H872" s="588"/>
      <c r="I872" s="588"/>
      <c r="J872" s="588"/>
    </row>
    <row r="873" spans="1:10" x14ac:dyDescent="0.3">
      <c r="A873" s="588"/>
      <c r="B873" s="588"/>
      <c r="C873" s="588"/>
      <c r="D873" s="588"/>
      <c r="E873" s="588"/>
      <c r="F873" s="588"/>
      <c r="G873" s="600"/>
      <c r="H873" s="588"/>
      <c r="I873" s="588"/>
      <c r="J873" s="588"/>
    </row>
    <row r="874" spans="1:10" x14ac:dyDescent="0.3">
      <c r="A874" s="588"/>
      <c r="B874" s="588"/>
      <c r="C874" s="588"/>
      <c r="D874" s="588"/>
      <c r="E874" s="588"/>
      <c r="F874" s="588"/>
      <c r="G874" s="600"/>
      <c r="H874" s="588"/>
      <c r="I874" s="588"/>
      <c r="J874" s="588"/>
    </row>
    <row r="875" spans="1:10" x14ac:dyDescent="0.3">
      <c r="A875" s="588"/>
      <c r="B875" s="588"/>
      <c r="C875" s="588"/>
      <c r="D875" s="588"/>
      <c r="E875" s="588"/>
      <c r="F875" s="588"/>
      <c r="G875" s="600"/>
      <c r="H875" s="588"/>
      <c r="I875" s="588"/>
      <c r="J875" s="588"/>
    </row>
    <row r="876" spans="1:10" x14ac:dyDescent="0.3">
      <c r="A876" s="588"/>
      <c r="B876" s="588"/>
      <c r="C876" s="588"/>
      <c r="D876" s="588"/>
      <c r="E876" s="588"/>
      <c r="F876" s="588"/>
      <c r="G876" s="600"/>
      <c r="H876" s="588"/>
      <c r="I876" s="588"/>
      <c r="J876" s="588"/>
    </row>
    <row r="877" spans="1:10" x14ac:dyDescent="0.3">
      <c r="A877" s="588"/>
      <c r="B877" s="588"/>
      <c r="C877" s="588"/>
      <c r="D877" s="588"/>
      <c r="E877" s="588"/>
      <c r="F877" s="588"/>
      <c r="G877" s="600"/>
      <c r="H877" s="588"/>
      <c r="I877" s="588"/>
      <c r="J877" s="588"/>
    </row>
    <row r="878" spans="1:10" x14ac:dyDescent="0.3">
      <c r="A878" s="588"/>
      <c r="B878" s="588"/>
      <c r="C878" s="588"/>
      <c r="D878" s="588"/>
      <c r="E878" s="588"/>
      <c r="F878" s="588"/>
      <c r="G878" s="600"/>
      <c r="H878" s="588"/>
      <c r="I878" s="588"/>
      <c r="J878" s="588"/>
    </row>
    <row r="879" spans="1:10" x14ac:dyDescent="0.3">
      <c r="A879" s="588"/>
      <c r="B879" s="588"/>
      <c r="C879" s="588"/>
      <c r="D879" s="588"/>
      <c r="E879" s="588"/>
      <c r="F879" s="588"/>
      <c r="G879" s="600"/>
      <c r="H879" s="588"/>
      <c r="I879" s="588"/>
      <c r="J879" s="588"/>
    </row>
    <row r="880" spans="1:10" x14ac:dyDescent="0.3">
      <c r="A880" s="588"/>
      <c r="B880" s="588"/>
      <c r="C880" s="588"/>
      <c r="D880" s="588"/>
      <c r="E880" s="588"/>
      <c r="F880" s="588"/>
      <c r="G880" s="600"/>
      <c r="H880" s="588"/>
      <c r="I880" s="588"/>
      <c r="J880" s="588"/>
    </row>
    <row r="881" spans="1:10" x14ac:dyDescent="0.3">
      <c r="A881" s="588"/>
      <c r="B881" s="588"/>
      <c r="C881" s="588"/>
      <c r="D881" s="588"/>
      <c r="E881" s="588"/>
      <c r="F881" s="588"/>
      <c r="G881" s="600"/>
      <c r="H881" s="588"/>
      <c r="I881" s="588"/>
      <c r="J881" s="588"/>
    </row>
    <row r="882" spans="1:10" x14ac:dyDescent="0.3">
      <c r="A882" s="588"/>
      <c r="B882" s="588"/>
      <c r="C882" s="588"/>
      <c r="D882" s="588"/>
      <c r="E882" s="588"/>
      <c r="F882" s="588"/>
      <c r="G882" s="600"/>
      <c r="H882" s="588"/>
      <c r="I882" s="588"/>
      <c r="J882" s="588"/>
    </row>
    <row r="883" spans="1:10" x14ac:dyDescent="0.3">
      <c r="A883" s="588"/>
      <c r="B883" s="588"/>
      <c r="C883" s="588"/>
      <c r="D883" s="588"/>
      <c r="E883" s="588"/>
      <c r="F883" s="588"/>
      <c r="G883" s="600"/>
      <c r="H883" s="588"/>
      <c r="I883" s="588"/>
      <c r="J883" s="588"/>
    </row>
    <row r="884" spans="1:10" x14ac:dyDescent="0.3">
      <c r="A884" s="588"/>
      <c r="B884" s="588"/>
      <c r="C884" s="588"/>
      <c r="D884" s="588"/>
      <c r="E884" s="588"/>
      <c r="F884" s="588"/>
      <c r="G884" s="600"/>
      <c r="H884" s="588"/>
      <c r="I884" s="588"/>
      <c r="J884" s="588"/>
    </row>
    <row r="885" spans="1:10" x14ac:dyDescent="0.3">
      <c r="A885" s="588"/>
      <c r="B885" s="588"/>
      <c r="C885" s="588"/>
      <c r="D885" s="588"/>
      <c r="E885" s="588"/>
      <c r="F885" s="588"/>
      <c r="G885" s="600"/>
      <c r="H885" s="588"/>
      <c r="I885" s="588"/>
      <c r="J885" s="588"/>
    </row>
    <row r="886" spans="1:10" x14ac:dyDescent="0.3">
      <c r="A886" s="588"/>
      <c r="B886" s="588"/>
      <c r="C886" s="588"/>
      <c r="D886" s="588"/>
      <c r="E886" s="588"/>
      <c r="F886" s="588"/>
      <c r="G886" s="600"/>
      <c r="H886" s="588"/>
      <c r="I886" s="588"/>
      <c r="J886" s="588"/>
    </row>
    <row r="887" spans="1:10" x14ac:dyDescent="0.3">
      <c r="A887" s="588"/>
      <c r="B887" s="588"/>
      <c r="C887" s="588"/>
      <c r="D887" s="588"/>
      <c r="E887" s="588"/>
      <c r="F887" s="588"/>
      <c r="G887" s="600"/>
      <c r="H887" s="588"/>
      <c r="I887" s="588"/>
      <c r="J887" s="588"/>
    </row>
    <row r="888" spans="1:10" x14ac:dyDescent="0.3">
      <c r="A888" s="588"/>
      <c r="B888" s="588"/>
      <c r="C888" s="588"/>
      <c r="D888" s="588"/>
      <c r="E888" s="588"/>
      <c r="F888" s="588"/>
      <c r="G888" s="600"/>
      <c r="H888" s="588"/>
      <c r="I888" s="588"/>
      <c r="J888" s="588"/>
    </row>
    <row r="889" spans="1:10" x14ac:dyDescent="0.3">
      <c r="A889" s="588"/>
      <c r="B889" s="588"/>
      <c r="C889" s="588"/>
      <c r="D889" s="588"/>
      <c r="E889" s="588"/>
      <c r="F889" s="588"/>
      <c r="G889" s="600"/>
      <c r="H889" s="588"/>
      <c r="I889" s="588"/>
      <c r="J889" s="588"/>
    </row>
    <row r="890" spans="1:10" x14ac:dyDescent="0.3">
      <c r="A890" s="588"/>
      <c r="B890" s="588"/>
      <c r="C890" s="588"/>
      <c r="D890" s="588"/>
      <c r="E890" s="588"/>
      <c r="F890" s="588"/>
      <c r="G890" s="600"/>
      <c r="H890" s="588"/>
      <c r="I890" s="588"/>
      <c r="J890" s="588"/>
    </row>
    <row r="891" spans="1:10" x14ac:dyDescent="0.3">
      <c r="A891" s="588"/>
      <c r="B891" s="588"/>
      <c r="C891" s="588"/>
      <c r="D891" s="588"/>
      <c r="E891" s="588"/>
      <c r="F891" s="588"/>
      <c r="G891" s="600"/>
      <c r="H891" s="588"/>
      <c r="I891" s="588"/>
      <c r="J891" s="588"/>
    </row>
    <row r="892" spans="1:10" x14ac:dyDescent="0.3">
      <c r="A892" s="588"/>
      <c r="B892" s="588"/>
      <c r="C892" s="588"/>
      <c r="D892" s="588"/>
      <c r="E892" s="588"/>
      <c r="F892" s="588"/>
      <c r="G892" s="600"/>
      <c r="H892" s="588"/>
      <c r="I892" s="588"/>
      <c r="J892" s="588"/>
    </row>
    <row r="893" spans="1:10" x14ac:dyDescent="0.3">
      <c r="A893" s="588"/>
      <c r="B893" s="588"/>
      <c r="C893" s="588"/>
      <c r="D893" s="588"/>
      <c r="E893" s="588"/>
      <c r="F893" s="588"/>
      <c r="G893" s="600"/>
      <c r="H893" s="588"/>
      <c r="I893" s="588"/>
      <c r="J893" s="588"/>
    </row>
    <row r="894" spans="1:10" x14ac:dyDescent="0.3">
      <c r="A894" s="588"/>
      <c r="B894" s="588"/>
      <c r="C894" s="588"/>
      <c r="D894" s="588"/>
      <c r="E894" s="588"/>
      <c r="F894" s="588"/>
      <c r="G894" s="600"/>
      <c r="H894" s="588"/>
      <c r="I894" s="588"/>
      <c r="J894" s="588"/>
    </row>
    <row r="895" spans="1:10" x14ac:dyDescent="0.3">
      <c r="A895" s="588"/>
      <c r="B895" s="588"/>
      <c r="C895" s="588"/>
      <c r="D895" s="588"/>
      <c r="E895" s="588"/>
      <c r="F895" s="588"/>
      <c r="G895" s="600"/>
      <c r="H895" s="588"/>
      <c r="I895" s="588"/>
      <c r="J895" s="588"/>
    </row>
    <row r="896" spans="1:10" x14ac:dyDescent="0.3">
      <c r="A896" s="588"/>
      <c r="B896" s="588"/>
      <c r="C896" s="588"/>
      <c r="D896" s="588"/>
      <c r="E896" s="588"/>
      <c r="F896" s="588"/>
      <c r="G896" s="600"/>
      <c r="H896" s="588"/>
      <c r="I896" s="588"/>
      <c r="J896" s="588"/>
    </row>
    <row r="897" spans="1:10" x14ac:dyDescent="0.3">
      <c r="A897" s="588"/>
      <c r="B897" s="588"/>
      <c r="C897" s="588"/>
      <c r="D897" s="588"/>
      <c r="E897" s="588"/>
      <c r="F897" s="588"/>
      <c r="G897" s="600"/>
      <c r="H897" s="588"/>
      <c r="I897" s="588"/>
      <c r="J897" s="588"/>
    </row>
    <row r="898" spans="1:10" x14ac:dyDescent="0.3">
      <c r="A898" s="588"/>
      <c r="B898" s="588"/>
      <c r="C898" s="588"/>
      <c r="D898" s="588"/>
      <c r="E898" s="588"/>
      <c r="F898" s="588"/>
      <c r="G898" s="600"/>
      <c r="H898" s="588"/>
      <c r="I898" s="588"/>
      <c r="J898" s="588"/>
    </row>
    <row r="899" spans="1:10" x14ac:dyDescent="0.3">
      <c r="A899" s="588"/>
      <c r="B899" s="588"/>
      <c r="C899" s="588"/>
      <c r="D899" s="588"/>
      <c r="E899" s="588"/>
      <c r="F899" s="588"/>
      <c r="G899" s="600"/>
      <c r="H899" s="588"/>
      <c r="I899" s="588"/>
      <c r="J899" s="588"/>
    </row>
    <row r="900" spans="1:10" x14ac:dyDescent="0.3">
      <c r="A900" s="588"/>
      <c r="B900" s="588"/>
      <c r="C900" s="588"/>
      <c r="D900" s="588"/>
      <c r="E900" s="588"/>
      <c r="F900" s="588"/>
      <c r="G900" s="600"/>
      <c r="H900" s="588"/>
      <c r="I900" s="588"/>
      <c r="J900" s="588"/>
    </row>
    <row r="901" spans="1:10" x14ac:dyDescent="0.3">
      <c r="A901" s="588"/>
      <c r="B901" s="588"/>
      <c r="C901" s="588"/>
      <c r="D901" s="588"/>
      <c r="E901" s="588"/>
      <c r="F901" s="588"/>
      <c r="G901" s="600"/>
      <c r="H901" s="588"/>
      <c r="I901" s="588"/>
      <c r="J901" s="588"/>
    </row>
    <row r="902" spans="1:10" x14ac:dyDescent="0.3">
      <c r="A902" s="588"/>
      <c r="B902" s="588"/>
      <c r="C902" s="588"/>
      <c r="D902" s="588"/>
      <c r="E902" s="588"/>
      <c r="F902" s="588"/>
      <c r="G902" s="600"/>
      <c r="H902" s="588"/>
      <c r="I902" s="588"/>
      <c r="J902" s="588"/>
    </row>
    <row r="903" spans="1:10" x14ac:dyDescent="0.3">
      <c r="A903" s="588"/>
      <c r="B903" s="588"/>
      <c r="C903" s="588"/>
      <c r="D903" s="588"/>
      <c r="E903" s="588"/>
      <c r="F903" s="588"/>
      <c r="G903" s="600"/>
      <c r="H903" s="588"/>
      <c r="I903" s="588"/>
      <c r="J903" s="588"/>
    </row>
    <row r="904" spans="1:10" x14ac:dyDescent="0.3">
      <c r="A904" s="588"/>
      <c r="B904" s="588"/>
      <c r="C904" s="588"/>
      <c r="D904" s="588"/>
      <c r="E904" s="588"/>
      <c r="F904" s="588"/>
      <c r="G904" s="600"/>
      <c r="H904" s="588"/>
      <c r="I904" s="588"/>
      <c r="J904" s="588"/>
    </row>
    <row r="905" spans="1:10" x14ac:dyDescent="0.3">
      <c r="A905" s="588"/>
      <c r="B905" s="588"/>
      <c r="C905" s="588"/>
      <c r="D905" s="588"/>
      <c r="E905" s="588"/>
      <c r="F905" s="588"/>
      <c r="G905" s="600"/>
      <c r="H905" s="588"/>
      <c r="I905" s="588"/>
      <c r="J905" s="588"/>
    </row>
    <row r="906" spans="1:10" x14ac:dyDescent="0.3">
      <c r="A906" s="588"/>
      <c r="B906" s="588"/>
      <c r="C906" s="588"/>
      <c r="D906" s="588"/>
      <c r="E906" s="588"/>
      <c r="F906" s="588"/>
      <c r="G906" s="600"/>
      <c r="H906" s="588"/>
      <c r="I906" s="588"/>
      <c r="J906" s="588"/>
    </row>
    <row r="907" spans="1:10" x14ac:dyDescent="0.3">
      <c r="A907" s="588"/>
      <c r="B907" s="588"/>
      <c r="C907" s="588"/>
      <c r="D907" s="588"/>
      <c r="E907" s="588"/>
      <c r="F907" s="588"/>
      <c r="G907" s="600"/>
      <c r="H907" s="588"/>
      <c r="I907" s="588"/>
      <c r="J907" s="588"/>
    </row>
    <row r="908" spans="1:10" x14ac:dyDescent="0.3">
      <c r="A908" s="588"/>
      <c r="B908" s="588"/>
      <c r="C908" s="588"/>
      <c r="D908" s="588"/>
      <c r="E908" s="588"/>
      <c r="F908" s="588"/>
      <c r="G908" s="600"/>
      <c r="H908" s="588"/>
      <c r="I908" s="588"/>
      <c r="J908" s="588"/>
    </row>
    <row r="909" spans="1:10" x14ac:dyDescent="0.3">
      <c r="A909" s="588"/>
      <c r="B909" s="588"/>
      <c r="C909" s="588"/>
      <c r="D909" s="588"/>
      <c r="E909" s="588"/>
      <c r="F909" s="588"/>
      <c r="G909" s="600"/>
      <c r="H909" s="588"/>
      <c r="I909" s="588"/>
      <c r="J909" s="588"/>
    </row>
    <row r="910" spans="1:10" x14ac:dyDescent="0.3">
      <c r="A910" s="588"/>
      <c r="B910" s="588"/>
      <c r="C910" s="588"/>
      <c r="D910" s="588"/>
      <c r="E910" s="588"/>
      <c r="F910" s="588"/>
      <c r="G910" s="600"/>
      <c r="H910" s="588"/>
      <c r="I910" s="588"/>
      <c r="J910" s="588"/>
    </row>
    <row r="911" spans="1:10" x14ac:dyDescent="0.3">
      <c r="A911" s="588"/>
      <c r="B911" s="588"/>
      <c r="C911" s="588"/>
      <c r="D911" s="588"/>
      <c r="E911" s="588"/>
      <c r="F911" s="588"/>
      <c r="G911" s="600"/>
      <c r="H911" s="588"/>
      <c r="I911" s="588"/>
      <c r="J911" s="588"/>
    </row>
    <row r="912" spans="1:10" x14ac:dyDescent="0.3">
      <c r="A912" s="588"/>
      <c r="B912" s="588"/>
      <c r="C912" s="588"/>
      <c r="D912" s="588"/>
      <c r="E912" s="588"/>
      <c r="F912" s="588"/>
      <c r="G912" s="600"/>
      <c r="H912" s="588"/>
      <c r="I912" s="588"/>
      <c r="J912" s="588"/>
    </row>
    <row r="913" spans="1:10" x14ac:dyDescent="0.3">
      <c r="A913" s="588"/>
      <c r="B913" s="588"/>
      <c r="C913" s="588"/>
      <c r="D913" s="588"/>
      <c r="E913" s="588"/>
      <c r="F913" s="588"/>
      <c r="G913" s="600"/>
      <c r="H913" s="588"/>
      <c r="I913" s="588"/>
      <c r="J913" s="588"/>
    </row>
    <row r="914" spans="1:10" x14ac:dyDescent="0.3">
      <c r="A914" s="588"/>
      <c r="B914" s="588"/>
      <c r="C914" s="588"/>
      <c r="D914" s="588"/>
      <c r="E914" s="588"/>
      <c r="F914" s="588"/>
      <c r="G914" s="600"/>
      <c r="H914" s="588"/>
      <c r="I914" s="588"/>
      <c r="J914" s="588"/>
    </row>
    <row r="915" spans="1:10" x14ac:dyDescent="0.3">
      <c r="A915" s="588"/>
      <c r="B915" s="588"/>
      <c r="C915" s="588"/>
      <c r="D915" s="588"/>
      <c r="E915" s="588"/>
      <c r="F915" s="588"/>
      <c r="G915" s="600"/>
      <c r="H915" s="588"/>
      <c r="I915" s="588"/>
      <c r="J915" s="588"/>
    </row>
    <row r="916" spans="1:10" x14ac:dyDescent="0.3">
      <c r="A916" s="588"/>
      <c r="B916" s="588"/>
      <c r="C916" s="588"/>
      <c r="D916" s="588"/>
      <c r="E916" s="588"/>
      <c r="F916" s="588"/>
      <c r="G916" s="600"/>
      <c r="H916" s="588"/>
      <c r="I916" s="588"/>
      <c r="J916" s="588"/>
    </row>
    <row r="917" spans="1:10" x14ac:dyDescent="0.3">
      <c r="A917" s="588"/>
      <c r="B917" s="588"/>
      <c r="C917" s="588"/>
      <c r="D917" s="588"/>
      <c r="E917" s="588"/>
      <c r="F917" s="588"/>
      <c r="G917" s="600"/>
      <c r="H917" s="588"/>
      <c r="I917" s="588"/>
      <c r="J917" s="588"/>
    </row>
    <row r="918" spans="1:10" x14ac:dyDescent="0.3">
      <c r="A918" s="588"/>
      <c r="B918" s="588"/>
      <c r="C918" s="588"/>
      <c r="D918" s="588"/>
      <c r="E918" s="588"/>
      <c r="F918" s="588"/>
      <c r="G918" s="600"/>
      <c r="H918" s="588"/>
      <c r="I918" s="588"/>
      <c r="J918" s="588"/>
    </row>
    <row r="919" spans="1:10" x14ac:dyDescent="0.3">
      <c r="A919" s="588"/>
      <c r="B919" s="588"/>
      <c r="C919" s="588"/>
      <c r="D919" s="588"/>
      <c r="E919" s="588"/>
      <c r="F919" s="588"/>
      <c r="G919" s="600"/>
      <c r="H919" s="588"/>
      <c r="I919" s="588"/>
      <c r="J919" s="588"/>
    </row>
    <row r="920" spans="1:10" x14ac:dyDescent="0.3">
      <c r="A920" s="588"/>
      <c r="B920" s="588"/>
      <c r="C920" s="588"/>
      <c r="D920" s="588"/>
      <c r="E920" s="588"/>
      <c r="F920" s="588"/>
      <c r="G920" s="600"/>
      <c r="H920" s="588"/>
      <c r="I920" s="588"/>
      <c r="J920" s="588"/>
    </row>
    <row r="921" spans="1:10" x14ac:dyDescent="0.3">
      <c r="A921" s="588"/>
      <c r="B921" s="588"/>
      <c r="C921" s="588"/>
      <c r="D921" s="588"/>
      <c r="E921" s="588"/>
      <c r="F921" s="588"/>
      <c r="G921" s="600"/>
      <c r="H921" s="588"/>
      <c r="I921" s="588"/>
      <c r="J921" s="588"/>
    </row>
    <row r="922" spans="1:10" x14ac:dyDescent="0.3">
      <c r="A922" s="588"/>
      <c r="B922" s="588"/>
      <c r="C922" s="588"/>
      <c r="D922" s="588"/>
      <c r="E922" s="588"/>
      <c r="F922" s="588"/>
      <c r="G922" s="600"/>
      <c r="H922" s="588"/>
      <c r="I922" s="588"/>
      <c r="J922" s="588"/>
    </row>
    <row r="923" spans="1:10" x14ac:dyDescent="0.3">
      <c r="A923" s="588"/>
      <c r="B923" s="588"/>
      <c r="C923" s="588"/>
      <c r="D923" s="588"/>
      <c r="E923" s="588"/>
      <c r="F923" s="588"/>
      <c r="G923" s="600"/>
      <c r="H923" s="588"/>
      <c r="I923" s="588"/>
      <c r="J923" s="588"/>
    </row>
    <row r="924" spans="1:10" x14ac:dyDescent="0.3">
      <c r="A924" s="588"/>
      <c r="B924" s="588"/>
      <c r="C924" s="588"/>
      <c r="D924" s="588"/>
      <c r="E924" s="588"/>
      <c r="F924" s="588"/>
      <c r="G924" s="600"/>
      <c r="H924" s="588"/>
      <c r="I924" s="588"/>
      <c r="J924" s="588"/>
    </row>
    <row r="925" spans="1:10" x14ac:dyDescent="0.3">
      <c r="A925" s="588"/>
      <c r="B925" s="588"/>
      <c r="C925" s="588"/>
      <c r="D925" s="588"/>
      <c r="E925" s="588"/>
      <c r="F925" s="588"/>
      <c r="G925" s="600"/>
      <c r="H925" s="588"/>
      <c r="I925" s="588"/>
      <c r="J925" s="588"/>
    </row>
    <row r="926" spans="1:10" x14ac:dyDescent="0.3">
      <c r="A926" s="588"/>
      <c r="B926" s="588"/>
      <c r="C926" s="588"/>
      <c r="D926" s="588"/>
      <c r="E926" s="588"/>
      <c r="F926" s="588"/>
      <c r="G926" s="600"/>
      <c r="H926" s="588"/>
      <c r="I926" s="588"/>
      <c r="J926" s="588"/>
    </row>
    <row r="927" spans="1:10" x14ac:dyDescent="0.3">
      <c r="A927" s="588"/>
      <c r="B927" s="588"/>
      <c r="C927" s="588"/>
      <c r="D927" s="588"/>
      <c r="E927" s="588"/>
      <c r="F927" s="588"/>
      <c r="G927" s="600"/>
      <c r="H927" s="588"/>
      <c r="I927" s="588"/>
      <c r="J927" s="588"/>
    </row>
    <row r="928" spans="1:10" x14ac:dyDescent="0.3">
      <c r="A928" s="588"/>
      <c r="B928" s="588"/>
      <c r="C928" s="588"/>
      <c r="D928" s="588"/>
      <c r="E928" s="588"/>
      <c r="F928" s="588"/>
      <c r="G928" s="600"/>
      <c r="H928" s="588"/>
      <c r="I928" s="588"/>
      <c r="J928" s="588"/>
    </row>
    <row r="929" spans="1:10" x14ac:dyDescent="0.3">
      <c r="A929" s="588"/>
      <c r="B929" s="588"/>
      <c r="C929" s="588"/>
      <c r="D929" s="588"/>
      <c r="E929" s="588"/>
      <c r="F929" s="588"/>
      <c r="G929" s="600"/>
      <c r="H929" s="588"/>
      <c r="I929" s="588"/>
      <c r="J929" s="588"/>
    </row>
    <row r="930" spans="1:10" x14ac:dyDescent="0.3">
      <c r="A930" s="588"/>
      <c r="B930" s="588"/>
      <c r="C930" s="588"/>
      <c r="D930" s="588"/>
      <c r="E930" s="588"/>
      <c r="F930" s="588"/>
      <c r="G930" s="600"/>
      <c r="H930" s="588"/>
      <c r="I930" s="588"/>
      <c r="J930" s="588"/>
    </row>
    <row r="931" spans="1:10" x14ac:dyDescent="0.3">
      <c r="A931" s="588"/>
      <c r="B931" s="588"/>
      <c r="C931" s="588"/>
      <c r="D931" s="588"/>
      <c r="E931" s="588"/>
      <c r="F931" s="588"/>
      <c r="G931" s="600"/>
      <c r="H931" s="588"/>
      <c r="I931" s="588"/>
      <c r="J931" s="588"/>
    </row>
    <row r="932" spans="1:10" x14ac:dyDescent="0.3">
      <c r="A932" s="588"/>
      <c r="B932" s="588"/>
      <c r="C932" s="588"/>
      <c r="D932" s="588"/>
      <c r="E932" s="588"/>
      <c r="F932" s="588"/>
      <c r="G932" s="600"/>
      <c r="H932" s="588"/>
      <c r="I932" s="588"/>
      <c r="J932" s="588"/>
    </row>
    <row r="933" spans="1:10" x14ac:dyDescent="0.3">
      <c r="A933" s="588"/>
      <c r="B933" s="588"/>
      <c r="C933" s="588"/>
      <c r="D933" s="588"/>
      <c r="E933" s="588"/>
      <c r="F933" s="588"/>
      <c r="G933" s="600"/>
      <c r="H933" s="588"/>
      <c r="I933" s="588"/>
      <c r="J933" s="588"/>
    </row>
    <row r="934" spans="1:10" x14ac:dyDescent="0.3">
      <c r="A934" s="588"/>
      <c r="B934" s="588"/>
      <c r="C934" s="588"/>
      <c r="D934" s="588"/>
      <c r="E934" s="588"/>
      <c r="F934" s="588"/>
      <c r="G934" s="600"/>
      <c r="H934" s="588"/>
      <c r="I934" s="588"/>
      <c r="J934" s="588"/>
    </row>
    <row r="935" spans="1:10" x14ac:dyDescent="0.3">
      <c r="A935" s="588"/>
      <c r="B935" s="588"/>
      <c r="C935" s="588"/>
      <c r="D935" s="588"/>
      <c r="E935" s="588"/>
      <c r="F935" s="588"/>
      <c r="G935" s="600"/>
      <c r="H935" s="588"/>
      <c r="I935" s="588"/>
      <c r="J935" s="588"/>
    </row>
    <row r="936" spans="1:10" x14ac:dyDescent="0.3">
      <c r="A936" s="588"/>
      <c r="B936" s="588"/>
      <c r="C936" s="588"/>
      <c r="D936" s="588"/>
      <c r="E936" s="588"/>
      <c r="F936" s="588"/>
      <c r="G936" s="600"/>
      <c r="H936" s="588"/>
      <c r="I936" s="588"/>
      <c r="J936" s="588"/>
    </row>
    <row r="937" spans="1:10" x14ac:dyDescent="0.3">
      <c r="A937" s="588"/>
      <c r="B937" s="588"/>
      <c r="C937" s="588"/>
      <c r="D937" s="588"/>
      <c r="E937" s="588"/>
      <c r="F937" s="588"/>
      <c r="G937" s="600"/>
      <c r="H937" s="588"/>
      <c r="I937" s="588"/>
      <c r="J937" s="588"/>
    </row>
    <row r="938" spans="1:10" x14ac:dyDescent="0.3">
      <c r="A938" s="588"/>
      <c r="B938" s="588"/>
      <c r="C938" s="588"/>
      <c r="D938" s="588"/>
      <c r="E938" s="588"/>
      <c r="F938" s="588"/>
      <c r="G938" s="600"/>
      <c r="H938" s="588"/>
      <c r="I938" s="588"/>
      <c r="J938" s="588"/>
    </row>
    <row r="939" spans="1:10" x14ac:dyDescent="0.3">
      <c r="A939" s="588"/>
      <c r="B939" s="588"/>
      <c r="C939" s="588"/>
      <c r="D939" s="588"/>
      <c r="E939" s="588"/>
      <c r="F939" s="588"/>
      <c r="G939" s="600"/>
      <c r="H939" s="588"/>
      <c r="I939" s="588"/>
      <c r="J939" s="588"/>
    </row>
    <row r="940" spans="1:10" x14ac:dyDescent="0.3">
      <c r="A940" s="588"/>
      <c r="B940" s="588"/>
      <c r="C940" s="588"/>
      <c r="D940" s="588"/>
      <c r="E940" s="588"/>
      <c r="F940" s="588"/>
      <c r="G940" s="600"/>
      <c r="H940" s="588"/>
      <c r="I940" s="588"/>
      <c r="J940" s="588"/>
    </row>
    <row r="941" spans="1:10" x14ac:dyDescent="0.3">
      <c r="A941" s="588"/>
      <c r="B941" s="588"/>
      <c r="C941" s="588"/>
      <c r="D941" s="588"/>
      <c r="E941" s="588"/>
      <c r="F941" s="588"/>
      <c r="G941" s="600"/>
      <c r="H941" s="588"/>
      <c r="I941" s="588"/>
      <c r="J941" s="588"/>
    </row>
    <row r="942" spans="1:10" x14ac:dyDescent="0.3">
      <c r="A942" s="588"/>
      <c r="B942" s="588"/>
      <c r="C942" s="588"/>
      <c r="D942" s="588"/>
      <c r="E942" s="588"/>
      <c r="F942" s="588"/>
      <c r="G942" s="600"/>
      <c r="H942" s="588"/>
      <c r="I942" s="588"/>
      <c r="J942" s="588"/>
    </row>
    <row r="943" spans="1:10" x14ac:dyDescent="0.3">
      <c r="A943" s="588"/>
      <c r="B943" s="588"/>
      <c r="C943" s="588"/>
      <c r="D943" s="588"/>
      <c r="E943" s="588"/>
      <c r="F943" s="588"/>
      <c r="G943" s="600"/>
      <c r="H943" s="588"/>
      <c r="I943" s="588"/>
      <c r="J943" s="588"/>
    </row>
    <row r="944" spans="1:10" x14ac:dyDescent="0.3">
      <c r="A944" s="588"/>
      <c r="B944" s="588"/>
      <c r="C944" s="588"/>
      <c r="D944" s="588"/>
      <c r="E944" s="588"/>
      <c r="F944" s="588"/>
      <c r="G944" s="600"/>
      <c r="H944" s="588"/>
      <c r="I944" s="588"/>
      <c r="J944" s="588"/>
    </row>
    <row r="945" spans="1:10" x14ac:dyDescent="0.3">
      <c r="A945" s="588"/>
      <c r="B945" s="588"/>
      <c r="C945" s="588"/>
      <c r="D945" s="588"/>
      <c r="E945" s="588"/>
      <c r="F945" s="588"/>
      <c r="G945" s="600"/>
      <c r="H945" s="588"/>
      <c r="I945" s="588"/>
      <c r="J945" s="588"/>
    </row>
    <row r="946" spans="1:10" x14ac:dyDescent="0.3">
      <c r="A946" s="588"/>
      <c r="B946" s="588"/>
      <c r="C946" s="588"/>
      <c r="D946" s="588"/>
      <c r="E946" s="588"/>
      <c r="F946" s="588"/>
      <c r="G946" s="600"/>
      <c r="H946" s="588"/>
      <c r="I946" s="588"/>
      <c r="J946" s="588"/>
    </row>
    <row r="947" spans="1:10" x14ac:dyDescent="0.3">
      <c r="A947" s="588"/>
      <c r="B947" s="588"/>
      <c r="C947" s="588"/>
      <c r="D947" s="588"/>
      <c r="E947" s="588"/>
      <c r="F947" s="588"/>
      <c r="G947" s="600"/>
      <c r="H947" s="588"/>
      <c r="I947" s="588"/>
      <c r="J947" s="588"/>
    </row>
    <row r="948" spans="1:10" x14ac:dyDescent="0.3">
      <c r="A948" s="588"/>
      <c r="B948" s="588"/>
      <c r="C948" s="588"/>
      <c r="D948" s="588"/>
      <c r="E948" s="588"/>
      <c r="F948" s="588"/>
      <c r="G948" s="600"/>
      <c r="H948" s="588"/>
      <c r="I948" s="588"/>
      <c r="J948" s="588"/>
    </row>
    <row r="949" spans="1:10" x14ac:dyDescent="0.3">
      <c r="A949" s="588"/>
      <c r="B949" s="588"/>
      <c r="C949" s="588"/>
      <c r="D949" s="588"/>
      <c r="E949" s="588"/>
      <c r="F949" s="588"/>
      <c r="G949" s="600"/>
      <c r="H949" s="588"/>
      <c r="I949" s="588"/>
      <c r="J949" s="588"/>
    </row>
    <row r="950" spans="1:10" x14ac:dyDescent="0.3">
      <c r="A950" s="588"/>
      <c r="B950" s="588"/>
      <c r="C950" s="588"/>
      <c r="D950" s="588"/>
      <c r="E950" s="588"/>
      <c r="F950" s="588"/>
      <c r="G950" s="600"/>
      <c r="H950" s="588"/>
      <c r="I950" s="588"/>
      <c r="J950" s="588"/>
    </row>
    <row r="951" spans="1:10" x14ac:dyDescent="0.3">
      <c r="A951" s="588"/>
      <c r="B951" s="588"/>
      <c r="C951" s="588"/>
      <c r="D951" s="588"/>
      <c r="E951" s="588"/>
      <c r="F951" s="588"/>
      <c r="G951" s="600"/>
      <c r="H951" s="588"/>
      <c r="I951" s="588"/>
      <c r="J951" s="588"/>
    </row>
    <row r="952" spans="1:10" x14ac:dyDescent="0.3">
      <c r="A952" s="588"/>
      <c r="B952" s="588"/>
      <c r="C952" s="588"/>
      <c r="D952" s="588"/>
      <c r="E952" s="588"/>
      <c r="F952" s="588"/>
      <c r="G952" s="600"/>
      <c r="H952" s="588"/>
      <c r="I952" s="588"/>
      <c r="J952" s="588"/>
    </row>
    <row r="953" spans="1:10" x14ac:dyDescent="0.3">
      <c r="A953" s="588"/>
      <c r="B953" s="588"/>
      <c r="C953" s="588"/>
      <c r="D953" s="588"/>
      <c r="E953" s="588"/>
      <c r="F953" s="588"/>
      <c r="G953" s="600"/>
      <c r="H953" s="588"/>
      <c r="I953" s="588"/>
      <c r="J953" s="588"/>
    </row>
    <row r="954" spans="1:10" x14ac:dyDescent="0.3">
      <c r="A954" s="588"/>
      <c r="B954" s="588"/>
      <c r="C954" s="588"/>
      <c r="D954" s="588"/>
      <c r="E954" s="588"/>
      <c r="F954" s="588"/>
      <c r="G954" s="600"/>
      <c r="H954" s="588"/>
      <c r="I954" s="588"/>
      <c r="J954" s="588"/>
    </row>
    <row r="955" spans="1:10" x14ac:dyDescent="0.3">
      <c r="A955" s="588"/>
      <c r="B955" s="588"/>
      <c r="C955" s="588"/>
      <c r="D955" s="588"/>
      <c r="E955" s="588"/>
      <c r="F955" s="588"/>
      <c r="G955" s="600"/>
      <c r="H955" s="588"/>
      <c r="I955" s="588"/>
      <c r="J955" s="588"/>
    </row>
    <row r="956" spans="1:10" x14ac:dyDescent="0.3">
      <c r="A956" s="588"/>
      <c r="B956" s="588"/>
      <c r="C956" s="588"/>
      <c r="D956" s="588"/>
      <c r="E956" s="588"/>
      <c r="F956" s="588"/>
      <c r="G956" s="600"/>
      <c r="H956" s="588"/>
      <c r="I956" s="588"/>
      <c r="J956" s="588"/>
    </row>
    <row r="957" spans="1:10" x14ac:dyDescent="0.3">
      <c r="A957" s="588"/>
      <c r="B957" s="588"/>
      <c r="C957" s="588"/>
      <c r="D957" s="588"/>
      <c r="E957" s="588"/>
      <c r="F957" s="588"/>
      <c r="G957" s="600"/>
      <c r="H957" s="588"/>
      <c r="I957" s="588"/>
      <c r="J957" s="588"/>
    </row>
    <row r="958" spans="1:10" x14ac:dyDescent="0.3">
      <c r="A958" s="588"/>
      <c r="B958" s="588"/>
      <c r="C958" s="588"/>
      <c r="D958" s="588"/>
      <c r="E958" s="588"/>
      <c r="F958" s="588"/>
      <c r="G958" s="600"/>
      <c r="H958" s="588"/>
      <c r="I958" s="588"/>
      <c r="J958" s="588"/>
    </row>
    <row r="959" spans="1:10" x14ac:dyDescent="0.3">
      <c r="A959" s="588"/>
      <c r="B959" s="588"/>
      <c r="C959" s="588"/>
      <c r="D959" s="588"/>
      <c r="E959" s="588"/>
      <c r="F959" s="588"/>
      <c r="G959" s="600"/>
      <c r="H959" s="588"/>
      <c r="I959" s="588"/>
      <c r="J959" s="588"/>
    </row>
    <row r="960" spans="1:10" x14ac:dyDescent="0.3">
      <c r="A960" s="588"/>
      <c r="B960" s="588"/>
      <c r="C960" s="588"/>
      <c r="D960" s="588"/>
      <c r="E960" s="588"/>
      <c r="F960" s="588"/>
      <c r="G960" s="600"/>
      <c r="H960" s="588"/>
      <c r="I960" s="588"/>
      <c r="J960" s="588"/>
    </row>
    <row r="961" spans="1:10" x14ac:dyDescent="0.3">
      <c r="A961" s="588"/>
      <c r="B961" s="588"/>
      <c r="C961" s="588"/>
      <c r="D961" s="588"/>
      <c r="E961" s="588"/>
      <c r="F961" s="588"/>
      <c r="G961" s="600"/>
      <c r="H961" s="588"/>
      <c r="I961" s="588"/>
      <c r="J961" s="588"/>
    </row>
    <row r="962" spans="1:10" x14ac:dyDescent="0.3">
      <c r="A962" s="588"/>
      <c r="B962" s="588"/>
      <c r="C962" s="588"/>
      <c r="D962" s="588"/>
      <c r="E962" s="588"/>
      <c r="F962" s="588"/>
      <c r="G962" s="600"/>
      <c r="H962" s="588"/>
      <c r="I962" s="588"/>
      <c r="J962" s="588"/>
    </row>
    <row r="963" spans="1:10" x14ac:dyDescent="0.3">
      <c r="A963" s="588"/>
      <c r="B963" s="588"/>
      <c r="C963" s="588"/>
      <c r="D963" s="588"/>
      <c r="E963" s="588"/>
      <c r="F963" s="588"/>
      <c r="G963" s="600"/>
      <c r="H963" s="588"/>
      <c r="I963" s="588"/>
      <c r="J963" s="588"/>
    </row>
    <row r="964" spans="1:10" x14ac:dyDescent="0.3">
      <c r="A964" s="588"/>
      <c r="B964" s="588"/>
      <c r="C964" s="588"/>
      <c r="D964" s="588"/>
      <c r="E964" s="588"/>
      <c r="F964" s="588"/>
      <c r="G964" s="600"/>
      <c r="H964" s="588"/>
      <c r="I964" s="588"/>
      <c r="J964" s="588"/>
    </row>
    <row r="965" spans="1:10" x14ac:dyDescent="0.3">
      <c r="A965" s="588"/>
      <c r="B965" s="588"/>
      <c r="C965" s="588"/>
      <c r="D965" s="588"/>
      <c r="E965" s="588"/>
      <c r="F965" s="588"/>
      <c r="G965" s="600"/>
      <c r="H965" s="588"/>
      <c r="I965" s="588"/>
      <c r="J965" s="588"/>
    </row>
    <row r="966" spans="1:10" x14ac:dyDescent="0.3">
      <c r="A966" s="588"/>
      <c r="B966" s="588"/>
      <c r="C966" s="588"/>
      <c r="D966" s="588"/>
      <c r="E966" s="588"/>
      <c r="F966" s="588"/>
      <c r="G966" s="600"/>
      <c r="H966" s="588"/>
      <c r="I966" s="588"/>
      <c r="J966" s="588"/>
    </row>
    <row r="967" spans="1:10" x14ac:dyDescent="0.3">
      <c r="A967" s="588"/>
      <c r="B967" s="588"/>
      <c r="C967" s="588"/>
      <c r="D967" s="588"/>
      <c r="E967" s="588"/>
      <c r="F967" s="588"/>
      <c r="G967" s="600"/>
      <c r="H967" s="588"/>
      <c r="I967" s="588"/>
      <c r="J967" s="588"/>
    </row>
    <row r="968" spans="1:10" x14ac:dyDescent="0.3">
      <c r="A968" s="588"/>
      <c r="B968" s="588"/>
      <c r="C968" s="588"/>
      <c r="D968" s="588"/>
      <c r="E968" s="588"/>
      <c r="F968" s="588"/>
      <c r="G968" s="600"/>
      <c r="H968" s="588"/>
      <c r="I968" s="588"/>
      <c r="J968" s="588"/>
    </row>
    <row r="969" spans="1:10" x14ac:dyDescent="0.3">
      <c r="A969" s="588"/>
      <c r="B969" s="588"/>
      <c r="C969" s="588"/>
      <c r="D969" s="588"/>
      <c r="E969" s="588"/>
      <c r="F969" s="588"/>
      <c r="G969" s="600"/>
      <c r="H969" s="588"/>
      <c r="I969" s="588"/>
      <c r="J969" s="588"/>
    </row>
    <row r="970" spans="1:10" x14ac:dyDescent="0.3">
      <c r="A970" s="588"/>
      <c r="B970" s="588"/>
      <c r="C970" s="588"/>
      <c r="D970" s="588"/>
      <c r="E970" s="588"/>
      <c r="F970" s="588"/>
      <c r="G970" s="600"/>
      <c r="H970" s="588"/>
      <c r="I970" s="588"/>
      <c r="J970" s="588"/>
    </row>
    <row r="971" spans="1:10" x14ac:dyDescent="0.3">
      <c r="A971" s="588"/>
      <c r="B971" s="588"/>
      <c r="C971" s="588"/>
      <c r="D971" s="588"/>
      <c r="E971" s="588"/>
      <c r="F971" s="588"/>
      <c r="G971" s="600"/>
      <c r="H971" s="588"/>
      <c r="I971" s="588"/>
      <c r="J971" s="588"/>
    </row>
    <row r="972" spans="1:10" x14ac:dyDescent="0.3">
      <c r="A972" s="588"/>
      <c r="B972" s="588"/>
      <c r="C972" s="588"/>
      <c r="D972" s="588"/>
      <c r="E972" s="588"/>
      <c r="F972" s="588"/>
      <c r="G972" s="600"/>
      <c r="H972" s="588"/>
      <c r="I972" s="588"/>
      <c r="J972" s="588"/>
    </row>
    <row r="973" spans="1:10" x14ac:dyDescent="0.3">
      <c r="A973" s="588"/>
      <c r="B973" s="588"/>
      <c r="C973" s="588"/>
      <c r="D973" s="588"/>
      <c r="E973" s="588"/>
      <c r="F973" s="588"/>
      <c r="G973" s="600"/>
      <c r="H973" s="588"/>
      <c r="I973" s="588"/>
      <c r="J973" s="588"/>
    </row>
    <row r="974" spans="1:10" x14ac:dyDescent="0.3">
      <c r="A974" s="588"/>
      <c r="B974" s="588"/>
      <c r="C974" s="588"/>
      <c r="D974" s="588"/>
      <c r="E974" s="588"/>
      <c r="F974" s="588"/>
      <c r="G974" s="600"/>
      <c r="H974" s="588"/>
      <c r="I974" s="588"/>
      <c r="J974" s="588"/>
    </row>
    <row r="975" spans="1:10" x14ac:dyDescent="0.3">
      <c r="A975" s="588"/>
      <c r="B975" s="588"/>
      <c r="C975" s="588"/>
      <c r="D975" s="588"/>
      <c r="E975" s="588"/>
      <c r="F975" s="588"/>
      <c r="G975" s="600"/>
      <c r="H975" s="588"/>
      <c r="I975" s="588"/>
      <c r="J975" s="588"/>
    </row>
    <row r="976" spans="1:10" x14ac:dyDescent="0.3">
      <c r="A976" s="588"/>
      <c r="B976" s="588"/>
      <c r="C976" s="588"/>
      <c r="D976" s="588"/>
      <c r="E976" s="588"/>
      <c r="F976" s="588"/>
      <c r="G976" s="600"/>
      <c r="H976" s="588"/>
      <c r="I976" s="588"/>
      <c r="J976" s="588"/>
    </row>
    <row r="977" spans="1:10" x14ac:dyDescent="0.3">
      <c r="A977" s="588"/>
      <c r="B977" s="588"/>
      <c r="C977" s="588"/>
      <c r="D977" s="588"/>
      <c r="E977" s="588"/>
      <c r="F977" s="588"/>
      <c r="G977" s="600"/>
      <c r="H977" s="588"/>
      <c r="I977" s="588"/>
      <c r="J977" s="588"/>
    </row>
    <row r="978" spans="1:10" x14ac:dyDescent="0.3">
      <c r="A978" s="588"/>
      <c r="B978" s="588"/>
      <c r="C978" s="588"/>
      <c r="D978" s="588"/>
      <c r="E978" s="588"/>
      <c r="F978" s="588"/>
      <c r="G978" s="600"/>
      <c r="H978" s="588"/>
      <c r="I978" s="588"/>
      <c r="J978" s="588"/>
    </row>
    <row r="979" spans="1:10" x14ac:dyDescent="0.3">
      <c r="A979" s="588"/>
      <c r="B979" s="588"/>
      <c r="C979" s="588"/>
      <c r="D979" s="588"/>
      <c r="E979" s="588"/>
      <c r="F979" s="588"/>
      <c r="G979" s="600"/>
      <c r="H979" s="588"/>
      <c r="I979" s="588"/>
      <c r="J979" s="588"/>
    </row>
    <row r="980" spans="1:10" x14ac:dyDescent="0.3">
      <c r="A980" s="588"/>
      <c r="B980" s="588"/>
      <c r="C980" s="588"/>
      <c r="D980" s="588"/>
      <c r="E980" s="588"/>
      <c r="F980" s="588"/>
      <c r="G980" s="600"/>
      <c r="H980" s="588"/>
      <c r="I980" s="588"/>
      <c r="J980" s="588"/>
    </row>
    <row r="981" spans="1:10" x14ac:dyDescent="0.3">
      <c r="A981" s="588"/>
      <c r="B981" s="588"/>
      <c r="C981" s="588"/>
      <c r="D981" s="588"/>
      <c r="E981" s="588"/>
      <c r="F981" s="588"/>
      <c r="G981" s="600"/>
      <c r="H981" s="588"/>
      <c r="I981" s="588"/>
      <c r="J981" s="588"/>
    </row>
    <row r="982" spans="1:10" x14ac:dyDescent="0.3">
      <c r="A982" s="588"/>
      <c r="B982" s="588"/>
      <c r="C982" s="588"/>
      <c r="D982" s="588"/>
      <c r="E982" s="588"/>
      <c r="F982" s="588"/>
      <c r="G982" s="600"/>
      <c r="H982" s="588"/>
      <c r="I982" s="588"/>
      <c r="J982" s="588"/>
    </row>
    <row r="983" spans="1:10" x14ac:dyDescent="0.3">
      <c r="A983" s="588"/>
      <c r="B983" s="588"/>
      <c r="C983" s="588"/>
      <c r="D983" s="588"/>
      <c r="E983" s="588"/>
      <c r="F983" s="588"/>
      <c r="G983" s="600"/>
      <c r="H983" s="588"/>
      <c r="I983" s="588"/>
      <c r="J983" s="588"/>
    </row>
    <row r="984" spans="1:10" x14ac:dyDescent="0.3">
      <c r="A984" s="588"/>
      <c r="B984" s="588"/>
      <c r="C984" s="588"/>
      <c r="D984" s="588"/>
      <c r="E984" s="588"/>
      <c r="F984" s="588"/>
      <c r="G984" s="600"/>
      <c r="H984" s="588"/>
      <c r="I984" s="588"/>
      <c r="J984" s="588"/>
    </row>
    <row r="985" spans="1:10" x14ac:dyDescent="0.3">
      <c r="A985" s="588"/>
      <c r="B985" s="588"/>
      <c r="C985" s="588"/>
      <c r="D985" s="588"/>
      <c r="E985" s="588"/>
      <c r="F985" s="588"/>
      <c r="G985" s="600"/>
      <c r="H985" s="588"/>
      <c r="I985" s="588"/>
      <c r="J985" s="588"/>
    </row>
    <row r="986" spans="1:10" x14ac:dyDescent="0.3">
      <c r="A986" s="588"/>
      <c r="B986" s="588"/>
      <c r="C986" s="588"/>
      <c r="D986" s="588"/>
      <c r="E986" s="588"/>
      <c r="F986" s="588"/>
      <c r="G986" s="600"/>
      <c r="H986" s="588"/>
      <c r="I986" s="588"/>
      <c r="J986" s="588"/>
    </row>
    <row r="987" spans="1:10" x14ac:dyDescent="0.3">
      <c r="A987" s="588"/>
      <c r="B987" s="588"/>
      <c r="C987" s="588"/>
      <c r="D987" s="588"/>
      <c r="E987" s="588"/>
      <c r="F987" s="588"/>
      <c r="G987" s="600"/>
      <c r="H987" s="588"/>
      <c r="I987" s="588"/>
      <c r="J987" s="588"/>
    </row>
    <row r="988" spans="1:10" x14ac:dyDescent="0.3">
      <c r="A988" s="588"/>
      <c r="B988" s="588"/>
      <c r="C988" s="588"/>
      <c r="D988" s="588"/>
      <c r="E988" s="588"/>
      <c r="F988" s="588"/>
      <c r="G988" s="600"/>
      <c r="H988" s="588"/>
      <c r="I988" s="588"/>
      <c r="J988" s="588"/>
    </row>
    <row r="989" spans="1:10" x14ac:dyDescent="0.3">
      <c r="A989" s="588"/>
      <c r="B989" s="588"/>
      <c r="C989" s="588"/>
      <c r="D989" s="588"/>
      <c r="E989" s="588"/>
      <c r="F989" s="588"/>
      <c r="G989" s="600"/>
      <c r="H989" s="588"/>
      <c r="I989" s="588"/>
      <c r="J989" s="588"/>
    </row>
    <row r="990" spans="1:10" x14ac:dyDescent="0.3">
      <c r="A990" s="588"/>
      <c r="B990" s="588"/>
      <c r="C990" s="588"/>
      <c r="D990" s="588"/>
      <c r="E990" s="588"/>
      <c r="F990" s="588"/>
      <c r="G990" s="600"/>
      <c r="H990" s="588"/>
      <c r="I990" s="588"/>
      <c r="J990" s="588"/>
    </row>
    <row r="991" spans="1:10" x14ac:dyDescent="0.3">
      <c r="A991" s="588"/>
      <c r="B991" s="588"/>
      <c r="C991" s="588"/>
      <c r="D991" s="588"/>
      <c r="E991" s="588"/>
      <c r="F991" s="588"/>
      <c r="G991" s="600"/>
      <c r="H991" s="588"/>
      <c r="I991" s="588"/>
      <c r="J991" s="588"/>
    </row>
    <row r="992" spans="1:10" x14ac:dyDescent="0.3">
      <c r="A992" s="588"/>
      <c r="B992" s="588"/>
      <c r="C992" s="588"/>
      <c r="D992" s="588"/>
      <c r="E992" s="588"/>
      <c r="F992" s="588"/>
      <c r="G992" s="600"/>
      <c r="H992" s="588"/>
      <c r="I992" s="588"/>
      <c r="J992" s="588"/>
    </row>
    <row r="993" spans="1:10" x14ac:dyDescent="0.3">
      <c r="A993" s="588"/>
      <c r="B993" s="588"/>
      <c r="C993" s="588"/>
      <c r="D993" s="588"/>
      <c r="E993" s="588"/>
      <c r="F993" s="588"/>
      <c r="G993" s="600"/>
      <c r="H993" s="588"/>
      <c r="I993" s="588"/>
      <c r="J993" s="588"/>
    </row>
    <row r="994" spans="1:10" x14ac:dyDescent="0.3">
      <c r="A994" s="588"/>
      <c r="B994" s="588"/>
      <c r="C994" s="588"/>
      <c r="D994" s="588"/>
      <c r="E994" s="588"/>
      <c r="F994" s="588"/>
      <c r="G994" s="600"/>
      <c r="H994" s="588"/>
      <c r="I994" s="588"/>
      <c r="J994" s="588"/>
    </row>
    <row r="995" spans="1:10" x14ac:dyDescent="0.3">
      <c r="A995" s="588"/>
      <c r="B995" s="588"/>
      <c r="C995" s="588"/>
      <c r="D995" s="588"/>
      <c r="E995" s="588"/>
      <c r="F995" s="588"/>
      <c r="G995" s="600"/>
      <c r="H995" s="588"/>
      <c r="I995" s="588"/>
      <c r="J995" s="588"/>
    </row>
    <row r="996" spans="1:10" x14ac:dyDescent="0.3">
      <c r="A996" s="588"/>
      <c r="B996" s="588"/>
      <c r="C996" s="588"/>
      <c r="D996" s="588"/>
      <c r="E996" s="588"/>
      <c r="F996" s="588"/>
      <c r="G996" s="600"/>
      <c r="H996" s="588"/>
      <c r="I996" s="588"/>
      <c r="J996" s="588"/>
    </row>
    <row r="997" spans="1:10" x14ac:dyDescent="0.3">
      <c r="A997" s="588"/>
      <c r="B997" s="588"/>
      <c r="C997" s="588"/>
      <c r="D997" s="588"/>
      <c r="E997" s="588"/>
      <c r="F997" s="588"/>
      <c r="G997" s="600"/>
      <c r="H997" s="588"/>
      <c r="I997" s="588"/>
      <c r="J997" s="588"/>
    </row>
    <row r="998" spans="1:10" x14ac:dyDescent="0.3">
      <c r="A998" s="588"/>
      <c r="B998" s="588"/>
      <c r="C998" s="588"/>
      <c r="D998" s="588"/>
      <c r="E998" s="588"/>
      <c r="F998" s="588"/>
      <c r="G998" s="600"/>
      <c r="H998" s="588"/>
      <c r="I998" s="588"/>
      <c r="J998" s="588"/>
    </row>
    <row r="999" spans="1:10" x14ac:dyDescent="0.3">
      <c r="A999" s="588"/>
      <c r="B999" s="588"/>
      <c r="C999" s="588"/>
      <c r="D999" s="588"/>
      <c r="E999" s="588"/>
      <c r="F999" s="588"/>
      <c r="G999" s="600"/>
      <c r="H999" s="588"/>
      <c r="I999" s="588"/>
      <c r="J999" s="588"/>
    </row>
    <row r="1000" spans="1:10" x14ac:dyDescent="0.3">
      <c r="A1000" s="588"/>
      <c r="B1000" s="588"/>
      <c r="C1000" s="588"/>
      <c r="D1000" s="588"/>
      <c r="E1000" s="588"/>
      <c r="F1000" s="588"/>
      <c r="G1000" s="600"/>
      <c r="H1000" s="588"/>
      <c r="I1000" s="588"/>
      <c r="J1000" s="588"/>
    </row>
    <row r="1001" spans="1:10" x14ac:dyDescent="0.3">
      <c r="A1001" s="588"/>
      <c r="B1001" s="588"/>
      <c r="C1001" s="588"/>
      <c r="D1001" s="588"/>
      <c r="E1001" s="588"/>
      <c r="F1001" s="588"/>
      <c r="G1001" s="600"/>
      <c r="H1001" s="588"/>
      <c r="I1001" s="588"/>
      <c r="J1001" s="588"/>
    </row>
    <row r="1002" spans="1:10" x14ac:dyDescent="0.3">
      <c r="A1002" s="588"/>
      <c r="B1002" s="588"/>
      <c r="C1002" s="588"/>
      <c r="D1002" s="588"/>
      <c r="E1002" s="588"/>
      <c r="F1002" s="588"/>
      <c r="G1002" s="600"/>
      <c r="H1002" s="588"/>
      <c r="I1002" s="588"/>
      <c r="J1002" s="588"/>
    </row>
    <row r="1003" spans="1:10" x14ac:dyDescent="0.3">
      <c r="A1003" s="588"/>
      <c r="B1003" s="588"/>
      <c r="C1003" s="588"/>
      <c r="D1003" s="588"/>
      <c r="E1003" s="588"/>
      <c r="F1003" s="588"/>
      <c r="G1003" s="600"/>
      <c r="H1003" s="588"/>
      <c r="I1003" s="588"/>
      <c r="J1003" s="588"/>
    </row>
    <row r="1004" spans="1:10" x14ac:dyDescent="0.3">
      <c r="A1004" s="588"/>
      <c r="B1004" s="588"/>
      <c r="C1004" s="588"/>
      <c r="D1004" s="588"/>
      <c r="E1004" s="588"/>
      <c r="F1004" s="588"/>
      <c r="G1004" s="600"/>
      <c r="H1004" s="588"/>
      <c r="I1004" s="588"/>
      <c r="J1004" s="588"/>
    </row>
    <row r="1005" spans="1:10" x14ac:dyDescent="0.3">
      <c r="A1005" s="588"/>
      <c r="B1005" s="588"/>
      <c r="C1005" s="588"/>
      <c r="D1005" s="588"/>
      <c r="E1005" s="588"/>
      <c r="F1005" s="588"/>
      <c r="G1005" s="600"/>
      <c r="H1005" s="588"/>
      <c r="I1005" s="588"/>
      <c r="J1005" s="588"/>
    </row>
    <row r="1006" spans="1:10" x14ac:dyDescent="0.3">
      <c r="A1006" s="588"/>
      <c r="B1006" s="588"/>
      <c r="C1006" s="588"/>
      <c r="D1006" s="588"/>
      <c r="E1006" s="588"/>
      <c r="F1006" s="588"/>
      <c r="G1006" s="600"/>
      <c r="H1006" s="588"/>
      <c r="I1006" s="588"/>
      <c r="J1006" s="588"/>
    </row>
    <row r="1007" spans="1:10" x14ac:dyDescent="0.3">
      <c r="A1007" s="588"/>
      <c r="B1007" s="588"/>
      <c r="C1007" s="588"/>
      <c r="D1007" s="588"/>
      <c r="E1007" s="588"/>
      <c r="F1007" s="588"/>
      <c r="G1007" s="600"/>
      <c r="H1007" s="588"/>
      <c r="I1007" s="588"/>
      <c r="J1007" s="588"/>
    </row>
    <row r="1008" spans="1:10" x14ac:dyDescent="0.3">
      <c r="A1008" s="588"/>
      <c r="B1008" s="588"/>
      <c r="C1008" s="588"/>
      <c r="D1008" s="588"/>
      <c r="E1008" s="588"/>
      <c r="F1008" s="588"/>
      <c r="G1008" s="600"/>
      <c r="H1008" s="588"/>
      <c r="I1008" s="588"/>
      <c r="J1008" s="588"/>
    </row>
    <row r="1009" spans="1:10" x14ac:dyDescent="0.3">
      <c r="A1009" s="588"/>
      <c r="B1009" s="588"/>
      <c r="C1009" s="588"/>
      <c r="D1009" s="588"/>
      <c r="E1009" s="588"/>
      <c r="F1009" s="588"/>
      <c r="G1009" s="600"/>
      <c r="H1009" s="588"/>
      <c r="I1009" s="588"/>
      <c r="J1009" s="588"/>
    </row>
    <row r="1010" spans="1:10" x14ac:dyDescent="0.3">
      <c r="A1010" s="588"/>
      <c r="B1010" s="588"/>
      <c r="C1010" s="588"/>
      <c r="D1010" s="588"/>
      <c r="E1010" s="588"/>
      <c r="F1010" s="588"/>
      <c r="G1010" s="600"/>
      <c r="H1010" s="588"/>
      <c r="I1010" s="588"/>
      <c r="J1010" s="588"/>
    </row>
    <row r="1011" spans="1:10" x14ac:dyDescent="0.3">
      <c r="A1011" s="588"/>
      <c r="B1011" s="588"/>
      <c r="C1011" s="588"/>
      <c r="D1011" s="588"/>
      <c r="E1011" s="588"/>
      <c r="F1011" s="588"/>
      <c r="G1011" s="600"/>
      <c r="H1011" s="588"/>
      <c r="I1011" s="588"/>
      <c r="J1011" s="588"/>
    </row>
    <row r="1012" spans="1:10" x14ac:dyDescent="0.3">
      <c r="A1012" s="588"/>
      <c r="B1012" s="588"/>
      <c r="C1012" s="588"/>
      <c r="D1012" s="588"/>
      <c r="E1012" s="588"/>
      <c r="F1012" s="588"/>
      <c r="G1012" s="600"/>
      <c r="H1012" s="588"/>
      <c r="I1012" s="588"/>
      <c r="J1012" s="588"/>
    </row>
    <row r="1013" spans="1:10" x14ac:dyDescent="0.3">
      <c r="A1013" s="588"/>
      <c r="B1013" s="588"/>
      <c r="C1013" s="588"/>
      <c r="D1013" s="588"/>
      <c r="E1013" s="588"/>
      <c r="F1013" s="588"/>
      <c r="G1013" s="600"/>
      <c r="H1013" s="588"/>
      <c r="I1013" s="588"/>
      <c r="J1013" s="588"/>
    </row>
    <row r="1014" spans="1:10" x14ac:dyDescent="0.3">
      <c r="A1014" s="588"/>
      <c r="B1014" s="588"/>
      <c r="C1014" s="588"/>
      <c r="D1014" s="588"/>
      <c r="E1014" s="588"/>
      <c r="F1014" s="588"/>
      <c r="G1014" s="600"/>
      <c r="H1014" s="588"/>
      <c r="I1014" s="588"/>
      <c r="J1014" s="588"/>
    </row>
    <row r="1015" spans="1:10" x14ac:dyDescent="0.3">
      <c r="A1015" s="588"/>
      <c r="B1015" s="588"/>
      <c r="C1015" s="588"/>
      <c r="D1015" s="588"/>
      <c r="E1015" s="588"/>
      <c r="F1015" s="588"/>
      <c r="G1015" s="600"/>
      <c r="H1015" s="588"/>
      <c r="I1015" s="588"/>
      <c r="J1015" s="588"/>
    </row>
    <row r="1016" spans="1:10" x14ac:dyDescent="0.3">
      <c r="A1016" s="588"/>
      <c r="B1016" s="588"/>
      <c r="C1016" s="588"/>
      <c r="D1016" s="588"/>
      <c r="E1016" s="588"/>
      <c r="F1016" s="588"/>
      <c r="G1016" s="600"/>
      <c r="H1016" s="588"/>
      <c r="I1016" s="588"/>
      <c r="J1016" s="588"/>
    </row>
    <row r="1017" spans="1:10" x14ac:dyDescent="0.3">
      <c r="A1017" s="588"/>
      <c r="B1017" s="588"/>
      <c r="C1017" s="588"/>
      <c r="D1017" s="588"/>
      <c r="E1017" s="588"/>
      <c r="F1017" s="588"/>
      <c r="G1017" s="600"/>
      <c r="H1017" s="588"/>
      <c r="I1017" s="588"/>
      <c r="J1017" s="588"/>
    </row>
    <row r="1018" spans="1:10" x14ac:dyDescent="0.3">
      <c r="A1018" s="588"/>
      <c r="B1018" s="588"/>
      <c r="C1018" s="588"/>
      <c r="D1018" s="588"/>
      <c r="E1018" s="588"/>
      <c r="F1018" s="588"/>
      <c r="G1018" s="600"/>
      <c r="H1018" s="588"/>
      <c r="I1018" s="588"/>
      <c r="J1018" s="588"/>
    </row>
    <row r="1019" spans="1:10" x14ac:dyDescent="0.3">
      <c r="A1019" s="588"/>
      <c r="B1019" s="588"/>
      <c r="C1019" s="588"/>
      <c r="D1019" s="588"/>
      <c r="E1019" s="588"/>
      <c r="F1019" s="588"/>
      <c r="G1019" s="600"/>
      <c r="H1019" s="588"/>
      <c r="I1019" s="588"/>
      <c r="J1019" s="588"/>
    </row>
    <row r="1020" spans="1:10" x14ac:dyDescent="0.3">
      <c r="A1020" s="588"/>
      <c r="B1020" s="588"/>
      <c r="C1020" s="588"/>
      <c r="D1020" s="588"/>
      <c r="E1020" s="588"/>
      <c r="F1020" s="588"/>
      <c r="G1020" s="600"/>
      <c r="H1020" s="588"/>
      <c r="I1020" s="588"/>
      <c r="J1020" s="588"/>
    </row>
    <row r="1021" spans="1:10" x14ac:dyDescent="0.3">
      <c r="A1021" s="588"/>
      <c r="B1021" s="588"/>
      <c r="C1021" s="588"/>
      <c r="D1021" s="588"/>
      <c r="E1021" s="588"/>
      <c r="F1021" s="588"/>
      <c r="G1021" s="600"/>
      <c r="H1021" s="588"/>
      <c r="I1021" s="588"/>
      <c r="J1021" s="588"/>
    </row>
    <row r="1022" spans="1:10" x14ac:dyDescent="0.3">
      <c r="A1022" s="588"/>
      <c r="B1022" s="588"/>
      <c r="C1022" s="588"/>
      <c r="D1022" s="588"/>
      <c r="E1022" s="588"/>
      <c r="F1022" s="588"/>
      <c r="G1022" s="600"/>
      <c r="H1022" s="588"/>
      <c r="I1022" s="588"/>
      <c r="J1022" s="588"/>
    </row>
    <row r="1023" spans="1:10" x14ac:dyDescent="0.3">
      <c r="A1023" s="588"/>
      <c r="B1023" s="588"/>
      <c r="C1023" s="588"/>
      <c r="D1023" s="588"/>
      <c r="E1023" s="588"/>
      <c r="F1023" s="588"/>
      <c r="G1023" s="600"/>
      <c r="H1023" s="588"/>
      <c r="I1023" s="588"/>
      <c r="J1023" s="588"/>
    </row>
    <row r="1024" spans="1:10" x14ac:dyDescent="0.3">
      <c r="A1024" s="588"/>
      <c r="B1024" s="588"/>
      <c r="C1024" s="588"/>
      <c r="D1024" s="588"/>
      <c r="E1024" s="588"/>
      <c r="F1024" s="588"/>
      <c r="G1024" s="600"/>
      <c r="H1024" s="588"/>
      <c r="I1024" s="588"/>
      <c r="J1024" s="588"/>
    </row>
    <row r="1025" spans="1:10" x14ac:dyDescent="0.3">
      <c r="A1025" s="588"/>
      <c r="B1025" s="588"/>
      <c r="C1025" s="588"/>
      <c r="D1025" s="588"/>
      <c r="E1025" s="588"/>
      <c r="F1025" s="588"/>
      <c r="G1025" s="600"/>
      <c r="H1025" s="588"/>
      <c r="I1025" s="588"/>
      <c r="J1025" s="588"/>
    </row>
    <row r="1026" spans="1:10" x14ac:dyDescent="0.3">
      <c r="A1026" s="588"/>
      <c r="B1026" s="588"/>
      <c r="C1026" s="588"/>
      <c r="D1026" s="588"/>
      <c r="E1026" s="588"/>
      <c r="F1026" s="588"/>
      <c r="G1026" s="600"/>
      <c r="H1026" s="588"/>
      <c r="I1026" s="588"/>
      <c r="J1026" s="588"/>
    </row>
    <row r="1027" spans="1:10" x14ac:dyDescent="0.3">
      <c r="A1027" s="588"/>
      <c r="B1027" s="588"/>
      <c r="C1027" s="588"/>
      <c r="D1027" s="588"/>
      <c r="E1027" s="588"/>
      <c r="F1027" s="588"/>
      <c r="G1027" s="600"/>
      <c r="H1027" s="588"/>
      <c r="I1027" s="588"/>
      <c r="J1027" s="588"/>
    </row>
    <row r="1028" spans="1:10" x14ac:dyDescent="0.3">
      <c r="A1028" s="588"/>
      <c r="B1028" s="588"/>
      <c r="C1028" s="588"/>
      <c r="D1028" s="588"/>
      <c r="E1028" s="588"/>
      <c r="F1028" s="588"/>
      <c r="G1028" s="600"/>
      <c r="H1028" s="588"/>
      <c r="I1028" s="588"/>
      <c r="J1028" s="588"/>
    </row>
    <row r="1029" spans="1:10" x14ac:dyDescent="0.3">
      <c r="A1029" s="588"/>
      <c r="B1029" s="588"/>
      <c r="C1029" s="588"/>
      <c r="D1029" s="588"/>
      <c r="E1029" s="588"/>
      <c r="F1029" s="588"/>
      <c r="G1029" s="600"/>
      <c r="H1029" s="588"/>
      <c r="I1029" s="588"/>
      <c r="J1029" s="588"/>
    </row>
    <row r="1030" spans="1:10" x14ac:dyDescent="0.3">
      <c r="A1030" s="588"/>
      <c r="B1030" s="588"/>
      <c r="C1030" s="588"/>
      <c r="D1030" s="588"/>
      <c r="E1030" s="588"/>
      <c r="F1030" s="588"/>
      <c r="G1030" s="600"/>
      <c r="H1030" s="588"/>
      <c r="I1030" s="588"/>
      <c r="J1030" s="588"/>
    </row>
    <row r="1031" spans="1:10" x14ac:dyDescent="0.3">
      <c r="A1031" s="588"/>
      <c r="B1031" s="588"/>
      <c r="C1031" s="588"/>
      <c r="D1031" s="588"/>
      <c r="E1031" s="588"/>
      <c r="F1031" s="588"/>
      <c r="G1031" s="600"/>
      <c r="H1031" s="588"/>
      <c r="I1031" s="588"/>
      <c r="J1031" s="588"/>
    </row>
    <row r="1032" spans="1:10" x14ac:dyDescent="0.3">
      <c r="A1032" s="588"/>
      <c r="B1032" s="588"/>
      <c r="C1032" s="588"/>
      <c r="D1032" s="588"/>
      <c r="E1032" s="588"/>
      <c r="F1032" s="588"/>
      <c r="G1032" s="600"/>
      <c r="H1032" s="588"/>
      <c r="I1032" s="588"/>
      <c r="J1032" s="588"/>
    </row>
    <row r="1033" spans="1:10" x14ac:dyDescent="0.3">
      <c r="A1033" s="588"/>
      <c r="B1033" s="588"/>
      <c r="C1033" s="588"/>
      <c r="D1033" s="588"/>
      <c r="E1033" s="588"/>
      <c r="F1033" s="588"/>
      <c r="G1033" s="600"/>
      <c r="H1033" s="588"/>
      <c r="I1033" s="588"/>
      <c r="J1033" s="588"/>
    </row>
    <row r="1034" spans="1:10" x14ac:dyDescent="0.3">
      <c r="A1034" s="588"/>
      <c r="B1034" s="588"/>
      <c r="C1034" s="588"/>
      <c r="D1034" s="588"/>
      <c r="E1034" s="588"/>
      <c r="F1034" s="588"/>
      <c r="G1034" s="600"/>
      <c r="H1034" s="588"/>
      <c r="I1034" s="588"/>
      <c r="J1034" s="588"/>
    </row>
    <row r="1035" spans="1:10" x14ac:dyDescent="0.3">
      <c r="A1035" s="588"/>
      <c r="B1035" s="588"/>
      <c r="C1035" s="588"/>
      <c r="D1035" s="588"/>
      <c r="E1035" s="588"/>
      <c r="F1035" s="588"/>
      <c r="G1035" s="600"/>
      <c r="H1035" s="588"/>
      <c r="I1035" s="588"/>
      <c r="J1035" s="588"/>
    </row>
    <row r="1036" spans="1:10" x14ac:dyDescent="0.3">
      <c r="A1036" s="588"/>
      <c r="B1036" s="588"/>
      <c r="C1036" s="588"/>
      <c r="D1036" s="588"/>
      <c r="E1036" s="588"/>
      <c r="F1036" s="588"/>
      <c r="G1036" s="600"/>
      <c r="H1036" s="588"/>
      <c r="I1036" s="588"/>
      <c r="J1036" s="588"/>
    </row>
    <row r="1037" spans="1:10" x14ac:dyDescent="0.3">
      <c r="A1037" s="588"/>
      <c r="B1037" s="588"/>
      <c r="C1037" s="588"/>
      <c r="D1037" s="588"/>
      <c r="E1037" s="588"/>
      <c r="F1037" s="588"/>
      <c r="G1037" s="600"/>
      <c r="H1037" s="588"/>
      <c r="I1037" s="588"/>
      <c r="J1037" s="588"/>
    </row>
    <row r="1038" spans="1:10" x14ac:dyDescent="0.3">
      <c r="A1038" s="588"/>
      <c r="B1038" s="588"/>
      <c r="C1038" s="588"/>
      <c r="D1038" s="588"/>
      <c r="E1038" s="588"/>
      <c r="F1038" s="588"/>
      <c r="G1038" s="600"/>
      <c r="H1038" s="588"/>
      <c r="I1038" s="588"/>
      <c r="J1038" s="588"/>
    </row>
    <row r="1039" spans="1:10" x14ac:dyDescent="0.3">
      <c r="A1039" s="588"/>
      <c r="B1039" s="588"/>
      <c r="C1039" s="588"/>
      <c r="D1039" s="588"/>
      <c r="E1039" s="588"/>
      <c r="F1039" s="588"/>
      <c r="G1039" s="600"/>
      <c r="H1039" s="588"/>
      <c r="I1039" s="588"/>
      <c r="J1039" s="588"/>
    </row>
    <row r="1040" spans="1:10" x14ac:dyDescent="0.3">
      <c r="A1040" s="588"/>
      <c r="B1040" s="588"/>
      <c r="C1040" s="588"/>
      <c r="D1040" s="588"/>
      <c r="E1040" s="588"/>
      <c r="F1040" s="588"/>
      <c r="G1040" s="600"/>
      <c r="H1040" s="588"/>
      <c r="I1040" s="588"/>
      <c r="J1040" s="588"/>
    </row>
    <row r="1041" spans="1:10" x14ac:dyDescent="0.3">
      <c r="A1041" s="588"/>
      <c r="B1041" s="588"/>
      <c r="C1041" s="588"/>
      <c r="D1041" s="588"/>
      <c r="E1041" s="588"/>
      <c r="F1041" s="588"/>
      <c r="G1041" s="600"/>
      <c r="H1041" s="588"/>
      <c r="I1041" s="588"/>
      <c r="J1041" s="588"/>
    </row>
    <row r="1042" spans="1:10" x14ac:dyDescent="0.3">
      <c r="A1042" s="588"/>
      <c r="B1042" s="588"/>
      <c r="C1042" s="588"/>
      <c r="D1042" s="588"/>
      <c r="E1042" s="588"/>
      <c r="F1042" s="588"/>
      <c r="G1042" s="600"/>
      <c r="H1042" s="588"/>
      <c r="I1042" s="588"/>
      <c r="J1042" s="588"/>
    </row>
    <row r="1043" spans="1:10" x14ac:dyDescent="0.3">
      <c r="A1043" s="588"/>
      <c r="B1043" s="588"/>
      <c r="C1043" s="588"/>
      <c r="D1043" s="588"/>
      <c r="E1043" s="588"/>
      <c r="F1043" s="588"/>
      <c r="G1043" s="600"/>
      <c r="H1043" s="588"/>
      <c r="I1043" s="588"/>
      <c r="J1043" s="588"/>
    </row>
    <row r="1044" spans="1:10" x14ac:dyDescent="0.3">
      <c r="A1044" s="588"/>
      <c r="B1044" s="588"/>
      <c r="C1044" s="588"/>
      <c r="D1044" s="588"/>
      <c r="E1044" s="588"/>
      <c r="F1044" s="588"/>
      <c r="G1044" s="600"/>
      <c r="H1044" s="588"/>
      <c r="I1044" s="588"/>
      <c r="J1044" s="588"/>
    </row>
    <row r="1045" spans="1:10" x14ac:dyDescent="0.3">
      <c r="A1045" s="588"/>
      <c r="B1045" s="588"/>
      <c r="C1045" s="588"/>
      <c r="D1045" s="588"/>
      <c r="E1045" s="588"/>
      <c r="F1045" s="588"/>
      <c r="G1045" s="600"/>
      <c r="H1045" s="588"/>
      <c r="I1045" s="588"/>
      <c r="J1045" s="588"/>
    </row>
    <row r="1046" spans="1:10" x14ac:dyDescent="0.3">
      <c r="A1046" s="588"/>
      <c r="B1046" s="588"/>
      <c r="C1046" s="588"/>
      <c r="D1046" s="588"/>
      <c r="E1046" s="588"/>
      <c r="F1046" s="588"/>
      <c r="G1046" s="600"/>
      <c r="H1046" s="588"/>
      <c r="I1046" s="588"/>
      <c r="J1046" s="588"/>
    </row>
    <row r="1047" spans="1:10" x14ac:dyDescent="0.3">
      <c r="A1047" s="588"/>
      <c r="B1047" s="588"/>
      <c r="C1047" s="588"/>
      <c r="D1047" s="588"/>
      <c r="E1047" s="588"/>
      <c r="F1047" s="588"/>
      <c r="G1047" s="600"/>
      <c r="H1047" s="588"/>
      <c r="I1047" s="588"/>
      <c r="J1047" s="588"/>
    </row>
    <row r="1048" spans="1:10" x14ac:dyDescent="0.3">
      <c r="A1048" s="588"/>
      <c r="B1048" s="588"/>
      <c r="C1048" s="588"/>
      <c r="D1048" s="588"/>
      <c r="E1048" s="588"/>
      <c r="F1048" s="588"/>
      <c r="G1048" s="600"/>
      <c r="H1048" s="588"/>
      <c r="I1048" s="588"/>
      <c r="J1048" s="588"/>
    </row>
    <row r="1049" spans="1:10" x14ac:dyDescent="0.3">
      <c r="A1049" s="588"/>
      <c r="B1049" s="588"/>
      <c r="C1049" s="588"/>
      <c r="D1049" s="588"/>
      <c r="E1049" s="588"/>
      <c r="F1049" s="588"/>
      <c r="G1049" s="600"/>
      <c r="H1049" s="588"/>
      <c r="I1049" s="588"/>
      <c r="J1049" s="588"/>
    </row>
    <row r="1050" spans="1:10" x14ac:dyDescent="0.3">
      <c r="A1050" s="588"/>
      <c r="B1050" s="588"/>
      <c r="C1050" s="588"/>
      <c r="D1050" s="588"/>
      <c r="E1050" s="588"/>
      <c r="F1050" s="588"/>
      <c r="G1050" s="600"/>
      <c r="H1050" s="588"/>
      <c r="I1050" s="588"/>
      <c r="J1050" s="588"/>
    </row>
    <row r="1051" spans="1:10" x14ac:dyDescent="0.3">
      <c r="A1051" s="588"/>
      <c r="B1051" s="588"/>
      <c r="C1051" s="588"/>
      <c r="D1051" s="588"/>
      <c r="E1051" s="588"/>
      <c r="F1051" s="588"/>
      <c r="G1051" s="600"/>
      <c r="H1051" s="588"/>
      <c r="I1051" s="588"/>
      <c r="J1051" s="588"/>
    </row>
    <row r="1052" spans="1:10" x14ac:dyDescent="0.3">
      <c r="A1052" s="588"/>
      <c r="B1052" s="588"/>
      <c r="C1052" s="588"/>
      <c r="D1052" s="588"/>
      <c r="E1052" s="588"/>
      <c r="F1052" s="588"/>
      <c r="G1052" s="600"/>
      <c r="H1052" s="588"/>
      <c r="I1052" s="588"/>
      <c r="J1052" s="588"/>
    </row>
    <row r="1053" spans="1:10" x14ac:dyDescent="0.3">
      <c r="A1053" s="588"/>
      <c r="B1053" s="588"/>
      <c r="C1053" s="588"/>
      <c r="D1053" s="588"/>
      <c r="E1053" s="588"/>
      <c r="F1053" s="588"/>
      <c r="G1053" s="600"/>
      <c r="H1053" s="588"/>
      <c r="I1053" s="588"/>
      <c r="J1053" s="588"/>
    </row>
    <row r="1054" spans="1:10" x14ac:dyDescent="0.3">
      <c r="A1054" s="588"/>
      <c r="B1054" s="588"/>
      <c r="C1054" s="588"/>
      <c r="D1054" s="588"/>
      <c r="E1054" s="588"/>
      <c r="F1054" s="588"/>
      <c r="G1054" s="600"/>
      <c r="H1054" s="588"/>
      <c r="I1054" s="588"/>
      <c r="J1054" s="588"/>
    </row>
    <row r="1055" spans="1:10" x14ac:dyDescent="0.3">
      <c r="A1055" s="588"/>
      <c r="B1055" s="588"/>
      <c r="C1055" s="588"/>
      <c r="D1055" s="588"/>
      <c r="E1055" s="588"/>
      <c r="F1055" s="588"/>
      <c r="G1055" s="600"/>
      <c r="H1055" s="588"/>
      <c r="I1055" s="588"/>
      <c r="J1055" s="588"/>
    </row>
    <row r="1056" spans="1:10" x14ac:dyDescent="0.3">
      <c r="A1056" s="588"/>
      <c r="B1056" s="588"/>
      <c r="C1056" s="588"/>
      <c r="D1056" s="588"/>
      <c r="E1056" s="588"/>
      <c r="F1056" s="588"/>
      <c r="G1056" s="600"/>
      <c r="H1056" s="588"/>
      <c r="I1056" s="588"/>
      <c r="J1056" s="588"/>
    </row>
    <row r="1057" spans="1:10" x14ac:dyDescent="0.3">
      <c r="A1057" s="588"/>
      <c r="B1057" s="588"/>
      <c r="C1057" s="588"/>
      <c r="D1057" s="588"/>
      <c r="E1057" s="588"/>
      <c r="F1057" s="588"/>
      <c r="G1057" s="600"/>
      <c r="H1057" s="588"/>
      <c r="I1057" s="588"/>
      <c r="J1057" s="588"/>
    </row>
    <row r="1058" spans="1:10" x14ac:dyDescent="0.3">
      <c r="A1058" s="588"/>
      <c r="B1058" s="588"/>
      <c r="C1058" s="588"/>
      <c r="D1058" s="588"/>
      <c r="E1058" s="588"/>
      <c r="F1058" s="588"/>
      <c r="G1058" s="600"/>
      <c r="H1058" s="588"/>
      <c r="I1058" s="588"/>
      <c r="J1058" s="588"/>
    </row>
    <row r="1059" spans="1:10" x14ac:dyDescent="0.3">
      <c r="A1059" s="588"/>
      <c r="B1059" s="588"/>
      <c r="C1059" s="588"/>
      <c r="D1059" s="588"/>
      <c r="E1059" s="588"/>
      <c r="F1059" s="588"/>
      <c r="G1059" s="600"/>
      <c r="H1059" s="588"/>
      <c r="I1059" s="588"/>
      <c r="J1059" s="588"/>
    </row>
    <row r="1060" spans="1:10" x14ac:dyDescent="0.3">
      <c r="A1060" s="588"/>
      <c r="B1060" s="588"/>
      <c r="C1060" s="588"/>
      <c r="D1060" s="588"/>
      <c r="E1060" s="588"/>
      <c r="F1060" s="588"/>
      <c r="G1060" s="600"/>
      <c r="H1060" s="588"/>
      <c r="I1060" s="588"/>
      <c r="J1060" s="588"/>
    </row>
    <row r="1061" spans="1:10" x14ac:dyDescent="0.3">
      <c r="A1061" s="588"/>
      <c r="B1061" s="588"/>
      <c r="C1061" s="588"/>
      <c r="D1061" s="588"/>
      <c r="E1061" s="588"/>
      <c r="F1061" s="588"/>
      <c r="G1061" s="600"/>
      <c r="H1061" s="588"/>
      <c r="I1061" s="588"/>
      <c r="J1061" s="588"/>
    </row>
    <row r="1062" spans="1:10" x14ac:dyDescent="0.3">
      <c r="A1062" s="588"/>
      <c r="B1062" s="588"/>
      <c r="C1062" s="588"/>
      <c r="D1062" s="588"/>
      <c r="E1062" s="588"/>
      <c r="F1062" s="588"/>
      <c r="G1062" s="600"/>
      <c r="H1062" s="588"/>
      <c r="I1062" s="588"/>
      <c r="J1062" s="588"/>
    </row>
    <row r="1063" spans="1:10" x14ac:dyDescent="0.3">
      <c r="A1063" s="588"/>
      <c r="B1063" s="588"/>
      <c r="C1063" s="588"/>
      <c r="D1063" s="588"/>
      <c r="E1063" s="588"/>
      <c r="F1063" s="588"/>
      <c r="G1063" s="600"/>
      <c r="H1063" s="588"/>
      <c r="I1063" s="588"/>
      <c r="J1063" s="588"/>
    </row>
    <row r="1064" spans="1:10" x14ac:dyDescent="0.3">
      <c r="A1064" s="588"/>
      <c r="B1064" s="588"/>
      <c r="C1064" s="588"/>
      <c r="D1064" s="588"/>
      <c r="E1064" s="588"/>
      <c r="F1064" s="588"/>
      <c r="G1064" s="600"/>
      <c r="H1064" s="588"/>
      <c r="I1064" s="588"/>
      <c r="J1064" s="588"/>
    </row>
    <row r="1065" spans="1:10" x14ac:dyDescent="0.3">
      <c r="A1065" s="588"/>
      <c r="B1065" s="588"/>
      <c r="C1065" s="588"/>
      <c r="D1065" s="588"/>
      <c r="E1065" s="588"/>
      <c r="F1065" s="588"/>
      <c r="G1065" s="600"/>
      <c r="H1065" s="588"/>
      <c r="I1065" s="588"/>
      <c r="J1065" s="588"/>
    </row>
    <row r="1066" spans="1:10" x14ac:dyDescent="0.3">
      <c r="A1066" s="588"/>
      <c r="B1066" s="588"/>
      <c r="C1066" s="588"/>
      <c r="D1066" s="588"/>
      <c r="E1066" s="588"/>
      <c r="F1066" s="588"/>
      <c r="G1066" s="600"/>
      <c r="H1066" s="588"/>
      <c r="I1066" s="588"/>
      <c r="J1066" s="588"/>
    </row>
    <row r="1067" spans="1:10" x14ac:dyDescent="0.3">
      <c r="A1067" s="588"/>
      <c r="B1067" s="588"/>
      <c r="C1067" s="588"/>
      <c r="D1067" s="588"/>
      <c r="E1067" s="588"/>
      <c r="F1067" s="588"/>
      <c r="G1067" s="600"/>
      <c r="H1067" s="588"/>
      <c r="I1067" s="588"/>
      <c r="J1067" s="588"/>
    </row>
    <row r="1068" spans="1:10" x14ac:dyDescent="0.3">
      <c r="A1068" s="588"/>
      <c r="B1068" s="588"/>
      <c r="C1068" s="588"/>
      <c r="D1068" s="588"/>
      <c r="E1068" s="588"/>
      <c r="F1068" s="588"/>
      <c r="G1068" s="600"/>
      <c r="H1068" s="588"/>
      <c r="I1068" s="588"/>
      <c r="J1068" s="588"/>
    </row>
    <row r="1069" spans="1:10" x14ac:dyDescent="0.3">
      <c r="A1069" s="588"/>
      <c r="B1069" s="588"/>
      <c r="C1069" s="588"/>
      <c r="D1069" s="588"/>
      <c r="E1069" s="588"/>
      <c r="F1069" s="588"/>
      <c r="G1069" s="600"/>
      <c r="H1069" s="588"/>
      <c r="I1069" s="588"/>
      <c r="J1069" s="588"/>
    </row>
    <row r="1070" spans="1:10" x14ac:dyDescent="0.3">
      <c r="A1070" s="588"/>
      <c r="B1070" s="588"/>
      <c r="C1070" s="588"/>
      <c r="D1070" s="588"/>
      <c r="E1070" s="588"/>
      <c r="F1070" s="588"/>
      <c r="G1070" s="600"/>
      <c r="H1070" s="588"/>
      <c r="I1070" s="588"/>
      <c r="J1070" s="588"/>
    </row>
    <row r="1071" spans="1:10" x14ac:dyDescent="0.3">
      <c r="A1071" s="588"/>
      <c r="B1071" s="588"/>
      <c r="C1071" s="588"/>
      <c r="D1071" s="588"/>
      <c r="E1071" s="588"/>
      <c r="F1071" s="588"/>
      <c r="G1071" s="600"/>
      <c r="H1071" s="588"/>
      <c r="I1071" s="588"/>
      <c r="J1071" s="588"/>
    </row>
    <row r="1072" spans="1:10" x14ac:dyDescent="0.3">
      <c r="A1072" s="588"/>
      <c r="B1072" s="588"/>
      <c r="C1072" s="588"/>
      <c r="D1072" s="588"/>
      <c r="E1072" s="588"/>
      <c r="F1072" s="588"/>
      <c r="G1072" s="600"/>
      <c r="H1072" s="588"/>
      <c r="I1072" s="588"/>
      <c r="J1072" s="588"/>
    </row>
    <row r="1073" spans="1:10" x14ac:dyDescent="0.3">
      <c r="A1073" s="588"/>
      <c r="B1073" s="588"/>
      <c r="C1073" s="588"/>
      <c r="D1073" s="588"/>
      <c r="E1073" s="588"/>
      <c r="F1073" s="588"/>
      <c r="G1073" s="600"/>
      <c r="H1073" s="588"/>
      <c r="I1073" s="588"/>
      <c r="J1073" s="588"/>
    </row>
    <row r="1074" spans="1:10" x14ac:dyDescent="0.3">
      <c r="A1074" s="588"/>
      <c r="B1074" s="588"/>
      <c r="C1074" s="588"/>
      <c r="D1074" s="588"/>
      <c r="E1074" s="588"/>
      <c r="F1074" s="588"/>
      <c r="G1074" s="600"/>
      <c r="H1074" s="588"/>
      <c r="I1074" s="588"/>
      <c r="J1074" s="588"/>
    </row>
    <row r="1075" spans="1:10" x14ac:dyDescent="0.3">
      <c r="A1075" s="588"/>
      <c r="B1075" s="588"/>
      <c r="C1075" s="588"/>
      <c r="D1075" s="588"/>
      <c r="E1075" s="588"/>
      <c r="F1075" s="588"/>
      <c r="G1075" s="600"/>
      <c r="H1075" s="588"/>
      <c r="I1075" s="588"/>
      <c r="J1075" s="588"/>
    </row>
    <row r="1076" spans="1:10" x14ac:dyDescent="0.3">
      <c r="A1076" s="588"/>
      <c r="B1076" s="588"/>
      <c r="C1076" s="588"/>
      <c r="D1076" s="588"/>
      <c r="E1076" s="588"/>
      <c r="F1076" s="588"/>
      <c r="G1076" s="600"/>
      <c r="H1076" s="588"/>
      <c r="I1076" s="588"/>
      <c r="J1076" s="588"/>
    </row>
    <row r="1077" spans="1:10" x14ac:dyDescent="0.3">
      <c r="A1077" s="588"/>
      <c r="B1077" s="588"/>
      <c r="C1077" s="588"/>
      <c r="D1077" s="588"/>
      <c r="E1077" s="588"/>
      <c r="F1077" s="588"/>
      <c r="G1077" s="600"/>
      <c r="H1077" s="588"/>
      <c r="I1077" s="588"/>
      <c r="J1077" s="588"/>
    </row>
    <row r="1078" spans="1:10" x14ac:dyDescent="0.3">
      <c r="A1078" s="588"/>
      <c r="B1078" s="588"/>
      <c r="C1078" s="588"/>
      <c r="D1078" s="588"/>
      <c r="E1078" s="588"/>
      <c r="F1078" s="588"/>
      <c r="G1078" s="600"/>
      <c r="H1078" s="588"/>
      <c r="I1078" s="588"/>
      <c r="J1078" s="588"/>
    </row>
    <row r="1079" spans="1:10" x14ac:dyDescent="0.3">
      <c r="A1079" s="588"/>
      <c r="B1079" s="588"/>
      <c r="C1079" s="588"/>
      <c r="D1079" s="588"/>
      <c r="E1079" s="588"/>
      <c r="F1079" s="588"/>
      <c r="G1079" s="600"/>
      <c r="H1079" s="588"/>
      <c r="I1079" s="588"/>
      <c r="J1079" s="588"/>
    </row>
    <row r="1080" spans="1:10" x14ac:dyDescent="0.3">
      <c r="A1080" s="588"/>
      <c r="B1080" s="588"/>
      <c r="C1080" s="588"/>
      <c r="D1080" s="588"/>
      <c r="E1080" s="588"/>
      <c r="F1080" s="588"/>
      <c r="G1080" s="600"/>
      <c r="H1080" s="588"/>
      <c r="I1080" s="588"/>
      <c r="J1080" s="588"/>
    </row>
    <row r="1081" spans="1:10" x14ac:dyDescent="0.3">
      <c r="A1081" s="588"/>
      <c r="B1081" s="588"/>
      <c r="C1081" s="588"/>
      <c r="D1081" s="588"/>
      <c r="E1081" s="588"/>
      <c r="F1081" s="588"/>
      <c r="G1081" s="600"/>
      <c r="H1081" s="588"/>
      <c r="I1081" s="588"/>
      <c r="J1081" s="588"/>
    </row>
    <row r="1082" spans="1:10" x14ac:dyDescent="0.3">
      <c r="A1082" s="588"/>
      <c r="B1082" s="588"/>
      <c r="C1082" s="588"/>
      <c r="D1082" s="588"/>
      <c r="E1082" s="588"/>
      <c r="F1082" s="588"/>
      <c r="G1082" s="600"/>
      <c r="H1082" s="588"/>
      <c r="I1082" s="588"/>
      <c r="J1082" s="588"/>
    </row>
    <row r="1083" spans="1:10" x14ac:dyDescent="0.3">
      <c r="A1083" s="588"/>
      <c r="B1083" s="588"/>
      <c r="C1083" s="588"/>
      <c r="D1083" s="588"/>
      <c r="E1083" s="588"/>
      <c r="F1083" s="588"/>
      <c r="G1083" s="600"/>
      <c r="H1083" s="588"/>
      <c r="I1083" s="588"/>
      <c r="J1083" s="588"/>
    </row>
    <row r="1084" spans="1:10" x14ac:dyDescent="0.3">
      <c r="A1084" s="588"/>
      <c r="B1084" s="588"/>
      <c r="C1084" s="588"/>
      <c r="D1084" s="588"/>
      <c r="E1084" s="588"/>
      <c r="F1084" s="588"/>
      <c r="G1084" s="600"/>
      <c r="H1084" s="588"/>
      <c r="I1084" s="588"/>
      <c r="J1084" s="588"/>
    </row>
    <row r="1085" spans="1:10" x14ac:dyDescent="0.3">
      <c r="A1085" s="588"/>
      <c r="B1085" s="588"/>
      <c r="C1085" s="588"/>
      <c r="D1085" s="588"/>
      <c r="E1085" s="588"/>
      <c r="F1085" s="588"/>
      <c r="G1085" s="600"/>
      <c r="H1085" s="588"/>
      <c r="I1085" s="588"/>
      <c r="J1085" s="588"/>
    </row>
    <row r="1086" spans="1:10" x14ac:dyDescent="0.3">
      <c r="A1086" s="588"/>
      <c r="B1086" s="588"/>
      <c r="C1086" s="588"/>
      <c r="D1086" s="588"/>
      <c r="E1086" s="588"/>
      <c r="F1086" s="588"/>
      <c r="G1086" s="600"/>
      <c r="H1086" s="588"/>
      <c r="I1086" s="588"/>
      <c r="J1086" s="588"/>
    </row>
    <row r="1087" spans="1:10" x14ac:dyDescent="0.3">
      <c r="A1087" s="588"/>
      <c r="B1087" s="588"/>
      <c r="C1087" s="588"/>
      <c r="D1087" s="588"/>
      <c r="E1087" s="588"/>
      <c r="F1087" s="588"/>
      <c r="G1087" s="600"/>
      <c r="H1087" s="588"/>
      <c r="I1087" s="588"/>
      <c r="J1087" s="588"/>
    </row>
    <row r="1088" spans="1:10" x14ac:dyDescent="0.3">
      <c r="A1088" s="588"/>
      <c r="B1088" s="588"/>
      <c r="C1088" s="588"/>
      <c r="D1088" s="588"/>
      <c r="E1088" s="588"/>
      <c r="F1088" s="588"/>
      <c r="G1088" s="600"/>
      <c r="H1088" s="588"/>
      <c r="I1088" s="588"/>
      <c r="J1088" s="588"/>
    </row>
    <row r="1089" spans="1:10" x14ac:dyDescent="0.3">
      <c r="A1089" s="588"/>
      <c r="B1089" s="588"/>
      <c r="C1089" s="588"/>
      <c r="D1089" s="588"/>
      <c r="E1089" s="588"/>
      <c r="F1089" s="588"/>
      <c r="G1089" s="600"/>
      <c r="H1089" s="588"/>
      <c r="I1089" s="588"/>
      <c r="J1089" s="588"/>
    </row>
    <row r="1090" spans="1:10" x14ac:dyDescent="0.3">
      <c r="A1090" s="588"/>
      <c r="B1090" s="588"/>
      <c r="C1090" s="588"/>
      <c r="D1090" s="588"/>
      <c r="E1090" s="588"/>
      <c r="F1090" s="588"/>
      <c r="G1090" s="600"/>
      <c r="H1090" s="588"/>
      <c r="I1090" s="588"/>
      <c r="J1090" s="588"/>
    </row>
    <row r="1091" spans="1:10" x14ac:dyDescent="0.3">
      <c r="A1091" s="588"/>
      <c r="B1091" s="588"/>
      <c r="C1091" s="588"/>
      <c r="D1091" s="588"/>
      <c r="E1091" s="588"/>
      <c r="F1091" s="588"/>
      <c r="G1091" s="600"/>
      <c r="H1091" s="588"/>
      <c r="I1091" s="588"/>
      <c r="J1091" s="588"/>
    </row>
    <row r="1092" spans="1:10" x14ac:dyDescent="0.3">
      <c r="A1092" s="588"/>
      <c r="B1092" s="588"/>
      <c r="C1092" s="588"/>
      <c r="D1092" s="588"/>
      <c r="E1092" s="588"/>
      <c r="F1092" s="588"/>
      <c r="G1092" s="600"/>
      <c r="H1092" s="588"/>
      <c r="I1092" s="588"/>
      <c r="J1092" s="588"/>
    </row>
    <row r="1093" spans="1:10" x14ac:dyDescent="0.3">
      <c r="A1093" s="588"/>
      <c r="B1093" s="588"/>
      <c r="C1093" s="588"/>
      <c r="D1093" s="588"/>
      <c r="E1093" s="588"/>
      <c r="F1093" s="588"/>
      <c r="G1093" s="600"/>
      <c r="H1093" s="588"/>
      <c r="I1093" s="588"/>
      <c r="J1093" s="588"/>
    </row>
    <row r="1094" spans="1:10" x14ac:dyDescent="0.3">
      <c r="A1094" s="588"/>
      <c r="B1094" s="588"/>
      <c r="C1094" s="588"/>
      <c r="D1094" s="588"/>
      <c r="E1094" s="588"/>
      <c r="F1094" s="588"/>
      <c r="G1094" s="600"/>
      <c r="H1094" s="588"/>
      <c r="I1094" s="588"/>
      <c r="J1094" s="588"/>
    </row>
    <row r="1095" spans="1:10" x14ac:dyDescent="0.3">
      <c r="A1095" s="588"/>
      <c r="B1095" s="588"/>
      <c r="C1095" s="588"/>
      <c r="D1095" s="588"/>
      <c r="E1095" s="588"/>
      <c r="F1095" s="588"/>
      <c r="G1095" s="600"/>
      <c r="H1095" s="588"/>
      <c r="I1095" s="588"/>
      <c r="J1095" s="588"/>
    </row>
    <row r="1096" spans="1:10" x14ac:dyDescent="0.3">
      <c r="A1096" s="588"/>
      <c r="B1096" s="588"/>
      <c r="C1096" s="588"/>
      <c r="D1096" s="588"/>
      <c r="E1096" s="588"/>
      <c r="F1096" s="588"/>
      <c r="G1096" s="600"/>
      <c r="H1096" s="588"/>
      <c r="I1096" s="588"/>
      <c r="J1096" s="588"/>
    </row>
    <row r="1097" spans="1:10" x14ac:dyDescent="0.3">
      <c r="A1097" s="588"/>
      <c r="B1097" s="588"/>
      <c r="C1097" s="588"/>
      <c r="D1097" s="588"/>
      <c r="E1097" s="588"/>
      <c r="F1097" s="588"/>
      <c r="G1097" s="600"/>
      <c r="H1097" s="588"/>
      <c r="I1097" s="588"/>
      <c r="J1097" s="588"/>
    </row>
    <row r="1098" spans="1:10" x14ac:dyDescent="0.3">
      <c r="A1098" s="588"/>
      <c r="B1098" s="588"/>
      <c r="C1098" s="588"/>
      <c r="D1098" s="588"/>
      <c r="E1098" s="588"/>
      <c r="F1098" s="588"/>
      <c r="G1098" s="600"/>
      <c r="H1098" s="588"/>
      <c r="I1098" s="588"/>
      <c r="J1098" s="588"/>
    </row>
    <row r="1099" spans="1:10" x14ac:dyDescent="0.3">
      <c r="A1099" s="588"/>
      <c r="B1099" s="588"/>
      <c r="C1099" s="588"/>
      <c r="D1099" s="588"/>
      <c r="E1099" s="588"/>
      <c r="F1099" s="588"/>
      <c r="G1099" s="600"/>
      <c r="H1099" s="588"/>
      <c r="I1099" s="588"/>
      <c r="J1099" s="588"/>
    </row>
    <row r="1100" spans="1:10" x14ac:dyDescent="0.3">
      <c r="A1100" s="588"/>
      <c r="B1100" s="588"/>
      <c r="C1100" s="588"/>
      <c r="D1100" s="588"/>
      <c r="E1100" s="588"/>
      <c r="F1100" s="588"/>
      <c r="G1100" s="600"/>
      <c r="H1100" s="588"/>
      <c r="I1100" s="588"/>
      <c r="J1100" s="588"/>
    </row>
    <row r="1101" spans="1:10" x14ac:dyDescent="0.3">
      <c r="A1101" s="588"/>
      <c r="B1101" s="588"/>
      <c r="C1101" s="588"/>
      <c r="D1101" s="588"/>
      <c r="E1101" s="588"/>
      <c r="F1101" s="588"/>
      <c r="G1101" s="600"/>
      <c r="H1101" s="588"/>
      <c r="I1101" s="588"/>
      <c r="J1101" s="588"/>
    </row>
    <row r="1102" spans="1:10" x14ac:dyDescent="0.3">
      <c r="A1102" s="588"/>
      <c r="B1102" s="588"/>
      <c r="C1102" s="588"/>
      <c r="D1102" s="588"/>
      <c r="E1102" s="588"/>
      <c r="F1102" s="588"/>
      <c r="G1102" s="600"/>
      <c r="H1102" s="588"/>
      <c r="I1102" s="588"/>
      <c r="J1102" s="588"/>
    </row>
    <row r="1103" spans="1:10" x14ac:dyDescent="0.3">
      <c r="A1103" s="588"/>
      <c r="B1103" s="588"/>
      <c r="C1103" s="588"/>
      <c r="D1103" s="588"/>
      <c r="E1103" s="588"/>
      <c r="F1103" s="588"/>
      <c r="G1103" s="600"/>
      <c r="H1103" s="588"/>
      <c r="I1103" s="588"/>
      <c r="J1103" s="588"/>
    </row>
    <row r="1104" spans="1:10" x14ac:dyDescent="0.3">
      <c r="A1104" s="588"/>
      <c r="B1104" s="588"/>
      <c r="C1104" s="588"/>
      <c r="D1104" s="588"/>
      <c r="E1104" s="588"/>
      <c r="F1104" s="588"/>
      <c r="G1104" s="600"/>
      <c r="H1104" s="588"/>
      <c r="I1104" s="588"/>
      <c r="J1104" s="588"/>
    </row>
    <row r="1105" spans="1:10" x14ac:dyDescent="0.3">
      <c r="A1105" s="588"/>
      <c r="B1105" s="588"/>
      <c r="C1105" s="588"/>
      <c r="D1105" s="588"/>
      <c r="E1105" s="588"/>
      <c r="F1105" s="588"/>
      <c r="G1105" s="600"/>
      <c r="H1105" s="588"/>
      <c r="I1105" s="588"/>
      <c r="J1105" s="588"/>
    </row>
    <row r="1106" spans="1:10" x14ac:dyDescent="0.3">
      <c r="A1106" s="588"/>
      <c r="B1106" s="588"/>
      <c r="C1106" s="588"/>
      <c r="D1106" s="588"/>
      <c r="E1106" s="588"/>
      <c r="F1106" s="588"/>
      <c r="G1106" s="600"/>
      <c r="H1106" s="588"/>
      <c r="I1106" s="588"/>
      <c r="J1106" s="588"/>
    </row>
    <row r="1107" spans="1:10" x14ac:dyDescent="0.3">
      <c r="A1107" s="588"/>
      <c r="B1107" s="588"/>
      <c r="C1107" s="588"/>
      <c r="D1107" s="588"/>
      <c r="E1107" s="588"/>
      <c r="F1107" s="588"/>
      <c r="G1107" s="600"/>
      <c r="H1107" s="588"/>
      <c r="I1107" s="588"/>
      <c r="J1107" s="588"/>
    </row>
    <row r="1108" spans="1:10" x14ac:dyDescent="0.3">
      <c r="A1108" s="588"/>
      <c r="B1108" s="588"/>
      <c r="C1108" s="588"/>
      <c r="D1108" s="588"/>
      <c r="E1108" s="588"/>
      <c r="F1108" s="588"/>
      <c r="G1108" s="600"/>
      <c r="H1108" s="588"/>
      <c r="I1108" s="588"/>
      <c r="J1108" s="588"/>
    </row>
    <row r="1109" spans="1:10" x14ac:dyDescent="0.3">
      <c r="A1109" s="588"/>
      <c r="B1109" s="588"/>
      <c r="C1109" s="588"/>
      <c r="D1109" s="588"/>
      <c r="E1109" s="588"/>
      <c r="F1109" s="588"/>
      <c r="G1109" s="600"/>
      <c r="H1109" s="588"/>
      <c r="I1109" s="588"/>
      <c r="J1109" s="588"/>
    </row>
    <row r="1110" spans="1:10" x14ac:dyDescent="0.3">
      <c r="A1110" s="588"/>
      <c r="B1110" s="588"/>
      <c r="C1110" s="588"/>
      <c r="D1110" s="588"/>
      <c r="E1110" s="588"/>
      <c r="F1110" s="588"/>
      <c r="G1110" s="600"/>
      <c r="H1110" s="588"/>
      <c r="I1110" s="588"/>
      <c r="J1110" s="588"/>
    </row>
    <row r="1111" spans="1:10" x14ac:dyDescent="0.3">
      <c r="A1111" s="588"/>
      <c r="B1111" s="588"/>
      <c r="C1111" s="588"/>
      <c r="D1111" s="588"/>
      <c r="E1111" s="588"/>
      <c r="F1111" s="588"/>
      <c r="G1111" s="600"/>
      <c r="H1111" s="588"/>
      <c r="I1111" s="588"/>
      <c r="J1111" s="588"/>
    </row>
    <row r="1112" spans="1:10" x14ac:dyDescent="0.3">
      <c r="A1112" s="588"/>
      <c r="B1112" s="588"/>
      <c r="C1112" s="588"/>
      <c r="D1112" s="588"/>
      <c r="E1112" s="588"/>
      <c r="F1112" s="588"/>
      <c r="G1112" s="600"/>
      <c r="H1112" s="588"/>
      <c r="I1112" s="588"/>
      <c r="J1112" s="588"/>
    </row>
    <row r="1113" spans="1:10" x14ac:dyDescent="0.3">
      <c r="A1113" s="588"/>
      <c r="B1113" s="588"/>
      <c r="C1113" s="588"/>
      <c r="D1113" s="588"/>
      <c r="E1113" s="588"/>
      <c r="F1113" s="588"/>
      <c r="G1113" s="600"/>
      <c r="H1113" s="588"/>
      <c r="I1113" s="588"/>
      <c r="J1113" s="588"/>
    </row>
    <row r="1114" spans="1:10" x14ac:dyDescent="0.3">
      <c r="A1114" s="588"/>
      <c r="B1114" s="588"/>
      <c r="C1114" s="588"/>
      <c r="D1114" s="588"/>
      <c r="E1114" s="588"/>
      <c r="F1114" s="588"/>
      <c r="G1114" s="600"/>
      <c r="H1114" s="588"/>
      <c r="I1114" s="588"/>
      <c r="J1114" s="588"/>
    </row>
    <row r="1115" spans="1:10" x14ac:dyDescent="0.3">
      <c r="A1115" s="588"/>
      <c r="B1115" s="588"/>
      <c r="C1115" s="588"/>
      <c r="D1115" s="588"/>
      <c r="E1115" s="588"/>
      <c r="F1115" s="588"/>
      <c r="G1115" s="600"/>
      <c r="H1115" s="588"/>
      <c r="I1115" s="588"/>
      <c r="J1115" s="588"/>
    </row>
    <row r="1116" spans="1:10" x14ac:dyDescent="0.3">
      <c r="A1116" s="588"/>
      <c r="B1116" s="588"/>
      <c r="C1116" s="588"/>
      <c r="D1116" s="588"/>
      <c r="E1116" s="588"/>
      <c r="F1116" s="588"/>
      <c r="G1116" s="600"/>
      <c r="H1116" s="588"/>
      <c r="I1116" s="588"/>
      <c r="J1116" s="588"/>
    </row>
    <row r="1117" spans="1:10" x14ac:dyDescent="0.3">
      <c r="A1117" s="588"/>
      <c r="B1117" s="588"/>
      <c r="C1117" s="588"/>
      <c r="D1117" s="588"/>
      <c r="E1117" s="588"/>
      <c r="F1117" s="588"/>
      <c r="G1117" s="600"/>
      <c r="H1117" s="588"/>
      <c r="I1117" s="588"/>
      <c r="J1117" s="588"/>
    </row>
    <row r="1118" spans="1:10" x14ac:dyDescent="0.3">
      <c r="A1118" s="588"/>
      <c r="B1118" s="588"/>
      <c r="C1118" s="588"/>
      <c r="D1118" s="588"/>
      <c r="E1118" s="588"/>
      <c r="F1118" s="588"/>
      <c r="G1118" s="600"/>
      <c r="H1118" s="588"/>
      <c r="I1118" s="588"/>
      <c r="J1118" s="588"/>
    </row>
    <row r="1119" spans="1:10" x14ac:dyDescent="0.3">
      <c r="A1119" s="588"/>
      <c r="B1119" s="588"/>
      <c r="C1119" s="588"/>
      <c r="D1119" s="588"/>
      <c r="E1119" s="588"/>
      <c r="F1119" s="588"/>
      <c r="G1119" s="600"/>
      <c r="H1119" s="588"/>
      <c r="I1119" s="588"/>
      <c r="J1119" s="588"/>
    </row>
    <row r="1120" spans="1:10" x14ac:dyDescent="0.3">
      <c r="A1120" s="588"/>
      <c r="B1120" s="588"/>
      <c r="C1120" s="588"/>
      <c r="D1120" s="588"/>
      <c r="E1120" s="588"/>
      <c r="F1120" s="588"/>
      <c r="G1120" s="600"/>
      <c r="H1120" s="588"/>
      <c r="I1120" s="588"/>
      <c r="J1120" s="588"/>
    </row>
    <row r="1121" spans="1:10" x14ac:dyDescent="0.3">
      <c r="A1121" s="588"/>
      <c r="B1121" s="588"/>
      <c r="C1121" s="588"/>
      <c r="D1121" s="588"/>
      <c r="E1121" s="588"/>
      <c r="F1121" s="588"/>
      <c r="G1121" s="600"/>
      <c r="H1121" s="588"/>
      <c r="I1121" s="588"/>
      <c r="J1121" s="588"/>
    </row>
    <row r="1122" spans="1:10" x14ac:dyDescent="0.3">
      <c r="A1122" s="588"/>
      <c r="B1122" s="588"/>
      <c r="C1122" s="588"/>
      <c r="D1122" s="588"/>
      <c r="E1122" s="588"/>
      <c r="F1122" s="588"/>
      <c r="G1122" s="600"/>
      <c r="H1122" s="588"/>
      <c r="I1122" s="588"/>
      <c r="J1122" s="588"/>
    </row>
    <row r="1123" spans="1:10" x14ac:dyDescent="0.3">
      <c r="A1123" s="588"/>
      <c r="B1123" s="588"/>
      <c r="C1123" s="588"/>
      <c r="D1123" s="588"/>
      <c r="E1123" s="588"/>
      <c r="F1123" s="588"/>
      <c r="G1123" s="600"/>
      <c r="H1123" s="588"/>
      <c r="I1123" s="588"/>
      <c r="J1123" s="588"/>
    </row>
    <row r="1124" spans="1:10" x14ac:dyDescent="0.3">
      <c r="A1124" s="588"/>
      <c r="B1124" s="588"/>
      <c r="C1124" s="588"/>
      <c r="D1124" s="588"/>
      <c r="E1124" s="588"/>
      <c r="F1124" s="588"/>
      <c r="G1124" s="600"/>
      <c r="H1124" s="588"/>
      <c r="I1124" s="588"/>
      <c r="J1124" s="588"/>
    </row>
    <row r="1125" spans="1:10" x14ac:dyDescent="0.3">
      <c r="A1125" s="588"/>
      <c r="B1125" s="588"/>
      <c r="C1125" s="588"/>
      <c r="D1125" s="588"/>
      <c r="E1125" s="588"/>
      <c r="F1125" s="588"/>
      <c r="G1125" s="600"/>
      <c r="H1125" s="588"/>
      <c r="I1125" s="588"/>
      <c r="J1125" s="588"/>
    </row>
    <row r="1126" spans="1:10" x14ac:dyDescent="0.3">
      <c r="A1126" s="588"/>
      <c r="B1126" s="588"/>
      <c r="C1126" s="588"/>
      <c r="D1126" s="588"/>
      <c r="E1126" s="588"/>
      <c r="F1126" s="588"/>
      <c r="G1126" s="600"/>
      <c r="H1126" s="588"/>
      <c r="I1126" s="588"/>
      <c r="J1126" s="588"/>
    </row>
    <row r="1127" spans="1:10" x14ac:dyDescent="0.3">
      <c r="A1127" s="588"/>
      <c r="B1127" s="588"/>
      <c r="C1127" s="588"/>
      <c r="D1127" s="588"/>
      <c r="E1127" s="588"/>
      <c r="F1127" s="588"/>
      <c r="G1127" s="600"/>
      <c r="H1127" s="588"/>
      <c r="I1127" s="588"/>
      <c r="J1127" s="588"/>
    </row>
    <row r="1128" spans="1:10" x14ac:dyDescent="0.3">
      <c r="A1128" s="588"/>
      <c r="B1128" s="588"/>
      <c r="C1128" s="588"/>
      <c r="D1128" s="588"/>
      <c r="E1128" s="588"/>
      <c r="F1128" s="588"/>
      <c r="G1128" s="600"/>
      <c r="H1128" s="588"/>
      <c r="I1128" s="588"/>
      <c r="J1128" s="588"/>
    </row>
    <row r="1129" spans="1:10" x14ac:dyDescent="0.3">
      <c r="A1129" s="588"/>
      <c r="B1129" s="588"/>
      <c r="C1129" s="588"/>
      <c r="D1129" s="588"/>
      <c r="E1129" s="588"/>
      <c r="F1129" s="588"/>
      <c r="G1129" s="600"/>
      <c r="H1129" s="588"/>
      <c r="I1129" s="588"/>
      <c r="J1129" s="588"/>
    </row>
    <row r="1130" spans="1:10" x14ac:dyDescent="0.3">
      <c r="A1130" s="588"/>
      <c r="B1130" s="588"/>
      <c r="C1130" s="588"/>
      <c r="D1130" s="588"/>
      <c r="E1130" s="588"/>
      <c r="F1130" s="588"/>
      <c r="G1130" s="600"/>
      <c r="H1130" s="588"/>
      <c r="I1130" s="588"/>
      <c r="J1130" s="588"/>
    </row>
    <row r="1131" spans="1:10" x14ac:dyDescent="0.3">
      <c r="A1131" s="588"/>
      <c r="B1131" s="588"/>
      <c r="C1131" s="588"/>
      <c r="D1131" s="588"/>
      <c r="E1131" s="588"/>
      <c r="F1131" s="588"/>
      <c r="G1131" s="600"/>
      <c r="H1131" s="588"/>
      <c r="I1131" s="588"/>
      <c r="J1131" s="588"/>
    </row>
    <row r="1132" spans="1:10" x14ac:dyDescent="0.3">
      <c r="A1132" s="588"/>
      <c r="B1132" s="588"/>
      <c r="C1132" s="588"/>
      <c r="D1132" s="588"/>
      <c r="E1132" s="588"/>
      <c r="F1132" s="588"/>
      <c r="G1132" s="600"/>
      <c r="H1132" s="588"/>
      <c r="I1132" s="588"/>
      <c r="J1132" s="588"/>
    </row>
    <row r="1133" spans="1:10" x14ac:dyDescent="0.3">
      <c r="A1133" s="588"/>
      <c r="B1133" s="588"/>
      <c r="C1133" s="588"/>
      <c r="D1133" s="588"/>
      <c r="E1133" s="588"/>
      <c r="F1133" s="588"/>
      <c r="G1133" s="600"/>
      <c r="H1133" s="588"/>
      <c r="I1133" s="588"/>
      <c r="J1133" s="588"/>
    </row>
    <row r="1134" spans="1:10" x14ac:dyDescent="0.3">
      <c r="A1134" s="588"/>
      <c r="B1134" s="588"/>
      <c r="C1134" s="588"/>
      <c r="D1134" s="588"/>
      <c r="E1134" s="588"/>
      <c r="F1134" s="588"/>
      <c r="G1134" s="600"/>
      <c r="H1134" s="588"/>
      <c r="I1134" s="588"/>
      <c r="J1134" s="588"/>
    </row>
    <row r="1135" spans="1:10" x14ac:dyDescent="0.3">
      <c r="A1135" s="588"/>
      <c r="B1135" s="588"/>
      <c r="C1135" s="588"/>
      <c r="D1135" s="588"/>
      <c r="E1135" s="588"/>
      <c r="F1135" s="588"/>
      <c r="G1135" s="600"/>
      <c r="H1135" s="588"/>
      <c r="I1135" s="588"/>
      <c r="J1135" s="588"/>
    </row>
    <row r="1136" spans="1:10" x14ac:dyDescent="0.3">
      <c r="A1136" s="588"/>
      <c r="B1136" s="588"/>
      <c r="C1136" s="588"/>
      <c r="D1136" s="588"/>
      <c r="E1136" s="588"/>
      <c r="F1136" s="588"/>
      <c r="G1136" s="600"/>
      <c r="H1136" s="588"/>
      <c r="I1136" s="588"/>
      <c r="J1136" s="588"/>
    </row>
    <row r="1137" spans="1:10" x14ac:dyDescent="0.3">
      <c r="A1137" s="588"/>
      <c r="B1137" s="588"/>
      <c r="C1137" s="588"/>
      <c r="D1137" s="588"/>
      <c r="E1137" s="588"/>
      <c r="F1137" s="588"/>
      <c r="G1137" s="600"/>
      <c r="H1137" s="588"/>
      <c r="I1137" s="588"/>
      <c r="J1137" s="588"/>
    </row>
    <row r="1138" spans="1:10" x14ac:dyDescent="0.3">
      <c r="A1138" s="588"/>
      <c r="B1138" s="588"/>
      <c r="C1138" s="588"/>
      <c r="D1138" s="588"/>
      <c r="E1138" s="588"/>
      <c r="F1138" s="588"/>
      <c r="G1138" s="600"/>
      <c r="H1138" s="588"/>
      <c r="I1138" s="588"/>
      <c r="J1138" s="588"/>
    </row>
    <row r="1139" spans="1:10" x14ac:dyDescent="0.3">
      <c r="A1139" s="588"/>
      <c r="B1139" s="588"/>
      <c r="C1139" s="588"/>
      <c r="D1139" s="588"/>
      <c r="E1139" s="588"/>
      <c r="F1139" s="588"/>
      <c r="G1139" s="600"/>
      <c r="H1139" s="588"/>
      <c r="I1139" s="588"/>
      <c r="J1139" s="588"/>
    </row>
    <row r="1140" spans="1:10" x14ac:dyDescent="0.3">
      <c r="A1140" s="588"/>
      <c r="B1140" s="588"/>
      <c r="C1140" s="588"/>
      <c r="D1140" s="588"/>
      <c r="E1140" s="588"/>
      <c r="F1140" s="588"/>
      <c r="G1140" s="600"/>
      <c r="H1140" s="588"/>
      <c r="I1140" s="588"/>
      <c r="J1140" s="588"/>
    </row>
    <row r="1141" spans="1:10" x14ac:dyDescent="0.3">
      <c r="A1141" s="588"/>
      <c r="B1141" s="588"/>
      <c r="C1141" s="588"/>
      <c r="D1141" s="588"/>
      <c r="E1141" s="588"/>
      <c r="F1141" s="588"/>
      <c r="G1141" s="600"/>
      <c r="H1141" s="588"/>
      <c r="I1141" s="588"/>
      <c r="J1141" s="588"/>
    </row>
    <row r="1142" spans="1:10" x14ac:dyDescent="0.3">
      <c r="A1142" s="588"/>
      <c r="B1142" s="588"/>
      <c r="C1142" s="588"/>
      <c r="D1142" s="588"/>
      <c r="E1142" s="588"/>
      <c r="F1142" s="588"/>
      <c r="G1142" s="600"/>
      <c r="H1142" s="588"/>
      <c r="I1142" s="588"/>
      <c r="J1142" s="588"/>
    </row>
    <row r="1143" spans="1:10" x14ac:dyDescent="0.3">
      <c r="A1143" s="588"/>
      <c r="B1143" s="588"/>
      <c r="C1143" s="588"/>
      <c r="D1143" s="588"/>
      <c r="E1143" s="588"/>
      <c r="F1143" s="588"/>
      <c r="G1143" s="600"/>
      <c r="H1143" s="588"/>
      <c r="I1143" s="588"/>
      <c r="J1143" s="588"/>
    </row>
    <row r="1144" spans="1:10" x14ac:dyDescent="0.3">
      <c r="A1144" s="588"/>
      <c r="B1144" s="588"/>
      <c r="C1144" s="588"/>
      <c r="D1144" s="588"/>
      <c r="E1144" s="588"/>
      <c r="F1144" s="588"/>
      <c r="G1144" s="600"/>
      <c r="H1144" s="588"/>
      <c r="I1144" s="588"/>
      <c r="J1144" s="588"/>
    </row>
    <row r="1145" spans="1:10" x14ac:dyDescent="0.3">
      <c r="A1145" s="588"/>
      <c r="B1145" s="588"/>
      <c r="C1145" s="588"/>
      <c r="D1145" s="588"/>
      <c r="E1145" s="588"/>
      <c r="F1145" s="588"/>
      <c r="G1145" s="600"/>
      <c r="H1145" s="588"/>
      <c r="I1145" s="588"/>
      <c r="J1145" s="588"/>
    </row>
    <row r="1146" spans="1:10" x14ac:dyDescent="0.3">
      <c r="A1146" s="588"/>
      <c r="B1146" s="588"/>
      <c r="C1146" s="588"/>
      <c r="D1146" s="588"/>
      <c r="E1146" s="588"/>
      <c r="F1146" s="588"/>
      <c r="G1146" s="600"/>
      <c r="H1146" s="588"/>
      <c r="I1146" s="588"/>
      <c r="J1146" s="588"/>
    </row>
    <row r="1147" spans="1:10" x14ac:dyDescent="0.3">
      <c r="A1147" s="588"/>
      <c r="B1147" s="588"/>
      <c r="C1147" s="588"/>
      <c r="D1147" s="588"/>
      <c r="E1147" s="588"/>
      <c r="F1147" s="588"/>
      <c r="G1147" s="600"/>
      <c r="H1147" s="588"/>
      <c r="I1147" s="588"/>
      <c r="J1147" s="588"/>
    </row>
    <row r="1148" spans="1:10" x14ac:dyDescent="0.3">
      <c r="A1148" s="588"/>
      <c r="B1148" s="588"/>
      <c r="C1148" s="588"/>
      <c r="D1148" s="588"/>
      <c r="E1148" s="588"/>
      <c r="F1148" s="588"/>
      <c r="G1148" s="600"/>
      <c r="H1148" s="588"/>
      <c r="I1148" s="588"/>
      <c r="J1148" s="588"/>
    </row>
    <row r="1149" spans="1:10" x14ac:dyDescent="0.3">
      <c r="A1149" s="588"/>
      <c r="B1149" s="588"/>
      <c r="C1149" s="588"/>
      <c r="D1149" s="588"/>
      <c r="E1149" s="588"/>
      <c r="F1149" s="588"/>
      <c r="G1149" s="600"/>
      <c r="H1149" s="588"/>
      <c r="I1149" s="588"/>
      <c r="J1149" s="588"/>
    </row>
    <row r="1150" spans="1:10" x14ac:dyDescent="0.3">
      <c r="A1150" s="588"/>
      <c r="B1150" s="588"/>
      <c r="C1150" s="588"/>
      <c r="D1150" s="588"/>
      <c r="E1150" s="588"/>
      <c r="F1150" s="588"/>
      <c r="G1150" s="600"/>
      <c r="H1150" s="588"/>
      <c r="I1150" s="588"/>
      <c r="J1150" s="588"/>
    </row>
    <row r="1151" spans="1:10" x14ac:dyDescent="0.3">
      <c r="A1151" s="588"/>
      <c r="B1151" s="588"/>
      <c r="C1151" s="588"/>
      <c r="D1151" s="588"/>
      <c r="E1151" s="588"/>
      <c r="F1151" s="588"/>
      <c r="G1151" s="600"/>
      <c r="H1151" s="588"/>
      <c r="I1151" s="588"/>
      <c r="J1151" s="588"/>
    </row>
    <row r="1152" spans="1:10" x14ac:dyDescent="0.3">
      <c r="A1152" s="588"/>
      <c r="B1152" s="588"/>
      <c r="C1152" s="588"/>
      <c r="D1152" s="588"/>
      <c r="E1152" s="588"/>
      <c r="F1152" s="588"/>
      <c r="G1152" s="600"/>
      <c r="H1152" s="588"/>
      <c r="I1152" s="588"/>
      <c r="J1152" s="588"/>
    </row>
    <row r="1153" spans="1:10" x14ac:dyDescent="0.3">
      <c r="A1153" s="588"/>
      <c r="B1153" s="588"/>
      <c r="C1153" s="588"/>
      <c r="D1153" s="588"/>
      <c r="E1153" s="588"/>
      <c r="F1153" s="588"/>
      <c r="G1153" s="600"/>
      <c r="H1153" s="588"/>
      <c r="I1153" s="588"/>
      <c r="J1153" s="588"/>
    </row>
    <row r="1154" spans="1:10" x14ac:dyDescent="0.3">
      <c r="A1154" s="588"/>
      <c r="B1154" s="588"/>
      <c r="C1154" s="588"/>
      <c r="D1154" s="588"/>
      <c r="E1154" s="588"/>
      <c r="F1154" s="588"/>
      <c r="G1154" s="600"/>
      <c r="H1154" s="588"/>
      <c r="I1154" s="588"/>
      <c r="J1154" s="588"/>
    </row>
    <row r="1155" spans="1:10" x14ac:dyDescent="0.3">
      <c r="A1155" s="588"/>
      <c r="B1155" s="588"/>
      <c r="C1155" s="588"/>
      <c r="D1155" s="588"/>
      <c r="E1155" s="588"/>
      <c r="F1155" s="588"/>
      <c r="G1155" s="600"/>
      <c r="H1155" s="588"/>
      <c r="I1155" s="588"/>
      <c r="J1155" s="588"/>
    </row>
    <row r="1156" spans="1:10" x14ac:dyDescent="0.3">
      <c r="A1156" s="588"/>
      <c r="B1156" s="588"/>
      <c r="C1156" s="588"/>
      <c r="D1156" s="588"/>
      <c r="E1156" s="588"/>
      <c r="F1156" s="588"/>
      <c r="G1156" s="600"/>
      <c r="H1156" s="588"/>
      <c r="I1156" s="588"/>
      <c r="J1156" s="588"/>
    </row>
    <row r="1157" spans="1:10" x14ac:dyDescent="0.3">
      <c r="A1157" s="588"/>
      <c r="B1157" s="588"/>
      <c r="C1157" s="588"/>
      <c r="D1157" s="588"/>
      <c r="E1157" s="588"/>
      <c r="F1157" s="588"/>
      <c r="G1157" s="600"/>
      <c r="H1157" s="588"/>
      <c r="I1157" s="588"/>
      <c r="J1157" s="588"/>
    </row>
    <row r="1158" spans="1:10" x14ac:dyDescent="0.3">
      <c r="A1158" s="588"/>
      <c r="B1158" s="588"/>
      <c r="C1158" s="588"/>
      <c r="D1158" s="588"/>
      <c r="E1158" s="588"/>
      <c r="F1158" s="588"/>
      <c r="G1158" s="600"/>
      <c r="H1158" s="588"/>
      <c r="I1158" s="588"/>
      <c r="J1158" s="588"/>
    </row>
    <row r="1159" spans="1:10" x14ac:dyDescent="0.3">
      <c r="A1159" s="588"/>
      <c r="B1159" s="588"/>
      <c r="C1159" s="588"/>
      <c r="D1159" s="588"/>
      <c r="E1159" s="588"/>
      <c r="F1159" s="588"/>
      <c r="G1159" s="600"/>
      <c r="H1159" s="588"/>
      <c r="I1159" s="588"/>
      <c r="J1159" s="588"/>
    </row>
    <row r="1160" spans="1:10" x14ac:dyDescent="0.3">
      <c r="A1160" s="588"/>
      <c r="B1160" s="588"/>
      <c r="C1160" s="588"/>
      <c r="D1160" s="588"/>
      <c r="E1160" s="588"/>
      <c r="F1160" s="588"/>
      <c r="G1160" s="600"/>
      <c r="H1160" s="588"/>
      <c r="I1160" s="588"/>
      <c r="J1160" s="588"/>
    </row>
    <row r="1161" spans="1:10" x14ac:dyDescent="0.3">
      <c r="A1161" s="588"/>
      <c r="B1161" s="588"/>
      <c r="C1161" s="588"/>
      <c r="D1161" s="588"/>
      <c r="E1161" s="588"/>
      <c r="F1161" s="588"/>
      <c r="G1161" s="600"/>
      <c r="H1161" s="588"/>
      <c r="I1161" s="588"/>
      <c r="J1161" s="588"/>
    </row>
    <row r="1162" spans="1:10" x14ac:dyDescent="0.3">
      <c r="A1162" s="588"/>
      <c r="B1162" s="588"/>
      <c r="C1162" s="588"/>
      <c r="D1162" s="588"/>
      <c r="E1162" s="588"/>
      <c r="F1162" s="588"/>
      <c r="G1162" s="600"/>
      <c r="H1162" s="588"/>
      <c r="I1162" s="588"/>
      <c r="J1162" s="588"/>
    </row>
    <row r="1163" spans="1:10" x14ac:dyDescent="0.3">
      <c r="A1163" s="588"/>
      <c r="B1163" s="588"/>
      <c r="C1163" s="588"/>
      <c r="D1163" s="588"/>
      <c r="E1163" s="588"/>
      <c r="F1163" s="588"/>
      <c r="G1163" s="600"/>
      <c r="H1163" s="588"/>
      <c r="I1163" s="588"/>
      <c r="J1163" s="588"/>
    </row>
    <row r="1164" spans="1:10" x14ac:dyDescent="0.3">
      <c r="A1164" s="588"/>
      <c r="B1164" s="588"/>
      <c r="C1164" s="588"/>
      <c r="D1164" s="588"/>
      <c r="E1164" s="588"/>
      <c r="F1164" s="588"/>
      <c r="G1164" s="600"/>
      <c r="H1164" s="588"/>
      <c r="I1164" s="588"/>
      <c r="J1164" s="588"/>
    </row>
    <row r="1165" spans="1:10" x14ac:dyDescent="0.3">
      <c r="A1165" s="588"/>
      <c r="B1165" s="588"/>
      <c r="C1165" s="588"/>
      <c r="D1165" s="588"/>
      <c r="E1165" s="588"/>
      <c r="F1165" s="588"/>
      <c r="G1165" s="600"/>
      <c r="H1165" s="588"/>
      <c r="I1165" s="588"/>
      <c r="J1165" s="588"/>
    </row>
    <row r="1166" spans="1:10" x14ac:dyDescent="0.3">
      <c r="A1166" s="588"/>
      <c r="B1166" s="588"/>
      <c r="C1166" s="588"/>
      <c r="D1166" s="588"/>
      <c r="E1166" s="588"/>
      <c r="F1166" s="588"/>
      <c r="G1166" s="600"/>
      <c r="H1166" s="588"/>
      <c r="I1166" s="588"/>
      <c r="J1166" s="588"/>
    </row>
    <row r="1167" spans="1:10" x14ac:dyDescent="0.3">
      <c r="A1167" s="588"/>
      <c r="B1167" s="588"/>
      <c r="C1167" s="588"/>
      <c r="D1167" s="588"/>
      <c r="E1167" s="588"/>
      <c r="F1167" s="588"/>
      <c r="G1167" s="600"/>
      <c r="H1167" s="588"/>
      <c r="I1167" s="588"/>
      <c r="J1167" s="588"/>
    </row>
    <row r="1168" spans="1:10" x14ac:dyDescent="0.3">
      <c r="A1168" s="588"/>
      <c r="B1168" s="588"/>
      <c r="C1168" s="588"/>
      <c r="D1168" s="588"/>
      <c r="E1168" s="588"/>
      <c r="F1168" s="588"/>
      <c r="G1168" s="600"/>
      <c r="H1168" s="588"/>
      <c r="I1168" s="588"/>
      <c r="J1168" s="588"/>
    </row>
    <row r="1169" spans="1:10" x14ac:dyDescent="0.3">
      <c r="A1169" s="588"/>
      <c r="B1169" s="588"/>
      <c r="C1169" s="588"/>
      <c r="D1169" s="588"/>
      <c r="E1169" s="588"/>
      <c r="F1169" s="588"/>
      <c r="G1169" s="600"/>
      <c r="H1169" s="588"/>
      <c r="I1169" s="588"/>
      <c r="J1169" s="588"/>
    </row>
    <row r="1170" spans="1:10" x14ac:dyDescent="0.3">
      <c r="A1170" s="588"/>
      <c r="B1170" s="588"/>
      <c r="C1170" s="588"/>
      <c r="D1170" s="588"/>
      <c r="E1170" s="588"/>
      <c r="F1170" s="588"/>
      <c r="G1170" s="600"/>
      <c r="H1170" s="588"/>
      <c r="I1170" s="588"/>
      <c r="J1170" s="588"/>
    </row>
    <row r="1171" spans="1:10" x14ac:dyDescent="0.3">
      <c r="A1171" s="588"/>
      <c r="B1171" s="588"/>
      <c r="C1171" s="588"/>
      <c r="D1171" s="588"/>
      <c r="E1171" s="588"/>
      <c r="F1171" s="588"/>
      <c r="G1171" s="600"/>
      <c r="H1171" s="588"/>
      <c r="I1171" s="588"/>
      <c r="J1171" s="588"/>
    </row>
    <row r="1172" spans="1:10" x14ac:dyDescent="0.3">
      <c r="A1172" s="588"/>
      <c r="B1172" s="588"/>
      <c r="C1172" s="588"/>
      <c r="D1172" s="588"/>
      <c r="E1172" s="588"/>
      <c r="F1172" s="588"/>
      <c r="G1172" s="600"/>
      <c r="H1172" s="588"/>
      <c r="I1172" s="588"/>
      <c r="J1172" s="588"/>
    </row>
    <row r="1173" spans="1:10" x14ac:dyDescent="0.3">
      <c r="A1173" s="588"/>
      <c r="B1173" s="588"/>
      <c r="C1173" s="588"/>
      <c r="D1173" s="588"/>
      <c r="E1173" s="588"/>
      <c r="F1173" s="588"/>
      <c r="G1173" s="600"/>
      <c r="H1173" s="588"/>
      <c r="I1173" s="588"/>
      <c r="J1173" s="588"/>
    </row>
    <row r="1174" spans="1:10" x14ac:dyDescent="0.3">
      <c r="A1174" s="588"/>
      <c r="B1174" s="588"/>
      <c r="C1174" s="588"/>
      <c r="D1174" s="588"/>
      <c r="E1174" s="588"/>
      <c r="F1174" s="588"/>
      <c r="G1174" s="600"/>
      <c r="H1174" s="588"/>
      <c r="I1174" s="588"/>
      <c r="J1174" s="588"/>
    </row>
    <row r="1175" spans="1:10" x14ac:dyDescent="0.3">
      <c r="A1175" s="588"/>
      <c r="B1175" s="588"/>
      <c r="C1175" s="588"/>
      <c r="D1175" s="588"/>
      <c r="E1175" s="588"/>
      <c r="F1175" s="588"/>
      <c r="G1175" s="600"/>
      <c r="H1175" s="588"/>
      <c r="I1175" s="588"/>
      <c r="J1175" s="588"/>
    </row>
    <row r="1176" spans="1:10" x14ac:dyDescent="0.3">
      <c r="A1176" s="588"/>
      <c r="B1176" s="588"/>
      <c r="C1176" s="588"/>
      <c r="D1176" s="588"/>
      <c r="E1176" s="588"/>
      <c r="F1176" s="588"/>
      <c r="G1176" s="600"/>
      <c r="H1176" s="588"/>
      <c r="I1176" s="588"/>
      <c r="J1176" s="588"/>
    </row>
    <row r="1177" spans="1:10" x14ac:dyDescent="0.3">
      <c r="A1177" s="588"/>
      <c r="B1177" s="588"/>
      <c r="C1177" s="588"/>
      <c r="D1177" s="588"/>
      <c r="E1177" s="588"/>
      <c r="F1177" s="588"/>
      <c r="G1177" s="600"/>
      <c r="H1177" s="588"/>
      <c r="I1177" s="588"/>
      <c r="J1177" s="588"/>
    </row>
    <row r="1178" spans="1:10" x14ac:dyDescent="0.3">
      <c r="A1178" s="588"/>
      <c r="B1178" s="588"/>
      <c r="C1178" s="588"/>
      <c r="D1178" s="588"/>
      <c r="E1178" s="588"/>
      <c r="F1178" s="588"/>
      <c r="G1178" s="600"/>
      <c r="H1178" s="588"/>
      <c r="I1178" s="588"/>
      <c r="J1178" s="588"/>
    </row>
    <row r="1179" spans="1:10" x14ac:dyDescent="0.3">
      <c r="A1179" s="588"/>
      <c r="B1179" s="588"/>
      <c r="C1179" s="588"/>
      <c r="D1179" s="588"/>
      <c r="E1179" s="588"/>
      <c r="F1179" s="588"/>
      <c r="G1179" s="600"/>
      <c r="H1179" s="588"/>
      <c r="I1179" s="588"/>
      <c r="J1179" s="588"/>
    </row>
    <row r="1180" spans="1:10" x14ac:dyDescent="0.3">
      <c r="A1180" s="588"/>
      <c r="B1180" s="588"/>
      <c r="C1180" s="588"/>
      <c r="D1180" s="588"/>
      <c r="E1180" s="588"/>
      <c r="F1180" s="588"/>
      <c r="G1180" s="600"/>
      <c r="H1180" s="588"/>
      <c r="I1180" s="588"/>
      <c r="J1180" s="588"/>
    </row>
    <row r="1181" spans="1:10" x14ac:dyDescent="0.3">
      <c r="A1181" s="588"/>
      <c r="B1181" s="588"/>
      <c r="C1181" s="588"/>
      <c r="D1181" s="588"/>
      <c r="E1181" s="588"/>
      <c r="F1181" s="588"/>
      <c r="G1181" s="600"/>
      <c r="H1181" s="588"/>
      <c r="I1181" s="588"/>
      <c r="J1181" s="588"/>
    </row>
    <row r="1182" spans="1:10" x14ac:dyDescent="0.3">
      <c r="A1182" s="588"/>
      <c r="B1182" s="588"/>
      <c r="C1182" s="588"/>
      <c r="D1182" s="588"/>
      <c r="E1182" s="588"/>
      <c r="F1182" s="588"/>
      <c r="G1182" s="600"/>
      <c r="H1182" s="588"/>
      <c r="I1182" s="588"/>
      <c r="J1182" s="588"/>
    </row>
    <row r="1183" spans="1:10" x14ac:dyDescent="0.3">
      <c r="A1183" s="588"/>
      <c r="B1183" s="588"/>
      <c r="C1183" s="588"/>
      <c r="D1183" s="588"/>
      <c r="E1183" s="588"/>
      <c r="F1183" s="588"/>
      <c r="G1183" s="600"/>
      <c r="H1183" s="588"/>
      <c r="I1183" s="588"/>
      <c r="J1183" s="588"/>
    </row>
    <row r="1184" spans="1:10" x14ac:dyDescent="0.3">
      <c r="A1184" s="588"/>
      <c r="B1184" s="588"/>
      <c r="C1184" s="588"/>
      <c r="D1184" s="588"/>
      <c r="E1184" s="588"/>
      <c r="F1184" s="588"/>
      <c r="G1184" s="600"/>
      <c r="H1184" s="588"/>
      <c r="I1184" s="588"/>
      <c r="J1184" s="588"/>
    </row>
    <row r="1185" spans="1:10" x14ac:dyDescent="0.3">
      <c r="A1185" s="588"/>
      <c r="B1185" s="588"/>
      <c r="C1185" s="588"/>
      <c r="D1185" s="588"/>
      <c r="E1185" s="588"/>
      <c r="F1185" s="588"/>
      <c r="G1185" s="600"/>
      <c r="H1185" s="588"/>
      <c r="I1185" s="588"/>
      <c r="J1185" s="588"/>
    </row>
    <row r="1186" spans="1:10" x14ac:dyDescent="0.3">
      <c r="A1186" s="588"/>
      <c r="B1186" s="588"/>
      <c r="C1186" s="588"/>
      <c r="D1186" s="588"/>
      <c r="E1186" s="588"/>
      <c r="F1186" s="588"/>
      <c r="G1186" s="600"/>
      <c r="H1186" s="588"/>
      <c r="I1186" s="588"/>
      <c r="J1186" s="588"/>
    </row>
    <row r="1187" spans="1:10" x14ac:dyDescent="0.3">
      <c r="A1187" s="588"/>
      <c r="B1187" s="588"/>
      <c r="C1187" s="588"/>
      <c r="D1187" s="588"/>
      <c r="E1187" s="588"/>
      <c r="F1187" s="588"/>
      <c r="G1187" s="600"/>
      <c r="H1187" s="588"/>
      <c r="I1187" s="588"/>
      <c r="J1187" s="588"/>
    </row>
    <row r="1188" spans="1:10" x14ac:dyDescent="0.3">
      <c r="A1188" s="588"/>
      <c r="B1188" s="588"/>
      <c r="C1188" s="588"/>
      <c r="D1188" s="588"/>
      <c r="E1188" s="588"/>
      <c r="F1188" s="588"/>
      <c r="G1188" s="600"/>
      <c r="H1188" s="588"/>
      <c r="I1188" s="588"/>
      <c r="J1188" s="588"/>
    </row>
    <row r="1189" spans="1:10" x14ac:dyDescent="0.3">
      <c r="A1189" s="588"/>
      <c r="B1189" s="588"/>
      <c r="C1189" s="588"/>
      <c r="D1189" s="588"/>
      <c r="E1189" s="588"/>
      <c r="F1189" s="588"/>
      <c r="G1189" s="600"/>
      <c r="H1189" s="588"/>
      <c r="I1189" s="588"/>
      <c r="J1189" s="588"/>
    </row>
    <row r="1190" spans="1:10" x14ac:dyDescent="0.3">
      <c r="A1190" s="588"/>
      <c r="B1190" s="588"/>
      <c r="C1190" s="588"/>
      <c r="D1190" s="588"/>
      <c r="E1190" s="588"/>
      <c r="F1190" s="588"/>
      <c r="G1190" s="600"/>
      <c r="H1190" s="588"/>
      <c r="I1190" s="588"/>
      <c r="J1190" s="588"/>
    </row>
    <row r="1191" spans="1:10" x14ac:dyDescent="0.3">
      <c r="A1191" s="588"/>
      <c r="B1191" s="588"/>
      <c r="C1191" s="588"/>
      <c r="D1191" s="588"/>
      <c r="E1191" s="588"/>
      <c r="F1191" s="588"/>
      <c r="G1191" s="600"/>
      <c r="H1191" s="588"/>
      <c r="I1191" s="588"/>
      <c r="J1191" s="588"/>
    </row>
    <row r="1192" spans="1:10" x14ac:dyDescent="0.3">
      <c r="A1192" s="588"/>
      <c r="B1192" s="588"/>
      <c r="C1192" s="588"/>
      <c r="D1192" s="588"/>
      <c r="E1192" s="588"/>
      <c r="F1192" s="588"/>
      <c r="G1192" s="600"/>
      <c r="H1192" s="588"/>
      <c r="I1192" s="588"/>
      <c r="J1192" s="588"/>
    </row>
    <row r="1193" spans="1:10" x14ac:dyDescent="0.3">
      <c r="A1193" s="588"/>
      <c r="B1193" s="588"/>
      <c r="C1193" s="588"/>
      <c r="D1193" s="588"/>
      <c r="E1193" s="588"/>
      <c r="F1193" s="588"/>
      <c r="G1193" s="600"/>
      <c r="H1193" s="588"/>
      <c r="I1193" s="588"/>
      <c r="J1193" s="588"/>
    </row>
    <row r="1194" spans="1:10" x14ac:dyDescent="0.3">
      <c r="A1194" s="588"/>
      <c r="B1194" s="588"/>
      <c r="C1194" s="588"/>
      <c r="D1194" s="588"/>
      <c r="E1194" s="588"/>
      <c r="F1194" s="588"/>
      <c r="G1194" s="600"/>
      <c r="H1194" s="588"/>
      <c r="I1194" s="588"/>
      <c r="J1194" s="588"/>
    </row>
    <row r="1195" spans="1:10" x14ac:dyDescent="0.3">
      <c r="A1195" s="588"/>
      <c r="B1195" s="588"/>
      <c r="C1195" s="588"/>
      <c r="D1195" s="588"/>
      <c r="E1195" s="588"/>
      <c r="F1195" s="588"/>
      <c r="G1195" s="600"/>
      <c r="H1195" s="588"/>
      <c r="I1195" s="588"/>
      <c r="J1195" s="588"/>
    </row>
    <row r="1196" spans="1:10" x14ac:dyDescent="0.3">
      <c r="A1196" s="588"/>
      <c r="B1196" s="588"/>
      <c r="C1196" s="588"/>
      <c r="D1196" s="588"/>
      <c r="E1196" s="588"/>
      <c r="F1196" s="588"/>
      <c r="G1196" s="600"/>
      <c r="H1196" s="588"/>
      <c r="I1196" s="588"/>
      <c r="J1196" s="588"/>
    </row>
    <row r="1197" spans="1:10" x14ac:dyDescent="0.3">
      <c r="A1197" s="588"/>
      <c r="B1197" s="588"/>
      <c r="C1197" s="588"/>
      <c r="D1197" s="588"/>
      <c r="E1197" s="588"/>
      <c r="F1197" s="588"/>
      <c r="G1197" s="600"/>
      <c r="H1197" s="588"/>
      <c r="I1197" s="588"/>
      <c r="J1197" s="588"/>
    </row>
    <row r="1198" spans="1:10" x14ac:dyDescent="0.3">
      <c r="A1198" s="588"/>
      <c r="B1198" s="588"/>
      <c r="C1198" s="588"/>
      <c r="D1198" s="588"/>
      <c r="E1198" s="588"/>
      <c r="F1198" s="588"/>
      <c r="G1198" s="600"/>
      <c r="H1198" s="588"/>
      <c r="I1198" s="588"/>
      <c r="J1198" s="588"/>
    </row>
    <row r="1199" spans="1:10" x14ac:dyDescent="0.3">
      <c r="A1199" s="588"/>
      <c r="B1199" s="588"/>
      <c r="C1199" s="588"/>
      <c r="D1199" s="588"/>
      <c r="E1199" s="588"/>
      <c r="F1199" s="588"/>
      <c r="G1199" s="600"/>
      <c r="H1199" s="588"/>
      <c r="I1199" s="588"/>
      <c r="J1199" s="588"/>
    </row>
    <row r="1200" spans="1:10" x14ac:dyDescent="0.3">
      <c r="A1200" s="588"/>
      <c r="B1200" s="588"/>
      <c r="C1200" s="588"/>
      <c r="D1200" s="588"/>
      <c r="E1200" s="588"/>
      <c r="F1200" s="588"/>
      <c r="G1200" s="600"/>
      <c r="H1200" s="588"/>
      <c r="I1200" s="588"/>
      <c r="J1200" s="588"/>
    </row>
    <row r="1201" spans="1:10" x14ac:dyDescent="0.3">
      <c r="A1201" s="588"/>
      <c r="B1201" s="588"/>
      <c r="C1201" s="588"/>
      <c r="D1201" s="588"/>
      <c r="E1201" s="588"/>
      <c r="F1201" s="588"/>
      <c r="G1201" s="600"/>
      <c r="H1201" s="588"/>
      <c r="I1201" s="588"/>
      <c r="J1201" s="588"/>
    </row>
    <row r="1202" spans="1:10" x14ac:dyDescent="0.3">
      <c r="A1202" s="588"/>
      <c r="B1202" s="588"/>
      <c r="C1202" s="588"/>
      <c r="D1202" s="588"/>
      <c r="E1202" s="588"/>
      <c r="F1202" s="588"/>
      <c r="G1202" s="600"/>
      <c r="H1202" s="588"/>
      <c r="I1202" s="588"/>
      <c r="J1202" s="588"/>
    </row>
    <row r="1203" spans="1:10" x14ac:dyDescent="0.3">
      <c r="A1203" s="588"/>
      <c r="B1203" s="588"/>
      <c r="C1203" s="588"/>
      <c r="D1203" s="588"/>
      <c r="E1203" s="588"/>
      <c r="F1203" s="588"/>
      <c r="G1203" s="600"/>
      <c r="H1203" s="588"/>
      <c r="I1203" s="588"/>
      <c r="J1203" s="588"/>
    </row>
    <row r="1204" spans="1:10" x14ac:dyDescent="0.3">
      <c r="A1204" s="588"/>
      <c r="B1204" s="588"/>
      <c r="C1204" s="588"/>
      <c r="D1204" s="588"/>
      <c r="E1204" s="588"/>
      <c r="F1204" s="588"/>
      <c r="G1204" s="600"/>
      <c r="H1204" s="588"/>
      <c r="I1204" s="588"/>
      <c r="J1204" s="588"/>
    </row>
    <row r="1205" spans="1:10" x14ac:dyDescent="0.3">
      <c r="A1205" s="588"/>
      <c r="B1205" s="588"/>
      <c r="C1205" s="588"/>
      <c r="D1205" s="588"/>
      <c r="E1205" s="588"/>
      <c r="F1205" s="588"/>
      <c r="G1205" s="600"/>
      <c r="H1205" s="588"/>
      <c r="I1205" s="588"/>
      <c r="J1205" s="588"/>
    </row>
    <row r="1206" spans="1:10" x14ac:dyDescent="0.3">
      <c r="A1206" s="588"/>
      <c r="B1206" s="588"/>
      <c r="C1206" s="588"/>
      <c r="D1206" s="588"/>
      <c r="E1206" s="588"/>
      <c r="F1206" s="588"/>
      <c r="G1206" s="600"/>
      <c r="H1206" s="588"/>
      <c r="I1206" s="588"/>
      <c r="J1206" s="588"/>
    </row>
    <row r="1207" spans="1:10" x14ac:dyDescent="0.3">
      <c r="A1207" s="588"/>
      <c r="B1207" s="588"/>
      <c r="C1207" s="588"/>
      <c r="D1207" s="588"/>
      <c r="E1207" s="588"/>
      <c r="F1207" s="588"/>
      <c r="G1207" s="600"/>
      <c r="H1207" s="588"/>
      <c r="I1207" s="588"/>
      <c r="J1207" s="588"/>
    </row>
    <row r="1208" spans="1:10" x14ac:dyDescent="0.3">
      <c r="A1208" s="588"/>
      <c r="B1208" s="588"/>
      <c r="C1208" s="588"/>
      <c r="D1208" s="588"/>
      <c r="E1208" s="588"/>
      <c r="F1208" s="588"/>
      <c r="G1208" s="600"/>
      <c r="H1208" s="588"/>
      <c r="I1208" s="588"/>
      <c r="J1208" s="588"/>
    </row>
    <row r="1209" spans="1:10" x14ac:dyDescent="0.3">
      <c r="A1209" s="588"/>
      <c r="B1209" s="588"/>
      <c r="C1209" s="588"/>
      <c r="D1209" s="588"/>
      <c r="E1209" s="588"/>
      <c r="F1209" s="588"/>
      <c r="G1209" s="600"/>
      <c r="H1209" s="588"/>
      <c r="I1209" s="588"/>
      <c r="J1209" s="588"/>
    </row>
    <row r="1210" spans="1:10" x14ac:dyDescent="0.3">
      <c r="A1210" s="588"/>
      <c r="B1210" s="588"/>
      <c r="C1210" s="588"/>
      <c r="D1210" s="588"/>
      <c r="E1210" s="588"/>
      <c r="F1210" s="588"/>
      <c r="G1210" s="600"/>
      <c r="H1210" s="588"/>
      <c r="I1210" s="588"/>
      <c r="J1210" s="588"/>
    </row>
    <row r="1211" spans="1:10" x14ac:dyDescent="0.3">
      <c r="A1211" s="588"/>
      <c r="B1211" s="588"/>
      <c r="C1211" s="588"/>
      <c r="D1211" s="588"/>
      <c r="E1211" s="588"/>
      <c r="F1211" s="588"/>
      <c r="G1211" s="600"/>
      <c r="H1211" s="588"/>
      <c r="I1211" s="588"/>
      <c r="J1211" s="588"/>
    </row>
    <row r="1212" spans="1:10" x14ac:dyDescent="0.3">
      <c r="A1212" s="588"/>
      <c r="B1212" s="588"/>
      <c r="C1212" s="588"/>
      <c r="D1212" s="588"/>
      <c r="E1212" s="588"/>
      <c r="F1212" s="588"/>
      <c r="G1212" s="600"/>
      <c r="H1212" s="588"/>
      <c r="I1212" s="588"/>
      <c r="J1212" s="588"/>
    </row>
    <row r="1213" spans="1:10" x14ac:dyDescent="0.3">
      <c r="A1213" s="588"/>
      <c r="B1213" s="588"/>
      <c r="C1213" s="588"/>
      <c r="D1213" s="588"/>
      <c r="E1213" s="588"/>
      <c r="F1213" s="588"/>
      <c r="G1213" s="600"/>
      <c r="H1213" s="588"/>
      <c r="I1213" s="588"/>
      <c r="J1213" s="588"/>
    </row>
    <row r="1214" spans="1:10" x14ac:dyDescent="0.3">
      <c r="A1214" s="588"/>
      <c r="B1214" s="588"/>
      <c r="C1214" s="588"/>
      <c r="D1214" s="588"/>
      <c r="E1214" s="588"/>
      <c r="F1214" s="588"/>
      <c r="G1214" s="600"/>
      <c r="H1214" s="588"/>
      <c r="I1214" s="588"/>
      <c r="J1214" s="588"/>
    </row>
    <row r="1215" spans="1:10" x14ac:dyDescent="0.3">
      <c r="A1215" s="588"/>
      <c r="B1215" s="588"/>
      <c r="C1215" s="588"/>
      <c r="D1215" s="588"/>
      <c r="E1215" s="588"/>
      <c r="F1215" s="588"/>
      <c r="G1215" s="600"/>
      <c r="H1215" s="588"/>
      <c r="I1215" s="588"/>
      <c r="J1215" s="588"/>
    </row>
    <row r="1216" spans="1:10" x14ac:dyDescent="0.3">
      <c r="A1216" s="588"/>
      <c r="B1216" s="588"/>
      <c r="C1216" s="588"/>
      <c r="D1216" s="588"/>
      <c r="E1216" s="588"/>
      <c r="F1216" s="588"/>
      <c r="G1216" s="600"/>
      <c r="H1216" s="588"/>
      <c r="I1216" s="588"/>
      <c r="J1216" s="588"/>
    </row>
    <row r="1217" spans="1:10" x14ac:dyDescent="0.3">
      <c r="A1217" s="588"/>
      <c r="B1217" s="588"/>
      <c r="C1217" s="588"/>
      <c r="D1217" s="588"/>
      <c r="E1217" s="588"/>
      <c r="F1217" s="588"/>
      <c r="G1217" s="600"/>
      <c r="H1217" s="588"/>
      <c r="I1217" s="588"/>
      <c r="J1217" s="588"/>
    </row>
    <row r="1218" spans="1:10" x14ac:dyDescent="0.3">
      <c r="A1218" s="588"/>
      <c r="B1218" s="588"/>
      <c r="C1218" s="588"/>
      <c r="D1218" s="588"/>
      <c r="E1218" s="588"/>
      <c r="F1218" s="588"/>
      <c r="G1218" s="600"/>
      <c r="H1218" s="588"/>
      <c r="I1218" s="588"/>
      <c r="J1218" s="588"/>
    </row>
    <row r="1219" spans="1:10" x14ac:dyDescent="0.3">
      <c r="A1219" s="588"/>
      <c r="B1219" s="588"/>
      <c r="C1219" s="588"/>
      <c r="D1219" s="588"/>
      <c r="E1219" s="588"/>
      <c r="F1219" s="588"/>
      <c r="G1219" s="600"/>
      <c r="H1219" s="588"/>
      <c r="I1219" s="588"/>
      <c r="J1219" s="588"/>
    </row>
    <row r="1220" spans="1:10" x14ac:dyDescent="0.3">
      <c r="A1220" s="588"/>
      <c r="B1220" s="588"/>
      <c r="C1220" s="588"/>
      <c r="D1220" s="588"/>
      <c r="E1220" s="588"/>
      <c r="F1220" s="588"/>
      <c r="G1220" s="600"/>
      <c r="H1220" s="588"/>
      <c r="I1220" s="588"/>
      <c r="J1220" s="588"/>
    </row>
    <row r="1221" spans="1:10" x14ac:dyDescent="0.3">
      <c r="A1221" s="588"/>
      <c r="B1221" s="588"/>
      <c r="C1221" s="588"/>
      <c r="D1221" s="588"/>
      <c r="E1221" s="588"/>
      <c r="F1221" s="588"/>
      <c r="G1221" s="600"/>
      <c r="H1221" s="588"/>
      <c r="I1221" s="588"/>
      <c r="J1221" s="588"/>
    </row>
    <row r="1222" spans="1:10" x14ac:dyDescent="0.3">
      <c r="A1222" s="588"/>
      <c r="B1222" s="588"/>
      <c r="C1222" s="588"/>
      <c r="D1222" s="588"/>
      <c r="E1222" s="588"/>
      <c r="F1222" s="588"/>
      <c r="G1222" s="600"/>
      <c r="H1222" s="588"/>
      <c r="I1222" s="588"/>
      <c r="J1222" s="588"/>
    </row>
    <row r="1223" spans="1:10" x14ac:dyDescent="0.3">
      <c r="A1223" s="588"/>
      <c r="B1223" s="588"/>
      <c r="C1223" s="588"/>
      <c r="D1223" s="588"/>
      <c r="E1223" s="588"/>
      <c r="F1223" s="588"/>
      <c r="G1223" s="600"/>
      <c r="H1223" s="588"/>
      <c r="I1223" s="588"/>
      <c r="J1223" s="588"/>
    </row>
    <row r="1224" spans="1:10" x14ac:dyDescent="0.3">
      <c r="A1224" s="588"/>
      <c r="B1224" s="588"/>
      <c r="C1224" s="588"/>
      <c r="D1224" s="588"/>
      <c r="E1224" s="588"/>
      <c r="F1224" s="588"/>
      <c r="G1224" s="600"/>
      <c r="H1224" s="588"/>
      <c r="I1224" s="588"/>
      <c r="J1224" s="588"/>
    </row>
    <row r="1225" spans="1:10" x14ac:dyDescent="0.3">
      <c r="A1225" s="588"/>
      <c r="B1225" s="588"/>
      <c r="C1225" s="588"/>
      <c r="D1225" s="588"/>
      <c r="E1225" s="588"/>
      <c r="F1225" s="588"/>
      <c r="G1225" s="600"/>
      <c r="H1225" s="588"/>
      <c r="I1225" s="588"/>
      <c r="J1225" s="588"/>
    </row>
    <row r="1226" spans="1:10" x14ac:dyDescent="0.3">
      <c r="A1226" s="588"/>
      <c r="B1226" s="588"/>
      <c r="C1226" s="588"/>
      <c r="D1226" s="588"/>
      <c r="E1226" s="588"/>
      <c r="F1226" s="588"/>
      <c r="G1226" s="600"/>
      <c r="H1226" s="588"/>
      <c r="I1226" s="588"/>
      <c r="J1226" s="588"/>
    </row>
    <row r="1227" spans="1:10" x14ac:dyDescent="0.3">
      <c r="A1227" s="588"/>
      <c r="B1227" s="588"/>
      <c r="C1227" s="588"/>
      <c r="D1227" s="588"/>
      <c r="E1227" s="588"/>
      <c r="F1227" s="588"/>
      <c r="G1227" s="600"/>
      <c r="H1227" s="588"/>
      <c r="I1227" s="588"/>
      <c r="J1227" s="588"/>
    </row>
    <row r="1228" spans="1:10" x14ac:dyDescent="0.3">
      <c r="A1228" s="588"/>
      <c r="B1228" s="588"/>
      <c r="C1228" s="588"/>
      <c r="D1228" s="588"/>
      <c r="E1228" s="588"/>
      <c r="F1228" s="588"/>
      <c r="G1228" s="600"/>
      <c r="H1228" s="588"/>
      <c r="I1228" s="588"/>
      <c r="J1228" s="588"/>
    </row>
    <row r="1229" spans="1:10" x14ac:dyDescent="0.3">
      <c r="A1229" s="588"/>
      <c r="B1229" s="588"/>
      <c r="C1229" s="588"/>
      <c r="D1229" s="588"/>
      <c r="E1229" s="588"/>
      <c r="F1229" s="588"/>
      <c r="G1229" s="600"/>
      <c r="H1229" s="588"/>
      <c r="I1229" s="588"/>
      <c r="J1229" s="588"/>
    </row>
    <row r="1230" spans="1:10" x14ac:dyDescent="0.3">
      <c r="A1230" s="588"/>
      <c r="B1230" s="588"/>
      <c r="C1230" s="588"/>
      <c r="D1230" s="588"/>
      <c r="E1230" s="588"/>
      <c r="F1230" s="588"/>
      <c r="G1230" s="600"/>
      <c r="H1230" s="588"/>
      <c r="I1230" s="588"/>
      <c r="J1230" s="588"/>
    </row>
    <row r="1231" spans="1:10" x14ac:dyDescent="0.3">
      <c r="A1231" s="588"/>
      <c r="B1231" s="588"/>
      <c r="C1231" s="588"/>
      <c r="D1231" s="588"/>
      <c r="E1231" s="588"/>
      <c r="F1231" s="588"/>
      <c r="G1231" s="600"/>
      <c r="H1231" s="588"/>
      <c r="I1231" s="588"/>
      <c r="J1231" s="588"/>
    </row>
    <row r="1232" spans="1:10" x14ac:dyDescent="0.3">
      <c r="A1232" s="588"/>
      <c r="B1232" s="588"/>
      <c r="C1232" s="588"/>
      <c r="D1232" s="588"/>
      <c r="E1232" s="588"/>
      <c r="F1232" s="588"/>
      <c r="G1232" s="600"/>
      <c r="H1232" s="588"/>
      <c r="I1232" s="588"/>
      <c r="J1232" s="588"/>
    </row>
    <row r="1233" spans="1:10" x14ac:dyDescent="0.3">
      <c r="A1233" s="588"/>
      <c r="B1233" s="588"/>
      <c r="C1233" s="588"/>
      <c r="D1233" s="588"/>
      <c r="E1233" s="588"/>
      <c r="F1233" s="588"/>
      <c r="G1233" s="600"/>
      <c r="H1233" s="588"/>
      <c r="I1233" s="588"/>
      <c r="J1233" s="588"/>
    </row>
    <row r="1234" spans="1:10" x14ac:dyDescent="0.3">
      <c r="A1234" s="588"/>
      <c r="B1234" s="588"/>
      <c r="C1234" s="588"/>
      <c r="D1234" s="588"/>
      <c r="E1234" s="588"/>
      <c r="F1234" s="588"/>
      <c r="G1234" s="600"/>
      <c r="H1234" s="588"/>
      <c r="I1234" s="588"/>
      <c r="J1234" s="588"/>
    </row>
    <row r="1235" spans="1:10" x14ac:dyDescent="0.3">
      <c r="A1235" s="588"/>
      <c r="B1235" s="588"/>
      <c r="C1235" s="588"/>
      <c r="D1235" s="588"/>
      <c r="E1235" s="588"/>
      <c r="F1235" s="588"/>
      <c r="G1235" s="600"/>
      <c r="H1235" s="588"/>
      <c r="I1235" s="588"/>
      <c r="J1235" s="588"/>
    </row>
    <row r="1236" spans="1:10" x14ac:dyDescent="0.3">
      <c r="A1236" s="588"/>
      <c r="B1236" s="588"/>
      <c r="C1236" s="588"/>
      <c r="D1236" s="588"/>
      <c r="E1236" s="588"/>
      <c r="F1236" s="588"/>
      <c r="G1236" s="600"/>
      <c r="H1236" s="588"/>
      <c r="I1236" s="588"/>
      <c r="J1236" s="588"/>
    </row>
    <row r="1237" spans="1:10" x14ac:dyDescent="0.3">
      <c r="A1237" s="588"/>
      <c r="B1237" s="588"/>
      <c r="C1237" s="588"/>
      <c r="D1237" s="588"/>
      <c r="E1237" s="588"/>
      <c r="F1237" s="588"/>
      <c r="G1237" s="600"/>
      <c r="H1237" s="588"/>
      <c r="I1237" s="588"/>
      <c r="J1237" s="588"/>
    </row>
    <row r="1238" spans="1:10" x14ac:dyDescent="0.3">
      <c r="A1238" s="588"/>
      <c r="B1238" s="588"/>
      <c r="C1238" s="588"/>
      <c r="D1238" s="588"/>
      <c r="E1238" s="588"/>
      <c r="F1238" s="588"/>
      <c r="G1238" s="600"/>
      <c r="H1238" s="588"/>
      <c r="I1238" s="588"/>
      <c r="J1238" s="588"/>
    </row>
    <row r="1239" spans="1:10" x14ac:dyDescent="0.3">
      <c r="A1239" s="588"/>
      <c r="B1239" s="588"/>
      <c r="C1239" s="588"/>
      <c r="D1239" s="588"/>
      <c r="E1239" s="588"/>
      <c r="F1239" s="588"/>
      <c r="G1239" s="600"/>
      <c r="H1239" s="588"/>
      <c r="I1239" s="588"/>
      <c r="J1239" s="588"/>
    </row>
    <row r="1240" spans="1:10" x14ac:dyDescent="0.3">
      <c r="A1240" s="588"/>
      <c r="B1240" s="588"/>
      <c r="C1240" s="588"/>
      <c r="D1240" s="588"/>
      <c r="E1240" s="588"/>
      <c r="F1240" s="588"/>
      <c r="G1240" s="600"/>
      <c r="H1240" s="588"/>
      <c r="I1240" s="588"/>
      <c r="J1240" s="588"/>
    </row>
    <row r="1241" spans="1:10" x14ac:dyDescent="0.3">
      <c r="A1241" s="588"/>
      <c r="B1241" s="588"/>
      <c r="C1241" s="588"/>
      <c r="D1241" s="588"/>
      <c r="E1241" s="588"/>
      <c r="F1241" s="588"/>
      <c r="G1241" s="600"/>
      <c r="H1241" s="588"/>
      <c r="I1241" s="588"/>
      <c r="J1241" s="588"/>
    </row>
    <row r="1242" spans="1:10" x14ac:dyDescent="0.3">
      <c r="A1242" s="588"/>
      <c r="B1242" s="588"/>
      <c r="C1242" s="588"/>
      <c r="D1242" s="588"/>
      <c r="E1242" s="588"/>
      <c r="F1242" s="588"/>
      <c r="G1242" s="600"/>
      <c r="H1242" s="588"/>
      <c r="I1242" s="588"/>
      <c r="J1242" s="588"/>
    </row>
    <row r="1243" spans="1:10" x14ac:dyDescent="0.3">
      <c r="A1243" s="588"/>
      <c r="B1243" s="588"/>
      <c r="C1243" s="588"/>
      <c r="D1243" s="588"/>
      <c r="E1243" s="588"/>
      <c r="F1243" s="588"/>
      <c r="G1243" s="600"/>
      <c r="H1243" s="588"/>
      <c r="I1243" s="588"/>
      <c r="J1243" s="588"/>
    </row>
    <row r="1244" spans="1:10" x14ac:dyDescent="0.3">
      <c r="A1244" s="588"/>
      <c r="B1244" s="588"/>
      <c r="C1244" s="588"/>
      <c r="D1244" s="588"/>
      <c r="E1244" s="588"/>
      <c r="F1244" s="588"/>
      <c r="G1244" s="600"/>
      <c r="H1244" s="588"/>
      <c r="I1244" s="588"/>
      <c r="J1244" s="588"/>
    </row>
    <row r="1245" spans="1:10" x14ac:dyDescent="0.3">
      <c r="A1245" s="588"/>
      <c r="B1245" s="588"/>
      <c r="C1245" s="588"/>
      <c r="D1245" s="588"/>
      <c r="E1245" s="588"/>
      <c r="F1245" s="588"/>
      <c r="G1245" s="600"/>
      <c r="H1245" s="588"/>
      <c r="I1245" s="588"/>
      <c r="J1245" s="588"/>
    </row>
    <row r="1246" spans="1:10" x14ac:dyDescent="0.3">
      <c r="A1246" s="588"/>
      <c r="B1246" s="588"/>
      <c r="C1246" s="588"/>
      <c r="D1246" s="588"/>
      <c r="E1246" s="588"/>
      <c r="F1246" s="588"/>
      <c r="G1246" s="600"/>
      <c r="H1246" s="588"/>
      <c r="I1246" s="588"/>
      <c r="J1246" s="588"/>
    </row>
    <row r="1247" spans="1:10" x14ac:dyDescent="0.3">
      <c r="A1247" s="588"/>
      <c r="B1247" s="588"/>
      <c r="C1247" s="588"/>
      <c r="D1247" s="588"/>
      <c r="E1247" s="588"/>
      <c r="F1247" s="588"/>
      <c r="G1247" s="600"/>
      <c r="H1247" s="588"/>
      <c r="I1247" s="588"/>
      <c r="J1247" s="588"/>
    </row>
    <row r="1248" spans="1:10" x14ac:dyDescent="0.3">
      <c r="A1248" s="588"/>
      <c r="B1248" s="588"/>
      <c r="C1248" s="588"/>
      <c r="D1248" s="588"/>
      <c r="E1248" s="588"/>
      <c r="F1248" s="588"/>
      <c r="G1248" s="600"/>
      <c r="H1248" s="588"/>
      <c r="I1248" s="588"/>
      <c r="J1248" s="588"/>
    </row>
    <row r="1249" spans="1:10" x14ac:dyDescent="0.3">
      <c r="A1249" s="588"/>
      <c r="B1249" s="588"/>
      <c r="C1249" s="588"/>
      <c r="D1249" s="588"/>
      <c r="E1249" s="588"/>
      <c r="F1249" s="588"/>
      <c r="G1249" s="600"/>
      <c r="H1249" s="588"/>
      <c r="I1249" s="588"/>
      <c r="J1249" s="588"/>
    </row>
    <row r="1250" spans="1:10" x14ac:dyDescent="0.3">
      <c r="A1250" s="588"/>
      <c r="B1250" s="588"/>
      <c r="C1250" s="588"/>
      <c r="D1250" s="588"/>
      <c r="E1250" s="588"/>
      <c r="F1250" s="588"/>
      <c r="G1250" s="600"/>
      <c r="H1250" s="588"/>
      <c r="I1250" s="588"/>
      <c r="J1250" s="588"/>
    </row>
    <row r="1251" spans="1:10" x14ac:dyDescent="0.3">
      <c r="A1251" s="588"/>
      <c r="B1251" s="588"/>
      <c r="C1251" s="588"/>
      <c r="D1251" s="588"/>
      <c r="E1251" s="588"/>
      <c r="F1251" s="588"/>
      <c r="G1251" s="600"/>
      <c r="H1251" s="588"/>
      <c r="I1251" s="588"/>
      <c r="J1251" s="588"/>
    </row>
    <row r="1252" spans="1:10" x14ac:dyDescent="0.3">
      <c r="A1252" s="588"/>
      <c r="B1252" s="588"/>
      <c r="C1252" s="588"/>
      <c r="D1252" s="588"/>
      <c r="E1252" s="588"/>
      <c r="F1252" s="588"/>
      <c r="G1252" s="600"/>
      <c r="H1252" s="588"/>
      <c r="I1252" s="588"/>
      <c r="J1252" s="588"/>
    </row>
    <row r="1253" spans="1:10" x14ac:dyDescent="0.3">
      <c r="A1253" s="588"/>
      <c r="B1253" s="588"/>
      <c r="C1253" s="588"/>
      <c r="D1253" s="588"/>
      <c r="E1253" s="588"/>
      <c r="F1253" s="588"/>
      <c r="G1253" s="600"/>
      <c r="H1253" s="588"/>
      <c r="I1253" s="588"/>
      <c r="J1253" s="588"/>
    </row>
    <row r="1254" spans="1:10" x14ac:dyDescent="0.3">
      <c r="A1254" s="588"/>
      <c r="B1254" s="588"/>
      <c r="C1254" s="588"/>
      <c r="D1254" s="588"/>
      <c r="E1254" s="588"/>
      <c r="F1254" s="588"/>
      <c r="G1254" s="600"/>
      <c r="H1254" s="588"/>
      <c r="I1254" s="588"/>
      <c r="J1254" s="588"/>
    </row>
    <row r="1255" spans="1:10" x14ac:dyDescent="0.3">
      <c r="A1255" s="588"/>
      <c r="B1255" s="588"/>
      <c r="C1255" s="588"/>
      <c r="D1255" s="588"/>
      <c r="E1255" s="588"/>
      <c r="F1255" s="588"/>
      <c r="G1255" s="600"/>
      <c r="H1255" s="588"/>
      <c r="I1255" s="588"/>
      <c r="J1255" s="588"/>
    </row>
    <row r="1256" spans="1:10" x14ac:dyDescent="0.3">
      <c r="A1256" s="588"/>
      <c r="B1256" s="588"/>
      <c r="C1256" s="588"/>
      <c r="D1256" s="588"/>
      <c r="E1256" s="588"/>
      <c r="F1256" s="588"/>
      <c r="G1256" s="600"/>
      <c r="H1256" s="588"/>
      <c r="I1256" s="588"/>
      <c r="J1256" s="588"/>
    </row>
    <row r="1257" spans="1:10" x14ac:dyDescent="0.3">
      <c r="A1257" s="588"/>
      <c r="B1257" s="588"/>
      <c r="C1257" s="588"/>
      <c r="D1257" s="588"/>
      <c r="E1257" s="588"/>
      <c r="F1257" s="588"/>
      <c r="G1257" s="600"/>
      <c r="H1257" s="588"/>
      <c r="I1257" s="588"/>
      <c r="J1257" s="588"/>
    </row>
    <row r="1258" spans="1:10" x14ac:dyDescent="0.3">
      <c r="A1258" s="588"/>
      <c r="B1258" s="588"/>
      <c r="C1258" s="588"/>
      <c r="D1258" s="588"/>
      <c r="E1258" s="588"/>
      <c r="F1258" s="588"/>
      <c r="G1258" s="600"/>
      <c r="H1258" s="588"/>
      <c r="I1258" s="588"/>
      <c r="J1258" s="588"/>
    </row>
    <row r="1259" spans="1:10" x14ac:dyDescent="0.3">
      <c r="A1259" s="588"/>
      <c r="B1259" s="588"/>
      <c r="C1259" s="588"/>
      <c r="D1259" s="588"/>
      <c r="E1259" s="588"/>
      <c r="F1259" s="588"/>
      <c r="G1259" s="600"/>
      <c r="H1259" s="588"/>
      <c r="I1259" s="588"/>
      <c r="J1259" s="588"/>
    </row>
    <row r="1260" spans="1:10" x14ac:dyDescent="0.3">
      <c r="A1260" s="588"/>
      <c r="B1260" s="588"/>
      <c r="C1260" s="588"/>
      <c r="D1260" s="588"/>
      <c r="E1260" s="588"/>
      <c r="F1260" s="588"/>
      <c r="G1260" s="600"/>
      <c r="H1260" s="588"/>
      <c r="I1260" s="588"/>
      <c r="J1260" s="588"/>
    </row>
    <row r="1261" spans="1:10" x14ac:dyDescent="0.3">
      <c r="A1261" s="588"/>
      <c r="B1261" s="588"/>
      <c r="C1261" s="588"/>
      <c r="D1261" s="588"/>
      <c r="E1261" s="588"/>
      <c r="F1261" s="588"/>
      <c r="G1261" s="600"/>
      <c r="H1261" s="588"/>
      <c r="I1261" s="588"/>
      <c r="J1261" s="588"/>
    </row>
    <row r="1262" spans="1:10" x14ac:dyDescent="0.3">
      <c r="A1262" s="588"/>
      <c r="B1262" s="588"/>
      <c r="C1262" s="588"/>
      <c r="D1262" s="588"/>
      <c r="E1262" s="588"/>
      <c r="F1262" s="588"/>
      <c r="G1262" s="600"/>
      <c r="H1262" s="588"/>
      <c r="I1262" s="588"/>
      <c r="J1262" s="588"/>
    </row>
    <row r="1263" spans="1:10" x14ac:dyDescent="0.3">
      <c r="A1263" s="588"/>
      <c r="B1263" s="588"/>
      <c r="C1263" s="588"/>
      <c r="D1263" s="588"/>
      <c r="E1263" s="588"/>
      <c r="F1263" s="588"/>
      <c r="G1263" s="600"/>
      <c r="H1263" s="588"/>
      <c r="I1263" s="588"/>
      <c r="J1263" s="588"/>
    </row>
    <row r="1264" spans="1:10" x14ac:dyDescent="0.3">
      <c r="A1264" s="588"/>
      <c r="B1264" s="588"/>
      <c r="C1264" s="588"/>
      <c r="D1264" s="588"/>
      <c r="E1264" s="588"/>
      <c r="F1264" s="588"/>
      <c r="G1264" s="600"/>
      <c r="H1264" s="588"/>
      <c r="I1264" s="588"/>
      <c r="J1264" s="588"/>
    </row>
    <row r="1265" spans="1:10" x14ac:dyDescent="0.3">
      <c r="A1265" s="588"/>
      <c r="B1265" s="588"/>
      <c r="C1265" s="588"/>
      <c r="D1265" s="588"/>
      <c r="E1265" s="588"/>
      <c r="F1265" s="588"/>
      <c r="G1265" s="600"/>
      <c r="H1265" s="588"/>
      <c r="I1265" s="588"/>
      <c r="J1265" s="588"/>
    </row>
    <row r="1266" spans="1:10" x14ac:dyDescent="0.3">
      <c r="A1266" s="588"/>
      <c r="B1266" s="588"/>
      <c r="C1266" s="588"/>
      <c r="D1266" s="588"/>
      <c r="E1266" s="588"/>
      <c r="F1266" s="588"/>
      <c r="G1266" s="600"/>
      <c r="H1266" s="588"/>
      <c r="I1266" s="588"/>
      <c r="J1266" s="588"/>
    </row>
    <row r="1267" spans="1:10" x14ac:dyDescent="0.3">
      <c r="A1267" s="588"/>
      <c r="B1267" s="588"/>
      <c r="C1267" s="588"/>
      <c r="D1267" s="588"/>
      <c r="E1267" s="588"/>
      <c r="F1267" s="588"/>
      <c r="G1267" s="600"/>
      <c r="H1267" s="588"/>
      <c r="I1267" s="588"/>
      <c r="J1267" s="588"/>
    </row>
    <row r="1268" spans="1:10" x14ac:dyDescent="0.3">
      <c r="A1268" s="588"/>
      <c r="B1268" s="588"/>
      <c r="C1268" s="588"/>
      <c r="D1268" s="588"/>
      <c r="E1268" s="588"/>
      <c r="F1268" s="588"/>
      <c r="G1268" s="600"/>
      <c r="H1268" s="588"/>
      <c r="I1268" s="588"/>
      <c r="J1268" s="588"/>
    </row>
    <row r="1269" spans="1:10" x14ac:dyDescent="0.3">
      <c r="A1269" s="588"/>
      <c r="B1269" s="588"/>
      <c r="C1269" s="588"/>
      <c r="D1269" s="588"/>
      <c r="E1269" s="588"/>
      <c r="F1269" s="588"/>
      <c r="G1269" s="600"/>
      <c r="H1269" s="588"/>
      <c r="I1269" s="588"/>
      <c r="J1269" s="588"/>
    </row>
    <row r="1270" spans="1:10" x14ac:dyDescent="0.3">
      <c r="A1270" s="588"/>
      <c r="B1270" s="588"/>
      <c r="C1270" s="588"/>
      <c r="D1270" s="588"/>
      <c r="E1270" s="588"/>
      <c r="F1270" s="588"/>
      <c r="G1270" s="600"/>
      <c r="H1270" s="588"/>
      <c r="I1270" s="588"/>
      <c r="J1270" s="588"/>
    </row>
    <row r="1271" spans="1:10" x14ac:dyDescent="0.3">
      <c r="A1271" s="588"/>
      <c r="B1271" s="588"/>
      <c r="C1271" s="588"/>
      <c r="D1271" s="588"/>
      <c r="E1271" s="588"/>
      <c r="F1271" s="588"/>
      <c r="G1271" s="600"/>
      <c r="H1271" s="588"/>
      <c r="I1271" s="588"/>
      <c r="J1271" s="588"/>
    </row>
    <row r="1272" spans="1:10" x14ac:dyDescent="0.3">
      <c r="A1272" s="588"/>
      <c r="B1272" s="588"/>
      <c r="C1272" s="588"/>
      <c r="D1272" s="588"/>
      <c r="E1272" s="588"/>
      <c r="F1272" s="588"/>
      <c r="G1272" s="600"/>
      <c r="H1272" s="588"/>
      <c r="I1272" s="588"/>
      <c r="J1272" s="588"/>
    </row>
    <row r="1273" spans="1:10" x14ac:dyDescent="0.3">
      <c r="A1273" s="588"/>
      <c r="B1273" s="588"/>
      <c r="C1273" s="588"/>
      <c r="D1273" s="588"/>
      <c r="E1273" s="588"/>
      <c r="F1273" s="588"/>
      <c r="G1273" s="600"/>
      <c r="H1273" s="588"/>
      <c r="I1273" s="588"/>
      <c r="J1273" s="588"/>
    </row>
    <row r="1274" spans="1:10" x14ac:dyDescent="0.3">
      <c r="A1274" s="588"/>
      <c r="B1274" s="588"/>
      <c r="C1274" s="588"/>
      <c r="D1274" s="588"/>
      <c r="E1274" s="588"/>
      <c r="F1274" s="588"/>
      <c r="G1274" s="600"/>
      <c r="H1274" s="588"/>
      <c r="I1274" s="588"/>
      <c r="J1274" s="588"/>
    </row>
    <row r="1275" spans="1:10" x14ac:dyDescent="0.3">
      <c r="A1275" s="588"/>
      <c r="B1275" s="588"/>
      <c r="C1275" s="588"/>
      <c r="D1275" s="588"/>
      <c r="E1275" s="588"/>
      <c r="F1275" s="588"/>
      <c r="G1275" s="600"/>
      <c r="H1275" s="588"/>
      <c r="I1275" s="588"/>
      <c r="J1275" s="588"/>
    </row>
    <row r="1276" spans="1:10" x14ac:dyDescent="0.3">
      <c r="A1276" s="588"/>
      <c r="B1276" s="588"/>
      <c r="C1276" s="588"/>
      <c r="D1276" s="588"/>
      <c r="E1276" s="588"/>
      <c r="F1276" s="588"/>
      <c r="G1276" s="600"/>
      <c r="H1276" s="588"/>
      <c r="I1276" s="588"/>
      <c r="J1276" s="588"/>
    </row>
    <row r="1277" spans="1:10" x14ac:dyDescent="0.3">
      <c r="A1277" s="588"/>
      <c r="B1277" s="588"/>
      <c r="C1277" s="588"/>
      <c r="D1277" s="588"/>
      <c r="E1277" s="588"/>
      <c r="F1277" s="588"/>
      <c r="G1277" s="600"/>
      <c r="H1277" s="588"/>
      <c r="I1277" s="588"/>
      <c r="J1277" s="588"/>
    </row>
    <row r="1278" spans="1:10" x14ac:dyDescent="0.3">
      <c r="A1278" s="588"/>
      <c r="B1278" s="588"/>
      <c r="C1278" s="588"/>
      <c r="D1278" s="588"/>
      <c r="E1278" s="588"/>
      <c r="F1278" s="588"/>
      <c r="G1278" s="600"/>
      <c r="H1278" s="588"/>
      <c r="I1278" s="588"/>
      <c r="J1278" s="588"/>
    </row>
    <row r="1279" spans="1:10" x14ac:dyDescent="0.3">
      <c r="A1279" s="588"/>
      <c r="B1279" s="588"/>
      <c r="C1279" s="588"/>
      <c r="D1279" s="588"/>
      <c r="E1279" s="588"/>
      <c r="F1279" s="588"/>
      <c r="G1279" s="600"/>
      <c r="H1279" s="588"/>
      <c r="I1279" s="588"/>
      <c r="J1279" s="588"/>
    </row>
    <row r="1280" spans="1:10" x14ac:dyDescent="0.3">
      <c r="A1280" s="588"/>
      <c r="B1280" s="588"/>
      <c r="C1280" s="588"/>
      <c r="D1280" s="588"/>
      <c r="E1280" s="588"/>
      <c r="F1280" s="588"/>
      <c r="G1280" s="600"/>
      <c r="H1280" s="588"/>
      <c r="I1280" s="588"/>
      <c r="J1280" s="588"/>
    </row>
    <row r="1281" spans="1:10" x14ac:dyDescent="0.3">
      <c r="A1281" s="588"/>
      <c r="B1281" s="588"/>
      <c r="C1281" s="588"/>
      <c r="D1281" s="588"/>
      <c r="E1281" s="588"/>
      <c r="F1281" s="588"/>
      <c r="G1281" s="600"/>
      <c r="H1281" s="588"/>
      <c r="I1281" s="588"/>
      <c r="J1281" s="588"/>
    </row>
    <row r="1282" spans="1:10" x14ac:dyDescent="0.3">
      <c r="A1282" s="588"/>
      <c r="B1282" s="588"/>
      <c r="C1282" s="588"/>
      <c r="D1282" s="588"/>
      <c r="E1282" s="588"/>
      <c r="F1282" s="588"/>
      <c r="G1282" s="600"/>
      <c r="H1282" s="588"/>
      <c r="I1282" s="588"/>
      <c r="J1282" s="588"/>
    </row>
    <row r="1283" spans="1:10" x14ac:dyDescent="0.3">
      <c r="A1283" s="588"/>
      <c r="B1283" s="588"/>
      <c r="C1283" s="588"/>
      <c r="D1283" s="588"/>
      <c r="E1283" s="588"/>
      <c r="F1283" s="588"/>
      <c r="G1283" s="600"/>
      <c r="H1283" s="588"/>
      <c r="I1283" s="588"/>
      <c r="J1283" s="588"/>
    </row>
    <row r="1284" spans="1:10" x14ac:dyDescent="0.3">
      <c r="A1284" s="588"/>
      <c r="B1284" s="588"/>
      <c r="C1284" s="588"/>
      <c r="D1284" s="588"/>
      <c r="E1284" s="588"/>
      <c r="F1284" s="588"/>
      <c r="G1284" s="600"/>
      <c r="H1284" s="588"/>
      <c r="I1284" s="588"/>
      <c r="J1284" s="588"/>
    </row>
    <row r="1285" spans="1:10" x14ac:dyDescent="0.3">
      <c r="A1285" s="588"/>
      <c r="B1285" s="588"/>
      <c r="C1285" s="588"/>
      <c r="D1285" s="588"/>
      <c r="E1285" s="588"/>
      <c r="F1285" s="588"/>
      <c r="G1285" s="600"/>
      <c r="H1285" s="588"/>
      <c r="I1285" s="588"/>
      <c r="J1285" s="588"/>
    </row>
    <row r="1286" spans="1:10" x14ac:dyDescent="0.3">
      <c r="A1286" s="588"/>
      <c r="B1286" s="588"/>
      <c r="C1286" s="588"/>
      <c r="D1286" s="588"/>
      <c r="E1286" s="588"/>
      <c r="F1286" s="588"/>
      <c r="G1286" s="600"/>
      <c r="H1286" s="588"/>
      <c r="I1286" s="588"/>
      <c r="J1286" s="588"/>
    </row>
    <row r="1287" spans="1:10" x14ac:dyDescent="0.3">
      <c r="A1287" s="588"/>
      <c r="B1287" s="588"/>
      <c r="C1287" s="588"/>
      <c r="D1287" s="588"/>
      <c r="E1287" s="588"/>
      <c r="F1287" s="588"/>
      <c r="G1287" s="600"/>
      <c r="H1287" s="588"/>
      <c r="I1287" s="588"/>
      <c r="J1287" s="588"/>
    </row>
    <row r="1288" spans="1:10" x14ac:dyDescent="0.3">
      <c r="A1288" s="588"/>
      <c r="B1288" s="588"/>
      <c r="C1288" s="588"/>
      <c r="D1288" s="588"/>
      <c r="E1288" s="588"/>
      <c r="F1288" s="588"/>
      <c r="G1288" s="600"/>
      <c r="H1288" s="588"/>
      <c r="I1288" s="588"/>
      <c r="J1288" s="588"/>
    </row>
    <row r="1289" spans="1:10" x14ac:dyDescent="0.3">
      <c r="A1289" s="588"/>
      <c r="B1289" s="588"/>
      <c r="C1289" s="588"/>
      <c r="D1289" s="588"/>
      <c r="E1289" s="588"/>
      <c r="F1289" s="588"/>
      <c r="G1289" s="600"/>
      <c r="H1289" s="588"/>
      <c r="I1289" s="588"/>
      <c r="J1289" s="588"/>
    </row>
    <row r="1290" spans="1:10" x14ac:dyDescent="0.3">
      <c r="A1290" s="588"/>
      <c r="B1290" s="588"/>
      <c r="C1290" s="588"/>
      <c r="D1290" s="588"/>
      <c r="E1290" s="588"/>
      <c r="F1290" s="588"/>
      <c r="G1290" s="600"/>
      <c r="H1290" s="588"/>
      <c r="I1290" s="588"/>
      <c r="J1290" s="588"/>
    </row>
    <row r="1291" spans="1:10" x14ac:dyDescent="0.3">
      <c r="A1291" s="588"/>
      <c r="B1291" s="588"/>
      <c r="C1291" s="588"/>
      <c r="D1291" s="588"/>
      <c r="E1291" s="588"/>
      <c r="F1291" s="588"/>
      <c r="G1291" s="600"/>
      <c r="H1291" s="588"/>
      <c r="I1291" s="588"/>
      <c r="J1291" s="588"/>
    </row>
    <row r="1292" spans="1:10" x14ac:dyDescent="0.3">
      <c r="A1292" s="588"/>
      <c r="B1292" s="588"/>
      <c r="C1292" s="588"/>
      <c r="D1292" s="588"/>
      <c r="E1292" s="588"/>
      <c r="F1292" s="588"/>
      <c r="G1292" s="600"/>
      <c r="H1292" s="588"/>
      <c r="I1292" s="588"/>
      <c r="J1292" s="588"/>
    </row>
    <row r="1293" spans="1:10" x14ac:dyDescent="0.3">
      <c r="A1293" s="588"/>
      <c r="B1293" s="588"/>
      <c r="C1293" s="588"/>
      <c r="D1293" s="588"/>
      <c r="E1293" s="588"/>
      <c r="F1293" s="588"/>
      <c r="G1293" s="600"/>
      <c r="H1293" s="588"/>
      <c r="I1293" s="588"/>
      <c r="J1293" s="588"/>
    </row>
    <row r="1294" spans="1:10" x14ac:dyDescent="0.3">
      <c r="A1294" s="588"/>
      <c r="B1294" s="588"/>
      <c r="C1294" s="588"/>
      <c r="D1294" s="588"/>
      <c r="E1294" s="588"/>
      <c r="F1294" s="588"/>
      <c r="G1294" s="600"/>
      <c r="H1294" s="588"/>
      <c r="I1294" s="588"/>
      <c r="J1294" s="588"/>
    </row>
    <row r="1295" spans="1:10" x14ac:dyDescent="0.3">
      <c r="A1295" s="588"/>
      <c r="B1295" s="588"/>
      <c r="C1295" s="588"/>
      <c r="D1295" s="588"/>
      <c r="E1295" s="588"/>
      <c r="F1295" s="588"/>
      <c r="G1295" s="600"/>
      <c r="H1295" s="588"/>
      <c r="I1295" s="588"/>
      <c r="J1295" s="588"/>
    </row>
    <row r="1296" spans="1:10" x14ac:dyDescent="0.3">
      <c r="A1296" s="588"/>
      <c r="B1296" s="588"/>
      <c r="C1296" s="588"/>
      <c r="D1296" s="588"/>
      <c r="E1296" s="588"/>
      <c r="F1296" s="588"/>
      <c r="G1296" s="600"/>
      <c r="H1296" s="588"/>
      <c r="I1296" s="588"/>
      <c r="J1296" s="588"/>
    </row>
    <row r="1297" spans="1:10" x14ac:dyDescent="0.3">
      <c r="A1297" s="588"/>
      <c r="B1297" s="588"/>
      <c r="C1297" s="588"/>
      <c r="D1297" s="588"/>
      <c r="E1297" s="588"/>
      <c r="F1297" s="588"/>
      <c r="G1297" s="600"/>
      <c r="H1297" s="588"/>
      <c r="I1297" s="588"/>
      <c r="J1297" s="588"/>
    </row>
    <row r="1298" spans="1:10" x14ac:dyDescent="0.3">
      <c r="A1298" s="588"/>
      <c r="B1298" s="588"/>
      <c r="C1298" s="588"/>
      <c r="D1298" s="588"/>
      <c r="E1298" s="588"/>
      <c r="F1298" s="588"/>
      <c r="G1298" s="600"/>
      <c r="H1298" s="588"/>
      <c r="I1298" s="588"/>
      <c r="J1298" s="588"/>
    </row>
    <row r="1299" spans="1:10" x14ac:dyDescent="0.3">
      <c r="A1299" s="588"/>
      <c r="B1299" s="588"/>
      <c r="C1299" s="588"/>
      <c r="D1299" s="588"/>
      <c r="E1299" s="588"/>
      <c r="F1299" s="588"/>
      <c r="G1299" s="600"/>
      <c r="H1299" s="588"/>
      <c r="I1299" s="588"/>
      <c r="J1299" s="588"/>
    </row>
    <row r="1300" spans="1:10" x14ac:dyDescent="0.3">
      <c r="A1300" s="588"/>
      <c r="B1300" s="588"/>
      <c r="C1300" s="588"/>
      <c r="D1300" s="588"/>
      <c r="E1300" s="588"/>
      <c r="F1300" s="588"/>
      <c r="G1300" s="600"/>
      <c r="H1300" s="588"/>
      <c r="I1300" s="588"/>
      <c r="J1300" s="588"/>
    </row>
    <row r="1301" spans="1:10" x14ac:dyDescent="0.3">
      <c r="A1301" s="588"/>
      <c r="B1301" s="588"/>
      <c r="C1301" s="588"/>
      <c r="D1301" s="588"/>
      <c r="E1301" s="588"/>
      <c r="F1301" s="588"/>
      <c r="G1301" s="600"/>
      <c r="H1301" s="588"/>
      <c r="I1301" s="588"/>
      <c r="J1301" s="588"/>
    </row>
    <row r="1302" spans="1:10" x14ac:dyDescent="0.3">
      <c r="A1302" s="588"/>
      <c r="B1302" s="588"/>
      <c r="C1302" s="588"/>
      <c r="D1302" s="588"/>
      <c r="E1302" s="588"/>
      <c r="F1302" s="588"/>
      <c r="G1302" s="600"/>
      <c r="H1302" s="588"/>
      <c r="I1302" s="588"/>
      <c r="J1302" s="588"/>
    </row>
    <row r="1303" spans="1:10" x14ac:dyDescent="0.3">
      <c r="A1303" s="588"/>
      <c r="B1303" s="588"/>
      <c r="C1303" s="588"/>
      <c r="D1303" s="588"/>
      <c r="E1303" s="588"/>
      <c r="F1303" s="588"/>
      <c r="G1303" s="600"/>
      <c r="H1303" s="588"/>
      <c r="I1303" s="588"/>
      <c r="J1303" s="588"/>
    </row>
    <row r="1304" spans="1:10" x14ac:dyDescent="0.3">
      <c r="A1304" s="588"/>
      <c r="B1304" s="588"/>
      <c r="C1304" s="588"/>
      <c r="D1304" s="588"/>
      <c r="E1304" s="588"/>
      <c r="F1304" s="588"/>
      <c r="G1304" s="600"/>
      <c r="H1304" s="588"/>
      <c r="I1304" s="588"/>
      <c r="J1304" s="588"/>
    </row>
    <row r="1305" spans="1:10" x14ac:dyDescent="0.3">
      <c r="A1305" s="588"/>
      <c r="B1305" s="588"/>
      <c r="C1305" s="588"/>
      <c r="D1305" s="588"/>
      <c r="E1305" s="588"/>
      <c r="F1305" s="588"/>
      <c r="G1305" s="600"/>
      <c r="H1305" s="588"/>
      <c r="I1305" s="588"/>
      <c r="J1305" s="588"/>
    </row>
    <row r="1306" spans="1:10" x14ac:dyDescent="0.3">
      <c r="A1306" s="588"/>
      <c r="B1306" s="588"/>
      <c r="C1306" s="588"/>
      <c r="D1306" s="588"/>
      <c r="E1306" s="588"/>
      <c r="F1306" s="588"/>
      <c r="G1306" s="600"/>
      <c r="H1306" s="588"/>
      <c r="I1306" s="588"/>
      <c r="J1306" s="588"/>
    </row>
    <row r="1307" spans="1:10" x14ac:dyDescent="0.3">
      <c r="A1307" s="588"/>
      <c r="B1307" s="588"/>
      <c r="C1307" s="588"/>
      <c r="D1307" s="588"/>
      <c r="E1307" s="588"/>
      <c r="F1307" s="588"/>
      <c r="G1307" s="600"/>
      <c r="H1307" s="588"/>
      <c r="I1307" s="588"/>
      <c r="J1307" s="588"/>
    </row>
    <row r="1308" spans="1:10" x14ac:dyDescent="0.3">
      <c r="A1308" s="588"/>
      <c r="B1308" s="588"/>
      <c r="C1308" s="588"/>
      <c r="D1308" s="588"/>
      <c r="E1308" s="588"/>
      <c r="F1308" s="588"/>
      <c r="G1308" s="600"/>
      <c r="H1308" s="588"/>
      <c r="I1308" s="588"/>
      <c r="J1308" s="588"/>
    </row>
    <row r="1309" spans="1:10" x14ac:dyDescent="0.3">
      <c r="A1309" s="588"/>
      <c r="B1309" s="588"/>
      <c r="C1309" s="588"/>
      <c r="D1309" s="588"/>
      <c r="E1309" s="588"/>
      <c r="F1309" s="588"/>
      <c r="G1309" s="600"/>
      <c r="H1309" s="588"/>
      <c r="I1309" s="588"/>
      <c r="J1309" s="588"/>
    </row>
    <row r="1310" spans="1:10" x14ac:dyDescent="0.3">
      <c r="A1310" s="588"/>
      <c r="B1310" s="588"/>
      <c r="C1310" s="588"/>
      <c r="D1310" s="588"/>
      <c r="E1310" s="588"/>
      <c r="F1310" s="588"/>
      <c r="G1310" s="600"/>
      <c r="H1310" s="588"/>
      <c r="I1310" s="588"/>
      <c r="J1310" s="588"/>
    </row>
    <row r="1311" spans="1:10" x14ac:dyDescent="0.3">
      <c r="A1311" s="588"/>
      <c r="B1311" s="588"/>
      <c r="C1311" s="588"/>
      <c r="D1311" s="588"/>
      <c r="E1311" s="588"/>
      <c r="F1311" s="588"/>
      <c r="G1311" s="600"/>
      <c r="H1311" s="588"/>
      <c r="I1311" s="588"/>
      <c r="J1311" s="588"/>
    </row>
    <row r="1312" spans="1:10" x14ac:dyDescent="0.3">
      <c r="A1312" s="588"/>
      <c r="B1312" s="588"/>
      <c r="C1312" s="588"/>
      <c r="D1312" s="588"/>
      <c r="E1312" s="588"/>
      <c r="F1312" s="588"/>
      <c r="G1312" s="600"/>
      <c r="H1312" s="588"/>
      <c r="I1312" s="588"/>
      <c r="J1312" s="588"/>
    </row>
    <row r="1313" spans="1:10" x14ac:dyDescent="0.3">
      <c r="A1313" s="588"/>
      <c r="B1313" s="588"/>
      <c r="C1313" s="588"/>
      <c r="D1313" s="588"/>
      <c r="E1313" s="588"/>
      <c r="F1313" s="588"/>
      <c r="G1313" s="600"/>
      <c r="H1313" s="588"/>
      <c r="I1313" s="588"/>
      <c r="J1313" s="588"/>
    </row>
    <row r="1314" spans="1:10" x14ac:dyDescent="0.3">
      <c r="A1314" s="588"/>
      <c r="B1314" s="588"/>
      <c r="C1314" s="588"/>
      <c r="D1314" s="588"/>
      <c r="E1314" s="588"/>
      <c r="F1314" s="588"/>
      <c r="G1314" s="600"/>
      <c r="H1314" s="588"/>
      <c r="I1314" s="588"/>
      <c r="J1314" s="588"/>
    </row>
    <row r="1315" spans="1:10" x14ac:dyDescent="0.3">
      <c r="A1315" s="588"/>
      <c r="B1315" s="588"/>
      <c r="C1315" s="588"/>
      <c r="D1315" s="588"/>
      <c r="E1315" s="588"/>
      <c r="F1315" s="588"/>
      <c r="G1315" s="600"/>
      <c r="H1315" s="588"/>
      <c r="I1315" s="588"/>
      <c r="J1315" s="588"/>
    </row>
    <row r="1316" spans="1:10" x14ac:dyDescent="0.3">
      <c r="A1316" s="588"/>
      <c r="B1316" s="588"/>
      <c r="C1316" s="588"/>
      <c r="D1316" s="588"/>
      <c r="E1316" s="588"/>
      <c r="F1316" s="588"/>
      <c r="G1316" s="600"/>
      <c r="H1316" s="588"/>
      <c r="I1316" s="588"/>
      <c r="J1316" s="588"/>
    </row>
    <row r="1317" spans="1:10" x14ac:dyDescent="0.3">
      <c r="A1317" s="588"/>
      <c r="B1317" s="588"/>
      <c r="C1317" s="588"/>
      <c r="D1317" s="588"/>
      <c r="E1317" s="588"/>
      <c r="F1317" s="588"/>
      <c r="G1317" s="600"/>
      <c r="H1317" s="588"/>
      <c r="I1317" s="588"/>
      <c r="J1317" s="588"/>
    </row>
    <row r="1318" spans="1:10" x14ac:dyDescent="0.3">
      <c r="A1318" s="588"/>
      <c r="B1318" s="588"/>
      <c r="C1318" s="588"/>
      <c r="D1318" s="588"/>
      <c r="E1318" s="588"/>
      <c r="F1318" s="588"/>
      <c r="G1318" s="600"/>
      <c r="H1318" s="588"/>
      <c r="I1318" s="588"/>
      <c r="J1318" s="588"/>
    </row>
    <row r="1319" spans="1:10" x14ac:dyDescent="0.3">
      <c r="A1319" s="588"/>
      <c r="B1319" s="588"/>
      <c r="C1319" s="588"/>
      <c r="D1319" s="588"/>
      <c r="E1319" s="588"/>
      <c r="F1319" s="588"/>
      <c r="G1319" s="600"/>
      <c r="H1319" s="588"/>
      <c r="I1319" s="588"/>
      <c r="J1319" s="588"/>
    </row>
    <row r="1320" spans="1:10" x14ac:dyDescent="0.3">
      <c r="A1320" s="588"/>
      <c r="B1320" s="588"/>
      <c r="C1320" s="588"/>
      <c r="D1320" s="588"/>
      <c r="E1320" s="588"/>
      <c r="F1320" s="588"/>
      <c r="G1320" s="600"/>
      <c r="H1320" s="588"/>
      <c r="I1320" s="588"/>
      <c r="J1320" s="588"/>
    </row>
    <row r="1321" spans="1:10" x14ac:dyDescent="0.3">
      <c r="A1321" s="588"/>
      <c r="B1321" s="588"/>
      <c r="C1321" s="588"/>
      <c r="D1321" s="588"/>
      <c r="E1321" s="588"/>
      <c r="F1321" s="588"/>
      <c r="G1321" s="600"/>
      <c r="H1321" s="588"/>
      <c r="I1321" s="588"/>
      <c r="J1321" s="588"/>
    </row>
    <row r="1322" spans="1:10" x14ac:dyDescent="0.3">
      <c r="A1322" s="588"/>
      <c r="B1322" s="588"/>
      <c r="C1322" s="588"/>
      <c r="D1322" s="588"/>
      <c r="E1322" s="588"/>
      <c r="F1322" s="588"/>
      <c r="G1322" s="600"/>
      <c r="H1322" s="588"/>
      <c r="I1322" s="588"/>
      <c r="J1322" s="588"/>
    </row>
    <row r="1323" spans="1:10" x14ac:dyDescent="0.3">
      <c r="A1323" s="588"/>
      <c r="B1323" s="588"/>
      <c r="C1323" s="588"/>
      <c r="D1323" s="588"/>
      <c r="E1323" s="588"/>
      <c r="F1323" s="588"/>
      <c r="G1323" s="600"/>
      <c r="H1323" s="588"/>
      <c r="I1323" s="588"/>
      <c r="J1323" s="588"/>
    </row>
    <row r="1324" spans="1:10" x14ac:dyDescent="0.3">
      <c r="A1324" s="588"/>
      <c r="B1324" s="588"/>
      <c r="C1324" s="588"/>
      <c r="D1324" s="588"/>
      <c r="E1324" s="588"/>
      <c r="F1324" s="588"/>
      <c r="G1324" s="600"/>
      <c r="H1324" s="588"/>
      <c r="I1324" s="588"/>
      <c r="J1324" s="588"/>
    </row>
    <row r="1325" spans="1:10" x14ac:dyDescent="0.3">
      <c r="A1325" s="588"/>
      <c r="B1325" s="588"/>
      <c r="C1325" s="588"/>
      <c r="D1325" s="588"/>
      <c r="E1325" s="588"/>
      <c r="F1325" s="588"/>
      <c r="G1325" s="600"/>
      <c r="H1325" s="588"/>
      <c r="I1325" s="588"/>
      <c r="J1325" s="588"/>
    </row>
    <row r="1326" spans="1:10" x14ac:dyDescent="0.3">
      <c r="A1326" s="588"/>
      <c r="B1326" s="588"/>
      <c r="C1326" s="588"/>
      <c r="D1326" s="588"/>
      <c r="E1326" s="588"/>
      <c r="F1326" s="588"/>
      <c r="G1326" s="600"/>
      <c r="H1326" s="588"/>
      <c r="I1326" s="588"/>
      <c r="J1326" s="588"/>
    </row>
    <row r="1327" spans="1:10" x14ac:dyDescent="0.3">
      <c r="A1327" s="588"/>
      <c r="B1327" s="588"/>
      <c r="C1327" s="588"/>
      <c r="D1327" s="588"/>
      <c r="E1327" s="588"/>
      <c r="F1327" s="588"/>
      <c r="G1327" s="600"/>
      <c r="H1327" s="588"/>
      <c r="I1327" s="588"/>
      <c r="J1327" s="588"/>
    </row>
    <row r="1328" spans="1:10" x14ac:dyDescent="0.3">
      <c r="A1328" s="588"/>
      <c r="B1328" s="588"/>
      <c r="C1328" s="588"/>
      <c r="D1328" s="588"/>
      <c r="E1328" s="588"/>
      <c r="F1328" s="588"/>
      <c r="G1328" s="600"/>
      <c r="H1328" s="588"/>
      <c r="I1328" s="588"/>
      <c r="J1328" s="588"/>
    </row>
    <row r="1329" spans="1:10" x14ac:dyDescent="0.3">
      <c r="A1329" s="588"/>
      <c r="B1329" s="588"/>
      <c r="C1329" s="588"/>
      <c r="D1329" s="588"/>
      <c r="E1329" s="588"/>
      <c r="F1329" s="588"/>
      <c r="G1329" s="600"/>
      <c r="H1329" s="588"/>
      <c r="I1329" s="588"/>
      <c r="J1329" s="588"/>
    </row>
    <row r="1330" spans="1:10" x14ac:dyDescent="0.3">
      <c r="A1330" s="588"/>
      <c r="B1330" s="588"/>
      <c r="C1330" s="588"/>
      <c r="D1330" s="588"/>
      <c r="E1330" s="588"/>
      <c r="F1330" s="588"/>
      <c r="G1330" s="600"/>
      <c r="H1330" s="588"/>
      <c r="I1330" s="588"/>
      <c r="J1330" s="588"/>
    </row>
    <row r="1331" spans="1:10" x14ac:dyDescent="0.3">
      <c r="A1331" s="588"/>
      <c r="B1331" s="588"/>
      <c r="C1331" s="588"/>
      <c r="D1331" s="588"/>
      <c r="E1331" s="588"/>
      <c r="F1331" s="588"/>
      <c r="G1331" s="600"/>
      <c r="H1331" s="588"/>
      <c r="I1331" s="588"/>
      <c r="J1331" s="588"/>
    </row>
    <row r="1332" spans="1:10" x14ac:dyDescent="0.3">
      <c r="A1332" s="588"/>
      <c r="B1332" s="588"/>
      <c r="C1332" s="588"/>
      <c r="D1332" s="588"/>
      <c r="E1332" s="588"/>
      <c r="F1332" s="588"/>
      <c r="G1332" s="600"/>
      <c r="H1332" s="588"/>
      <c r="I1332" s="588"/>
      <c r="J1332" s="588"/>
    </row>
    <row r="1333" spans="1:10" x14ac:dyDescent="0.3">
      <c r="A1333" s="588"/>
      <c r="B1333" s="588"/>
      <c r="C1333" s="588"/>
      <c r="D1333" s="588"/>
      <c r="E1333" s="588"/>
      <c r="F1333" s="588"/>
      <c r="G1333" s="600"/>
      <c r="H1333" s="588"/>
      <c r="I1333" s="588"/>
      <c r="J1333" s="588"/>
    </row>
    <row r="1334" spans="1:10" x14ac:dyDescent="0.3">
      <c r="A1334" s="588"/>
      <c r="B1334" s="588"/>
      <c r="C1334" s="588"/>
      <c r="D1334" s="588"/>
      <c r="E1334" s="588"/>
      <c r="F1334" s="588"/>
      <c r="G1334" s="600"/>
      <c r="H1334" s="588"/>
      <c r="I1334" s="588"/>
      <c r="J1334" s="588"/>
    </row>
    <row r="1335" spans="1:10" x14ac:dyDescent="0.3">
      <c r="A1335" s="588"/>
      <c r="B1335" s="588"/>
      <c r="C1335" s="588"/>
      <c r="D1335" s="588"/>
      <c r="E1335" s="588"/>
      <c r="F1335" s="588"/>
      <c r="G1335" s="600"/>
      <c r="H1335" s="588"/>
      <c r="I1335" s="588"/>
      <c r="J1335" s="588"/>
    </row>
    <row r="1336" spans="1:10" x14ac:dyDescent="0.3">
      <c r="A1336" s="588"/>
      <c r="B1336" s="588"/>
      <c r="C1336" s="588"/>
      <c r="D1336" s="588"/>
      <c r="E1336" s="588"/>
      <c r="F1336" s="588"/>
      <c r="G1336" s="600"/>
      <c r="H1336" s="588"/>
      <c r="I1336" s="588"/>
      <c r="J1336" s="588"/>
    </row>
    <row r="1337" spans="1:10" x14ac:dyDescent="0.3">
      <c r="A1337" s="588"/>
      <c r="B1337" s="588"/>
      <c r="C1337" s="588"/>
      <c r="D1337" s="588"/>
      <c r="E1337" s="588"/>
      <c r="F1337" s="588"/>
      <c r="G1337" s="600"/>
      <c r="H1337" s="588"/>
      <c r="I1337" s="588"/>
      <c r="J1337" s="588"/>
    </row>
    <row r="1338" spans="1:10" x14ac:dyDescent="0.3">
      <c r="A1338" s="588"/>
      <c r="B1338" s="588"/>
      <c r="C1338" s="588"/>
      <c r="D1338" s="588"/>
      <c r="E1338" s="588"/>
      <c r="F1338" s="588"/>
      <c r="G1338" s="600"/>
      <c r="H1338" s="588"/>
      <c r="I1338" s="588"/>
      <c r="J1338" s="588"/>
    </row>
    <row r="1339" spans="1:10" x14ac:dyDescent="0.3">
      <c r="A1339" s="588"/>
      <c r="B1339" s="588"/>
      <c r="C1339" s="588"/>
      <c r="D1339" s="588"/>
      <c r="E1339" s="588"/>
      <c r="F1339" s="588"/>
      <c r="G1339" s="600"/>
      <c r="H1339" s="588"/>
      <c r="I1339" s="588"/>
      <c r="J1339" s="588"/>
    </row>
    <row r="1340" spans="1:10" x14ac:dyDescent="0.3">
      <c r="A1340" s="588"/>
      <c r="B1340" s="588"/>
      <c r="C1340" s="588"/>
      <c r="D1340" s="588"/>
      <c r="E1340" s="588"/>
      <c r="F1340" s="588"/>
      <c r="G1340" s="600"/>
      <c r="H1340" s="588"/>
      <c r="I1340" s="588"/>
      <c r="J1340" s="588"/>
    </row>
    <row r="1341" spans="1:10" x14ac:dyDescent="0.3">
      <c r="A1341" s="588"/>
      <c r="B1341" s="588"/>
      <c r="C1341" s="588"/>
      <c r="D1341" s="588"/>
      <c r="E1341" s="588"/>
      <c r="F1341" s="588"/>
      <c r="G1341" s="600"/>
      <c r="H1341" s="588"/>
      <c r="I1341" s="588"/>
      <c r="J1341" s="588"/>
    </row>
    <row r="1342" spans="1:10" x14ac:dyDescent="0.3">
      <c r="A1342" s="588"/>
      <c r="B1342" s="588"/>
      <c r="C1342" s="588"/>
      <c r="D1342" s="588"/>
      <c r="E1342" s="588"/>
      <c r="F1342" s="588"/>
      <c r="G1342" s="600"/>
      <c r="H1342" s="588"/>
      <c r="I1342" s="588"/>
      <c r="J1342" s="588"/>
    </row>
    <row r="1343" spans="1:10" x14ac:dyDescent="0.3">
      <c r="A1343" s="588"/>
      <c r="B1343" s="588"/>
      <c r="C1343" s="588"/>
      <c r="D1343" s="588"/>
      <c r="E1343" s="588"/>
      <c r="F1343" s="588"/>
      <c r="G1343" s="600"/>
      <c r="H1343" s="588"/>
      <c r="I1343" s="588"/>
      <c r="J1343" s="588"/>
    </row>
    <row r="1344" spans="1:10" x14ac:dyDescent="0.3">
      <c r="A1344" s="588"/>
      <c r="B1344" s="588"/>
      <c r="C1344" s="588"/>
      <c r="D1344" s="588"/>
      <c r="E1344" s="588"/>
      <c r="F1344" s="588"/>
      <c r="G1344" s="600"/>
      <c r="H1344" s="588"/>
      <c r="I1344" s="588"/>
      <c r="J1344" s="588"/>
    </row>
    <row r="1345" spans="1:10" x14ac:dyDescent="0.3">
      <c r="A1345" s="588"/>
      <c r="B1345" s="588"/>
      <c r="C1345" s="588"/>
      <c r="D1345" s="588"/>
      <c r="E1345" s="588"/>
      <c r="F1345" s="588"/>
      <c r="G1345" s="600"/>
      <c r="H1345" s="588"/>
      <c r="I1345" s="588"/>
      <c r="J1345" s="588"/>
    </row>
    <row r="1346" spans="1:10" x14ac:dyDescent="0.3">
      <c r="A1346" s="588"/>
      <c r="B1346" s="588"/>
      <c r="C1346" s="588"/>
      <c r="D1346" s="588"/>
      <c r="E1346" s="588"/>
      <c r="F1346" s="588"/>
      <c r="G1346" s="600"/>
      <c r="H1346" s="588"/>
      <c r="I1346" s="588"/>
      <c r="J1346" s="588"/>
    </row>
    <row r="1347" spans="1:10" x14ac:dyDescent="0.3">
      <c r="A1347" s="588"/>
      <c r="B1347" s="588"/>
      <c r="C1347" s="588"/>
      <c r="D1347" s="588"/>
      <c r="E1347" s="588"/>
      <c r="F1347" s="588"/>
      <c r="G1347" s="600"/>
      <c r="H1347" s="588"/>
      <c r="I1347" s="588"/>
      <c r="J1347" s="588"/>
    </row>
    <row r="1348" spans="1:10" x14ac:dyDescent="0.3">
      <c r="A1348" s="588"/>
      <c r="B1348" s="588"/>
      <c r="C1348" s="588"/>
      <c r="D1348" s="588"/>
      <c r="E1348" s="588"/>
      <c r="F1348" s="588"/>
      <c r="G1348" s="600"/>
      <c r="H1348" s="588"/>
      <c r="I1348" s="588"/>
      <c r="J1348" s="588"/>
    </row>
    <row r="1349" spans="1:10" x14ac:dyDescent="0.3">
      <c r="A1349" s="588"/>
      <c r="B1349" s="588"/>
      <c r="C1349" s="588"/>
      <c r="D1349" s="588"/>
      <c r="E1349" s="588"/>
      <c r="F1349" s="588"/>
      <c r="G1349" s="600"/>
      <c r="H1349" s="588"/>
      <c r="I1349" s="588"/>
      <c r="J1349" s="588"/>
    </row>
    <row r="1350" spans="1:10" x14ac:dyDescent="0.3">
      <c r="A1350" s="588"/>
      <c r="B1350" s="588"/>
      <c r="C1350" s="588"/>
      <c r="D1350" s="588"/>
      <c r="E1350" s="588"/>
      <c r="F1350" s="588"/>
      <c r="G1350" s="600"/>
      <c r="H1350" s="588"/>
      <c r="I1350" s="588"/>
      <c r="J1350" s="588"/>
    </row>
    <row r="1351" spans="1:10" x14ac:dyDescent="0.3">
      <c r="A1351" s="588"/>
      <c r="B1351" s="588"/>
      <c r="C1351" s="588"/>
      <c r="D1351" s="588"/>
      <c r="E1351" s="588"/>
      <c r="F1351" s="588"/>
      <c r="G1351" s="600"/>
      <c r="H1351" s="588"/>
      <c r="I1351" s="588"/>
      <c r="J1351" s="588"/>
    </row>
    <row r="1352" spans="1:10" x14ac:dyDescent="0.3">
      <c r="A1352" s="588"/>
      <c r="B1352" s="588"/>
      <c r="C1352" s="588"/>
      <c r="D1352" s="588"/>
      <c r="E1352" s="588"/>
      <c r="F1352" s="588"/>
      <c r="G1352" s="600"/>
      <c r="H1352" s="588"/>
      <c r="I1352" s="588"/>
      <c r="J1352" s="588"/>
    </row>
    <row r="1353" spans="1:10" x14ac:dyDescent="0.3">
      <c r="A1353" s="588"/>
      <c r="B1353" s="588"/>
      <c r="C1353" s="588"/>
      <c r="D1353" s="588"/>
      <c r="E1353" s="588"/>
      <c r="F1353" s="588"/>
      <c r="G1353" s="600"/>
      <c r="H1353" s="588"/>
      <c r="I1353" s="588"/>
      <c r="J1353" s="588"/>
    </row>
    <row r="1354" spans="1:10" x14ac:dyDescent="0.3">
      <c r="A1354" s="588"/>
      <c r="B1354" s="588"/>
      <c r="C1354" s="588"/>
      <c r="D1354" s="588"/>
      <c r="E1354" s="588"/>
      <c r="F1354" s="588"/>
      <c r="G1354" s="600"/>
      <c r="H1354" s="588"/>
      <c r="I1354" s="588"/>
      <c r="J1354" s="588"/>
    </row>
    <row r="1355" spans="1:10" x14ac:dyDescent="0.3">
      <c r="A1355" s="588"/>
      <c r="B1355" s="588"/>
      <c r="C1355" s="588"/>
      <c r="D1355" s="588"/>
      <c r="E1355" s="588"/>
      <c r="F1355" s="588"/>
      <c r="G1355" s="600"/>
      <c r="H1355" s="588"/>
      <c r="I1355" s="588"/>
      <c r="J1355" s="588"/>
    </row>
    <row r="1356" spans="1:10" x14ac:dyDescent="0.3">
      <c r="A1356" s="588"/>
      <c r="B1356" s="588"/>
      <c r="C1356" s="588"/>
      <c r="D1356" s="588"/>
      <c r="E1356" s="588"/>
      <c r="F1356" s="588"/>
      <c r="G1356" s="600"/>
      <c r="H1356" s="588"/>
      <c r="I1356" s="588"/>
      <c r="J1356" s="588"/>
    </row>
    <row r="1357" spans="1:10" x14ac:dyDescent="0.3">
      <c r="A1357" s="588"/>
      <c r="B1357" s="588"/>
      <c r="C1357" s="588"/>
      <c r="D1357" s="588"/>
      <c r="E1357" s="588"/>
      <c r="F1357" s="588"/>
      <c r="G1357" s="600"/>
      <c r="H1357" s="588"/>
      <c r="I1357" s="588"/>
      <c r="J1357" s="588"/>
    </row>
    <row r="1358" spans="1:10" x14ac:dyDescent="0.3">
      <c r="A1358" s="588"/>
      <c r="B1358" s="588"/>
      <c r="C1358" s="588"/>
      <c r="D1358" s="588"/>
      <c r="E1358" s="588"/>
      <c r="F1358" s="588"/>
      <c r="G1358" s="600"/>
      <c r="H1358" s="588"/>
      <c r="I1358" s="588"/>
      <c r="J1358" s="588"/>
    </row>
    <row r="1359" spans="1:10" x14ac:dyDescent="0.3">
      <c r="A1359" s="588"/>
      <c r="B1359" s="588"/>
      <c r="C1359" s="588"/>
      <c r="D1359" s="588"/>
      <c r="E1359" s="588"/>
      <c r="F1359" s="588"/>
      <c r="G1359" s="600"/>
      <c r="H1359" s="588"/>
      <c r="I1359" s="588"/>
      <c r="J1359" s="588"/>
    </row>
    <row r="1360" spans="1:10" x14ac:dyDescent="0.3">
      <c r="A1360" s="588"/>
      <c r="B1360" s="588"/>
      <c r="C1360" s="588"/>
      <c r="D1360" s="588"/>
      <c r="E1360" s="588"/>
      <c r="F1360" s="588"/>
      <c r="G1360" s="600"/>
      <c r="H1360" s="588"/>
      <c r="I1360" s="588"/>
      <c r="J1360" s="588"/>
    </row>
    <row r="1361" spans="1:10" x14ac:dyDescent="0.3">
      <c r="A1361" s="588"/>
      <c r="B1361" s="588"/>
      <c r="C1361" s="588"/>
      <c r="D1361" s="588"/>
      <c r="E1361" s="588"/>
      <c r="F1361" s="588"/>
      <c r="G1361" s="600"/>
      <c r="H1361" s="588"/>
      <c r="I1361" s="588"/>
      <c r="J1361" s="588"/>
    </row>
    <row r="1362" spans="1:10" x14ac:dyDescent="0.3">
      <c r="A1362" s="588"/>
      <c r="B1362" s="588"/>
      <c r="C1362" s="588"/>
      <c r="D1362" s="588"/>
      <c r="E1362" s="588"/>
      <c r="F1362" s="588"/>
      <c r="G1362" s="600"/>
      <c r="H1362" s="588"/>
      <c r="I1362" s="588"/>
      <c r="J1362" s="588"/>
    </row>
    <row r="1363" spans="1:10" x14ac:dyDescent="0.3">
      <c r="A1363" s="588"/>
      <c r="B1363" s="588"/>
      <c r="C1363" s="588"/>
      <c r="D1363" s="588"/>
      <c r="E1363" s="588"/>
      <c r="F1363" s="588"/>
      <c r="G1363" s="600"/>
      <c r="H1363" s="588"/>
      <c r="I1363" s="588"/>
      <c r="J1363" s="588"/>
    </row>
    <row r="1364" spans="1:10" x14ac:dyDescent="0.3">
      <c r="A1364" s="588"/>
      <c r="B1364" s="588"/>
      <c r="C1364" s="588"/>
      <c r="D1364" s="588"/>
      <c r="E1364" s="588"/>
      <c r="F1364" s="588"/>
      <c r="G1364" s="600"/>
      <c r="H1364" s="588"/>
      <c r="I1364" s="588"/>
      <c r="J1364" s="588"/>
    </row>
    <row r="1365" spans="1:10" x14ac:dyDescent="0.3">
      <c r="A1365" s="588"/>
      <c r="B1365" s="588"/>
      <c r="C1365" s="588"/>
      <c r="D1365" s="588"/>
      <c r="E1365" s="588"/>
      <c r="F1365" s="588"/>
      <c r="G1365" s="600"/>
      <c r="H1365" s="588"/>
      <c r="I1365" s="588"/>
      <c r="J1365" s="588"/>
    </row>
    <row r="1366" spans="1:10" x14ac:dyDescent="0.3">
      <c r="A1366" s="588"/>
      <c r="B1366" s="588"/>
      <c r="C1366" s="588"/>
      <c r="D1366" s="588"/>
      <c r="E1366" s="588"/>
      <c r="F1366" s="588"/>
      <c r="G1366" s="600"/>
      <c r="H1366" s="588"/>
      <c r="I1366" s="588"/>
      <c r="J1366" s="588"/>
    </row>
    <row r="1367" spans="1:10" x14ac:dyDescent="0.3">
      <c r="A1367" s="588"/>
      <c r="B1367" s="588"/>
      <c r="C1367" s="588"/>
      <c r="D1367" s="588"/>
      <c r="E1367" s="588"/>
      <c r="F1367" s="588"/>
      <c r="G1367" s="600"/>
      <c r="H1367" s="588"/>
      <c r="I1367" s="588"/>
      <c r="J1367" s="588"/>
    </row>
    <row r="1368" spans="1:10" x14ac:dyDescent="0.3">
      <c r="A1368" s="588"/>
      <c r="B1368" s="588"/>
      <c r="C1368" s="588"/>
      <c r="D1368" s="588"/>
      <c r="E1368" s="588"/>
      <c r="F1368" s="588"/>
      <c r="G1368" s="600"/>
      <c r="H1368" s="588"/>
      <c r="I1368" s="588"/>
      <c r="J1368" s="588"/>
    </row>
    <row r="1369" spans="1:10" x14ac:dyDescent="0.3">
      <c r="A1369" s="588"/>
      <c r="B1369" s="588"/>
      <c r="C1369" s="588"/>
      <c r="D1369" s="588"/>
      <c r="E1369" s="588"/>
      <c r="F1369" s="588"/>
      <c r="G1369" s="600"/>
      <c r="H1369" s="588"/>
      <c r="I1369" s="588"/>
      <c r="J1369" s="588"/>
    </row>
    <row r="1370" spans="1:10" x14ac:dyDescent="0.3">
      <c r="A1370" s="588"/>
      <c r="B1370" s="588"/>
      <c r="C1370" s="588"/>
      <c r="D1370" s="588"/>
      <c r="E1370" s="588"/>
      <c r="F1370" s="588"/>
      <c r="G1370" s="600"/>
      <c r="H1370" s="588"/>
      <c r="I1370" s="588"/>
      <c r="J1370" s="588"/>
    </row>
    <row r="1371" spans="1:10" x14ac:dyDescent="0.3">
      <c r="A1371" s="588"/>
      <c r="B1371" s="588"/>
      <c r="C1371" s="588"/>
      <c r="D1371" s="588"/>
      <c r="E1371" s="588"/>
      <c r="F1371" s="588"/>
      <c r="G1371" s="600"/>
      <c r="H1371" s="588"/>
      <c r="I1371" s="588"/>
      <c r="J1371" s="588"/>
    </row>
    <row r="1372" spans="1:10" x14ac:dyDescent="0.3">
      <c r="A1372" s="588"/>
      <c r="B1372" s="588"/>
      <c r="C1372" s="588"/>
      <c r="D1372" s="588"/>
      <c r="E1372" s="588"/>
      <c r="F1372" s="588"/>
      <c r="G1372" s="600"/>
      <c r="H1372" s="588"/>
      <c r="I1372" s="588"/>
      <c r="J1372" s="588"/>
    </row>
    <row r="1373" spans="1:10" x14ac:dyDescent="0.3">
      <c r="A1373" s="588"/>
      <c r="B1373" s="588"/>
      <c r="C1373" s="588"/>
      <c r="D1373" s="588"/>
      <c r="E1373" s="588"/>
      <c r="F1373" s="588"/>
      <c r="G1373" s="600"/>
      <c r="H1373" s="588"/>
      <c r="I1373" s="588"/>
      <c r="J1373" s="588"/>
    </row>
    <row r="1374" spans="1:10" x14ac:dyDescent="0.3">
      <c r="A1374" s="588"/>
      <c r="B1374" s="588"/>
      <c r="C1374" s="588"/>
      <c r="D1374" s="588"/>
      <c r="E1374" s="588"/>
      <c r="F1374" s="588"/>
      <c r="G1374" s="600"/>
      <c r="H1374" s="588"/>
      <c r="I1374" s="588"/>
      <c r="J1374" s="588"/>
    </row>
    <row r="1375" spans="1:10" x14ac:dyDescent="0.3">
      <c r="A1375" s="588"/>
      <c r="B1375" s="588"/>
      <c r="C1375" s="588"/>
      <c r="D1375" s="588"/>
      <c r="E1375" s="588"/>
      <c r="F1375" s="588"/>
      <c r="G1375" s="600"/>
      <c r="H1375" s="588"/>
      <c r="I1375" s="588"/>
      <c r="J1375" s="588"/>
    </row>
    <row r="1376" spans="1:10" x14ac:dyDescent="0.3">
      <c r="A1376" s="588"/>
      <c r="B1376" s="588"/>
      <c r="C1376" s="588"/>
      <c r="D1376" s="588"/>
      <c r="E1376" s="588"/>
      <c r="F1376" s="588"/>
      <c r="G1376" s="600"/>
      <c r="H1376" s="588"/>
      <c r="I1376" s="588"/>
      <c r="J1376" s="588"/>
    </row>
    <row r="1377" spans="1:10" x14ac:dyDescent="0.3">
      <c r="A1377" s="588"/>
      <c r="B1377" s="588"/>
      <c r="C1377" s="588"/>
      <c r="D1377" s="588"/>
      <c r="E1377" s="588"/>
      <c r="F1377" s="588"/>
      <c r="G1377" s="600"/>
      <c r="H1377" s="588"/>
      <c r="I1377" s="588"/>
      <c r="J1377" s="588"/>
    </row>
    <row r="1378" spans="1:10" x14ac:dyDescent="0.3">
      <c r="A1378" s="588"/>
      <c r="B1378" s="588"/>
      <c r="C1378" s="588"/>
      <c r="D1378" s="588"/>
      <c r="E1378" s="588"/>
      <c r="F1378" s="588"/>
      <c r="G1378" s="600"/>
      <c r="H1378" s="588"/>
      <c r="I1378" s="588"/>
      <c r="J1378" s="588"/>
    </row>
    <row r="1379" spans="1:10" x14ac:dyDescent="0.3">
      <c r="A1379" s="588"/>
      <c r="B1379" s="588"/>
      <c r="C1379" s="588"/>
      <c r="D1379" s="588"/>
      <c r="E1379" s="588"/>
      <c r="F1379" s="588"/>
      <c r="G1379" s="600"/>
      <c r="H1379" s="588"/>
      <c r="I1379" s="588"/>
      <c r="J1379" s="588"/>
    </row>
    <row r="1380" spans="1:10" x14ac:dyDescent="0.3">
      <c r="A1380" s="588"/>
      <c r="B1380" s="588"/>
      <c r="C1380" s="588"/>
      <c r="D1380" s="588"/>
      <c r="E1380" s="588"/>
      <c r="F1380" s="588"/>
      <c r="G1380" s="600"/>
      <c r="H1380" s="588"/>
      <c r="I1380" s="588"/>
      <c r="J1380" s="588"/>
    </row>
    <row r="1381" spans="1:10" x14ac:dyDescent="0.3">
      <c r="A1381" s="588"/>
      <c r="B1381" s="588"/>
      <c r="C1381" s="588"/>
      <c r="D1381" s="588"/>
      <c r="E1381" s="588"/>
      <c r="F1381" s="588"/>
      <c r="G1381" s="600"/>
      <c r="H1381" s="588"/>
      <c r="I1381" s="588"/>
      <c r="J1381" s="588"/>
    </row>
    <row r="1382" spans="1:10" x14ac:dyDescent="0.3">
      <c r="A1382" s="588"/>
      <c r="B1382" s="588"/>
      <c r="C1382" s="588"/>
      <c r="D1382" s="588"/>
      <c r="E1382" s="588"/>
      <c r="F1382" s="588"/>
      <c r="G1382" s="600"/>
      <c r="H1382" s="588"/>
      <c r="I1382" s="588"/>
      <c r="J1382" s="588"/>
    </row>
    <row r="1383" spans="1:10" x14ac:dyDescent="0.3">
      <c r="A1383" s="588"/>
      <c r="B1383" s="588"/>
      <c r="C1383" s="588"/>
      <c r="D1383" s="588"/>
      <c r="E1383" s="588"/>
      <c r="F1383" s="588"/>
      <c r="G1383" s="600"/>
      <c r="H1383" s="588"/>
      <c r="I1383" s="588"/>
      <c r="J1383" s="588"/>
    </row>
    <row r="1384" spans="1:10" x14ac:dyDescent="0.3">
      <c r="A1384" s="588"/>
      <c r="B1384" s="588"/>
      <c r="C1384" s="588"/>
      <c r="D1384" s="588"/>
      <c r="E1384" s="588"/>
      <c r="F1384" s="588"/>
      <c r="G1384" s="600"/>
      <c r="H1384" s="588"/>
      <c r="I1384" s="588"/>
      <c r="J1384" s="588"/>
    </row>
    <row r="1385" spans="1:10" x14ac:dyDescent="0.3">
      <c r="A1385" s="588"/>
      <c r="B1385" s="588"/>
      <c r="C1385" s="588"/>
      <c r="D1385" s="588"/>
      <c r="E1385" s="588"/>
      <c r="F1385" s="588"/>
      <c r="G1385" s="600"/>
      <c r="H1385" s="588"/>
      <c r="I1385" s="588"/>
      <c r="J1385" s="588"/>
    </row>
    <row r="1386" spans="1:10" x14ac:dyDescent="0.3">
      <c r="A1386" s="588"/>
      <c r="B1386" s="588"/>
      <c r="C1386" s="588"/>
      <c r="D1386" s="588"/>
      <c r="E1386" s="588"/>
      <c r="F1386" s="588"/>
      <c r="G1386" s="600"/>
      <c r="H1386" s="588"/>
      <c r="I1386" s="588"/>
      <c r="J1386" s="588"/>
    </row>
    <row r="1387" spans="1:10" x14ac:dyDescent="0.3">
      <c r="A1387" s="588"/>
      <c r="B1387" s="588"/>
      <c r="C1387" s="588"/>
      <c r="D1387" s="588"/>
      <c r="E1387" s="588"/>
      <c r="F1387" s="588"/>
      <c r="G1387" s="600"/>
      <c r="H1387" s="588"/>
      <c r="I1387" s="588"/>
      <c r="J1387" s="588"/>
    </row>
    <row r="1388" spans="1:10" x14ac:dyDescent="0.3">
      <c r="A1388" s="588"/>
      <c r="B1388" s="588"/>
      <c r="C1388" s="588"/>
      <c r="D1388" s="588"/>
      <c r="E1388" s="588"/>
      <c r="F1388" s="588"/>
      <c r="G1388" s="600"/>
      <c r="H1388" s="588"/>
      <c r="I1388" s="588"/>
      <c r="J1388" s="588"/>
    </row>
    <row r="1389" spans="1:10" x14ac:dyDescent="0.3">
      <c r="A1389" s="588"/>
      <c r="B1389" s="588"/>
      <c r="C1389" s="588"/>
      <c r="D1389" s="588"/>
      <c r="E1389" s="588"/>
      <c r="F1389" s="588"/>
      <c r="G1389" s="600"/>
      <c r="H1389" s="588"/>
      <c r="I1389" s="588"/>
      <c r="J1389" s="588"/>
    </row>
    <row r="1390" spans="1:10" x14ac:dyDescent="0.3">
      <c r="A1390" s="588"/>
      <c r="B1390" s="588"/>
      <c r="C1390" s="588"/>
      <c r="D1390" s="588"/>
      <c r="E1390" s="588"/>
      <c r="F1390" s="588"/>
      <c r="G1390" s="600"/>
      <c r="H1390" s="588"/>
      <c r="I1390" s="588"/>
      <c r="J1390" s="588"/>
    </row>
    <row r="1391" spans="1:10" x14ac:dyDescent="0.3">
      <c r="A1391" s="588"/>
      <c r="B1391" s="588"/>
      <c r="C1391" s="588"/>
      <c r="D1391" s="588"/>
      <c r="E1391" s="588"/>
      <c r="F1391" s="588"/>
      <c r="G1391" s="600"/>
      <c r="H1391" s="588"/>
      <c r="I1391" s="588"/>
      <c r="J1391" s="588"/>
    </row>
    <row r="1392" spans="1:10" x14ac:dyDescent="0.3">
      <c r="A1392" s="588"/>
      <c r="B1392" s="588"/>
      <c r="C1392" s="588"/>
      <c r="D1392" s="588"/>
      <c r="E1392" s="588"/>
      <c r="F1392" s="588"/>
      <c r="G1392" s="600"/>
      <c r="H1392" s="588"/>
      <c r="I1392" s="588"/>
      <c r="J1392" s="588"/>
    </row>
    <row r="1393" spans="1:10" x14ac:dyDescent="0.3">
      <c r="A1393" s="588"/>
      <c r="B1393" s="588"/>
      <c r="C1393" s="588"/>
      <c r="D1393" s="588"/>
      <c r="E1393" s="588"/>
      <c r="F1393" s="588"/>
      <c r="G1393" s="600"/>
      <c r="H1393" s="588"/>
      <c r="I1393" s="588"/>
      <c r="J1393" s="588"/>
    </row>
    <row r="1394" spans="1:10" x14ac:dyDescent="0.3">
      <c r="A1394" s="588"/>
      <c r="B1394" s="588"/>
      <c r="C1394" s="588"/>
      <c r="D1394" s="588"/>
      <c r="E1394" s="588"/>
      <c r="F1394" s="588"/>
      <c r="G1394" s="600"/>
      <c r="H1394" s="588"/>
      <c r="I1394" s="588"/>
      <c r="J1394" s="588"/>
    </row>
    <row r="1395" spans="1:10" x14ac:dyDescent="0.3">
      <c r="A1395" s="588"/>
      <c r="B1395" s="588"/>
      <c r="C1395" s="588"/>
      <c r="D1395" s="588"/>
      <c r="E1395" s="588"/>
      <c r="F1395" s="588"/>
      <c r="G1395" s="600"/>
      <c r="H1395" s="588"/>
      <c r="I1395" s="588"/>
      <c r="J1395" s="588"/>
    </row>
    <row r="1396" spans="1:10" x14ac:dyDescent="0.3">
      <c r="A1396" s="588"/>
      <c r="B1396" s="588"/>
      <c r="C1396" s="588"/>
      <c r="D1396" s="588"/>
      <c r="E1396" s="588"/>
      <c r="F1396" s="588"/>
      <c r="G1396" s="600"/>
      <c r="H1396" s="588"/>
      <c r="I1396" s="588"/>
      <c r="J1396" s="588"/>
    </row>
    <row r="1397" spans="1:10" x14ac:dyDescent="0.3">
      <c r="A1397" s="588"/>
      <c r="B1397" s="588"/>
      <c r="C1397" s="588"/>
      <c r="D1397" s="588"/>
      <c r="E1397" s="588"/>
      <c r="F1397" s="588"/>
      <c r="G1397" s="600"/>
      <c r="H1397" s="588"/>
      <c r="I1397" s="588"/>
      <c r="J1397" s="588"/>
    </row>
    <row r="1398" spans="1:10" x14ac:dyDescent="0.3">
      <c r="A1398" s="588"/>
      <c r="B1398" s="588"/>
      <c r="C1398" s="588"/>
      <c r="D1398" s="588"/>
      <c r="E1398" s="588"/>
      <c r="F1398" s="588"/>
      <c r="G1398" s="600"/>
      <c r="H1398" s="588"/>
      <c r="I1398" s="588"/>
      <c r="J1398" s="588"/>
    </row>
    <row r="1399" spans="1:10" x14ac:dyDescent="0.3">
      <c r="A1399" s="588"/>
      <c r="B1399" s="588"/>
      <c r="C1399" s="588"/>
      <c r="D1399" s="588"/>
      <c r="E1399" s="588"/>
      <c r="F1399" s="588"/>
      <c r="G1399" s="600"/>
      <c r="H1399" s="588"/>
      <c r="I1399" s="588"/>
      <c r="J1399" s="588"/>
    </row>
    <row r="1400" spans="1:10" x14ac:dyDescent="0.3">
      <c r="A1400" s="588"/>
      <c r="B1400" s="588"/>
      <c r="C1400" s="588"/>
      <c r="D1400" s="588"/>
      <c r="E1400" s="588"/>
      <c r="F1400" s="588"/>
      <c r="G1400" s="600"/>
      <c r="H1400" s="588"/>
      <c r="I1400" s="588"/>
      <c r="J1400" s="588"/>
    </row>
    <row r="1401" spans="1:10" x14ac:dyDescent="0.3">
      <c r="A1401" s="588"/>
      <c r="B1401" s="588"/>
      <c r="C1401" s="588"/>
      <c r="D1401" s="588"/>
      <c r="E1401" s="588"/>
      <c r="F1401" s="588"/>
      <c r="G1401" s="600"/>
      <c r="H1401" s="588"/>
      <c r="I1401" s="588"/>
      <c r="J1401" s="588"/>
    </row>
    <row r="1402" spans="1:10" x14ac:dyDescent="0.3">
      <c r="A1402" s="588"/>
      <c r="B1402" s="588"/>
      <c r="C1402" s="588"/>
      <c r="D1402" s="588"/>
      <c r="E1402" s="588"/>
      <c r="F1402" s="588"/>
      <c r="G1402" s="600"/>
      <c r="H1402" s="588"/>
      <c r="I1402" s="588"/>
      <c r="J1402" s="588"/>
    </row>
    <row r="1403" spans="1:10" x14ac:dyDescent="0.3">
      <c r="A1403" s="588"/>
      <c r="B1403" s="588"/>
      <c r="C1403" s="588"/>
      <c r="D1403" s="588"/>
      <c r="E1403" s="588"/>
      <c r="F1403" s="588"/>
      <c r="G1403" s="600"/>
      <c r="H1403" s="588"/>
      <c r="I1403" s="588"/>
      <c r="J1403" s="588"/>
    </row>
    <row r="1404" spans="1:10" x14ac:dyDescent="0.3">
      <c r="A1404" s="588"/>
      <c r="B1404" s="588"/>
      <c r="C1404" s="588"/>
      <c r="D1404" s="588"/>
      <c r="E1404" s="588"/>
      <c r="F1404" s="588"/>
      <c r="G1404" s="600"/>
      <c r="H1404" s="588"/>
      <c r="I1404" s="588"/>
      <c r="J1404" s="588"/>
    </row>
    <row r="1405" spans="1:10" x14ac:dyDescent="0.3">
      <c r="A1405" s="588"/>
      <c r="B1405" s="588"/>
      <c r="C1405" s="588"/>
      <c r="D1405" s="588"/>
      <c r="E1405" s="588"/>
      <c r="F1405" s="588"/>
      <c r="G1405" s="600"/>
      <c r="H1405" s="588"/>
      <c r="I1405" s="588"/>
      <c r="J1405" s="588"/>
    </row>
    <row r="1406" spans="1:10" x14ac:dyDescent="0.3">
      <c r="A1406" s="588"/>
      <c r="B1406" s="588"/>
      <c r="C1406" s="588"/>
      <c r="D1406" s="588"/>
      <c r="E1406" s="588"/>
      <c r="F1406" s="588"/>
      <c r="G1406" s="600"/>
      <c r="H1406" s="588"/>
      <c r="I1406" s="588"/>
      <c r="J1406" s="588"/>
    </row>
    <row r="1407" spans="1:10" x14ac:dyDescent="0.3">
      <c r="A1407" s="588"/>
      <c r="B1407" s="588"/>
      <c r="C1407" s="588"/>
      <c r="D1407" s="588"/>
      <c r="E1407" s="588"/>
      <c r="F1407" s="588"/>
      <c r="G1407" s="600"/>
      <c r="H1407" s="588"/>
      <c r="I1407" s="588"/>
      <c r="J1407" s="588"/>
    </row>
    <row r="1408" spans="1:10" x14ac:dyDescent="0.3">
      <c r="A1408" s="588"/>
      <c r="B1408" s="588"/>
      <c r="C1408" s="588"/>
      <c r="D1408" s="588"/>
      <c r="E1408" s="588"/>
      <c r="F1408" s="588"/>
      <c r="G1408" s="600"/>
      <c r="H1408" s="588"/>
      <c r="I1408" s="588"/>
      <c r="J1408" s="588"/>
    </row>
    <row r="1409" spans="1:10" x14ac:dyDescent="0.3">
      <c r="A1409" s="588"/>
      <c r="B1409" s="588"/>
      <c r="C1409" s="588"/>
      <c r="D1409" s="588"/>
      <c r="E1409" s="588"/>
      <c r="F1409" s="588"/>
      <c r="G1409" s="600"/>
      <c r="H1409" s="588"/>
      <c r="I1409" s="588"/>
      <c r="J1409" s="588"/>
    </row>
    <row r="1410" spans="1:10" x14ac:dyDescent="0.3">
      <c r="A1410" s="588"/>
      <c r="B1410" s="588"/>
      <c r="C1410" s="588"/>
      <c r="D1410" s="588"/>
      <c r="E1410" s="588"/>
      <c r="F1410" s="588"/>
      <c r="G1410" s="600"/>
      <c r="H1410" s="588"/>
      <c r="I1410" s="588"/>
      <c r="J1410" s="588"/>
    </row>
    <row r="1411" spans="1:10" x14ac:dyDescent="0.3">
      <c r="A1411" s="588"/>
      <c r="B1411" s="588"/>
      <c r="C1411" s="588"/>
      <c r="D1411" s="588"/>
      <c r="E1411" s="588"/>
      <c r="F1411" s="588"/>
      <c r="G1411" s="600"/>
      <c r="H1411" s="588"/>
      <c r="I1411" s="588"/>
      <c r="J1411" s="588"/>
    </row>
    <row r="1412" spans="1:10" x14ac:dyDescent="0.3">
      <c r="A1412" s="588"/>
      <c r="B1412" s="588"/>
      <c r="C1412" s="588"/>
      <c r="D1412" s="588"/>
      <c r="E1412" s="588"/>
      <c r="F1412" s="588"/>
      <c r="G1412" s="600"/>
      <c r="H1412" s="588"/>
      <c r="I1412" s="588"/>
      <c r="J1412" s="588"/>
    </row>
    <row r="1413" spans="1:10" x14ac:dyDescent="0.3">
      <c r="A1413" s="588"/>
      <c r="B1413" s="588"/>
      <c r="C1413" s="588"/>
      <c r="D1413" s="588"/>
      <c r="E1413" s="588"/>
      <c r="F1413" s="588"/>
      <c r="G1413" s="600"/>
      <c r="H1413" s="588"/>
      <c r="I1413" s="588"/>
      <c r="J1413" s="588"/>
    </row>
    <row r="1414" spans="1:10" x14ac:dyDescent="0.3">
      <c r="A1414" s="588"/>
      <c r="B1414" s="588"/>
      <c r="C1414" s="588"/>
      <c r="D1414" s="588"/>
      <c r="E1414" s="588"/>
      <c r="F1414" s="588"/>
      <c r="G1414" s="600"/>
      <c r="H1414" s="588"/>
      <c r="I1414" s="588"/>
      <c r="J1414" s="588"/>
    </row>
    <row r="1415" spans="1:10" x14ac:dyDescent="0.3">
      <c r="A1415" s="588"/>
      <c r="B1415" s="588"/>
      <c r="C1415" s="588"/>
      <c r="D1415" s="588"/>
      <c r="E1415" s="588"/>
      <c r="F1415" s="588"/>
      <c r="G1415" s="600"/>
      <c r="H1415" s="588"/>
      <c r="I1415" s="588"/>
      <c r="J1415" s="588"/>
    </row>
    <row r="1416" spans="1:10" x14ac:dyDescent="0.3">
      <c r="A1416" s="588"/>
      <c r="B1416" s="588"/>
      <c r="C1416" s="588"/>
      <c r="D1416" s="588"/>
      <c r="E1416" s="588"/>
      <c r="F1416" s="588"/>
      <c r="G1416" s="600"/>
      <c r="H1416" s="588"/>
      <c r="I1416" s="588"/>
      <c r="J1416" s="588"/>
    </row>
    <row r="1417" spans="1:10" x14ac:dyDescent="0.3">
      <c r="A1417" s="588"/>
      <c r="B1417" s="588"/>
      <c r="C1417" s="588"/>
      <c r="D1417" s="588"/>
      <c r="E1417" s="588"/>
      <c r="F1417" s="588"/>
      <c r="G1417" s="600"/>
      <c r="H1417" s="588"/>
      <c r="I1417" s="588"/>
      <c r="J1417" s="588"/>
    </row>
    <row r="1418" spans="1:10" x14ac:dyDescent="0.3">
      <c r="A1418" s="588"/>
      <c r="B1418" s="588"/>
      <c r="C1418" s="588"/>
      <c r="D1418" s="588"/>
      <c r="E1418" s="588"/>
      <c r="F1418" s="588"/>
      <c r="G1418" s="600"/>
      <c r="H1418" s="588"/>
      <c r="I1418" s="588"/>
      <c r="J1418" s="588"/>
    </row>
    <row r="1419" spans="1:10" x14ac:dyDescent="0.3">
      <c r="A1419" s="588"/>
      <c r="B1419" s="588"/>
      <c r="C1419" s="588"/>
      <c r="D1419" s="588"/>
      <c r="E1419" s="588"/>
      <c r="F1419" s="588"/>
      <c r="G1419" s="600"/>
      <c r="H1419" s="588"/>
      <c r="I1419" s="588"/>
      <c r="J1419" s="588"/>
    </row>
    <row r="1420" spans="1:10" x14ac:dyDescent="0.3">
      <c r="A1420" s="588"/>
      <c r="B1420" s="588"/>
      <c r="C1420" s="588"/>
      <c r="D1420" s="588"/>
      <c r="E1420" s="588"/>
      <c r="F1420" s="588"/>
      <c r="G1420" s="600"/>
      <c r="H1420" s="588"/>
      <c r="I1420" s="588"/>
      <c r="J1420" s="588"/>
    </row>
    <row r="1421" spans="1:10" x14ac:dyDescent="0.3">
      <c r="A1421" s="588"/>
      <c r="B1421" s="588"/>
      <c r="C1421" s="588"/>
      <c r="D1421" s="588"/>
      <c r="E1421" s="588"/>
      <c r="F1421" s="588"/>
      <c r="G1421" s="600"/>
      <c r="H1421" s="588"/>
      <c r="I1421" s="588"/>
      <c r="J1421" s="588"/>
    </row>
    <row r="1422" spans="1:10" x14ac:dyDescent="0.3">
      <c r="A1422" s="588"/>
      <c r="B1422" s="588"/>
      <c r="C1422" s="588"/>
      <c r="D1422" s="588"/>
      <c r="E1422" s="588"/>
      <c r="F1422" s="588"/>
      <c r="G1422" s="600"/>
      <c r="H1422" s="588"/>
      <c r="I1422" s="588"/>
      <c r="J1422" s="588"/>
    </row>
    <row r="1423" spans="1:10" x14ac:dyDescent="0.3">
      <c r="A1423" s="588"/>
      <c r="B1423" s="588"/>
      <c r="C1423" s="588"/>
      <c r="D1423" s="588"/>
      <c r="E1423" s="588"/>
      <c r="F1423" s="588"/>
      <c r="G1423" s="600"/>
      <c r="H1423" s="588"/>
      <c r="I1423" s="588"/>
      <c r="J1423" s="588"/>
    </row>
    <row r="1424" spans="1:10" x14ac:dyDescent="0.3">
      <c r="A1424" s="588"/>
      <c r="B1424" s="588"/>
      <c r="C1424" s="588"/>
      <c r="D1424" s="588"/>
      <c r="E1424" s="588"/>
      <c r="F1424" s="588"/>
      <c r="G1424" s="600"/>
      <c r="H1424" s="588"/>
      <c r="I1424" s="588"/>
      <c r="J1424" s="588"/>
    </row>
    <row r="1425" spans="1:10" x14ac:dyDescent="0.3">
      <c r="A1425" s="588"/>
      <c r="B1425" s="588"/>
      <c r="C1425" s="588"/>
      <c r="D1425" s="588"/>
      <c r="E1425" s="588"/>
      <c r="F1425" s="588"/>
      <c r="G1425" s="600"/>
      <c r="H1425" s="588"/>
      <c r="I1425" s="588"/>
      <c r="J1425" s="588"/>
    </row>
    <row r="1426" spans="1:10" x14ac:dyDescent="0.3">
      <c r="A1426" s="588"/>
      <c r="B1426" s="588"/>
      <c r="C1426" s="588"/>
      <c r="D1426" s="588"/>
      <c r="E1426" s="588"/>
      <c r="F1426" s="588"/>
      <c r="G1426" s="600"/>
      <c r="H1426" s="588"/>
      <c r="I1426" s="588"/>
      <c r="J1426" s="588"/>
    </row>
    <row r="1427" spans="1:10" x14ac:dyDescent="0.3">
      <c r="A1427" s="588"/>
      <c r="B1427" s="588"/>
      <c r="C1427" s="588"/>
      <c r="D1427" s="588"/>
      <c r="E1427" s="588"/>
      <c r="F1427" s="588"/>
      <c r="G1427" s="600"/>
      <c r="H1427" s="588"/>
      <c r="I1427" s="588"/>
      <c r="J1427" s="588"/>
    </row>
    <row r="1428" spans="1:10" x14ac:dyDescent="0.3">
      <c r="A1428" s="588"/>
      <c r="B1428" s="588"/>
      <c r="C1428" s="588"/>
      <c r="D1428" s="588"/>
      <c r="E1428" s="588"/>
      <c r="F1428" s="588"/>
      <c r="G1428" s="600"/>
      <c r="H1428" s="588"/>
      <c r="I1428" s="588"/>
      <c r="J1428" s="588"/>
    </row>
    <row r="1429" spans="1:10" x14ac:dyDescent="0.3">
      <c r="A1429" s="588"/>
      <c r="B1429" s="588"/>
      <c r="C1429" s="588"/>
      <c r="D1429" s="588"/>
      <c r="E1429" s="588"/>
      <c r="F1429" s="588"/>
      <c r="G1429" s="600"/>
      <c r="H1429" s="588"/>
      <c r="I1429" s="588"/>
      <c r="J1429" s="588"/>
    </row>
    <row r="1430" spans="1:10" x14ac:dyDescent="0.3">
      <c r="A1430" s="588"/>
      <c r="B1430" s="588"/>
      <c r="C1430" s="588"/>
      <c r="D1430" s="588"/>
      <c r="E1430" s="588"/>
      <c r="F1430" s="588"/>
      <c r="G1430" s="600"/>
      <c r="H1430" s="588"/>
      <c r="I1430" s="588"/>
      <c r="J1430" s="588"/>
    </row>
    <row r="1431" spans="1:10" x14ac:dyDescent="0.3">
      <c r="A1431" s="588"/>
      <c r="B1431" s="588"/>
      <c r="C1431" s="588"/>
      <c r="D1431" s="588"/>
      <c r="E1431" s="588"/>
      <c r="F1431" s="588"/>
      <c r="G1431" s="600"/>
      <c r="H1431" s="588"/>
      <c r="I1431" s="588"/>
      <c r="J1431" s="588"/>
    </row>
    <row r="1432" spans="1:10" x14ac:dyDescent="0.3">
      <c r="A1432" s="588"/>
      <c r="B1432" s="588"/>
      <c r="C1432" s="588"/>
      <c r="D1432" s="588"/>
      <c r="E1432" s="588"/>
      <c r="F1432" s="588"/>
      <c r="G1432" s="600"/>
      <c r="H1432" s="588"/>
      <c r="I1432" s="588"/>
      <c r="J1432" s="588"/>
    </row>
    <row r="1433" spans="1:10" x14ac:dyDescent="0.3">
      <c r="A1433" s="588"/>
      <c r="B1433" s="588"/>
      <c r="C1433" s="588"/>
      <c r="D1433" s="588"/>
      <c r="E1433" s="588"/>
      <c r="F1433" s="588"/>
      <c r="G1433" s="600"/>
      <c r="H1433" s="588"/>
      <c r="I1433" s="588"/>
      <c r="J1433" s="588"/>
    </row>
    <row r="1434" spans="1:10" x14ac:dyDescent="0.3">
      <c r="A1434" s="588"/>
      <c r="B1434" s="588"/>
      <c r="C1434" s="588"/>
      <c r="D1434" s="588"/>
      <c r="E1434" s="588"/>
      <c r="F1434" s="588"/>
      <c r="G1434" s="600"/>
      <c r="H1434" s="588"/>
      <c r="I1434" s="588"/>
      <c r="J1434" s="588"/>
    </row>
    <row r="1435" spans="1:10" x14ac:dyDescent="0.3">
      <c r="A1435" s="588"/>
      <c r="B1435" s="588"/>
      <c r="C1435" s="588"/>
      <c r="D1435" s="588"/>
      <c r="E1435" s="588"/>
      <c r="F1435" s="588"/>
      <c r="G1435" s="600"/>
      <c r="H1435" s="588"/>
      <c r="I1435" s="588"/>
      <c r="J1435" s="588"/>
    </row>
    <row r="1436" spans="1:10" x14ac:dyDescent="0.3">
      <c r="A1436" s="588"/>
      <c r="B1436" s="588"/>
      <c r="C1436" s="588"/>
      <c r="D1436" s="588"/>
      <c r="E1436" s="588"/>
      <c r="F1436" s="588"/>
      <c r="G1436" s="600"/>
      <c r="H1436" s="588"/>
      <c r="I1436" s="588"/>
      <c r="J1436" s="588"/>
    </row>
    <row r="1437" spans="1:10" x14ac:dyDescent="0.3">
      <c r="A1437" s="588"/>
      <c r="B1437" s="588"/>
      <c r="C1437" s="588"/>
      <c r="D1437" s="588"/>
      <c r="E1437" s="588"/>
      <c r="F1437" s="588"/>
      <c r="G1437" s="600"/>
      <c r="H1437" s="588"/>
      <c r="I1437" s="588"/>
      <c r="J1437" s="588"/>
    </row>
    <row r="1438" spans="1:10" x14ac:dyDescent="0.3">
      <c r="A1438" s="588"/>
      <c r="B1438" s="588"/>
      <c r="C1438" s="588"/>
      <c r="D1438" s="588"/>
      <c r="E1438" s="588"/>
      <c r="F1438" s="588"/>
      <c r="G1438" s="600"/>
      <c r="H1438" s="588"/>
      <c r="I1438" s="588"/>
      <c r="J1438" s="588"/>
    </row>
    <row r="1439" spans="1:10" x14ac:dyDescent="0.3">
      <c r="A1439" s="588"/>
      <c r="B1439" s="588"/>
      <c r="C1439" s="588"/>
      <c r="D1439" s="588"/>
      <c r="E1439" s="588"/>
      <c r="F1439" s="588"/>
      <c r="G1439" s="600"/>
      <c r="H1439" s="588"/>
      <c r="I1439" s="588"/>
      <c r="J1439" s="588"/>
    </row>
    <row r="1440" spans="1:10" x14ac:dyDescent="0.3">
      <c r="A1440" s="588"/>
      <c r="B1440" s="588"/>
      <c r="C1440" s="588"/>
      <c r="D1440" s="588"/>
      <c r="E1440" s="588"/>
      <c r="F1440" s="588"/>
      <c r="G1440" s="600"/>
      <c r="H1440" s="588"/>
      <c r="I1440" s="588"/>
      <c r="J1440" s="588"/>
    </row>
    <row r="1441" spans="1:10" x14ac:dyDescent="0.3">
      <c r="A1441" s="588"/>
      <c r="B1441" s="588"/>
      <c r="C1441" s="588"/>
      <c r="D1441" s="588"/>
      <c r="E1441" s="588"/>
      <c r="F1441" s="588"/>
      <c r="G1441" s="600"/>
      <c r="H1441" s="588"/>
      <c r="I1441" s="588"/>
      <c r="J1441" s="588"/>
    </row>
    <row r="1442" spans="1:10" x14ac:dyDescent="0.3">
      <c r="A1442" s="588"/>
      <c r="B1442" s="588"/>
      <c r="C1442" s="588"/>
      <c r="D1442" s="588"/>
      <c r="E1442" s="588"/>
      <c r="F1442" s="588"/>
      <c r="G1442" s="600"/>
      <c r="H1442" s="588"/>
      <c r="I1442" s="588"/>
      <c r="J1442" s="588"/>
    </row>
    <row r="1443" spans="1:10" x14ac:dyDescent="0.3">
      <c r="A1443" s="588"/>
      <c r="B1443" s="588"/>
      <c r="C1443" s="588"/>
      <c r="D1443" s="588"/>
      <c r="E1443" s="588"/>
      <c r="F1443" s="588"/>
      <c r="G1443" s="600"/>
      <c r="H1443" s="588"/>
      <c r="I1443" s="588"/>
      <c r="J1443" s="588"/>
    </row>
    <row r="1444" spans="1:10" x14ac:dyDescent="0.3">
      <c r="A1444" s="588"/>
      <c r="B1444" s="588"/>
      <c r="C1444" s="588"/>
      <c r="D1444" s="588"/>
      <c r="E1444" s="588"/>
      <c r="F1444" s="588"/>
      <c r="G1444" s="600"/>
      <c r="H1444" s="588"/>
      <c r="I1444" s="588"/>
      <c r="J1444" s="588"/>
    </row>
    <row r="1445" spans="1:10" x14ac:dyDescent="0.3">
      <c r="A1445" s="588"/>
      <c r="B1445" s="588"/>
      <c r="C1445" s="588"/>
      <c r="D1445" s="588"/>
      <c r="E1445" s="588"/>
      <c r="F1445" s="588"/>
      <c r="G1445" s="600"/>
      <c r="H1445" s="588"/>
      <c r="I1445" s="588"/>
      <c r="J1445" s="588"/>
    </row>
    <row r="1446" spans="1:10" x14ac:dyDescent="0.3">
      <c r="A1446" s="588"/>
      <c r="B1446" s="588"/>
      <c r="C1446" s="588"/>
      <c r="D1446" s="588"/>
      <c r="E1446" s="588"/>
      <c r="F1446" s="588"/>
      <c r="G1446" s="600"/>
      <c r="H1446" s="588"/>
      <c r="I1446" s="588"/>
      <c r="J1446" s="588"/>
    </row>
    <row r="1447" spans="1:10" x14ac:dyDescent="0.3">
      <c r="A1447" s="588"/>
      <c r="B1447" s="588"/>
      <c r="C1447" s="588"/>
      <c r="D1447" s="588"/>
      <c r="E1447" s="588"/>
      <c r="F1447" s="588"/>
      <c r="G1447" s="600"/>
      <c r="H1447" s="588"/>
      <c r="I1447" s="588"/>
      <c r="J1447" s="588"/>
    </row>
    <row r="1448" spans="1:10" x14ac:dyDescent="0.3">
      <c r="A1448" s="588"/>
      <c r="B1448" s="588"/>
      <c r="C1448" s="588"/>
      <c r="D1448" s="588"/>
      <c r="E1448" s="588"/>
      <c r="F1448" s="588"/>
      <c r="G1448" s="600"/>
      <c r="H1448" s="588"/>
      <c r="I1448" s="588"/>
      <c r="J1448" s="588"/>
    </row>
    <row r="1449" spans="1:10" x14ac:dyDescent="0.3">
      <c r="A1449" s="588"/>
      <c r="B1449" s="588"/>
      <c r="C1449" s="588"/>
      <c r="D1449" s="588"/>
      <c r="E1449" s="588"/>
      <c r="F1449" s="588"/>
      <c r="G1449" s="600"/>
      <c r="H1449" s="588"/>
      <c r="I1449" s="588"/>
      <c r="J1449" s="588"/>
    </row>
    <row r="1450" spans="1:10" x14ac:dyDescent="0.3">
      <c r="A1450" s="588"/>
      <c r="B1450" s="588"/>
      <c r="C1450" s="588"/>
      <c r="D1450" s="588"/>
      <c r="E1450" s="588"/>
      <c r="F1450" s="588"/>
      <c r="G1450" s="600"/>
      <c r="H1450" s="588"/>
      <c r="I1450" s="588"/>
      <c r="J1450" s="588"/>
    </row>
    <row r="1451" spans="1:10" x14ac:dyDescent="0.3">
      <c r="A1451" s="588"/>
      <c r="B1451" s="588"/>
      <c r="C1451" s="588"/>
      <c r="D1451" s="588"/>
      <c r="E1451" s="588"/>
      <c r="F1451" s="588"/>
      <c r="G1451" s="600"/>
      <c r="H1451" s="588"/>
      <c r="I1451" s="588"/>
      <c r="J1451" s="588"/>
    </row>
    <row r="1452" spans="1:10" x14ac:dyDescent="0.3">
      <c r="A1452" s="588"/>
      <c r="B1452" s="588"/>
      <c r="C1452" s="588"/>
      <c r="D1452" s="588"/>
      <c r="E1452" s="588"/>
      <c r="F1452" s="588"/>
      <c r="G1452" s="600"/>
      <c r="H1452" s="588"/>
      <c r="I1452" s="588"/>
      <c r="J1452" s="588"/>
    </row>
    <row r="1453" spans="1:10" x14ac:dyDescent="0.3">
      <c r="A1453" s="588"/>
      <c r="B1453" s="588"/>
      <c r="C1453" s="588"/>
      <c r="D1453" s="588"/>
      <c r="E1453" s="588"/>
      <c r="F1453" s="588"/>
      <c r="G1453" s="600"/>
      <c r="H1453" s="588"/>
      <c r="I1453" s="588"/>
      <c r="J1453" s="588"/>
    </row>
    <row r="1454" spans="1:10" x14ac:dyDescent="0.3">
      <c r="A1454" s="588"/>
      <c r="B1454" s="588"/>
      <c r="C1454" s="588"/>
      <c r="D1454" s="588"/>
      <c r="E1454" s="588"/>
      <c r="F1454" s="588"/>
      <c r="G1454" s="600"/>
      <c r="H1454" s="588"/>
      <c r="I1454" s="588"/>
      <c r="J1454" s="588"/>
    </row>
    <row r="1455" spans="1:10" x14ac:dyDescent="0.3">
      <c r="A1455" s="588"/>
      <c r="B1455" s="588"/>
      <c r="C1455" s="588"/>
      <c r="D1455" s="588"/>
      <c r="E1455" s="588"/>
      <c r="F1455" s="588"/>
      <c r="G1455" s="600"/>
      <c r="H1455" s="588"/>
      <c r="I1455" s="588"/>
      <c r="J1455" s="588"/>
    </row>
    <row r="1456" spans="1:10" x14ac:dyDescent="0.3">
      <c r="A1456" s="588"/>
      <c r="B1456" s="588"/>
      <c r="C1456" s="588"/>
      <c r="D1456" s="588"/>
      <c r="E1456" s="588"/>
      <c r="F1456" s="588"/>
      <c r="G1456" s="600"/>
      <c r="H1456" s="588"/>
      <c r="I1456" s="588"/>
      <c r="J1456" s="588"/>
    </row>
    <row r="1457" spans="1:10" x14ac:dyDescent="0.3">
      <c r="A1457" s="588"/>
      <c r="B1457" s="588"/>
      <c r="C1457" s="588"/>
      <c r="D1457" s="588"/>
      <c r="E1457" s="588"/>
      <c r="F1457" s="588"/>
      <c r="G1457" s="600"/>
      <c r="H1457" s="588"/>
      <c r="I1457" s="588"/>
      <c r="J1457" s="588"/>
    </row>
    <row r="1458" spans="1:10" x14ac:dyDescent="0.3">
      <c r="A1458" s="588"/>
      <c r="B1458" s="588"/>
      <c r="C1458" s="588"/>
      <c r="D1458" s="588"/>
      <c r="E1458" s="588"/>
      <c r="F1458" s="588"/>
      <c r="G1458" s="600"/>
      <c r="H1458" s="588"/>
      <c r="I1458" s="588"/>
      <c r="J1458" s="588"/>
    </row>
    <row r="1459" spans="1:10" x14ac:dyDescent="0.3">
      <c r="A1459" s="588"/>
      <c r="B1459" s="588"/>
      <c r="C1459" s="588"/>
      <c r="D1459" s="588"/>
      <c r="E1459" s="588"/>
      <c r="F1459" s="588"/>
      <c r="G1459" s="600"/>
      <c r="H1459" s="588"/>
      <c r="I1459" s="588"/>
      <c r="J1459" s="588"/>
    </row>
    <row r="1460" spans="1:10" x14ac:dyDescent="0.3">
      <c r="A1460" s="588"/>
      <c r="B1460" s="588"/>
      <c r="C1460" s="588"/>
      <c r="D1460" s="588"/>
      <c r="E1460" s="588"/>
      <c r="F1460" s="588"/>
      <c r="G1460" s="600"/>
      <c r="H1460" s="588"/>
      <c r="I1460" s="588"/>
      <c r="J1460" s="588"/>
    </row>
    <row r="1461" spans="1:10" x14ac:dyDescent="0.3">
      <c r="A1461" s="588"/>
      <c r="B1461" s="588"/>
      <c r="C1461" s="588"/>
      <c r="D1461" s="588"/>
      <c r="E1461" s="588"/>
      <c r="F1461" s="588"/>
      <c r="G1461" s="600"/>
      <c r="H1461" s="588"/>
      <c r="I1461" s="588"/>
      <c r="J1461" s="588"/>
    </row>
    <row r="1462" spans="1:10" x14ac:dyDescent="0.3">
      <c r="A1462" s="588"/>
      <c r="B1462" s="588"/>
      <c r="C1462" s="588"/>
      <c r="D1462" s="588"/>
      <c r="E1462" s="588"/>
      <c r="F1462" s="588"/>
      <c r="G1462" s="600"/>
      <c r="H1462" s="588"/>
      <c r="I1462" s="588"/>
      <c r="J1462" s="588"/>
    </row>
    <row r="1463" spans="1:10" x14ac:dyDescent="0.3">
      <c r="A1463" s="588"/>
      <c r="B1463" s="588"/>
      <c r="C1463" s="588"/>
      <c r="D1463" s="588"/>
      <c r="E1463" s="588"/>
      <c r="F1463" s="588"/>
      <c r="G1463" s="600"/>
      <c r="H1463" s="588"/>
      <c r="I1463" s="588"/>
      <c r="J1463" s="588"/>
    </row>
    <row r="1464" spans="1:10" x14ac:dyDescent="0.3">
      <c r="A1464" s="588"/>
      <c r="B1464" s="588"/>
      <c r="C1464" s="588"/>
      <c r="D1464" s="588"/>
      <c r="E1464" s="588"/>
      <c r="F1464" s="588"/>
      <c r="G1464" s="600"/>
      <c r="H1464" s="588"/>
      <c r="I1464" s="588"/>
      <c r="J1464" s="588"/>
    </row>
    <row r="1465" spans="1:10" x14ac:dyDescent="0.3">
      <c r="A1465" s="588"/>
      <c r="B1465" s="588"/>
      <c r="C1465" s="588"/>
      <c r="D1465" s="588"/>
      <c r="E1465" s="588"/>
      <c r="F1465" s="588"/>
      <c r="G1465" s="600"/>
      <c r="H1465" s="588"/>
      <c r="I1465" s="588"/>
      <c r="J1465" s="588"/>
    </row>
    <row r="1466" spans="1:10" x14ac:dyDescent="0.3">
      <c r="A1466" s="588"/>
      <c r="B1466" s="588"/>
      <c r="C1466" s="588"/>
      <c r="D1466" s="588"/>
      <c r="E1466" s="588"/>
      <c r="F1466" s="588"/>
      <c r="G1466" s="600"/>
      <c r="H1466" s="588"/>
      <c r="I1466" s="588"/>
      <c r="J1466" s="588"/>
    </row>
    <row r="1467" spans="1:10" x14ac:dyDescent="0.3">
      <c r="A1467" s="588"/>
      <c r="B1467" s="588"/>
      <c r="C1467" s="588"/>
      <c r="D1467" s="588"/>
      <c r="E1467" s="588"/>
      <c r="F1467" s="588"/>
      <c r="G1467" s="600"/>
      <c r="H1467" s="588"/>
      <c r="I1467" s="588"/>
      <c r="J1467" s="588"/>
    </row>
    <row r="1468" spans="1:10" x14ac:dyDescent="0.3">
      <c r="A1468" s="588"/>
      <c r="B1468" s="588"/>
      <c r="C1468" s="588"/>
      <c r="D1468" s="588"/>
      <c r="E1468" s="588"/>
      <c r="F1468" s="588"/>
      <c r="G1468" s="600"/>
      <c r="H1468" s="588"/>
      <c r="I1468" s="588"/>
      <c r="J1468" s="588"/>
    </row>
    <row r="1469" spans="1:10" x14ac:dyDescent="0.3">
      <c r="A1469" s="588"/>
      <c r="B1469" s="588"/>
      <c r="C1469" s="588"/>
      <c r="D1469" s="588"/>
      <c r="E1469" s="588"/>
      <c r="F1469" s="588"/>
      <c r="G1469" s="600"/>
      <c r="H1469" s="588"/>
      <c r="I1469" s="588"/>
      <c r="J1469" s="588"/>
    </row>
    <row r="1470" spans="1:10" x14ac:dyDescent="0.3">
      <c r="A1470" s="588"/>
      <c r="B1470" s="588"/>
      <c r="C1470" s="588"/>
      <c r="D1470" s="588"/>
      <c r="E1470" s="588"/>
      <c r="F1470" s="588"/>
      <c r="G1470" s="600"/>
      <c r="H1470" s="588"/>
      <c r="I1470" s="588"/>
      <c r="J1470" s="588"/>
    </row>
    <row r="1471" spans="1:10" x14ac:dyDescent="0.3">
      <c r="A1471" s="588"/>
      <c r="B1471" s="588"/>
      <c r="C1471" s="588"/>
      <c r="D1471" s="588"/>
      <c r="E1471" s="588"/>
      <c r="F1471" s="588"/>
      <c r="G1471" s="600"/>
      <c r="H1471" s="588"/>
      <c r="I1471" s="588"/>
      <c r="J1471" s="588"/>
    </row>
    <row r="1472" spans="1:10" x14ac:dyDescent="0.3">
      <c r="A1472" s="588"/>
      <c r="B1472" s="588"/>
      <c r="C1472" s="588"/>
      <c r="D1472" s="588"/>
      <c r="E1472" s="588"/>
      <c r="F1472" s="588"/>
      <c r="G1472" s="600"/>
      <c r="H1472" s="588"/>
      <c r="I1472" s="588"/>
      <c r="J1472" s="588"/>
    </row>
    <row r="1473" spans="1:10" x14ac:dyDescent="0.3">
      <c r="A1473" s="588"/>
      <c r="B1473" s="588"/>
      <c r="C1473" s="588"/>
      <c r="D1473" s="588"/>
      <c r="E1473" s="588"/>
      <c r="F1473" s="588"/>
      <c r="G1473" s="600"/>
      <c r="H1473" s="588"/>
      <c r="I1473" s="588"/>
      <c r="J1473" s="588"/>
    </row>
    <row r="1474" spans="1:10" x14ac:dyDescent="0.3">
      <c r="A1474" s="588"/>
      <c r="B1474" s="588"/>
      <c r="C1474" s="588"/>
      <c r="D1474" s="588"/>
      <c r="E1474" s="588"/>
      <c r="F1474" s="588"/>
      <c r="G1474" s="600"/>
      <c r="H1474" s="588"/>
      <c r="I1474" s="588"/>
      <c r="J1474" s="588"/>
    </row>
    <row r="1475" spans="1:10" x14ac:dyDescent="0.3">
      <c r="A1475" s="588"/>
      <c r="B1475" s="588"/>
      <c r="C1475" s="588"/>
      <c r="D1475" s="588"/>
      <c r="E1475" s="588"/>
      <c r="F1475" s="588"/>
      <c r="G1475" s="600"/>
      <c r="H1475" s="588"/>
      <c r="I1475" s="588"/>
      <c r="J1475" s="588"/>
    </row>
    <row r="1476" spans="1:10" x14ac:dyDescent="0.3">
      <c r="A1476" s="588"/>
      <c r="B1476" s="588"/>
      <c r="C1476" s="588"/>
      <c r="D1476" s="588"/>
      <c r="E1476" s="588"/>
      <c r="F1476" s="588"/>
      <c r="G1476" s="600"/>
      <c r="H1476" s="588"/>
      <c r="I1476" s="588"/>
      <c r="J1476" s="588"/>
    </row>
    <row r="1477" spans="1:10" x14ac:dyDescent="0.3">
      <c r="A1477" s="588"/>
      <c r="B1477" s="588"/>
      <c r="C1477" s="588"/>
      <c r="D1477" s="588"/>
      <c r="E1477" s="588"/>
      <c r="F1477" s="588"/>
      <c r="G1477" s="600"/>
      <c r="H1477" s="588"/>
      <c r="I1477" s="588"/>
      <c r="J1477" s="588"/>
    </row>
    <row r="1478" spans="1:10" x14ac:dyDescent="0.3">
      <c r="A1478" s="588"/>
      <c r="B1478" s="588"/>
      <c r="C1478" s="588"/>
      <c r="D1478" s="588"/>
      <c r="E1478" s="588"/>
      <c r="F1478" s="588"/>
      <c r="G1478" s="600"/>
      <c r="H1478" s="588"/>
      <c r="I1478" s="588"/>
      <c r="J1478" s="588"/>
    </row>
    <row r="1479" spans="1:10" x14ac:dyDescent="0.3">
      <c r="A1479" s="588"/>
      <c r="B1479" s="588"/>
      <c r="C1479" s="588"/>
      <c r="D1479" s="588"/>
      <c r="E1479" s="588"/>
      <c r="F1479" s="588"/>
      <c r="G1479" s="600"/>
      <c r="H1479" s="588"/>
      <c r="I1479" s="588"/>
      <c r="J1479" s="588"/>
    </row>
    <row r="1480" spans="1:10" x14ac:dyDescent="0.3">
      <c r="A1480" s="588"/>
      <c r="B1480" s="588"/>
      <c r="C1480" s="588"/>
      <c r="D1480" s="588"/>
      <c r="E1480" s="588"/>
      <c r="F1480" s="588"/>
      <c r="G1480" s="600"/>
      <c r="H1480" s="588"/>
      <c r="I1480" s="588"/>
      <c r="J1480" s="588"/>
    </row>
    <row r="1481" spans="1:10" x14ac:dyDescent="0.3">
      <c r="A1481" s="588"/>
      <c r="B1481" s="588"/>
      <c r="C1481" s="588"/>
      <c r="D1481" s="588"/>
      <c r="E1481" s="588"/>
      <c r="F1481" s="588"/>
      <c r="G1481" s="600"/>
      <c r="H1481" s="588"/>
      <c r="I1481" s="588"/>
      <c r="J1481" s="588"/>
    </row>
    <row r="1482" spans="1:10" x14ac:dyDescent="0.3">
      <c r="A1482" s="588"/>
      <c r="B1482" s="588"/>
      <c r="C1482" s="588"/>
      <c r="D1482" s="588"/>
      <c r="E1482" s="588"/>
      <c r="F1482" s="588"/>
      <c r="G1482" s="600"/>
      <c r="H1482" s="588"/>
      <c r="I1482" s="588"/>
      <c r="J1482" s="588"/>
    </row>
    <row r="1483" spans="1:10" x14ac:dyDescent="0.3">
      <c r="A1483" s="588"/>
      <c r="B1483" s="588"/>
      <c r="C1483" s="588"/>
      <c r="D1483" s="588"/>
      <c r="E1483" s="588"/>
      <c r="F1483" s="588"/>
      <c r="G1483" s="600"/>
      <c r="H1483" s="588"/>
      <c r="I1483" s="588"/>
      <c r="J1483" s="588"/>
    </row>
    <row r="1484" spans="1:10" x14ac:dyDescent="0.3">
      <c r="A1484" s="588"/>
      <c r="B1484" s="588"/>
      <c r="C1484" s="588"/>
      <c r="D1484" s="588"/>
      <c r="E1484" s="588"/>
      <c r="F1484" s="588"/>
      <c r="G1484" s="600"/>
      <c r="H1484" s="588"/>
      <c r="I1484" s="588"/>
      <c r="J1484" s="588"/>
    </row>
    <row r="1485" spans="1:10" x14ac:dyDescent="0.3">
      <c r="A1485" s="588"/>
      <c r="B1485" s="588"/>
      <c r="C1485" s="588"/>
      <c r="D1485" s="588"/>
      <c r="E1485" s="588"/>
      <c r="F1485" s="588"/>
      <c r="G1485" s="600"/>
      <c r="H1485" s="588"/>
      <c r="I1485" s="588"/>
      <c r="J1485" s="588"/>
    </row>
    <row r="1486" spans="1:10" x14ac:dyDescent="0.3">
      <c r="A1486" s="588"/>
      <c r="B1486" s="588"/>
      <c r="C1486" s="588"/>
      <c r="D1486" s="588"/>
      <c r="E1486" s="588"/>
      <c r="F1486" s="588"/>
      <c r="G1486" s="600"/>
      <c r="H1486" s="588"/>
      <c r="I1486" s="588"/>
      <c r="J1486" s="588"/>
    </row>
    <row r="1487" spans="1:10" x14ac:dyDescent="0.3">
      <c r="A1487" s="588"/>
      <c r="B1487" s="588"/>
      <c r="C1487" s="588"/>
      <c r="D1487" s="588"/>
      <c r="E1487" s="588"/>
      <c r="F1487" s="588"/>
      <c r="G1487" s="600"/>
      <c r="H1487" s="588"/>
      <c r="I1487" s="588"/>
      <c r="J1487" s="588"/>
    </row>
    <row r="1488" spans="1:10" x14ac:dyDescent="0.3">
      <c r="A1488" s="588"/>
      <c r="B1488" s="588"/>
      <c r="C1488" s="588"/>
      <c r="D1488" s="588"/>
      <c r="E1488" s="588"/>
      <c r="F1488" s="588"/>
      <c r="G1488" s="600"/>
      <c r="H1488" s="588"/>
      <c r="I1488" s="588"/>
      <c r="J1488" s="588"/>
    </row>
    <row r="1489" spans="1:10" x14ac:dyDescent="0.3">
      <c r="A1489" s="588"/>
      <c r="B1489" s="588"/>
      <c r="C1489" s="588"/>
      <c r="D1489" s="588"/>
      <c r="E1489" s="588"/>
      <c r="F1489" s="588"/>
      <c r="G1489" s="600"/>
      <c r="H1489" s="588"/>
      <c r="I1489" s="588"/>
      <c r="J1489" s="588"/>
    </row>
    <row r="1490" spans="1:10" x14ac:dyDescent="0.3">
      <c r="A1490" s="588"/>
      <c r="B1490" s="588"/>
      <c r="C1490" s="588"/>
      <c r="D1490" s="588"/>
      <c r="E1490" s="588"/>
      <c r="F1490" s="588"/>
      <c r="G1490" s="600"/>
      <c r="H1490" s="588"/>
      <c r="I1490" s="588"/>
      <c r="J1490" s="588"/>
    </row>
    <row r="1491" spans="1:10" x14ac:dyDescent="0.3">
      <c r="A1491" s="588"/>
      <c r="B1491" s="588"/>
      <c r="C1491" s="588"/>
      <c r="D1491" s="588"/>
      <c r="E1491" s="588"/>
      <c r="F1491" s="588"/>
      <c r="G1491" s="600"/>
      <c r="H1491" s="588"/>
      <c r="I1491" s="588"/>
      <c r="J1491" s="588"/>
    </row>
    <row r="1492" spans="1:10" x14ac:dyDescent="0.3">
      <c r="A1492" s="588"/>
      <c r="B1492" s="588"/>
      <c r="C1492" s="588"/>
      <c r="D1492" s="588"/>
      <c r="E1492" s="588"/>
      <c r="F1492" s="588"/>
      <c r="G1492" s="600"/>
      <c r="H1492" s="588"/>
      <c r="I1492" s="588"/>
      <c r="J1492" s="588"/>
    </row>
    <row r="1493" spans="1:10" x14ac:dyDescent="0.3">
      <c r="A1493" s="588"/>
      <c r="B1493" s="588"/>
      <c r="C1493" s="588"/>
      <c r="D1493" s="588"/>
      <c r="E1493" s="588"/>
      <c r="F1493" s="588"/>
      <c r="G1493" s="600"/>
      <c r="H1493" s="588"/>
      <c r="I1493" s="588"/>
      <c r="J1493" s="588"/>
    </row>
    <row r="1494" spans="1:10" x14ac:dyDescent="0.3">
      <c r="A1494" s="588"/>
      <c r="B1494" s="588"/>
      <c r="C1494" s="588"/>
      <c r="D1494" s="588"/>
      <c r="E1494" s="588"/>
      <c r="F1494" s="588"/>
      <c r="G1494" s="600"/>
      <c r="H1494" s="588"/>
      <c r="I1494" s="588"/>
      <c r="J1494" s="588"/>
    </row>
    <row r="1495" spans="1:10" x14ac:dyDescent="0.3">
      <c r="A1495" s="588"/>
      <c r="B1495" s="588"/>
      <c r="C1495" s="588"/>
      <c r="D1495" s="588"/>
      <c r="E1495" s="588"/>
      <c r="F1495" s="588"/>
      <c r="G1495" s="600"/>
      <c r="H1495" s="588"/>
      <c r="I1495" s="588"/>
      <c r="J1495" s="588"/>
    </row>
    <row r="1496" spans="1:10" x14ac:dyDescent="0.3">
      <c r="A1496" s="588"/>
      <c r="B1496" s="588"/>
      <c r="C1496" s="588"/>
      <c r="D1496" s="588"/>
      <c r="E1496" s="588"/>
      <c r="F1496" s="588"/>
      <c r="G1496" s="600"/>
      <c r="H1496" s="588"/>
      <c r="I1496" s="588"/>
      <c r="J1496" s="588"/>
    </row>
    <row r="1497" spans="1:10" x14ac:dyDescent="0.3">
      <c r="A1497" s="588"/>
      <c r="B1497" s="588"/>
      <c r="C1497" s="588"/>
      <c r="D1497" s="588"/>
      <c r="E1497" s="588"/>
      <c r="F1497" s="588"/>
      <c r="G1497" s="600"/>
      <c r="H1497" s="588"/>
      <c r="I1497" s="588"/>
      <c r="J1497" s="588"/>
    </row>
    <row r="1498" spans="1:10" x14ac:dyDescent="0.3">
      <c r="A1498" s="588"/>
      <c r="B1498" s="588"/>
      <c r="C1498" s="588"/>
      <c r="D1498" s="588"/>
      <c r="E1498" s="588"/>
      <c r="F1498" s="588"/>
      <c r="G1498" s="600"/>
      <c r="H1498" s="588"/>
      <c r="I1498" s="588"/>
      <c r="J1498" s="588"/>
    </row>
    <row r="1499" spans="1:10" x14ac:dyDescent="0.3">
      <c r="A1499" s="588"/>
      <c r="B1499" s="588"/>
      <c r="C1499" s="588"/>
      <c r="D1499" s="588"/>
      <c r="E1499" s="588"/>
      <c r="F1499" s="588"/>
      <c r="G1499" s="600"/>
      <c r="H1499" s="588"/>
      <c r="I1499" s="588"/>
      <c r="J1499" s="588"/>
    </row>
    <row r="1500" spans="1:10" x14ac:dyDescent="0.3">
      <c r="A1500" s="588"/>
      <c r="B1500" s="588"/>
      <c r="C1500" s="588"/>
      <c r="D1500" s="588"/>
      <c r="E1500" s="588"/>
      <c r="F1500" s="588"/>
      <c r="G1500" s="600"/>
      <c r="H1500" s="588"/>
      <c r="I1500" s="588"/>
      <c r="J1500" s="588"/>
    </row>
    <row r="1501" spans="1:10" x14ac:dyDescent="0.3">
      <c r="A1501" s="588"/>
      <c r="B1501" s="588"/>
      <c r="C1501" s="588"/>
      <c r="D1501" s="588"/>
      <c r="E1501" s="588"/>
      <c r="F1501" s="588"/>
      <c r="G1501" s="600"/>
      <c r="H1501" s="588"/>
      <c r="I1501" s="588"/>
      <c r="J1501" s="588"/>
    </row>
    <row r="1502" spans="1:10" x14ac:dyDescent="0.3">
      <c r="A1502" s="588"/>
      <c r="B1502" s="588"/>
      <c r="C1502" s="588"/>
      <c r="D1502" s="588"/>
      <c r="E1502" s="588"/>
      <c r="F1502" s="588"/>
      <c r="G1502" s="600"/>
      <c r="H1502" s="588"/>
      <c r="I1502" s="588"/>
      <c r="J1502" s="588"/>
    </row>
    <row r="1503" spans="1:10" x14ac:dyDescent="0.3">
      <c r="A1503" s="588"/>
      <c r="B1503" s="588"/>
      <c r="C1503" s="588"/>
      <c r="D1503" s="588"/>
      <c r="E1503" s="588"/>
      <c r="F1503" s="588"/>
      <c r="G1503" s="600"/>
      <c r="H1503" s="588"/>
      <c r="I1503" s="588"/>
      <c r="J1503" s="588"/>
    </row>
    <row r="1504" spans="1:10" x14ac:dyDescent="0.3">
      <c r="A1504" s="588"/>
      <c r="B1504" s="588"/>
      <c r="C1504" s="588"/>
      <c r="D1504" s="588"/>
      <c r="E1504" s="588"/>
      <c r="F1504" s="588"/>
      <c r="G1504" s="600"/>
      <c r="H1504" s="588"/>
      <c r="I1504" s="588"/>
      <c r="J1504" s="588"/>
    </row>
    <row r="1505" spans="1:10" x14ac:dyDescent="0.3">
      <c r="A1505" s="588"/>
      <c r="B1505" s="588"/>
      <c r="C1505" s="588"/>
      <c r="D1505" s="588"/>
      <c r="E1505" s="588"/>
      <c r="F1505" s="588"/>
      <c r="G1505" s="600"/>
      <c r="H1505" s="588"/>
      <c r="I1505" s="588"/>
      <c r="J1505" s="588"/>
    </row>
    <row r="1506" spans="1:10" x14ac:dyDescent="0.3">
      <c r="A1506" s="588"/>
      <c r="B1506" s="588"/>
      <c r="C1506" s="588"/>
      <c r="D1506" s="588"/>
      <c r="E1506" s="588"/>
      <c r="F1506" s="588"/>
      <c r="G1506" s="600"/>
      <c r="H1506" s="588"/>
      <c r="I1506" s="588"/>
      <c r="J1506" s="588"/>
    </row>
    <row r="1507" spans="1:10" x14ac:dyDescent="0.3">
      <c r="A1507" s="588"/>
      <c r="B1507" s="588"/>
      <c r="C1507" s="588"/>
      <c r="D1507" s="588"/>
      <c r="E1507" s="588"/>
      <c r="F1507" s="588"/>
      <c r="G1507" s="600"/>
      <c r="H1507" s="588"/>
      <c r="I1507" s="588"/>
      <c r="J1507" s="588"/>
    </row>
    <row r="1508" spans="1:10" x14ac:dyDescent="0.3">
      <c r="A1508" s="588"/>
      <c r="B1508" s="588"/>
      <c r="C1508" s="588"/>
      <c r="D1508" s="588"/>
      <c r="E1508" s="588"/>
      <c r="F1508" s="588"/>
      <c r="G1508" s="600"/>
      <c r="H1508" s="588"/>
      <c r="I1508" s="588"/>
      <c r="J1508" s="588"/>
    </row>
    <row r="1509" spans="1:10" x14ac:dyDescent="0.3">
      <c r="A1509" s="588"/>
      <c r="B1509" s="588"/>
      <c r="C1509" s="588"/>
      <c r="D1509" s="588"/>
      <c r="E1509" s="588"/>
      <c r="F1509" s="588"/>
      <c r="G1509" s="600"/>
      <c r="H1509" s="588"/>
      <c r="I1509" s="588"/>
      <c r="J1509" s="588"/>
    </row>
    <row r="1510" spans="1:10" x14ac:dyDescent="0.3">
      <c r="A1510" s="588"/>
      <c r="B1510" s="588"/>
      <c r="C1510" s="588"/>
      <c r="D1510" s="588"/>
      <c r="E1510" s="588"/>
      <c r="F1510" s="588"/>
      <c r="G1510" s="600"/>
      <c r="H1510" s="588"/>
      <c r="I1510" s="588"/>
      <c r="J1510" s="588"/>
    </row>
    <row r="1511" spans="1:10" x14ac:dyDescent="0.3">
      <c r="A1511" s="588"/>
      <c r="B1511" s="588"/>
      <c r="C1511" s="588"/>
      <c r="D1511" s="588"/>
      <c r="E1511" s="588"/>
      <c r="F1511" s="588"/>
      <c r="G1511" s="600"/>
      <c r="H1511" s="588"/>
      <c r="I1511" s="588"/>
      <c r="J1511" s="588"/>
    </row>
    <row r="1512" spans="1:10" x14ac:dyDescent="0.3">
      <c r="A1512" s="588"/>
      <c r="B1512" s="588"/>
      <c r="C1512" s="588"/>
      <c r="D1512" s="588"/>
      <c r="E1512" s="588"/>
      <c r="F1512" s="588"/>
      <c r="G1512" s="600"/>
      <c r="H1512" s="588"/>
      <c r="I1512" s="588"/>
      <c r="J1512" s="588"/>
    </row>
    <row r="1513" spans="1:10" x14ac:dyDescent="0.3">
      <c r="A1513" s="588"/>
      <c r="B1513" s="588"/>
      <c r="C1513" s="588"/>
      <c r="D1513" s="588"/>
      <c r="E1513" s="588"/>
      <c r="F1513" s="588"/>
      <c r="G1513" s="600"/>
      <c r="H1513" s="588"/>
      <c r="I1513" s="588"/>
      <c r="J1513" s="588"/>
    </row>
    <row r="1514" spans="1:10" x14ac:dyDescent="0.3">
      <c r="A1514" s="588"/>
      <c r="B1514" s="588"/>
      <c r="C1514" s="588"/>
      <c r="D1514" s="588"/>
      <c r="E1514" s="588"/>
      <c r="F1514" s="588"/>
      <c r="G1514" s="600"/>
      <c r="H1514" s="588"/>
      <c r="I1514" s="588"/>
      <c r="J1514" s="588"/>
    </row>
    <row r="1515" spans="1:10" x14ac:dyDescent="0.3">
      <c r="A1515" s="588"/>
      <c r="B1515" s="588"/>
      <c r="C1515" s="588"/>
      <c r="D1515" s="588"/>
      <c r="E1515" s="588"/>
      <c r="F1515" s="588"/>
      <c r="G1515" s="600"/>
      <c r="H1515" s="588"/>
      <c r="I1515" s="588"/>
      <c r="J1515" s="588"/>
    </row>
    <row r="1516" spans="1:10" x14ac:dyDescent="0.3">
      <c r="A1516" s="588"/>
      <c r="B1516" s="588"/>
      <c r="C1516" s="588"/>
      <c r="D1516" s="588"/>
      <c r="E1516" s="588"/>
      <c r="F1516" s="588"/>
      <c r="G1516" s="600"/>
      <c r="H1516" s="588"/>
      <c r="I1516" s="588"/>
      <c r="J1516" s="588"/>
    </row>
    <row r="1517" spans="1:10" x14ac:dyDescent="0.3">
      <c r="A1517" s="588"/>
      <c r="B1517" s="588"/>
      <c r="C1517" s="588"/>
      <c r="D1517" s="588"/>
      <c r="E1517" s="588"/>
      <c r="F1517" s="588"/>
      <c r="G1517" s="600"/>
      <c r="H1517" s="588"/>
      <c r="I1517" s="588"/>
      <c r="J1517" s="588"/>
    </row>
    <row r="1518" spans="1:10" x14ac:dyDescent="0.3">
      <c r="A1518" s="588"/>
      <c r="B1518" s="588"/>
      <c r="C1518" s="588"/>
      <c r="D1518" s="588"/>
      <c r="E1518" s="588"/>
      <c r="F1518" s="588"/>
      <c r="G1518" s="600"/>
      <c r="H1518" s="588"/>
      <c r="I1518" s="588"/>
      <c r="J1518" s="588"/>
    </row>
    <row r="1519" spans="1:10" x14ac:dyDescent="0.3">
      <c r="A1519" s="588"/>
      <c r="B1519" s="588"/>
      <c r="C1519" s="588"/>
      <c r="D1519" s="588"/>
      <c r="E1519" s="588"/>
      <c r="F1519" s="588"/>
      <c r="G1519" s="600"/>
      <c r="H1519" s="588"/>
      <c r="I1519" s="588"/>
      <c r="J1519" s="588"/>
    </row>
    <row r="1520" spans="1:10" x14ac:dyDescent="0.3">
      <c r="A1520" s="588"/>
      <c r="B1520" s="588"/>
      <c r="C1520" s="588"/>
      <c r="D1520" s="588"/>
      <c r="E1520" s="588"/>
      <c r="F1520" s="588"/>
      <c r="G1520" s="600"/>
      <c r="H1520" s="588"/>
      <c r="I1520" s="588"/>
      <c r="J1520" s="588"/>
    </row>
    <row r="1521" spans="1:10" x14ac:dyDescent="0.3">
      <c r="A1521" s="588"/>
      <c r="B1521" s="588"/>
      <c r="C1521" s="588"/>
      <c r="D1521" s="588"/>
      <c r="E1521" s="588"/>
      <c r="F1521" s="588"/>
      <c r="G1521" s="600"/>
      <c r="H1521" s="588"/>
      <c r="I1521" s="588"/>
      <c r="J1521" s="588"/>
    </row>
    <row r="1522" spans="1:10" x14ac:dyDescent="0.3">
      <c r="A1522" s="588"/>
      <c r="B1522" s="588"/>
      <c r="C1522" s="588"/>
      <c r="D1522" s="588"/>
      <c r="E1522" s="588"/>
      <c r="F1522" s="588"/>
      <c r="G1522" s="600"/>
      <c r="H1522" s="588"/>
      <c r="I1522" s="588"/>
      <c r="J1522" s="588"/>
    </row>
    <row r="1523" spans="1:10" x14ac:dyDescent="0.3">
      <c r="A1523" s="588"/>
      <c r="B1523" s="588"/>
      <c r="C1523" s="588"/>
      <c r="D1523" s="588"/>
      <c r="E1523" s="588"/>
      <c r="F1523" s="588"/>
      <c r="G1523" s="600"/>
      <c r="H1523" s="588"/>
      <c r="I1523" s="588"/>
      <c r="J1523" s="588"/>
    </row>
    <row r="1524" spans="1:10" x14ac:dyDescent="0.3">
      <c r="A1524" s="588"/>
      <c r="B1524" s="588"/>
      <c r="C1524" s="588"/>
      <c r="D1524" s="588"/>
      <c r="E1524" s="588"/>
      <c r="F1524" s="588"/>
      <c r="G1524" s="600"/>
      <c r="H1524" s="588"/>
      <c r="I1524" s="588"/>
      <c r="J1524" s="588"/>
    </row>
    <row r="1525" spans="1:10" x14ac:dyDescent="0.3">
      <c r="A1525" s="588"/>
      <c r="B1525" s="588"/>
      <c r="C1525" s="588"/>
      <c r="D1525" s="588"/>
      <c r="E1525" s="588"/>
      <c r="F1525" s="588"/>
      <c r="G1525" s="600"/>
      <c r="H1525" s="588"/>
      <c r="I1525" s="588"/>
      <c r="J1525" s="588"/>
    </row>
    <row r="1526" spans="1:10" x14ac:dyDescent="0.3">
      <c r="A1526" s="588"/>
      <c r="B1526" s="588"/>
      <c r="C1526" s="588"/>
      <c r="D1526" s="588"/>
      <c r="E1526" s="588"/>
      <c r="F1526" s="588"/>
      <c r="G1526" s="600"/>
      <c r="H1526" s="588"/>
      <c r="I1526" s="588"/>
      <c r="J1526" s="588"/>
    </row>
    <row r="1527" spans="1:10" x14ac:dyDescent="0.3">
      <c r="A1527" s="588"/>
      <c r="B1527" s="588"/>
      <c r="C1527" s="588"/>
      <c r="D1527" s="588"/>
      <c r="E1527" s="588"/>
      <c r="F1527" s="588"/>
      <c r="G1527" s="600"/>
      <c r="H1527" s="588"/>
      <c r="I1527" s="588"/>
      <c r="J1527" s="588"/>
    </row>
    <row r="1528" spans="1:10" x14ac:dyDescent="0.3">
      <c r="A1528" s="588"/>
      <c r="B1528" s="588"/>
      <c r="C1528" s="588"/>
      <c r="D1528" s="588"/>
      <c r="E1528" s="588"/>
      <c r="F1528" s="588"/>
      <c r="G1528" s="600"/>
      <c r="H1528" s="588"/>
      <c r="I1528" s="588"/>
      <c r="J1528" s="588"/>
    </row>
    <row r="1529" spans="1:10" x14ac:dyDescent="0.3">
      <c r="A1529" s="588"/>
      <c r="B1529" s="588"/>
      <c r="C1529" s="588"/>
      <c r="D1529" s="588"/>
      <c r="E1529" s="588"/>
      <c r="F1529" s="588"/>
      <c r="G1529" s="600"/>
      <c r="H1529" s="588"/>
      <c r="I1529" s="588"/>
      <c r="J1529" s="588"/>
    </row>
    <row r="1530" spans="1:10" x14ac:dyDescent="0.3">
      <c r="A1530" s="588"/>
      <c r="B1530" s="588"/>
      <c r="C1530" s="588"/>
      <c r="D1530" s="588"/>
      <c r="E1530" s="588"/>
      <c r="F1530" s="588"/>
      <c r="G1530" s="600"/>
      <c r="H1530" s="588"/>
      <c r="I1530" s="588"/>
      <c r="J1530" s="588"/>
    </row>
    <row r="1531" spans="1:10" x14ac:dyDescent="0.3">
      <c r="A1531" s="588"/>
      <c r="B1531" s="588"/>
      <c r="C1531" s="588"/>
      <c r="D1531" s="588"/>
      <c r="E1531" s="588"/>
      <c r="F1531" s="588"/>
      <c r="G1531" s="600"/>
      <c r="H1531" s="588"/>
      <c r="I1531" s="588"/>
      <c r="J1531" s="588"/>
    </row>
    <row r="1532" spans="1:10" x14ac:dyDescent="0.3">
      <c r="A1532" s="588"/>
      <c r="B1532" s="588"/>
      <c r="C1532" s="588"/>
      <c r="D1532" s="588"/>
      <c r="E1532" s="588"/>
      <c r="F1532" s="588"/>
      <c r="G1532" s="600"/>
      <c r="H1532" s="588"/>
      <c r="I1532" s="588"/>
      <c r="J1532" s="588"/>
    </row>
    <row r="1533" spans="1:10" x14ac:dyDescent="0.3">
      <c r="A1533" s="588"/>
      <c r="B1533" s="588"/>
      <c r="C1533" s="588"/>
      <c r="D1533" s="588"/>
      <c r="E1533" s="588"/>
      <c r="F1533" s="588"/>
      <c r="G1533" s="600"/>
      <c r="H1533" s="588"/>
      <c r="I1533" s="588"/>
      <c r="J1533" s="588"/>
    </row>
    <row r="1534" spans="1:10" x14ac:dyDescent="0.3">
      <c r="A1534" s="588"/>
      <c r="B1534" s="588"/>
      <c r="C1534" s="588"/>
      <c r="D1534" s="588"/>
      <c r="E1534" s="588"/>
      <c r="F1534" s="588"/>
      <c r="G1534" s="600"/>
      <c r="H1534" s="588"/>
      <c r="I1534" s="588"/>
      <c r="J1534" s="588"/>
    </row>
    <row r="1535" spans="1:10" x14ac:dyDescent="0.3">
      <c r="A1535" s="588"/>
      <c r="B1535" s="588"/>
      <c r="C1535" s="588"/>
      <c r="D1535" s="588"/>
      <c r="E1535" s="588"/>
      <c r="F1535" s="588"/>
      <c r="G1535" s="600"/>
      <c r="H1535" s="588"/>
      <c r="I1535" s="588"/>
      <c r="J1535" s="588"/>
    </row>
    <row r="1536" spans="1:10" x14ac:dyDescent="0.3">
      <c r="A1536" s="588"/>
      <c r="B1536" s="588"/>
      <c r="C1536" s="588"/>
      <c r="D1536" s="588"/>
      <c r="E1536" s="588"/>
      <c r="F1536" s="588"/>
      <c r="G1536" s="600"/>
      <c r="H1536" s="588"/>
      <c r="I1536" s="588"/>
      <c r="J1536" s="588"/>
    </row>
    <row r="1537" spans="1:10" x14ac:dyDescent="0.3">
      <c r="A1537" s="588"/>
      <c r="B1537" s="588"/>
      <c r="C1537" s="588"/>
      <c r="D1537" s="588"/>
      <c r="E1537" s="588"/>
      <c r="F1537" s="588"/>
      <c r="G1537" s="600"/>
      <c r="H1537" s="588"/>
      <c r="I1537" s="588"/>
      <c r="J1537" s="588"/>
    </row>
    <row r="1538" spans="1:10" x14ac:dyDescent="0.3">
      <c r="A1538" s="588"/>
      <c r="B1538" s="588"/>
      <c r="C1538" s="588"/>
      <c r="D1538" s="588"/>
      <c r="E1538" s="588"/>
      <c r="F1538" s="588"/>
      <c r="G1538" s="600"/>
      <c r="H1538" s="588"/>
      <c r="I1538" s="588"/>
      <c r="J1538" s="588"/>
    </row>
    <row r="1539" spans="1:10" x14ac:dyDescent="0.3">
      <c r="A1539" s="588"/>
      <c r="B1539" s="588"/>
      <c r="C1539" s="588"/>
      <c r="D1539" s="588"/>
      <c r="E1539" s="588"/>
      <c r="F1539" s="588"/>
      <c r="G1539" s="600"/>
      <c r="H1539" s="588"/>
      <c r="I1539" s="588"/>
      <c r="J1539" s="588"/>
    </row>
    <row r="1540" spans="1:10" x14ac:dyDescent="0.3">
      <c r="A1540" s="588"/>
      <c r="B1540" s="588"/>
      <c r="C1540" s="588"/>
      <c r="D1540" s="588"/>
      <c r="E1540" s="588"/>
      <c r="F1540" s="588"/>
      <c r="G1540" s="600"/>
      <c r="H1540" s="588"/>
      <c r="I1540" s="588"/>
      <c r="J1540" s="588"/>
    </row>
    <row r="1541" spans="1:10" x14ac:dyDescent="0.3">
      <c r="A1541" s="588"/>
      <c r="B1541" s="588"/>
      <c r="C1541" s="588"/>
      <c r="D1541" s="588"/>
      <c r="E1541" s="588"/>
      <c r="F1541" s="588"/>
      <c r="G1541" s="600"/>
      <c r="H1541" s="588"/>
      <c r="I1541" s="588"/>
      <c r="J1541" s="588"/>
    </row>
    <row r="1542" spans="1:10" x14ac:dyDescent="0.3">
      <c r="A1542" s="588"/>
      <c r="B1542" s="588"/>
      <c r="C1542" s="588"/>
      <c r="D1542" s="588"/>
      <c r="E1542" s="588"/>
      <c r="F1542" s="588"/>
      <c r="G1542" s="600"/>
      <c r="H1542" s="588"/>
      <c r="I1542" s="588"/>
      <c r="J1542" s="588"/>
    </row>
    <row r="1543" spans="1:10" x14ac:dyDescent="0.3">
      <c r="A1543" s="588"/>
      <c r="B1543" s="588"/>
      <c r="C1543" s="588"/>
      <c r="D1543" s="588"/>
      <c r="E1543" s="588"/>
      <c r="F1543" s="588"/>
      <c r="G1543" s="600"/>
      <c r="H1543" s="588"/>
      <c r="I1543" s="588"/>
      <c r="J1543" s="588"/>
    </row>
    <row r="1544" spans="1:10" x14ac:dyDescent="0.3">
      <c r="A1544" s="588"/>
      <c r="B1544" s="588"/>
      <c r="C1544" s="588"/>
      <c r="D1544" s="588"/>
      <c r="E1544" s="588"/>
      <c r="F1544" s="588"/>
      <c r="G1544" s="600"/>
      <c r="H1544" s="588"/>
      <c r="I1544" s="588"/>
      <c r="J1544" s="588"/>
    </row>
    <row r="1545" spans="1:10" x14ac:dyDescent="0.3">
      <c r="A1545" s="588"/>
      <c r="B1545" s="588"/>
      <c r="C1545" s="588"/>
      <c r="D1545" s="588"/>
      <c r="E1545" s="588"/>
      <c r="F1545" s="588"/>
      <c r="G1545" s="600"/>
      <c r="H1545" s="588"/>
      <c r="I1545" s="588"/>
      <c r="J1545" s="588"/>
    </row>
    <row r="1546" spans="1:10" x14ac:dyDescent="0.3">
      <c r="A1546" s="588"/>
      <c r="B1546" s="588"/>
      <c r="C1546" s="588"/>
      <c r="D1546" s="588"/>
      <c r="E1546" s="588"/>
      <c r="F1546" s="588"/>
      <c r="G1546" s="600"/>
      <c r="H1546" s="588"/>
      <c r="I1546" s="588"/>
      <c r="J1546" s="588"/>
    </row>
    <row r="1547" spans="1:10" x14ac:dyDescent="0.3">
      <c r="A1547" s="588"/>
      <c r="B1547" s="588"/>
      <c r="C1547" s="588"/>
      <c r="D1547" s="588"/>
      <c r="E1547" s="588"/>
      <c r="F1547" s="588"/>
      <c r="G1547" s="600"/>
      <c r="H1547" s="588"/>
      <c r="I1547" s="588"/>
      <c r="J1547" s="588"/>
    </row>
    <row r="1548" spans="1:10" x14ac:dyDescent="0.3">
      <c r="A1548" s="588"/>
      <c r="B1548" s="588"/>
      <c r="C1548" s="588"/>
      <c r="D1548" s="588"/>
      <c r="E1548" s="588"/>
      <c r="F1548" s="588"/>
      <c r="G1548" s="600"/>
      <c r="H1548" s="588"/>
      <c r="I1548" s="588"/>
      <c r="J1548" s="588"/>
    </row>
    <row r="1549" spans="1:10" x14ac:dyDescent="0.3">
      <c r="A1549" s="588"/>
      <c r="B1549" s="588"/>
      <c r="C1549" s="588"/>
      <c r="D1549" s="588"/>
      <c r="E1549" s="588"/>
      <c r="F1549" s="588"/>
      <c r="G1549" s="600"/>
      <c r="H1549" s="588"/>
      <c r="I1549" s="588"/>
      <c r="J1549" s="588"/>
    </row>
    <row r="1550" spans="1:10" x14ac:dyDescent="0.3">
      <c r="A1550" s="588"/>
      <c r="B1550" s="588"/>
      <c r="C1550" s="588"/>
      <c r="D1550" s="588"/>
      <c r="E1550" s="588"/>
      <c r="F1550" s="588"/>
      <c r="G1550" s="600"/>
      <c r="H1550" s="588"/>
      <c r="I1550" s="588"/>
      <c r="J1550" s="588"/>
    </row>
    <row r="1551" spans="1:10" x14ac:dyDescent="0.3">
      <c r="A1551" s="588"/>
      <c r="B1551" s="588"/>
      <c r="C1551" s="588"/>
      <c r="D1551" s="588"/>
      <c r="E1551" s="588"/>
      <c r="F1551" s="588"/>
      <c r="G1551" s="600"/>
      <c r="H1551" s="588"/>
      <c r="I1551" s="588"/>
      <c r="J1551" s="588"/>
    </row>
    <row r="1552" spans="1:10" x14ac:dyDescent="0.3">
      <c r="A1552" s="588"/>
      <c r="B1552" s="588"/>
      <c r="C1552" s="588"/>
      <c r="D1552" s="588"/>
      <c r="E1552" s="588"/>
      <c r="F1552" s="588"/>
      <c r="G1552" s="600"/>
      <c r="H1552" s="588"/>
      <c r="I1552" s="588"/>
      <c r="J1552" s="588"/>
    </row>
    <row r="1553" spans="1:10" x14ac:dyDescent="0.3">
      <c r="A1553" s="588"/>
      <c r="B1553" s="588"/>
      <c r="C1553" s="588"/>
      <c r="D1553" s="588"/>
      <c r="E1553" s="588"/>
      <c r="F1553" s="588"/>
      <c r="G1553" s="600"/>
      <c r="H1553" s="588"/>
      <c r="I1553" s="588"/>
      <c r="J1553" s="588"/>
    </row>
    <row r="1554" spans="1:10" x14ac:dyDescent="0.3">
      <c r="A1554" s="588"/>
      <c r="B1554" s="588"/>
      <c r="C1554" s="588"/>
      <c r="D1554" s="588"/>
      <c r="E1554" s="588"/>
      <c r="F1554" s="588"/>
      <c r="G1554" s="600"/>
      <c r="H1554" s="588"/>
      <c r="I1554" s="588"/>
      <c r="J1554" s="588"/>
    </row>
    <row r="1555" spans="1:10" x14ac:dyDescent="0.3">
      <c r="A1555" s="588"/>
      <c r="B1555" s="588"/>
      <c r="C1555" s="588"/>
      <c r="D1555" s="588"/>
      <c r="E1555" s="588"/>
      <c r="F1555" s="588"/>
      <c r="G1555" s="600"/>
      <c r="H1555" s="588"/>
      <c r="I1555" s="588"/>
      <c r="J1555" s="588"/>
    </row>
    <row r="1556" spans="1:10" x14ac:dyDescent="0.3">
      <c r="A1556" s="588"/>
      <c r="B1556" s="588"/>
      <c r="C1556" s="588"/>
      <c r="D1556" s="588"/>
      <c r="E1556" s="588"/>
      <c r="F1556" s="588"/>
      <c r="G1556" s="600"/>
      <c r="H1556" s="588"/>
      <c r="I1556" s="588"/>
      <c r="J1556" s="588"/>
    </row>
    <row r="1557" spans="1:10" x14ac:dyDescent="0.3">
      <c r="A1557" s="588"/>
      <c r="B1557" s="588"/>
      <c r="C1557" s="588"/>
      <c r="D1557" s="588"/>
      <c r="E1557" s="588"/>
      <c r="F1557" s="588"/>
      <c r="G1557" s="600"/>
      <c r="H1557" s="588"/>
      <c r="I1557" s="588"/>
      <c r="J1557" s="588"/>
    </row>
    <row r="1558" spans="1:10" x14ac:dyDescent="0.3">
      <c r="A1558" s="588"/>
      <c r="B1558" s="588"/>
      <c r="C1558" s="588"/>
      <c r="D1558" s="588"/>
      <c r="E1558" s="588"/>
      <c r="F1558" s="588"/>
      <c r="G1558" s="600"/>
      <c r="H1558" s="588"/>
      <c r="I1558" s="588"/>
      <c r="J1558" s="588"/>
    </row>
    <row r="1559" spans="1:10" x14ac:dyDescent="0.3">
      <c r="A1559" s="588"/>
      <c r="B1559" s="588"/>
      <c r="C1559" s="588"/>
      <c r="D1559" s="588"/>
      <c r="E1559" s="588"/>
      <c r="F1559" s="588"/>
      <c r="G1559" s="600"/>
      <c r="H1559" s="588"/>
      <c r="I1559" s="588"/>
      <c r="J1559" s="588"/>
    </row>
    <row r="1560" spans="1:10" x14ac:dyDescent="0.3">
      <c r="A1560" s="588"/>
      <c r="B1560" s="588"/>
      <c r="C1560" s="588"/>
      <c r="D1560" s="588"/>
      <c r="E1560" s="588"/>
      <c r="F1560" s="588"/>
      <c r="G1560" s="600"/>
      <c r="H1560" s="588"/>
      <c r="I1560" s="588"/>
      <c r="J1560" s="588"/>
    </row>
    <row r="1561" spans="1:10" x14ac:dyDescent="0.3">
      <c r="A1561" s="588"/>
      <c r="B1561" s="588"/>
      <c r="C1561" s="588"/>
      <c r="D1561" s="588"/>
      <c r="E1561" s="588"/>
      <c r="F1561" s="588"/>
      <c r="G1561" s="600"/>
      <c r="H1561" s="588"/>
      <c r="I1561" s="588"/>
      <c r="J1561" s="588"/>
    </row>
    <row r="1562" spans="1:10" x14ac:dyDescent="0.3">
      <c r="A1562" s="588"/>
      <c r="B1562" s="588"/>
      <c r="C1562" s="588"/>
      <c r="D1562" s="588"/>
      <c r="E1562" s="588"/>
      <c r="F1562" s="588"/>
      <c r="G1562" s="600"/>
      <c r="H1562" s="588"/>
      <c r="I1562" s="588"/>
      <c r="J1562" s="588"/>
    </row>
    <row r="1563" spans="1:10" x14ac:dyDescent="0.3">
      <c r="A1563" s="588"/>
      <c r="B1563" s="588"/>
      <c r="C1563" s="588"/>
      <c r="D1563" s="588"/>
      <c r="E1563" s="588"/>
      <c r="F1563" s="588"/>
      <c r="G1563" s="600"/>
      <c r="H1563" s="588"/>
      <c r="I1563" s="588"/>
      <c r="J1563" s="588"/>
    </row>
    <row r="1564" spans="1:10" x14ac:dyDescent="0.3">
      <c r="A1564" s="588"/>
      <c r="B1564" s="588"/>
      <c r="C1564" s="588"/>
      <c r="D1564" s="588"/>
      <c r="E1564" s="588"/>
      <c r="F1564" s="588"/>
      <c r="G1564" s="600"/>
      <c r="H1564" s="588"/>
      <c r="I1564" s="588"/>
      <c r="J1564" s="588"/>
    </row>
    <row r="1565" spans="1:10" x14ac:dyDescent="0.3">
      <c r="A1565" s="588"/>
      <c r="B1565" s="588"/>
      <c r="C1565" s="588"/>
      <c r="D1565" s="588"/>
      <c r="E1565" s="588"/>
      <c r="F1565" s="588"/>
      <c r="G1565" s="600"/>
      <c r="H1565" s="588"/>
      <c r="I1565" s="588"/>
      <c r="J1565" s="588"/>
    </row>
    <row r="1566" spans="1:10" x14ac:dyDescent="0.3">
      <c r="A1566" s="588"/>
      <c r="B1566" s="588"/>
      <c r="C1566" s="588"/>
      <c r="D1566" s="588"/>
      <c r="E1566" s="588"/>
      <c r="F1566" s="588"/>
      <c r="G1566" s="600"/>
      <c r="H1566" s="588"/>
      <c r="I1566" s="588"/>
      <c r="J1566" s="588"/>
    </row>
    <row r="1567" spans="1:10" x14ac:dyDescent="0.3">
      <c r="A1567" s="588"/>
      <c r="B1567" s="588"/>
      <c r="C1567" s="588"/>
      <c r="D1567" s="588"/>
      <c r="E1567" s="588"/>
      <c r="F1567" s="588"/>
      <c r="G1567" s="600"/>
      <c r="H1567" s="588"/>
      <c r="I1567" s="588"/>
      <c r="J1567" s="588"/>
    </row>
    <row r="1568" spans="1:10" x14ac:dyDescent="0.3">
      <c r="A1568" s="588"/>
      <c r="B1568" s="588"/>
      <c r="C1568" s="588"/>
      <c r="D1568" s="588"/>
      <c r="E1568" s="588"/>
      <c r="F1568" s="588"/>
      <c r="G1568" s="600"/>
      <c r="H1568" s="588"/>
      <c r="I1568" s="588"/>
      <c r="J1568" s="588"/>
    </row>
    <row r="1569" spans="1:10" x14ac:dyDescent="0.3">
      <c r="A1569" s="588"/>
      <c r="B1569" s="588"/>
      <c r="C1569" s="588"/>
      <c r="D1569" s="588"/>
      <c r="E1569" s="588"/>
      <c r="F1569" s="588"/>
      <c r="G1569" s="600"/>
      <c r="H1569" s="588"/>
      <c r="I1569" s="588"/>
      <c r="J1569" s="588"/>
    </row>
    <row r="1570" spans="1:10" x14ac:dyDescent="0.3">
      <c r="A1570" s="588"/>
      <c r="B1570" s="588"/>
      <c r="C1570" s="588"/>
      <c r="D1570" s="588"/>
      <c r="E1570" s="588"/>
      <c r="F1570" s="588"/>
      <c r="G1570" s="600"/>
      <c r="H1570" s="588"/>
      <c r="I1570" s="588"/>
      <c r="J1570" s="588"/>
    </row>
    <row r="1571" spans="1:10" x14ac:dyDescent="0.3">
      <c r="A1571" s="588"/>
      <c r="B1571" s="588"/>
      <c r="C1571" s="588"/>
      <c r="D1571" s="588"/>
      <c r="E1571" s="588"/>
      <c r="F1571" s="588"/>
      <c r="G1571" s="600"/>
      <c r="H1571" s="588"/>
      <c r="I1571" s="588"/>
      <c r="J1571" s="588"/>
    </row>
    <row r="1572" spans="1:10" x14ac:dyDescent="0.3">
      <c r="A1572" s="588"/>
      <c r="B1572" s="588"/>
      <c r="C1572" s="588"/>
      <c r="D1572" s="588"/>
      <c r="E1572" s="588"/>
      <c r="F1572" s="588"/>
      <c r="G1572" s="600"/>
      <c r="H1572" s="588"/>
      <c r="I1572" s="588"/>
      <c r="J1572" s="588"/>
    </row>
    <row r="1573" spans="1:10" x14ac:dyDescent="0.3">
      <c r="A1573" s="588"/>
      <c r="B1573" s="588"/>
      <c r="C1573" s="588"/>
      <c r="D1573" s="588"/>
      <c r="E1573" s="588"/>
      <c r="F1573" s="588"/>
      <c r="G1573" s="600"/>
      <c r="H1573" s="588"/>
      <c r="I1573" s="588"/>
      <c r="J1573" s="588"/>
    </row>
    <row r="1574" spans="1:10" x14ac:dyDescent="0.3">
      <c r="A1574" s="588"/>
      <c r="B1574" s="588"/>
      <c r="C1574" s="588"/>
      <c r="D1574" s="588"/>
      <c r="E1574" s="588"/>
      <c r="F1574" s="588"/>
      <c r="G1574" s="600"/>
      <c r="H1574" s="588"/>
      <c r="I1574" s="588"/>
      <c r="J1574" s="588"/>
    </row>
    <row r="1575" spans="1:10" x14ac:dyDescent="0.3">
      <c r="A1575" s="588"/>
      <c r="B1575" s="588"/>
      <c r="C1575" s="588"/>
      <c r="D1575" s="588"/>
      <c r="E1575" s="588"/>
      <c r="F1575" s="588"/>
      <c r="G1575" s="600"/>
      <c r="H1575" s="588"/>
      <c r="I1575" s="588"/>
      <c r="J1575" s="588"/>
    </row>
    <row r="1576" spans="1:10" x14ac:dyDescent="0.3">
      <c r="A1576" s="588"/>
      <c r="B1576" s="588"/>
      <c r="C1576" s="588"/>
      <c r="D1576" s="588"/>
      <c r="E1576" s="588"/>
      <c r="F1576" s="588"/>
      <c r="G1576" s="600"/>
      <c r="H1576" s="588"/>
      <c r="I1576" s="588"/>
      <c r="J1576" s="588"/>
    </row>
    <row r="1577" spans="1:10" x14ac:dyDescent="0.3">
      <c r="A1577" s="588"/>
      <c r="B1577" s="588"/>
      <c r="C1577" s="588"/>
      <c r="D1577" s="588"/>
      <c r="E1577" s="588"/>
      <c r="F1577" s="588"/>
      <c r="G1577" s="600"/>
      <c r="H1577" s="588"/>
      <c r="I1577" s="588"/>
      <c r="J1577" s="588"/>
    </row>
    <row r="1578" spans="1:10" x14ac:dyDescent="0.3">
      <c r="A1578" s="588"/>
      <c r="B1578" s="588"/>
      <c r="C1578" s="588"/>
      <c r="D1578" s="588"/>
      <c r="E1578" s="588"/>
      <c r="F1578" s="588"/>
      <c r="G1578" s="600"/>
      <c r="H1578" s="588"/>
      <c r="I1578" s="588"/>
      <c r="J1578" s="588"/>
    </row>
    <row r="1579" spans="1:10" x14ac:dyDescent="0.3">
      <c r="A1579" s="588"/>
      <c r="B1579" s="588"/>
      <c r="C1579" s="588"/>
      <c r="D1579" s="588"/>
      <c r="E1579" s="588"/>
      <c r="F1579" s="588"/>
      <c r="G1579" s="600"/>
      <c r="H1579" s="588"/>
      <c r="I1579" s="588"/>
      <c r="J1579" s="588"/>
    </row>
    <row r="1580" spans="1:10" x14ac:dyDescent="0.3">
      <c r="A1580" s="588"/>
      <c r="B1580" s="588"/>
      <c r="C1580" s="588"/>
      <c r="D1580" s="588"/>
      <c r="E1580" s="588"/>
      <c r="F1580" s="588"/>
      <c r="G1580" s="600"/>
      <c r="H1580" s="588"/>
      <c r="I1580" s="588"/>
      <c r="J1580" s="588"/>
    </row>
    <row r="1581" spans="1:10" x14ac:dyDescent="0.3">
      <c r="A1581" s="588"/>
      <c r="B1581" s="588"/>
      <c r="C1581" s="588"/>
      <c r="D1581" s="588"/>
      <c r="E1581" s="588"/>
      <c r="F1581" s="588"/>
      <c r="G1581" s="600"/>
      <c r="H1581" s="588"/>
      <c r="I1581" s="588"/>
      <c r="J1581" s="588"/>
    </row>
    <row r="1582" spans="1:10" x14ac:dyDescent="0.3">
      <c r="A1582" s="588"/>
      <c r="B1582" s="588"/>
      <c r="C1582" s="588"/>
      <c r="D1582" s="588"/>
      <c r="E1582" s="588"/>
      <c r="F1582" s="588"/>
      <c r="G1582" s="600"/>
      <c r="H1582" s="588"/>
      <c r="I1582" s="588"/>
      <c r="J1582" s="588"/>
    </row>
    <row r="1583" spans="1:10" x14ac:dyDescent="0.3">
      <c r="A1583" s="588"/>
      <c r="B1583" s="588"/>
      <c r="C1583" s="588"/>
      <c r="D1583" s="588"/>
      <c r="E1583" s="588"/>
      <c r="F1583" s="588"/>
      <c r="G1583" s="600"/>
      <c r="H1583" s="588"/>
      <c r="I1583" s="588"/>
      <c r="J1583" s="588"/>
    </row>
    <row r="1584" spans="1:10" x14ac:dyDescent="0.3">
      <c r="A1584" s="588"/>
      <c r="B1584" s="588"/>
      <c r="C1584" s="588"/>
      <c r="D1584" s="588"/>
      <c r="E1584" s="588"/>
      <c r="F1584" s="588"/>
      <c r="G1584" s="600"/>
      <c r="H1584" s="588"/>
      <c r="I1584" s="588"/>
      <c r="J1584" s="588"/>
    </row>
    <row r="1585" spans="1:10" x14ac:dyDescent="0.3">
      <c r="A1585" s="588"/>
      <c r="B1585" s="588"/>
      <c r="C1585" s="588"/>
      <c r="D1585" s="588"/>
      <c r="E1585" s="588"/>
      <c r="F1585" s="588"/>
      <c r="G1585" s="600"/>
      <c r="H1585" s="588"/>
      <c r="I1585" s="588"/>
      <c r="J1585" s="588"/>
    </row>
    <row r="1586" spans="1:10" x14ac:dyDescent="0.3">
      <c r="A1586" s="588"/>
      <c r="B1586" s="588"/>
      <c r="C1586" s="588"/>
      <c r="D1586" s="588"/>
      <c r="E1586" s="588"/>
      <c r="F1586" s="588"/>
      <c r="G1586" s="600"/>
      <c r="H1586" s="588"/>
      <c r="I1586" s="588"/>
      <c r="J1586" s="588"/>
    </row>
    <row r="1587" spans="1:10" x14ac:dyDescent="0.3">
      <c r="A1587" s="588"/>
      <c r="B1587" s="588"/>
      <c r="C1587" s="588"/>
      <c r="D1587" s="588"/>
      <c r="E1587" s="588"/>
      <c r="F1587" s="588"/>
      <c r="G1587" s="600"/>
      <c r="H1587" s="588"/>
      <c r="I1587" s="588"/>
      <c r="J1587" s="588"/>
    </row>
    <row r="1588" spans="1:10" x14ac:dyDescent="0.3">
      <c r="A1588" s="588"/>
      <c r="B1588" s="588"/>
      <c r="C1588" s="588"/>
      <c r="D1588" s="588"/>
      <c r="E1588" s="588"/>
      <c r="F1588" s="588"/>
      <c r="G1588" s="600"/>
      <c r="H1588" s="588"/>
      <c r="I1588" s="588"/>
      <c r="J1588" s="588"/>
    </row>
    <row r="1589" spans="1:10" x14ac:dyDescent="0.3">
      <c r="A1589" s="588"/>
      <c r="B1589" s="588"/>
      <c r="C1589" s="588"/>
      <c r="D1589" s="588"/>
      <c r="E1589" s="588"/>
      <c r="F1589" s="588"/>
      <c r="G1589" s="600"/>
      <c r="H1589" s="588"/>
      <c r="I1589" s="588"/>
      <c r="J1589" s="588"/>
    </row>
    <row r="1590" spans="1:10" x14ac:dyDescent="0.3">
      <c r="A1590" s="588"/>
      <c r="B1590" s="588"/>
      <c r="C1590" s="588"/>
      <c r="D1590" s="588"/>
      <c r="E1590" s="588"/>
      <c r="F1590" s="588"/>
      <c r="G1590" s="600"/>
      <c r="H1590" s="588"/>
      <c r="I1590" s="588"/>
      <c r="J1590" s="588"/>
    </row>
    <row r="1591" spans="1:10" x14ac:dyDescent="0.3">
      <c r="A1591" s="588"/>
      <c r="B1591" s="588"/>
      <c r="C1591" s="588"/>
      <c r="D1591" s="588"/>
      <c r="E1591" s="588"/>
      <c r="F1591" s="588"/>
      <c r="G1591" s="600"/>
      <c r="H1591" s="588"/>
      <c r="I1591" s="588"/>
      <c r="J1591" s="588"/>
    </row>
    <row r="1592" spans="1:10" x14ac:dyDescent="0.3">
      <c r="A1592" s="588"/>
      <c r="B1592" s="588"/>
      <c r="C1592" s="588"/>
      <c r="D1592" s="588"/>
      <c r="E1592" s="588"/>
      <c r="F1592" s="588"/>
      <c r="G1592" s="600"/>
      <c r="H1592" s="588"/>
      <c r="I1592" s="588"/>
      <c r="J1592" s="588"/>
    </row>
    <row r="1593" spans="1:10" x14ac:dyDescent="0.3">
      <c r="A1593" s="588"/>
      <c r="B1593" s="588"/>
      <c r="C1593" s="588"/>
      <c r="D1593" s="588"/>
      <c r="E1593" s="588"/>
      <c r="F1593" s="588"/>
      <c r="G1593" s="600"/>
      <c r="H1593" s="588"/>
      <c r="I1593" s="588"/>
      <c r="J1593" s="588"/>
    </row>
    <row r="1594" spans="1:10" x14ac:dyDescent="0.3">
      <c r="A1594" s="588"/>
      <c r="B1594" s="588"/>
      <c r="C1594" s="588"/>
      <c r="D1594" s="588"/>
      <c r="E1594" s="588"/>
      <c r="F1594" s="588"/>
      <c r="G1594" s="600"/>
      <c r="H1594" s="588"/>
      <c r="I1594" s="588"/>
      <c r="J1594" s="588"/>
    </row>
    <row r="1595" spans="1:10" x14ac:dyDescent="0.3">
      <c r="A1595" s="588"/>
      <c r="B1595" s="588"/>
      <c r="C1595" s="588"/>
      <c r="D1595" s="588"/>
      <c r="E1595" s="588"/>
      <c r="F1595" s="588"/>
      <c r="G1595" s="600"/>
      <c r="H1595" s="588"/>
      <c r="I1595" s="588"/>
      <c r="J1595" s="588"/>
    </row>
    <row r="1596" spans="1:10" x14ac:dyDescent="0.3">
      <c r="A1596" s="588"/>
      <c r="B1596" s="588"/>
      <c r="C1596" s="588"/>
      <c r="D1596" s="588"/>
      <c r="E1596" s="588"/>
      <c r="F1596" s="588"/>
      <c r="G1596" s="600"/>
      <c r="H1596" s="588"/>
      <c r="I1596" s="588"/>
      <c r="J1596" s="588"/>
    </row>
    <row r="1597" spans="1:10" x14ac:dyDescent="0.3">
      <c r="A1597" s="588"/>
      <c r="B1597" s="588"/>
      <c r="C1597" s="588"/>
      <c r="D1597" s="588"/>
      <c r="E1597" s="588"/>
      <c r="F1597" s="588"/>
      <c r="G1597" s="600"/>
      <c r="H1597" s="588"/>
      <c r="I1597" s="588"/>
      <c r="J1597" s="588"/>
    </row>
    <row r="1598" spans="1:10" x14ac:dyDescent="0.3">
      <c r="A1598" s="588"/>
      <c r="B1598" s="588"/>
      <c r="C1598" s="588"/>
      <c r="D1598" s="588"/>
      <c r="E1598" s="588"/>
      <c r="F1598" s="588"/>
      <c r="G1598" s="600"/>
      <c r="H1598" s="588"/>
      <c r="I1598" s="588"/>
      <c r="J1598" s="588"/>
    </row>
    <row r="1599" spans="1:10" x14ac:dyDescent="0.3">
      <c r="A1599" s="588"/>
      <c r="B1599" s="588"/>
      <c r="C1599" s="588"/>
      <c r="D1599" s="588"/>
      <c r="E1599" s="588"/>
      <c r="F1599" s="588"/>
      <c r="G1599" s="600"/>
      <c r="H1599" s="588"/>
      <c r="I1599" s="588"/>
      <c r="J1599" s="588"/>
    </row>
    <row r="1600" spans="1:10" x14ac:dyDescent="0.3">
      <c r="A1600" s="588"/>
      <c r="B1600" s="588"/>
      <c r="C1600" s="588"/>
      <c r="D1600" s="588"/>
      <c r="E1600" s="588"/>
      <c r="F1600" s="588"/>
      <c r="G1600" s="600"/>
      <c r="H1600" s="588"/>
      <c r="I1600" s="588"/>
      <c r="J1600" s="588"/>
    </row>
    <row r="1601" spans="1:10" x14ac:dyDescent="0.3">
      <c r="A1601" s="588"/>
      <c r="B1601" s="588"/>
      <c r="C1601" s="588"/>
      <c r="D1601" s="588"/>
      <c r="E1601" s="588"/>
      <c r="F1601" s="588"/>
      <c r="G1601" s="600"/>
      <c r="H1601" s="588"/>
      <c r="I1601" s="588"/>
      <c r="J1601" s="588"/>
    </row>
    <row r="1602" spans="1:10" x14ac:dyDescent="0.3">
      <c r="A1602" s="588"/>
      <c r="B1602" s="588"/>
      <c r="C1602" s="588"/>
      <c r="D1602" s="588"/>
      <c r="E1602" s="588"/>
      <c r="F1602" s="588"/>
      <c r="G1602" s="600"/>
      <c r="H1602" s="588"/>
      <c r="I1602" s="588"/>
      <c r="J1602" s="588"/>
    </row>
    <row r="1603" spans="1:10" x14ac:dyDescent="0.3">
      <c r="A1603" s="588"/>
      <c r="B1603" s="588"/>
      <c r="C1603" s="588"/>
      <c r="D1603" s="588"/>
      <c r="E1603" s="588"/>
      <c r="F1603" s="588"/>
      <c r="G1603" s="600"/>
      <c r="H1603" s="588"/>
      <c r="I1603" s="588"/>
      <c r="J1603" s="588"/>
    </row>
    <row r="1604" spans="1:10" x14ac:dyDescent="0.3">
      <c r="A1604" s="588"/>
      <c r="B1604" s="588"/>
      <c r="C1604" s="588"/>
      <c r="D1604" s="588"/>
      <c r="E1604" s="588"/>
      <c r="F1604" s="588"/>
      <c r="G1604" s="600"/>
      <c r="H1604" s="588"/>
      <c r="I1604" s="588"/>
      <c r="J1604" s="588"/>
    </row>
    <row r="1605" spans="1:10" x14ac:dyDescent="0.3">
      <c r="A1605" s="588"/>
      <c r="B1605" s="588"/>
      <c r="C1605" s="588"/>
      <c r="D1605" s="588"/>
      <c r="E1605" s="588"/>
      <c r="F1605" s="588"/>
      <c r="G1605" s="600"/>
      <c r="H1605" s="588"/>
      <c r="I1605" s="588"/>
      <c r="J1605" s="588"/>
    </row>
    <row r="1606" spans="1:10" x14ac:dyDescent="0.3">
      <c r="A1606" s="588"/>
      <c r="B1606" s="588"/>
      <c r="C1606" s="588"/>
      <c r="D1606" s="588"/>
      <c r="E1606" s="588"/>
      <c r="F1606" s="588"/>
      <c r="G1606" s="600"/>
      <c r="H1606" s="588"/>
      <c r="I1606" s="588"/>
      <c r="J1606" s="588"/>
    </row>
    <row r="1607" spans="1:10" x14ac:dyDescent="0.3">
      <c r="A1607" s="588"/>
      <c r="B1607" s="588"/>
      <c r="C1607" s="588"/>
      <c r="D1607" s="588"/>
      <c r="E1607" s="588"/>
      <c r="F1607" s="588"/>
      <c r="G1607" s="600"/>
      <c r="H1607" s="588"/>
      <c r="I1607" s="588"/>
      <c r="J1607" s="588"/>
    </row>
    <row r="1608" spans="1:10" x14ac:dyDescent="0.3">
      <c r="A1608" s="588"/>
      <c r="B1608" s="588"/>
      <c r="C1608" s="588"/>
      <c r="D1608" s="588"/>
      <c r="E1608" s="588"/>
      <c r="F1608" s="588"/>
      <c r="G1608" s="600"/>
      <c r="H1608" s="588"/>
      <c r="I1608" s="588"/>
      <c r="J1608" s="588"/>
    </row>
    <row r="1609" spans="1:10" x14ac:dyDescent="0.3">
      <c r="A1609" s="588"/>
      <c r="B1609" s="588"/>
      <c r="C1609" s="588"/>
      <c r="D1609" s="588"/>
      <c r="E1609" s="588"/>
      <c r="F1609" s="588"/>
      <c r="G1609" s="600"/>
      <c r="H1609" s="588"/>
      <c r="I1609" s="588"/>
      <c r="J1609" s="588"/>
    </row>
    <row r="1610" spans="1:10" x14ac:dyDescent="0.3">
      <c r="A1610" s="588"/>
      <c r="B1610" s="588"/>
      <c r="C1610" s="588"/>
      <c r="D1610" s="588"/>
      <c r="E1610" s="588"/>
      <c r="F1610" s="588"/>
      <c r="G1610" s="600"/>
      <c r="H1610" s="588"/>
      <c r="I1610" s="588"/>
      <c r="J1610" s="588"/>
    </row>
    <row r="1611" spans="1:10" x14ac:dyDescent="0.3">
      <c r="A1611" s="588"/>
      <c r="B1611" s="588"/>
      <c r="C1611" s="588"/>
      <c r="D1611" s="588"/>
      <c r="E1611" s="588"/>
      <c r="F1611" s="588"/>
      <c r="G1611" s="600"/>
      <c r="H1611" s="588"/>
      <c r="I1611" s="588"/>
      <c r="J1611" s="588"/>
    </row>
    <row r="1612" spans="1:10" x14ac:dyDescent="0.3">
      <c r="A1612" s="588"/>
      <c r="B1612" s="588"/>
      <c r="C1612" s="588"/>
      <c r="D1612" s="588"/>
      <c r="E1612" s="588"/>
      <c r="F1612" s="588"/>
      <c r="G1612" s="600"/>
      <c r="H1612" s="588"/>
      <c r="I1612" s="588"/>
      <c r="J1612" s="588"/>
    </row>
    <row r="1613" spans="1:10" x14ac:dyDescent="0.3">
      <c r="A1613" s="588"/>
      <c r="B1613" s="588"/>
      <c r="C1613" s="588"/>
      <c r="D1613" s="588"/>
      <c r="E1613" s="588"/>
      <c r="F1613" s="588"/>
      <c r="G1613" s="600"/>
      <c r="H1613" s="588"/>
      <c r="I1613" s="588"/>
      <c r="J1613" s="588"/>
    </row>
    <row r="1614" spans="1:10" x14ac:dyDescent="0.3">
      <c r="A1614" s="588"/>
      <c r="B1614" s="588"/>
      <c r="C1614" s="588"/>
      <c r="D1614" s="588"/>
      <c r="E1614" s="588"/>
      <c r="F1614" s="588"/>
      <c r="G1614" s="600"/>
      <c r="H1614" s="588"/>
      <c r="I1614" s="588"/>
      <c r="J1614" s="588"/>
    </row>
    <row r="1615" spans="1:10" x14ac:dyDescent="0.3">
      <c r="A1615" s="588"/>
      <c r="B1615" s="588"/>
      <c r="C1615" s="588"/>
      <c r="D1615" s="588"/>
      <c r="E1615" s="588"/>
      <c r="F1615" s="588"/>
      <c r="G1615" s="600"/>
      <c r="H1615" s="588"/>
      <c r="I1615" s="588"/>
      <c r="J1615" s="588"/>
    </row>
    <row r="1616" spans="1:10" x14ac:dyDescent="0.3">
      <c r="A1616" s="588"/>
      <c r="B1616" s="588"/>
      <c r="C1616" s="588"/>
      <c r="D1616" s="588"/>
      <c r="E1616" s="588"/>
      <c r="F1616" s="588"/>
      <c r="G1616" s="600"/>
      <c r="H1616" s="588"/>
      <c r="I1616" s="588"/>
      <c r="J1616" s="588"/>
    </row>
    <row r="1617" spans="1:10" x14ac:dyDescent="0.3">
      <c r="A1617" s="588"/>
      <c r="B1617" s="588"/>
      <c r="C1617" s="588"/>
      <c r="D1617" s="588"/>
      <c r="E1617" s="588"/>
      <c r="F1617" s="588"/>
      <c r="G1617" s="600"/>
      <c r="H1617" s="588"/>
      <c r="I1617" s="588"/>
      <c r="J1617" s="588"/>
    </row>
    <row r="1618" spans="1:10" x14ac:dyDescent="0.3">
      <c r="A1618" s="588"/>
      <c r="B1618" s="588"/>
      <c r="C1618" s="588"/>
      <c r="D1618" s="588"/>
      <c r="E1618" s="588"/>
      <c r="F1618" s="588"/>
      <c r="G1618" s="600"/>
      <c r="H1618" s="588"/>
      <c r="I1618" s="588"/>
      <c r="J1618" s="588"/>
    </row>
    <row r="1619" spans="1:10" x14ac:dyDescent="0.3">
      <c r="A1619" s="588"/>
      <c r="B1619" s="588"/>
      <c r="C1619" s="588"/>
      <c r="D1619" s="588"/>
      <c r="E1619" s="588"/>
      <c r="F1619" s="588"/>
      <c r="G1619" s="600"/>
      <c r="H1619" s="588"/>
      <c r="I1619" s="588"/>
      <c r="J1619" s="588"/>
    </row>
    <row r="1620" spans="1:10" x14ac:dyDescent="0.3">
      <c r="A1620" s="588"/>
      <c r="B1620" s="588"/>
      <c r="C1620" s="588"/>
      <c r="D1620" s="588"/>
      <c r="E1620" s="588"/>
      <c r="F1620" s="588"/>
      <c r="G1620" s="600"/>
      <c r="H1620" s="588"/>
      <c r="I1620" s="588"/>
      <c r="J1620" s="588"/>
    </row>
    <row r="1621" spans="1:10" x14ac:dyDescent="0.3">
      <c r="A1621" s="588"/>
      <c r="B1621" s="588"/>
      <c r="C1621" s="588"/>
      <c r="D1621" s="588"/>
      <c r="E1621" s="588"/>
      <c r="F1621" s="588"/>
      <c r="G1621" s="600"/>
      <c r="H1621" s="588"/>
      <c r="I1621" s="588"/>
      <c r="J1621" s="588"/>
    </row>
    <row r="1622" spans="1:10" x14ac:dyDescent="0.3">
      <c r="A1622" s="588"/>
      <c r="B1622" s="588"/>
      <c r="C1622" s="588"/>
      <c r="D1622" s="588"/>
      <c r="E1622" s="588"/>
      <c r="F1622" s="588"/>
      <c r="G1622" s="600"/>
      <c r="H1622" s="588"/>
      <c r="I1622" s="588"/>
      <c r="J1622" s="588"/>
    </row>
    <row r="1623" spans="1:10" x14ac:dyDescent="0.3">
      <c r="A1623" s="588"/>
      <c r="B1623" s="588"/>
      <c r="C1623" s="588"/>
      <c r="D1623" s="588"/>
      <c r="E1623" s="588"/>
      <c r="F1623" s="588"/>
      <c r="G1623" s="600"/>
      <c r="H1623" s="588"/>
      <c r="I1623" s="588"/>
      <c r="J1623" s="588"/>
    </row>
    <row r="1624" spans="1:10" x14ac:dyDescent="0.3">
      <c r="A1624" s="588"/>
      <c r="B1624" s="588"/>
      <c r="C1624" s="588"/>
      <c r="D1624" s="588"/>
      <c r="E1624" s="588"/>
      <c r="F1624" s="588"/>
      <c r="G1624" s="600"/>
      <c r="H1624" s="588"/>
      <c r="I1624" s="588"/>
      <c r="J1624" s="588"/>
    </row>
    <row r="1625" spans="1:10" x14ac:dyDescent="0.3">
      <c r="A1625" s="588"/>
      <c r="B1625" s="588"/>
      <c r="C1625" s="588"/>
      <c r="D1625" s="588"/>
      <c r="E1625" s="588"/>
      <c r="F1625" s="588"/>
      <c r="G1625" s="600"/>
      <c r="H1625" s="588"/>
      <c r="I1625" s="588"/>
      <c r="J1625" s="588"/>
    </row>
    <row r="1626" spans="1:10" x14ac:dyDescent="0.3">
      <c r="A1626" s="588"/>
      <c r="B1626" s="588"/>
      <c r="C1626" s="588"/>
      <c r="D1626" s="588"/>
      <c r="E1626" s="588"/>
      <c r="F1626" s="588"/>
      <c r="G1626" s="600"/>
      <c r="H1626" s="588"/>
      <c r="I1626" s="588"/>
      <c r="J1626" s="588"/>
    </row>
    <row r="1627" spans="1:10" x14ac:dyDescent="0.3">
      <c r="A1627" s="588"/>
      <c r="B1627" s="588"/>
      <c r="C1627" s="588"/>
      <c r="D1627" s="588"/>
      <c r="E1627" s="588"/>
      <c r="F1627" s="588"/>
      <c r="G1627" s="600"/>
      <c r="H1627" s="588"/>
      <c r="I1627" s="588"/>
      <c r="J1627" s="588"/>
    </row>
    <row r="1628" spans="1:10" x14ac:dyDescent="0.3">
      <c r="A1628" s="588"/>
      <c r="B1628" s="588"/>
      <c r="C1628" s="588"/>
      <c r="D1628" s="588"/>
      <c r="E1628" s="588"/>
      <c r="F1628" s="588"/>
      <c r="G1628" s="600"/>
      <c r="H1628" s="588"/>
      <c r="I1628" s="588"/>
      <c r="J1628" s="588"/>
    </row>
    <row r="1629" spans="1:10" x14ac:dyDescent="0.3">
      <c r="A1629" s="588"/>
      <c r="B1629" s="588"/>
      <c r="C1629" s="588"/>
      <c r="D1629" s="588"/>
      <c r="E1629" s="588"/>
      <c r="F1629" s="588"/>
      <c r="G1629" s="600"/>
      <c r="H1629" s="588"/>
      <c r="I1629" s="588"/>
      <c r="J1629" s="588"/>
    </row>
    <row r="1630" spans="1:10" x14ac:dyDescent="0.3">
      <c r="A1630" s="588"/>
      <c r="B1630" s="588"/>
      <c r="C1630" s="588"/>
      <c r="D1630" s="588"/>
      <c r="E1630" s="588"/>
      <c r="F1630" s="588"/>
      <c r="G1630" s="600"/>
      <c r="H1630" s="588"/>
      <c r="I1630" s="588"/>
      <c r="J1630" s="588"/>
    </row>
    <row r="1631" spans="1:10" x14ac:dyDescent="0.3">
      <c r="A1631" s="588"/>
      <c r="B1631" s="588"/>
      <c r="C1631" s="588"/>
      <c r="D1631" s="588"/>
      <c r="E1631" s="588"/>
      <c r="F1631" s="588"/>
      <c r="G1631" s="600"/>
      <c r="H1631" s="588"/>
      <c r="I1631" s="588"/>
      <c r="J1631" s="588"/>
    </row>
    <row r="1632" spans="1:10" x14ac:dyDescent="0.3">
      <c r="A1632" s="588"/>
      <c r="B1632" s="588"/>
      <c r="C1632" s="588"/>
      <c r="D1632" s="588"/>
      <c r="E1632" s="588"/>
      <c r="F1632" s="588"/>
      <c r="G1632" s="600"/>
      <c r="H1632" s="588"/>
      <c r="I1632" s="588"/>
      <c r="J1632" s="588"/>
    </row>
    <row r="1633" spans="1:10" x14ac:dyDescent="0.3">
      <c r="A1633" s="588"/>
      <c r="B1633" s="588"/>
      <c r="C1633" s="588"/>
      <c r="D1633" s="588"/>
      <c r="E1633" s="588"/>
      <c r="F1633" s="588"/>
      <c r="G1633" s="600"/>
      <c r="H1633" s="588"/>
      <c r="I1633" s="588"/>
      <c r="J1633" s="588"/>
    </row>
    <row r="1634" spans="1:10" x14ac:dyDescent="0.3">
      <c r="A1634" s="588"/>
      <c r="B1634" s="588"/>
      <c r="C1634" s="588"/>
      <c r="D1634" s="588"/>
      <c r="E1634" s="588"/>
      <c r="F1634" s="588"/>
      <c r="G1634" s="600"/>
      <c r="H1634" s="588"/>
      <c r="I1634" s="588"/>
      <c r="J1634" s="588"/>
    </row>
    <row r="1635" spans="1:10" x14ac:dyDescent="0.3">
      <c r="A1635" s="588"/>
      <c r="B1635" s="588"/>
      <c r="C1635" s="588"/>
      <c r="D1635" s="588"/>
      <c r="E1635" s="588"/>
      <c r="F1635" s="588"/>
      <c r="G1635" s="600"/>
      <c r="H1635" s="588"/>
      <c r="I1635" s="588"/>
      <c r="J1635" s="588"/>
    </row>
    <row r="1636" spans="1:10" x14ac:dyDescent="0.3">
      <c r="A1636" s="588"/>
      <c r="B1636" s="588"/>
      <c r="C1636" s="588"/>
      <c r="D1636" s="588"/>
      <c r="E1636" s="588"/>
      <c r="F1636" s="588"/>
      <c r="G1636" s="600"/>
      <c r="H1636" s="588"/>
      <c r="I1636" s="588"/>
      <c r="J1636" s="588"/>
    </row>
    <row r="1637" spans="1:10" x14ac:dyDescent="0.3">
      <c r="A1637" s="588"/>
      <c r="B1637" s="588"/>
      <c r="C1637" s="588"/>
      <c r="D1637" s="588"/>
      <c r="E1637" s="588"/>
      <c r="F1637" s="588"/>
      <c r="G1637" s="600"/>
      <c r="H1637" s="588"/>
      <c r="I1637" s="588"/>
      <c r="J1637" s="588"/>
    </row>
    <row r="1638" spans="1:10" x14ac:dyDescent="0.3">
      <c r="A1638" s="588"/>
      <c r="B1638" s="588"/>
      <c r="C1638" s="588"/>
      <c r="D1638" s="588"/>
      <c r="E1638" s="588"/>
      <c r="F1638" s="588"/>
      <c r="G1638" s="600"/>
      <c r="H1638" s="588"/>
      <c r="I1638" s="588"/>
      <c r="J1638" s="588"/>
    </row>
    <row r="1639" spans="1:10" x14ac:dyDescent="0.3">
      <c r="A1639" s="588"/>
      <c r="B1639" s="588"/>
      <c r="C1639" s="588"/>
      <c r="D1639" s="588"/>
      <c r="E1639" s="588"/>
      <c r="F1639" s="588"/>
      <c r="G1639" s="600"/>
      <c r="H1639" s="588"/>
      <c r="I1639" s="588"/>
      <c r="J1639" s="588"/>
    </row>
    <row r="1640" spans="1:10" x14ac:dyDescent="0.3">
      <c r="A1640" s="588"/>
      <c r="B1640" s="588"/>
      <c r="C1640" s="588"/>
      <c r="D1640" s="588"/>
      <c r="E1640" s="588"/>
      <c r="F1640" s="588"/>
      <c r="G1640" s="600"/>
      <c r="H1640" s="588"/>
      <c r="I1640" s="588"/>
      <c r="J1640" s="588"/>
    </row>
    <row r="1641" spans="1:10" x14ac:dyDescent="0.3">
      <c r="A1641" s="588"/>
      <c r="B1641" s="588"/>
      <c r="C1641" s="588"/>
      <c r="D1641" s="588"/>
      <c r="E1641" s="588"/>
      <c r="F1641" s="588"/>
      <c r="G1641" s="600"/>
      <c r="H1641" s="588"/>
      <c r="I1641" s="588"/>
      <c r="J1641" s="588"/>
    </row>
    <row r="1642" spans="1:10" x14ac:dyDescent="0.3">
      <c r="A1642" s="588"/>
      <c r="B1642" s="588"/>
      <c r="C1642" s="588"/>
      <c r="D1642" s="588"/>
      <c r="E1642" s="588"/>
      <c r="F1642" s="588"/>
      <c r="G1642" s="600"/>
      <c r="H1642" s="588"/>
      <c r="I1642" s="588"/>
      <c r="J1642" s="588"/>
    </row>
    <row r="1643" spans="1:10" x14ac:dyDescent="0.3">
      <c r="A1643" s="588"/>
      <c r="B1643" s="588"/>
      <c r="C1643" s="588"/>
      <c r="D1643" s="588"/>
      <c r="E1643" s="588"/>
      <c r="F1643" s="588"/>
      <c r="G1643" s="600"/>
      <c r="H1643" s="588"/>
      <c r="I1643" s="588"/>
      <c r="J1643" s="588"/>
    </row>
    <row r="1644" spans="1:10" x14ac:dyDescent="0.3">
      <c r="A1644" s="588"/>
      <c r="B1644" s="588"/>
      <c r="C1644" s="588"/>
      <c r="D1644" s="588"/>
      <c r="E1644" s="588"/>
      <c r="F1644" s="588"/>
      <c r="G1644" s="600"/>
      <c r="H1644" s="588"/>
      <c r="I1644" s="588"/>
      <c r="J1644" s="588"/>
    </row>
    <row r="1645" spans="1:10" x14ac:dyDescent="0.3">
      <c r="A1645" s="588"/>
      <c r="B1645" s="588"/>
      <c r="C1645" s="588"/>
      <c r="D1645" s="588"/>
      <c r="E1645" s="588"/>
      <c r="F1645" s="588"/>
      <c r="G1645" s="600"/>
      <c r="H1645" s="588"/>
      <c r="I1645" s="588"/>
      <c r="J1645" s="588"/>
    </row>
    <row r="1646" spans="1:10" x14ac:dyDescent="0.3">
      <c r="A1646" s="588"/>
      <c r="B1646" s="588"/>
      <c r="C1646" s="588"/>
      <c r="D1646" s="588"/>
      <c r="E1646" s="588"/>
      <c r="F1646" s="588"/>
      <c r="G1646" s="600"/>
      <c r="H1646" s="588"/>
      <c r="I1646" s="588"/>
      <c r="J1646" s="588"/>
    </row>
    <row r="1647" spans="1:10" x14ac:dyDescent="0.3">
      <c r="A1647" s="588"/>
      <c r="B1647" s="588"/>
      <c r="C1647" s="588"/>
      <c r="D1647" s="588"/>
      <c r="E1647" s="588"/>
      <c r="F1647" s="588"/>
      <c r="G1647" s="600"/>
      <c r="H1647" s="588"/>
      <c r="I1647" s="588"/>
      <c r="J1647" s="588"/>
    </row>
    <row r="1648" spans="1:10" x14ac:dyDescent="0.3">
      <c r="A1648" s="588"/>
      <c r="B1648" s="588"/>
      <c r="C1648" s="588"/>
      <c r="D1648" s="588"/>
      <c r="E1648" s="588"/>
      <c r="F1648" s="588"/>
      <c r="G1648" s="600"/>
      <c r="H1648" s="588"/>
      <c r="I1648" s="588"/>
      <c r="J1648" s="588"/>
    </row>
    <row r="1649" spans="1:10" x14ac:dyDescent="0.3">
      <c r="A1649" s="588"/>
      <c r="B1649" s="588"/>
      <c r="C1649" s="588"/>
      <c r="D1649" s="588"/>
      <c r="E1649" s="588"/>
      <c r="F1649" s="588"/>
      <c r="G1649" s="600"/>
      <c r="H1649" s="588"/>
      <c r="I1649" s="588"/>
      <c r="J1649" s="588"/>
    </row>
    <row r="1650" spans="1:10" x14ac:dyDescent="0.3">
      <c r="A1650" s="588"/>
      <c r="B1650" s="588"/>
      <c r="C1650" s="588"/>
      <c r="D1650" s="588"/>
      <c r="E1650" s="588"/>
      <c r="F1650" s="588"/>
      <c r="G1650" s="600"/>
      <c r="H1650" s="588"/>
      <c r="I1650" s="588"/>
      <c r="J1650" s="588"/>
    </row>
    <row r="1651" spans="1:10" x14ac:dyDescent="0.3">
      <c r="A1651" s="588"/>
      <c r="B1651" s="588"/>
      <c r="C1651" s="588"/>
      <c r="D1651" s="588"/>
      <c r="E1651" s="588"/>
      <c r="F1651" s="588"/>
      <c r="G1651" s="600"/>
      <c r="H1651" s="588"/>
      <c r="I1651" s="588"/>
      <c r="J1651" s="588"/>
    </row>
    <row r="1652" spans="1:10" x14ac:dyDescent="0.3">
      <c r="A1652" s="588"/>
      <c r="B1652" s="588"/>
      <c r="C1652" s="588"/>
      <c r="D1652" s="588"/>
      <c r="E1652" s="588"/>
      <c r="F1652" s="588"/>
      <c r="G1652" s="600"/>
      <c r="H1652" s="588"/>
      <c r="I1652" s="588"/>
      <c r="J1652" s="588"/>
    </row>
    <row r="1653" spans="1:10" x14ac:dyDescent="0.3">
      <c r="A1653" s="588"/>
      <c r="B1653" s="588"/>
      <c r="C1653" s="588"/>
      <c r="D1653" s="588"/>
      <c r="E1653" s="588"/>
      <c r="F1653" s="588"/>
      <c r="G1653" s="600"/>
      <c r="H1653" s="588"/>
      <c r="I1653" s="588"/>
      <c r="J1653" s="588"/>
    </row>
    <row r="1654" spans="1:10" x14ac:dyDescent="0.3">
      <c r="A1654" s="588"/>
      <c r="B1654" s="588"/>
      <c r="C1654" s="588"/>
      <c r="D1654" s="588"/>
      <c r="E1654" s="588"/>
      <c r="F1654" s="588"/>
      <c r="G1654" s="600"/>
      <c r="H1654" s="588"/>
      <c r="I1654" s="588"/>
      <c r="J1654" s="588"/>
    </row>
    <row r="1655" spans="1:10" x14ac:dyDescent="0.3">
      <c r="A1655" s="588"/>
      <c r="B1655" s="588"/>
      <c r="C1655" s="588"/>
      <c r="D1655" s="588"/>
      <c r="E1655" s="588"/>
      <c r="F1655" s="588"/>
      <c r="G1655" s="600"/>
      <c r="H1655" s="588"/>
      <c r="I1655" s="588"/>
      <c r="J1655" s="588"/>
    </row>
    <row r="1656" spans="1:10" x14ac:dyDescent="0.3">
      <c r="A1656" s="588"/>
      <c r="B1656" s="588"/>
      <c r="C1656" s="588"/>
      <c r="D1656" s="588"/>
      <c r="E1656" s="588"/>
      <c r="F1656" s="588"/>
      <c r="G1656" s="600"/>
      <c r="H1656" s="588"/>
      <c r="I1656" s="588"/>
      <c r="J1656" s="588"/>
    </row>
    <row r="1657" spans="1:10" x14ac:dyDescent="0.3">
      <c r="A1657" s="588"/>
      <c r="B1657" s="588"/>
      <c r="C1657" s="588"/>
      <c r="D1657" s="588"/>
      <c r="E1657" s="588"/>
      <c r="F1657" s="588"/>
      <c r="G1657" s="600"/>
      <c r="H1657" s="588"/>
      <c r="I1657" s="588"/>
      <c r="J1657" s="588"/>
    </row>
    <row r="1658" spans="1:10" x14ac:dyDescent="0.3">
      <c r="A1658" s="588"/>
      <c r="B1658" s="588"/>
      <c r="C1658" s="588"/>
      <c r="D1658" s="588"/>
      <c r="E1658" s="588"/>
      <c r="F1658" s="588"/>
      <c r="G1658" s="600"/>
      <c r="H1658" s="588"/>
      <c r="I1658" s="588"/>
      <c r="J1658" s="588"/>
    </row>
    <row r="1659" spans="1:10" x14ac:dyDescent="0.3">
      <c r="A1659" s="588"/>
      <c r="B1659" s="588"/>
      <c r="C1659" s="588"/>
      <c r="D1659" s="588"/>
      <c r="E1659" s="588"/>
      <c r="F1659" s="588"/>
      <c r="G1659" s="600"/>
      <c r="H1659" s="588"/>
      <c r="I1659" s="588"/>
      <c r="J1659" s="588"/>
    </row>
    <row r="1660" spans="1:10" x14ac:dyDescent="0.3">
      <c r="A1660" s="588"/>
      <c r="B1660" s="588"/>
      <c r="C1660" s="588"/>
      <c r="D1660" s="588"/>
      <c r="E1660" s="588"/>
      <c r="F1660" s="588"/>
      <c r="G1660" s="600"/>
      <c r="H1660" s="588"/>
      <c r="I1660" s="588"/>
      <c r="J1660" s="588"/>
    </row>
    <row r="1661" spans="1:10" x14ac:dyDescent="0.3">
      <c r="A1661" s="588"/>
      <c r="B1661" s="588"/>
      <c r="C1661" s="588"/>
      <c r="D1661" s="588"/>
      <c r="E1661" s="588"/>
      <c r="F1661" s="588"/>
      <c r="G1661" s="600"/>
      <c r="H1661" s="588"/>
      <c r="I1661" s="588"/>
      <c r="J1661" s="588"/>
    </row>
    <row r="1662" spans="1:10" x14ac:dyDescent="0.3">
      <c r="A1662" s="588"/>
      <c r="B1662" s="588"/>
      <c r="C1662" s="588"/>
      <c r="D1662" s="588"/>
      <c r="E1662" s="588"/>
      <c r="F1662" s="588"/>
      <c r="G1662" s="600"/>
      <c r="H1662" s="588"/>
      <c r="I1662" s="588"/>
      <c r="J1662" s="588"/>
    </row>
    <row r="1663" spans="1:10" x14ac:dyDescent="0.3">
      <c r="A1663" s="588"/>
      <c r="B1663" s="588"/>
      <c r="C1663" s="588"/>
      <c r="D1663" s="588"/>
      <c r="E1663" s="588"/>
      <c r="F1663" s="588"/>
      <c r="G1663" s="600"/>
      <c r="H1663" s="588"/>
      <c r="I1663" s="588"/>
      <c r="J1663" s="588"/>
    </row>
    <row r="1664" spans="1:10" x14ac:dyDescent="0.3">
      <c r="A1664" s="588"/>
      <c r="B1664" s="588"/>
      <c r="C1664" s="588"/>
      <c r="D1664" s="588"/>
      <c r="E1664" s="588"/>
      <c r="F1664" s="588"/>
      <c r="G1664" s="600"/>
      <c r="H1664" s="588"/>
      <c r="I1664" s="588"/>
      <c r="J1664" s="588"/>
    </row>
    <row r="1665" spans="1:10" x14ac:dyDescent="0.3">
      <c r="A1665" s="588"/>
      <c r="B1665" s="588"/>
      <c r="C1665" s="588"/>
      <c r="D1665" s="588"/>
      <c r="E1665" s="588"/>
      <c r="F1665" s="588"/>
      <c r="G1665" s="600"/>
      <c r="H1665" s="588"/>
      <c r="I1665" s="588"/>
      <c r="J1665" s="588"/>
    </row>
    <row r="1666" spans="1:10" x14ac:dyDescent="0.3">
      <c r="A1666" s="588"/>
      <c r="B1666" s="588"/>
      <c r="C1666" s="588"/>
      <c r="D1666" s="588"/>
      <c r="E1666" s="588"/>
      <c r="F1666" s="588"/>
      <c r="G1666" s="600"/>
      <c r="H1666" s="588"/>
      <c r="I1666" s="588"/>
      <c r="J1666" s="588"/>
    </row>
    <row r="1667" spans="1:10" x14ac:dyDescent="0.3">
      <c r="A1667" s="588"/>
      <c r="B1667" s="588"/>
      <c r="C1667" s="588"/>
      <c r="D1667" s="588"/>
      <c r="E1667" s="588"/>
      <c r="F1667" s="588"/>
      <c r="G1667" s="600"/>
      <c r="H1667" s="588"/>
      <c r="I1667" s="588"/>
      <c r="J1667" s="588"/>
    </row>
    <row r="1668" spans="1:10" x14ac:dyDescent="0.3">
      <c r="A1668" s="588"/>
      <c r="B1668" s="588"/>
      <c r="C1668" s="588"/>
      <c r="D1668" s="588"/>
      <c r="E1668" s="588"/>
      <c r="F1668" s="588"/>
      <c r="G1668" s="600"/>
      <c r="H1668" s="588"/>
      <c r="I1668" s="588"/>
      <c r="J1668" s="588"/>
    </row>
    <row r="1669" spans="1:10" x14ac:dyDescent="0.3">
      <c r="A1669" s="588"/>
      <c r="B1669" s="588"/>
      <c r="C1669" s="588"/>
      <c r="D1669" s="588"/>
      <c r="E1669" s="588"/>
      <c r="F1669" s="588"/>
      <c r="G1669" s="600"/>
      <c r="H1669" s="588"/>
      <c r="I1669" s="588"/>
      <c r="J1669" s="588"/>
    </row>
    <row r="1670" spans="1:10" x14ac:dyDescent="0.3">
      <c r="A1670" s="588"/>
      <c r="B1670" s="588"/>
      <c r="C1670" s="588"/>
      <c r="D1670" s="588"/>
      <c r="E1670" s="588"/>
      <c r="F1670" s="588"/>
      <c r="G1670" s="600"/>
      <c r="H1670" s="588"/>
      <c r="I1670" s="588"/>
      <c r="J1670" s="588"/>
    </row>
    <row r="1671" spans="1:10" x14ac:dyDescent="0.3">
      <c r="A1671" s="588"/>
      <c r="B1671" s="588"/>
      <c r="C1671" s="588"/>
      <c r="D1671" s="588"/>
      <c r="E1671" s="588"/>
      <c r="F1671" s="588"/>
      <c r="G1671" s="600"/>
      <c r="H1671" s="588"/>
      <c r="I1671" s="588"/>
      <c r="J1671" s="588"/>
    </row>
    <row r="1672" spans="1:10" x14ac:dyDescent="0.3">
      <c r="A1672" s="588"/>
      <c r="B1672" s="588"/>
      <c r="C1672" s="588"/>
      <c r="D1672" s="588"/>
      <c r="E1672" s="588"/>
      <c r="F1672" s="588"/>
      <c r="G1672" s="600"/>
      <c r="H1672" s="588"/>
      <c r="I1672" s="588"/>
      <c r="J1672" s="588"/>
    </row>
    <row r="1673" spans="1:10" x14ac:dyDescent="0.3">
      <c r="A1673" s="588"/>
      <c r="B1673" s="588"/>
      <c r="C1673" s="588"/>
      <c r="D1673" s="588"/>
      <c r="E1673" s="588"/>
      <c r="F1673" s="588"/>
      <c r="G1673" s="600"/>
      <c r="H1673" s="588"/>
      <c r="I1673" s="588"/>
      <c r="J1673" s="588"/>
    </row>
    <row r="1674" spans="1:10" x14ac:dyDescent="0.3">
      <c r="A1674" s="588"/>
      <c r="B1674" s="588"/>
      <c r="C1674" s="588"/>
      <c r="D1674" s="588"/>
      <c r="E1674" s="588"/>
      <c r="F1674" s="588"/>
      <c r="G1674" s="600"/>
      <c r="H1674" s="588"/>
      <c r="I1674" s="588"/>
      <c r="J1674" s="588"/>
    </row>
    <row r="1675" spans="1:10" x14ac:dyDescent="0.3">
      <c r="A1675" s="588"/>
      <c r="B1675" s="588"/>
      <c r="C1675" s="588"/>
      <c r="D1675" s="588"/>
      <c r="E1675" s="588"/>
      <c r="F1675" s="588"/>
      <c r="G1675" s="600"/>
      <c r="H1675" s="588"/>
      <c r="I1675" s="588"/>
      <c r="J1675" s="588"/>
    </row>
    <row r="1676" spans="1:10" x14ac:dyDescent="0.3">
      <c r="A1676" s="588"/>
      <c r="B1676" s="588"/>
      <c r="C1676" s="588"/>
      <c r="D1676" s="588"/>
      <c r="E1676" s="588"/>
      <c r="F1676" s="588"/>
      <c r="G1676" s="600"/>
      <c r="H1676" s="588"/>
      <c r="I1676" s="588"/>
      <c r="J1676" s="588"/>
    </row>
    <row r="1677" spans="1:10" x14ac:dyDescent="0.3">
      <c r="A1677" s="588"/>
      <c r="B1677" s="588"/>
      <c r="C1677" s="588"/>
      <c r="D1677" s="588"/>
      <c r="E1677" s="588"/>
      <c r="F1677" s="588"/>
      <c r="G1677" s="600"/>
      <c r="H1677" s="588"/>
      <c r="I1677" s="588"/>
      <c r="J1677" s="588"/>
    </row>
    <row r="1678" spans="1:10" x14ac:dyDescent="0.3">
      <c r="A1678" s="588"/>
      <c r="B1678" s="588"/>
      <c r="C1678" s="588"/>
      <c r="D1678" s="588"/>
      <c r="E1678" s="588"/>
      <c r="F1678" s="588"/>
      <c r="G1678" s="600"/>
      <c r="H1678" s="588"/>
      <c r="I1678" s="588"/>
      <c r="J1678" s="588"/>
    </row>
    <row r="1679" spans="1:10" x14ac:dyDescent="0.3">
      <c r="A1679" s="588"/>
      <c r="B1679" s="588"/>
      <c r="C1679" s="588"/>
      <c r="D1679" s="588"/>
      <c r="E1679" s="588"/>
      <c r="F1679" s="588"/>
      <c r="G1679" s="600"/>
      <c r="H1679" s="588"/>
      <c r="I1679" s="588"/>
      <c r="J1679" s="588"/>
    </row>
    <row r="1680" spans="1:10" x14ac:dyDescent="0.3">
      <c r="A1680" s="588"/>
      <c r="B1680" s="588"/>
      <c r="C1680" s="588"/>
      <c r="D1680" s="588"/>
      <c r="E1680" s="588"/>
      <c r="F1680" s="588"/>
      <c r="G1680" s="600"/>
      <c r="H1680" s="588"/>
      <c r="I1680" s="588"/>
      <c r="J1680" s="588"/>
    </row>
    <row r="1681" spans="1:10" x14ac:dyDescent="0.3">
      <c r="A1681" s="588"/>
      <c r="B1681" s="588"/>
      <c r="C1681" s="588"/>
      <c r="D1681" s="588"/>
      <c r="E1681" s="588"/>
      <c r="F1681" s="588"/>
      <c r="G1681" s="600"/>
      <c r="H1681" s="588"/>
      <c r="I1681" s="588"/>
      <c r="J1681" s="588"/>
    </row>
    <row r="1682" spans="1:10" x14ac:dyDescent="0.3">
      <c r="A1682" s="588"/>
      <c r="B1682" s="588"/>
      <c r="C1682" s="588"/>
      <c r="D1682" s="588"/>
      <c r="E1682" s="588"/>
      <c r="F1682" s="588"/>
      <c r="G1682" s="600"/>
      <c r="H1682" s="588"/>
      <c r="I1682" s="588"/>
      <c r="J1682" s="588"/>
    </row>
    <row r="1683" spans="1:10" x14ac:dyDescent="0.3">
      <c r="A1683" s="588"/>
      <c r="B1683" s="588"/>
      <c r="C1683" s="588"/>
      <c r="D1683" s="588"/>
      <c r="E1683" s="588"/>
      <c r="F1683" s="588"/>
      <c r="G1683" s="600"/>
      <c r="H1683" s="588"/>
      <c r="I1683" s="588"/>
      <c r="J1683" s="588"/>
    </row>
    <row r="1684" spans="1:10" x14ac:dyDescent="0.3">
      <c r="A1684" s="588"/>
      <c r="B1684" s="588"/>
      <c r="C1684" s="588"/>
      <c r="D1684" s="588"/>
      <c r="E1684" s="588"/>
      <c r="F1684" s="588"/>
      <c r="G1684" s="600"/>
      <c r="H1684" s="588"/>
      <c r="I1684" s="588"/>
      <c r="J1684" s="588"/>
    </row>
    <row r="1685" spans="1:10" x14ac:dyDescent="0.3">
      <c r="A1685" s="588"/>
      <c r="B1685" s="588"/>
      <c r="C1685" s="588"/>
      <c r="D1685" s="588"/>
      <c r="E1685" s="588"/>
      <c r="F1685" s="588"/>
      <c r="G1685" s="600"/>
      <c r="H1685" s="588"/>
      <c r="I1685" s="588"/>
      <c r="J1685" s="588"/>
    </row>
    <row r="1686" spans="1:10" x14ac:dyDescent="0.3">
      <c r="A1686" s="588"/>
      <c r="B1686" s="588"/>
      <c r="C1686" s="588"/>
      <c r="D1686" s="588"/>
      <c r="E1686" s="588"/>
      <c r="F1686" s="588"/>
      <c r="G1686" s="600"/>
      <c r="H1686" s="588"/>
      <c r="I1686" s="588"/>
      <c r="J1686" s="588"/>
    </row>
    <row r="1687" spans="1:10" x14ac:dyDescent="0.3">
      <c r="A1687" s="588"/>
      <c r="B1687" s="588"/>
      <c r="C1687" s="588"/>
      <c r="D1687" s="588"/>
      <c r="E1687" s="588"/>
      <c r="F1687" s="588"/>
      <c r="G1687" s="600"/>
      <c r="H1687" s="588"/>
      <c r="I1687" s="588"/>
      <c r="J1687" s="588"/>
    </row>
    <row r="1688" spans="1:10" x14ac:dyDescent="0.3">
      <c r="A1688" s="588"/>
      <c r="B1688" s="588"/>
      <c r="C1688" s="588"/>
      <c r="D1688" s="588"/>
      <c r="E1688" s="588"/>
      <c r="F1688" s="588"/>
      <c r="G1688" s="600"/>
      <c r="H1688" s="588"/>
      <c r="I1688" s="588"/>
      <c r="J1688" s="588"/>
    </row>
    <row r="1689" spans="1:10" x14ac:dyDescent="0.3">
      <c r="A1689" s="588"/>
      <c r="B1689" s="588"/>
      <c r="C1689" s="588"/>
      <c r="D1689" s="588"/>
      <c r="E1689" s="588"/>
      <c r="F1689" s="588"/>
      <c r="G1689" s="600"/>
      <c r="H1689" s="588"/>
      <c r="I1689" s="588"/>
      <c r="J1689" s="588"/>
    </row>
    <row r="1690" spans="1:10" x14ac:dyDescent="0.3">
      <c r="A1690" s="588"/>
      <c r="B1690" s="588"/>
      <c r="C1690" s="588"/>
      <c r="D1690" s="588"/>
      <c r="E1690" s="588"/>
      <c r="F1690" s="588"/>
      <c r="G1690" s="600"/>
      <c r="H1690" s="588"/>
      <c r="I1690" s="588"/>
      <c r="J1690" s="588"/>
    </row>
    <row r="1691" spans="1:10" x14ac:dyDescent="0.3">
      <c r="A1691" s="588"/>
      <c r="B1691" s="588"/>
      <c r="C1691" s="588"/>
      <c r="D1691" s="588"/>
      <c r="E1691" s="588"/>
      <c r="F1691" s="588"/>
      <c r="G1691" s="600"/>
      <c r="H1691" s="588"/>
      <c r="I1691" s="588"/>
      <c r="J1691" s="588"/>
    </row>
    <row r="1692" spans="1:10" x14ac:dyDescent="0.3">
      <c r="A1692" s="588"/>
      <c r="B1692" s="588"/>
      <c r="C1692" s="588"/>
      <c r="D1692" s="588"/>
      <c r="E1692" s="588"/>
      <c r="F1692" s="588"/>
      <c r="G1692" s="600"/>
      <c r="H1692" s="588"/>
      <c r="I1692" s="588"/>
      <c r="J1692" s="588"/>
    </row>
    <row r="1693" spans="1:10" x14ac:dyDescent="0.3">
      <c r="A1693" s="588"/>
      <c r="B1693" s="588"/>
      <c r="C1693" s="588"/>
      <c r="D1693" s="588"/>
      <c r="E1693" s="588"/>
      <c r="F1693" s="588"/>
      <c r="G1693" s="600"/>
      <c r="H1693" s="588"/>
      <c r="I1693" s="588"/>
      <c r="J1693" s="588"/>
    </row>
    <row r="1694" spans="1:10" x14ac:dyDescent="0.3">
      <c r="A1694" s="588"/>
      <c r="B1694" s="588"/>
      <c r="C1694" s="588"/>
      <c r="D1694" s="588"/>
      <c r="E1694" s="588"/>
      <c r="F1694" s="588"/>
      <c r="G1694" s="600"/>
      <c r="H1694" s="588"/>
      <c r="I1694" s="588"/>
      <c r="J1694" s="588"/>
    </row>
    <row r="1695" spans="1:10" x14ac:dyDescent="0.3">
      <c r="A1695" s="588"/>
      <c r="B1695" s="588"/>
      <c r="C1695" s="588"/>
      <c r="D1695" s="588"/>
      <c r="E1695" s="588"/>
      <c r="F1695" s="588"/>
      <c r="G1695" s="600"/>
      <c r="H1695" s="588"/>
      <c r="I1695" s="588"/>
      <c r="J1695" s="588"/>
    </row>
    <row r="1696" spans="1:10" x14ac:dyDescent="0.3">
      <c r="A1696" s="588"/>
      <c r="B1696" s="588"/>
      <c r="C1696" s="588"/>
      <c r="D1696" s="588"/>
      <c r="E1696" s="588"/>
      <c r="F1696" s="588"/>
      <c r="G1696" s="600"/>
      <c r="H1696" s="588"/>
      <c r="I1696" s="588"/>
      <c r="J1696" s="588"/>
    </row>
    <row r="1697" spans="1:10" x14ac:dyDescent="0.3">
      <c r="A1697" s="588"/>
      <c r="B1697" s="588"/>
      <c r="C1697" s="588"/>
      <c r="D1697" s="588"/>
      <c r="E1697" s="588"/>
      <c r="F1697" s="588"/>
      <c r="G1697" s="600"/>
      <c r="H1697" s="588"/>
      <c r="I1697" s="588"/>
      <c r="J1697" s="588"/>
    </row>
    <row r="1698" spans="1:10" x14ac:dyDescent="0.3">
      <c r="A1698" s="588"/>
      <c r="B1698" s="588"/>
      <c r="C1698" s="588"/>
      <c r="D1698" s="588"/>
      <c r="E1698" s="588"/>
      <c r="F1698" s="588"/>
      <c r="G1698" s="600"/>
      <c r="H1698" s="588"/>
      <c r="I1698" s="588"/>
      <c r="J1698" s="588"/>
    </row>
    <row r="1699" spans="1:10" x14ac:dyDescent="0.3">
      <c r="A1699" s="588"/>
      <c r="B1699" s="588"/>
      <c r="C1699" s="588"/>
      <c r="D1699" s="588"/>
      <c r="E1699" s="588"/>
      <c r="F1699" s="588"/>
      <c r="G1699" s="600"/>
      <c r="H1699" s="588"/>
      <c r="I1699" s="588"/>
      <c r="J1699" s="588"/>
    </row>
    <row r="1700" spans="1:10" x14ac:dyDescent="0.3">
      <c r="A1700" s="588"/>
      <c r="B1700" s="588"/>
      <c r="C1700" s="588"/>
      <c r="D1700" s="588"/>
      <c r="E1700" s="588"/>
      <c r="F1700" s="588"/>
      <c r="G1700" s="600"/>
      <c r="H1700" s="588"/>
      <c r="I1700" s="588"/>
      <c r="J1700" s="588"/>
    </row>
    <row r="1701" spans="1:10" x14ac:dyDescent="0.3">
      <c r="A1701" s="588"/>
      <c r="B1701" s="588"/>
      <c r="C1701" s="588"/>
      <c r="D1701" s="588"/>
      <c r="E1701" s="588"/>
      <c r="F1701" s="588"/>
      <c r="G1701" s="600"/>
      <c r="H1701" s="588"/>
      <c r="I1701" s="588"/>
      <c r="J1701" s="588"/>
    </row>
    <row r="1702" spans="1:10" x14ac:dyDescent="0.3">
      <c r="A1702" s="588"/>
      <c r="B1702" s="588"/>
      <c r="C1702" s="588"/>
      <c r="D1702" s="588"/>
      <c r="E1702" s="588"/>
      <c r="F1702" s="588"/>
      <c r="G1702" s="600"/>
      <c r="H1702" s="588"/>
      <c r="I1702" s="588"/>
      <c r="J1702" s="588"/>
    </row>
    <row r="1703" spans="1:10" x14ac:dyDescent="0.3">
      <c r="A1703" s="588"/>
      <c r="B1703" s="588"/>
      <c r="C1703" s="588"/>
      <c r="D1703" s="588"/>
      <c r="E1703" s="588"/>
      <c r="F1703" s="588"/>
      <c r="G1703" s="600"/>
      <c r="H1703" s="588"/>
      <c r="I1703" s="588"/>
      <c r="J1703" s="588"/>
    </row>
    <row r="1704" spans="1:10" x14ac:dyDescent="0.3">
      <c r="A1704" s="588"/>
      <c r="B1704" s="588"/>
      <c r="C1704" s="588"/>
      <c r="D1704" s="588"/>
      <c r="E1704" s="588"/>
      <c r="F1704" s="588"/>
      <c r="G1704" s="600"/>
      <c r="H1704" s="588"/>
      <c r="I1704" s="588"/>
      <c r="J1704" s="588"/>
    </row>
    <row r="1705" spans="1:10" x14ac:dyDescent="0.3">
      <c r="A1705" s="588"/>
      <c r="B1705" s="588"/>
      <c r="C1705" s="588"/>
      <c r="D1705" s="588"/>
      <c r="E1705" s="588"/>
      <c r="F1705" s="588"/>
      <c r="G1705" s="600"/>
      <c r="H1705" s="588"/>
      <c r="I1705" s="588"/>
      <c r="J1705" s="588"/>
    </row>
    <row r="1706" spans="1:10" x14ac:dyDescent="0.3">
      <c r="A1706" s="588"/>
      <c r="B1706" s="588"/>
      <c r="C1706" s="588"/>
      <c r="D1706" s="588"/>
      <c r="E1706" s="588"/>
      <c r="F1706" s="588"/>
      <c r="G1706" s="600"/>
      <c r="H1706" s="588"/>
      <c r="I1706" s="588"/>
      <c r="J1706" s="588"/>
    </row>
    <row r="1707" spans="1:10" x14ac:dyDescent="0.3">
      <c r="A1707" s="588"/>
      <c r="B1707" s="588"/>
      <c r="C1707" s="588"/>
      <c r="D1707" s="588"/>
      <c r="E1707" s="588"/>
      <c r="F1707" s="588"/>
      <c r="G1707" s="600"/>
      <c r="H1707" s="588"/>
      <c r="I1707" s="588"/>
      <c r="J1707" s="588"/>
    </row>
    <row r="1708" spans="1:10" x14ac:dyDescent="0.3">
      <c r="A1708" s="588"/>
      <c r="B1708" s="588"/>
      <c r="C1708" s="588"/>
      <c r="D1708" s="588"/>
      <c r="E1708" s="588"/>
      <c r="F1708" s="588"/>
      <c r="G1708" s="600"/>
      <c r="H1708" s="588"/>
      <c r="I1708" s="588"/>
      <c r="J1708" s="588"/>
    </row>
    <row r="1709" spans="1:10" x14ac:dyDescent="0.3">
      <c r="A1709" s="588"/>
      <c r="B1709" s="588"/>
      <c r="C1709" s="588"/>
      <c r="D1709" s="588"/>
      <c r="E1709" s="588"/>
      <c r="F1709" s="588"/>
      <c r="G1709" s="600"/>
      <c r="H1709" s="588"/>
      <c r="I1709" s="588"/>
      <c r="J1709" s="588"/>
    </row>
    <row r="1710" spans="1:10" x14ac:dyDescent="0.3">
      <c r="A1710" s="588"/>
      <c r="B1710" s="588"/>
      <c r="C1710" s="588"/>
      <c r="D1710" s="588"/>
      <c r="E1710" s="588"/>
      <c r="F1710" s="588"/>
      <c r="G1710" s="600"/>
      <c r="H1710" s="588"/>
      <c r="I1710" s="588"/>
      <c r="J1710" s="588"/>
    </row>
    <row r="1711" spans="1:10" x14ac:dyDescent="0.3">
      <c r="A1711" s="588"/>
      <c r="B1711" s="588"/>
      <c r="C1711" s="588"/>
      <c r="D1711" s="588"/>
      <c r="E1711" s="588"/>
      <c r="F1711" s="588"/>
      <c r="G1711" s="600"/>
      <c r="H1711" s="588"/>
      <c r="I1711" s="588"/>
      <c r="J1711" s="588"/>
    </row>
    <row r="1712" spans="1:10" x14ac:dyDescent="0.3">
      <c r="A1712" s="588"/>
      <c r="B1712" s="588"/>
      <c r="C1712" s="588"/>
      <c r="D1712" s="588"/>
      <c r="E1712" s="588"/>
      <c r="F1712" s="588"/>
      <c r="G1712" s="600"/>
      <c r="H1712" s="588"/>
      <c r="I1712" s="588"/>
      <c r="J1712" s="588"/>
    </row>
    <row r="1713" spans="1:10" x14ac:dyDescent="0.3">
      <c r="A1713" s="588"/>
      <c r="B1713" s="588"/>
      <c r="C1713" s="588"/>
      <c r="D1713" s="588"/>
      <c r="E1713" s="588"/>
      <c r="F1713" s="588"/>
      <c r="G1713" s="600"/>
      <c r="H1713" s="588"/>
      <c r="I1713" s="588"/>
      <c r="J1713" s="588"/>
    </row>
    <row r="1714" spans="1:10" x14ac:dyDescent="0.3">
      <c r="A1714" s="588"/>
      <c r="B1714" s="588"/>
      <c r="C1714" s="588"/>
      <c r="D1714" s="588"/>
      <c r="E1714" s="588"/>
      <c r="F1714" s="588"/>
      <c r="G1714" s="600"/>
      <c r="H1714" s="588"/>
      <c r="I1714" s="588"/>
      <c r="J1714" s="588"/>
    </row>
    <row r="1715" spans="1:10" x14ac:dyDescent="0.3">
      <c r="A1715" s="588"/>
      <c r="B1715" s="588"/>
      <c r="C1715" s="588"/>
      <c r="D1715" s="588"/>
      <c r="E1715" s="588"/>
      <c r="F1715" s="588"/>
      <c r="G1715" s="600"/>
      <c r="H1715" s="588"/>
      <c r="I1715" s="588"/>
      <c r="J1715" s="588"/>
    </row>
    <row r="1716" spans="1:10" x14ac:dyDescent="0.3">
      <c r="A1716" s="588"/>
      <c r="B1716" s="588"/>
      <c r="C1716" s="588"/>
      <c r="D1716" s="588"/>
      <c r="E1716" s="588"/>
      <c r="F1716" s="588"/>
      <c r="G1716" s="600"/>
      <c r="H1716" s="588"/>
      <c r="I1716" s="588"/>
      <c r="J1716" s="588"/>
    </row>
    <row r="1717" spans="1:10" x14ac:dyDescent="0.3">
      <c r="A1717" s="588"/>
      <c r="B1717" s="588"/>
      <c r="C1717" s="588"/>
      <c r="D1717" s="588"/>
      <c r="E1717" s="588"/>
      <c r="F1717" s="588"/>
      <c r="G1717" s="600"/>
      <c r="H1717" s="588"/>
      <c r="I1717" s="588"/>
      <c r="J1717" s="588"/>
    </row>
    <row r="1718" spans="1:10" x14ac:dyDescent="0.3">
      <c r="A1718" s="588"/>
      <c r="B1718" s="588"/>
      <c r="C1718" s="588"/>
      <c r="D1718" s="588"/>
      <c r="E1718" s="588"/>
      <c r="F1718" s="588"/>
      <c r="G1718" s="600"/>
      <c r="H1718" s="588"/>
      <c r="I1718" s="588"/>
      <c r="J1718" s="588"/>
    </row>
    <row r="1719" spans="1:10" x14ac:dyDescent="0.3">
      <c r="A1719" s="588"/>
      <c r="B1719" s="588"/>
      <c r="C1719" s="588"/>
      <c r="D1719" s="588"/>
      <c r="E1719" s="588"/>
      <c r="F1719" s="588"/>
      <c r="G1719" s="600"/>
      <c r="H1719" s="588"/>
      <c r="I1719" s="588"/>
      <c r="J1719" s="588"/>
    </row>
    <row r="1720" spans="1:10" x14ac:dyDescent="0.3">
      <c r="A1720" s="588"/>
      <c r="B1720" s="588"/>
      <c r="C1720" s="588"/>
      <c r="D1720" s="588"/>
      <c r="E1720" s="588"/>
      <c r="F1720" s="588"/>
      <c r="G1720" s="600"/>
      <c r="H1720" s="588"/>
      <c r="I1720" s="588"/>
      <c r="J1720" s="588"/>
    </row>
    <row r="1721" spans="1:10" x14ac:dyDescent="0.3">
      <c r="A1721" s="588"/>
      <c r="B1721" s="588"/>
      <c r="C1721" s="588"/>
      <c r="D1721" s="588"/>
      <c r="E1721" s="588"/>
      <c r="F1721" s="588"/>
      <c r="G1721" s="600"/>
      <c r="H1721" s="588"/>
      <c r="I1721" s="588"/>
      <c r="J1721" s="588"/>
    </row>
    <row r="1722" spans="1:10" x14ac:dyDescent="0.3">
      <c r="A1722" s="588"/>
      <c r="B1722" s="588"/>
      <c r="C1722" s="588"/>
      <c r="D1722" s="588"/>
      <c r="E1722" s="588"/>
      <c r="F1722" s="588"/>
      <c r="G1722" s="600"/>
      <c r="H1722" s="588"/>
      <c r="I1722" s="588"/>
      <c r="J1722" s="588"/>
    </row>
    <row r="1723" spans="1:10" x14ac:dyDescent="0.3">
      <c r="A1723" s="588"/>
      <c r="B1723" s="588"/>
      <c r="C1723" s="588"/>
      <c r="D1723" s="588"/>
      <c r="E1723" s="588"/>
      <c r="F1723" s="588"/>
      <c r="G1723" s="600"/>
      <c r="H1723" s="588"/>
      <c r="I1723" s="588"/>
      <c r="J1723" s="588"/>
    </row>
    <row r="1724" spans="1:10" x14ac:dyDescent="0.3">
      <c r="A1724" s="588"/>
      <c r="B1724" s="588"/>
      <c r="C1724" s="588"/>
      <c r="D1724" s="588"/>
      <c r="E1724" s="588"/>
      <c r="F1724" s="588"/>
      <c r="G1724" s="600"/>
      <c r="H1724" s="588"/>
      <c r="I1724" s="588"/>
      <c r="J1724" s="588"/>
    </row>
    <row r="1725" spans="1:10" x14ac:dyDescent="0.3">
      <c r="A1725" s="588"/>
      <c r="B1725" s="588"/>
      <c r="C1725" s="588"/>
      <c r="D1725" s="588"/>
      <c r="E1725" s="588"/>
      <c r="F1725" s="588"/>
      <c r="G1725" s="600"/>
      <c r="H1725" s="588"/>
      <c r="I1725" s="588"/>
      <c r="J1725" s="588"/>
    </row>
    <row r="1726" spans="1:10" x14ac:dyDescent="0.3">
      <c r="A1726" s="588"/>
      <c r="B1726" s="588"/>
      <c r="C1726" s="588"/>
      <c r="D1726" s="588"/>
      <c r="E1726" s="588"/>
      <c r="F1726" s="588"/>
      <c r="G1726" s="600"/>
      <c r="H1726" s="588"/>
      <c r="I1726" s="588"/>
      <c r="J1726" s="588"/>
    </row>
    <row r="1727" spans="1:10" x14ac:dyDescent="0.3">
      <c r="A1727" s="588"/>
      <c r="B1727" s="588"/>
      <c r="C1727" s="588"/>
      <c r="D1727" s="588"/>
      <c r="E1727" s="588"/>
      <c r="F1727" s="588"/>
      <c r="G1727" s="600"/>
      <c r="H1727" s="588"/>
      <c r="I1727" s="588"/>
      <c r="J1727" s="588"/>
    </row>
    <row r="1728" spans="1:10" x14ac:dyDescent="0.3">
      <c r="A1728" s="588"/>
      <c r="B1728" s="588"/>
      <c r="C1728" s="588"/>
      <c r="D1728" s="588"/>
      <c r="E1728" s="588"/>
      <c r="F1728" s="588"/>
      <c r="G1728" s="600"/>
      <c r="H1728" s="588"/>
      <c r="I1728" s="588"/>
      <c r="J1728" s="588"/>
    </row>
    <row r="1729" spans="1:10" x14ac:dyDescent="0.3">
      <c r="A1729" s="588"/>
      <c r="B1729" s="588"/>
      <c r="C1729" s="588"/>
      <c r="D1729" s="588"/>
      <c r="E1729" s="588"/>
      <c r="F1729" s="588"/>
      <c r="G1729" s="600"/>
      <c r="H1729" s="588"/>
      <c r="I1729" s="588"/>
      <c r="J1729" s="588"/>
    </row>
    <row r="1730" spans="1:10" x14ac:dyDescent="0.3">
      <c r="A1730" s="588"/>
      <c r="B1730" s="588"/>
      <c r="C1730" s="588"/>
      <c r="D1730" s="588"/>
      <c r="E1730" s="588"/>
      <c r="F1730" s="588"/>
      <c r="G1730" s="600"/>
      <c r="H1730" s="588"/>
      <c r="I1730" s="588"/>
      <c r="J1730" s="588"/>
    </row>
    <row r="1731" spans="1:10" x14ac:dyDescent="0.3">
      <c r="A1731" s="588"/>
      <c r="B1731" s="588"/>
      <c r="C1731" s="588"/>
      <c r="D1731" s="588"/>
      <c r="E1731" s="588"/>
      <c r="F1731" s="588"/>
      <c r="G1731" s="600"/>
      <c r="H1731" s="588"/>
      <c r="I1731" s="588"/>
      <c r="J1731" s="588"/>
    </row>
    <row r="1732" spans="1:10" x14ac:dyDescent="0.3">
      <c r="A1732" s="588"/>
      <c r="B1732" s="588"/>
      <c r="C1732" s="588"/>
      <c r="D1732" s="588"/>
      <c r="E1732" s="588"/>
      <c r="F1732" s="588"/>
      <c r="G1732" s="600"/>
      <c r="H1732" s="588"/>
      <c r="I1732" s="588"/>
      <c r="J1732" s="588"/>
    </row>
    <row r="1733" spans="1:10" x14ac:dyDescent="0.3">
      <c r="A1733" s="588"/>
      <c r="B1733" s="588"/>
      <c r="C1733" s="588"/>
      <c r="D1733" s="588"/>
      <c r="E1733" s="588"/>
      <c r="F1733" s="588"/>
      <c r="G1733" s="600"/>
      <c r="H1733" s="588"/>
      <c r="I1733" s="588"/>
      <c r="J1733" s="588"/>
    </row>
    <row r="1734" spans="1:10" x14ac:dyDescent="0.3">
      <c r="A1734" s="588"/>
      <c r="B1734" s="588"/>
      <c r="C1734" s="588"/>
      <c r="D1734" s="588"/>
      <c r="E1734" s="588"/>
      <c r="F1734" s="588"/>
      <c r="G1734" s="600"/>
      <c r="H1734" s="588"/>
      <c r="I1734" s="588"/>
      <c r="J1734" s="588"/>
    </row>
    <row r="1735" spans="1:10" x14ac:dyDescent="0.3">
      <c r="A1735" s="588"/>
      <c r="B1735" s="588"/>
      <c r="C1735" s="588"/>
      <c r="D1735" s="588"/>
      <c r="E1735" s="588"/>
      <c r="F1735" s="588"/>
      <c r="G1735" s="600"/>
      <c r="H1735" s="588"/>
      <c r="I1735" s="588"/>
      <c r="J1735" s="588"/>
    </row>
    <row r="1736" spans="1:10" x14ac:dyDescent="0.3">
      <c r="A1736" s="588"/>
      <c r="B1736" s="588"/>
      <c r="C1736" s="588"/>
      <c r="D1736" s="588"/>
      <c r="E1736" s="588"/>
      <c r="F1736" s="588"/>
      <c r="G1736" s="600"/>
      <c r="H1736" s="588"/>
      <c r="I1736" s="588"/>
      <c r="J1736" s="588"/>
    </row>
    <row r="1737" spans="1:10" x14ac:dyDescent="0.3">
      <c r="A1737" s="588"/>
      <c r="B1737" s="588"/>
      <c r="C1737" s="588"/>
      <c r="D1737" s="588"/>
      <c r="E1737" s="588"/>
      <c r="F1737" s="588"/>
      <c r="G1737" s="600"/>
      <c r="H1737" s="588"/>
      <c r="I1737" s="588"/>
      <c r="J1737" s="588"/>
    </row>
    <row r="1738" spans="1:10" x14ac:dyDescent="0.3">
      <c r="A1738" s="588"/>
      <c r="B1738" s="588"/>
      <c r="C1738" s="588"/>
      <c r="D1738" s="588"/>
      <c r="E1738" s="588"/>
      <c r="F1738" s="588"/>
      <c r="G1738" s="600"/>
      <c r="H1738" s="588"/>
      <c r="I1738" s="588"/>
      <c r="J1738" s="588"/>
    </row>
    <row r="1739" spans="1:10" x14ac:dyDescent="0.3">
      <c r="A1739" s="588"/>
      <c r="B1739" s="588"/>
      <c r="C1739" s="588"/>
      <c r="D1739" s="588"/>
      <c r="E1739" s="588"/>
      <c r="F1739" s="588"/>
      <c r="G1739" s="600"/>
      <c r="H1739" s="588"/>
      <c r="I1739" s="588"/>
      <c r="J1739" s="588"/>
    </row>
    <row r="1740" spans="1:10" x14ac:dyDescent="0.3">
      <c r="A1740" s="588"/>
      <c r="B1740" s="588"/>
      <c r="C1740" s="588"/>
      <c r="D1740" s="588"/>
      <c r="E1740" s="588"/>
      <c r="F1740" s="588"/>
      <c r="G1740" s="600"/>
      <c r="H1740" s="588"/>
      <c r="I1740" s="588"/>
      <c r="J1740" s="588"/>
    </row>
    <row r="1741" spans="1:10" x14ac:dyDescent="0.3">
      <c r="A1741" s="588"/>
      <c r="B1741" s="588"/>
      <c r="C1741" s="588"/>
      <c r="D1741" s="588"/>
      <c r="E1741" s="588"/>
      <c r="F1741" s="588"/>
      <c r="G1741" s="600"/>
      <c r="H1741" s="588"/>
      <c r="I1741" s="588"/>
      <c r="J1741" s="588"/>
    </row>
    <row r="1742" spans="1:10" x14ac:dyDescent="0.3">
      <c r="A1742" s="588"/>
      <c r="B1742" s="588"/>
      <c r="C1742" s="588"/>
      <c r="D1742" s="588"/>
      <c r="E1742" s="588"/>
      <c r="F1742" s="588"/>
      <c r="G1742" s="600"/>
      <c r="H1742" s="588"/>
      <c r="I1742" s="588"/>
      <c r="J1742" s="588"/>
    </row>
    <row r="1743" spans="1:10" x14ac:dyDescent="0.3">
      <c r="A1743" s="588"/>
      <c r="B1743" s="588"/>
      <c r="C1743" s="588"/>
      <c r="D1743" s="588"/>
      <c r="E1743" s="588"/>
      <c r="F1743" s="588"/>
      <c r="G1743" s="600"/>
      <c r="H1743" s="588"/>
      <c r="I1743" s="588"/>
      <c r="J1743" s="588"/>
    </row>
    <row r="1744" spans="1:10" x14ac:dyDescent="0.3">
      <c r="A1744" s="588"/>
      <c r="B1744" s="588"/>
      <c r="C1744" s="588"/>
      <c r="D1744" s="588"/>
      <c r="E1744" s="588"/>
      <c r="F1744" s="588"/>
      <c r="G1744" s="600"/>
      <c r="H1744" s="588"/>
      <c r="I1744" s="588"/>
      <c r="J1744" s="588"/>
    </row>
    <row r="1745" spans="1:10" x14ac:dyDescent="0.3">
      <c r="A1745" s="588"/>
      <c r="B1745" s="588"/>
      <c r="C1745" s="588"/>
      <c r="D1745" s="588"/>
      <c r="E1745" s="588"/>
      <c r="F1745" s="588"/>
      <c r="G1745" s="600"/>
      <c r="H1745" s="588"/>
      <c r="I1745" s="588"/>
      <c r="J1745" s="588"/>
    </row>
    <row r="1746" spans="1:10" x14ac:dyDescent="0.3">
      <c r="A1746" s="588"/>
      <c r="B1746" s="588"/>
      <c r="C1746" s="588"/>
      <c r="D1746" s="588"/>
      <c r="E1746" s="588"/>
      <c r="F1746" s="588"/>
      <c r="G1746" s="600"/>
      <c r="H1746" s="588"/>
      <c r="I1746" s="588"/>
      <c r="J1746" s="588"/>
    </row>
    <row r="1747" spans="1:10" x14ac:dyDescent="0.3">
      <c r="A1747" s="588"/>
      <c r="B1747" s="588"/>
      <c r="C1747" s="588"/>
      <c r="D1747" s="588"/>
      <c r="E1747" s="588"/>
      <c r="F1747" s="588"/>
      <c r="G1747" s="600"/>
      <c r="H1747" s="588"/>
      <c r="I1747" s="588"/>
      <c r="J1747" s="588"/>
    </row>
    <row r="1748" spans="1:10" x14ac:dyDescent="0.3">
      <c r="A1748" s="588"/>
      <c r="B1748" s="588"/>
      <c r="C1748" s="588"/>
      <c r="D1748" s="588"/>
      <c r="E1748" s="588"/>
      <c r="F1748" s="588"/>
      <c r="G1748" s="600"/>
      <c r="H1748" s="588"/>
      <c r="I1748" s="588"/>
      <c r="J1748" s="588"/>
    </row>
    <row r="1749" spans="1:10" x14ac:dyDescent="0.3">
      <c r="A1749" s="588"/>
      <c r="B1749" s="588"/>
      <c r="C1749" s="588"/>
      <c r="D1749" s="588"/>
      <c r="E1749" s="588"/>
      <c r="F1749" s="588"/>
      <c r="G1749" s="600"/>
      <c r="H1749" s="588"/>
      <c r="I1749" s="588"/>
      <c r="J1749" s="588"/>
    </row>
    <row r="1750" spans="1:10" x14ac:dyDescent="0.3">
      <c r="A1750" s="588"/>
      <c r="B1750" s="588"/>
      <c r="C1750" s="588"/>
      <c r="D1750" s="588"/>
      <c r="E1750" s="588"/>
      <c r="F1750" s="588"/>
      <c r="G1750" s="600"/>
      <c r="H1750" s="588"/>
      <c r="I1750" s="588"/>
      <c r="J1750" s="588"/>
    </row>
    <row r="1751" spans="1:10" x14ac:dyDescent="0.3">
      <c r="A1751" s="588"/>
      <c r="B1751" s="588"/>
      <c r="C1751" s="588"/>
      <c r="D1751" s="588"/>
      <c r="E1751" s="588"/>
      <c r="F1751" s="588"/>
      <c r="G1751" s="600"/>
      <c r="H1751" s="588"/>
      <c r="I1751" s="588"/>
      <c r="J1751" s="588"/>
    </row>
    <row r="1752" spans="1:10" x14ac:dyDescent="0.3">
      <c r="A1752" s="588"/>
      <c r="B1752" s="588"/>
      <c r="C1752" s="588"/>
      <c r="D1752" s="588"/>
      <c r="E1752" s="588"/>
      <c r="F1752" s="588"/>
      <c r="G1752" s="600"/>
      <c r="H1752" s="588"/>
      <c r="I1752" s="588"/>
      <c r="J1752" s="588"/>
    </row>
    <row r="1753" spans="1:10" x14ac:dyDescent="0.3">
      <c r="A1753" s="588"/>
      <c r="B1753" s="588"/>
      <c r="C1753" s="588"/>
      <c r="D1753" s="588"/>
      <c r="E1753" s="588"/>
      <c r="F1753" s="588"/>
      <c r="G1753" s="600"/>
      <c r="H1753" s="588"/>
      <c r="I1753" s="588"/>
      <c r="J1753" s="588"/>
    </row>
    <row r="1754" spans="1:10" x14ac:dyDescent="0.3">
      <c r="A1754" s="588"/>
      <c r="B1754" s="588"/>
      <c r="C1754" s="588"/>
      <c r="D1754" s="588"/>
      <c r="E1754" s="588"/>
      <c r="F1754" s="588"/>
      <c r="G1754" s="600"/>
      <c r="H1754" s="588"/>
      <c r="I1754" s="588"/>
      <c r="J1754" s="588"/>
    </row>
    <row r="1755" spans="1:10" x14ac:dyDescent="0.3">
      <c r="A1755" s="588"/>
      <c r="B1755" s="588"/>
      <c r="C1755" s="588"/>
      <c r="D1755" s="588"/>
      <c r="E1755" s="588"/>
      <c r="F1755" s="588"/>
      <c r="G1755" s="600"/>
      <c r="H1755" s="588"/>
      <c r="I1755" s="588"/>
      <c r="J1755" s="588"/>
    </row>
    <row r="1756" spans="1:10" x14ac:dyDescent="0.3">
      <c r="A1756" s="588"/>
      <c r="B1756" s="588"/>
      <c r="C1756" s="588"/>
      <c r="D1756" s="588"/>
      <c r="E1756" s="588"/>
      <c r="F1756" s="588"/>
      <c r="G1756" s="600"/>
      <c r="H1756" s="588"/>
      <c r="I1756" s="588"/>
      <c r="J1756" s="588"/>
    </row>
    <row r="1757" spans="1:10" x14ac:dyDescent="0.3">
      <c r="A1757" s="588"/>
      <c r="B1757" s="588"/>
      <c r="C1757" s="588"/>
      <c r="D1757" s="588"/>
      <c r="E1757" s="588"/>
      <c r="F1757" s="588"/>
      <c r="G1757" s="600"/>
      <c r="H1757" s="588"/>
      <c r="I1757" s="588"/>
      <c r="J1757" s="588"/>
    </row>
    <row r="1758" spans="1:10" x14ac:dyDescent="0.3">
      <c r="A1758" s="588"/>
      <c r="B1758" s="588"/>
      <c r="C1758" s="588"/>
      <c r="D1758" s="588"/>
      <c r="E1758" s="588"/>
      <c r="F1758" s="588"/>
      <c r="G1758" s="600"/>
      <c r="H1758" s="588"/>
      <c r="I1758" s="588"/>
      <c r="J1758" s="588"/>
    </row>
    <row r="1759" spans="1:10" x14ac:dyDescent="0.3">
      <c r="A1759" s="588"/>
      <c r="B1759" s="588"/>
      <c r="C1759" s="588"/>
      <c r="D1759" s="588"/>
      <c r="E1759" s="588"/>
      <c r="F1759" s="588"/>
      <c r="G1759" s="600"/>
      <c r="H1759" s="588"/>
      <c r="I1759" s="588"/>
      <c r="J1759" s="588"/>
    </row>
    <row r="1760" spans="1:10" x14ac:dyDescent="0.3">
      <c r="A1760" s="588"/>
      <c r="B1760" s="588"/>
      <c r="C1760" s="588"/>
      <c r="D1760" s="588"/>
      <c r="E1760" s="588"/>
      <c r="F1760" s="588"/>
      <c r="G1760" s="600"/>
      <c r="H1760" s="588"/>
      <c r="I1760" s="588"/>
      <c r="J1760" s="588"/>
    </row>
    <row r="1761" spans="1:10" x14ac:dyDescent="0.3">
      <c r="A1761" s="588"/>
      <c r="B1761" s="588"/>
      <c r="C1761" s="588"/>
      <c r="D1761" s="588"/>
      <c r="E1761" s="588"/>
      <c r="F1761" s="588"/>
      <c r="G1761" s="600"/>
      <c r="H1761" s="588"/>
      <c r="I1761" s="588"/>
      <c r="J1761" s="588"/>
    </row>
    <row r="1762" spans="1:10" x14ac:dyDescent="0.3">
      <c r="A1762" s="588"/>
      <c r="B1762" s="588"/>
      <c r="C1762" s="588"/>
      <c r="D1762" s="588"/>
      <c r="E1762" s="588"/>
      <c r="F1762" s="588"/>
      <c r="G1762" s="600"/>
      <c r="H1762" s="588"/>
      <c r="I1762" s="588"/>
      <c r="J1762" s="588"/>
    </row>
    <row r="1763" spans="1:10" x14ac:dyDescent="0.3">
      <c r="A1763" s="588"/>
      <c r="B1763" s="588"/>
      <c r="C1763" s="588"/>
      <c r="D1763" s="588"/>
      <c r="E1763" s="588"/>
      <c r="F1763" s="588"/>
      <c r="G1763" s="600"/>
      <c r="H1763" s="588"/>
      <c r="I1763" s="588"/>
      <c r="J1763" s="588"/>
    </row>
    <row r="1764" spans="1:10" x14ac:dyDescent="0.3">
      <c r="A1764" s="588"/>
      <c r="B1764" s="588"/>
      <c r="C1764" s="588"/>
      <c r="D1764" s="588"/>
      <c r="E1764" s="588"/>
      <c r="F1764" s="588"/>
      <c r="G1764" s="600"/>
      <c r="H1764" s="588"/>
      <c r="I1764" s="588"/>
      <c r="J1764" s="588"/>
    </row>
    <row r="1765" spans="1:10" x14ac:dyDescent="0.3">
      <c r="A1765" s="588"/>
      <c r="B1765" s="588"/>
      <c r="C1765" s="588"/>
      <c r="D1765" s="588"/>
      <c r="E1765" s="588"/>
      <c r="F1765" s="588"/>
      <c r="G1765" s="600"/>
      <c r="H1765" s="588"/>
      <c r="I1765" s="588"/>
      <c r="J1765" s="588"/>
    </row>
    <row r="1766" spans="1:10" x14ac:dyDescent="0.3">
      <c r="A1766" s="588"/>
      <c r="B1766" s="588"/>
      <c r="C1766" s="588"/>
      <c r="D1766" s="588"/>
      <c r="E1766" s="588"/>
      <c r="F1766" s="588"/>
      <c r="G1766" s="600"/>
      <c r="H1766" s="588"/>
      <c r="I1766" s="588"/>
      <c r="J1766" s="588"/>
    </row>
    <row r="1767" spans="1:10" x14ac:dyDescent="0.3">
      <c r="A1767" s="588"/>
      <c r="B1767" s="588"/>
      <c r="C1767" s="588"/>
      <c r="D1767" s="588"/>
      <c r="E1767" s="588"/>
      <c r="F1767" s="588"/>
      <c r="G1767" s="600"/>
      <c r="H1767" s="588"/>
      <c r="I1767" s="588"/>
      <c r="J1767" s="588"/>
    </row>
    <row r="1768" spans="1:10" x14ac:dyDescent="0.3">
      <c r="A1768" s="588"/>
      <c r="B1768" s="588"/>
      <c r="C1768" s="588"/>
      <c r="D1768" s="588"/>
      <c r="E1768" s="588"/>
      <c r="F1768" s="588"/>
      <c r="G1768" s="600"/>
      <c r="H1768" s="588"/>
      <c r="I1768" s="588"/>
      <c r="J1768" s="588"/>
    </row>
    <row r="1769" spans="1:10" x14ac:dyDescent="0.3">
      <c r="A1769" s="588"/>
      <c r="B1769" s="588"/>
      <c r="C1769" s="588"/>
      <c r="D1769" s="588"/>
      <c r="E1769" s="588"/>
      <c r="F1769" s="588"/>
      <c r="G1769" s="600"/>
      <c r="H1769" s="588"/>
      <c r="I1769" s="588"/>
      <c r="J1769" s="588"/>
    </row>
    <row r="1770" spans="1:10" x14ac:dyDescent="0.3">
      <c r="A1770" s="588"/>
      <c r="B1770" s="588"/>
      <c r="C1770" s="588"/>
      <c r="D1770" s="588"/>
      <c r="E1770" s="588"/>
      <c r="F1770" s="588"/>
      <c r="G1770" s="600"/>
      <c r="H1770" s="588"/>
      <c r="I1770" s="588"/>
      <c r="J1770" s="588"/>
    </row>
    <row r="1771" spans="1:10" x14ac:dyDescent="0.3">
      <c r="A1771" s="588"/>
      <c r="B1771" s="588"/>
      <c r="C1771" s="588"/>
      <c r="D1771" s="588"/>
      <c r="E1771" s="588"/>
      <c r="F1771" s="588"/>
      <c r="G1771" s="600"/>
      <c r="H1771" s="588"/>
      <c r="I1771" s="588"/>
      <c r="J1771" s="588"/>
    </row>
    <row r="1772" spans="1:10" x14ac:dyDescent="0.3">
      <c r="A1772" s="588"/>
      <c r="B1772" s="588"/>
      <c r="C1772" s="588"/>
      <c r="D1772" s="588"/>
      <c r="E1772" s="588"/>
      <c r="F1772" s="588"/>
      <c r="G1772" s="600"/>
      <c r="H1772" s="588"/>
      <c r="I1772" s="588"/>
      <c r="J1772" s="588"/>
    </row>
    <row r="1773" spans="1:10" x14ac:dyDescent="0.3">
      <c r="A1773" s="588"/>
      <c r="B1773" s="588"/>
      <c r="C1773" s="588"/>
      <c r="D1773" s="588"/>
      <c r="E1773" s="588"/>
      <c r="F1773" s="588"/>
      <c r="G1773" s="600"/>
      <c r="H1773" s="588"/>
      <c r="I1773" s="588"/>
      <c r="J1773" s="588"/>
    </row>
    <row r="1774" spans="1:10" x14ac:dyDescent="0.3">
      <c r="A1774" s="588"/>
      <c r="B1774" s="588"/>
      <c r="C1774" s="588"/>
      <c r="D1774" s="588"/>
      <c r="E1774" s="588"/>
      <c r="F1774" s="588"/>
      <c r="G1774" s="600"/>
      <c r="H1774" s="588"/>
      <c r="I1774" s="588"/>
      <c r="J1774" s="588"/>
    </row>
    <row r="1775" spans="1:10" x14ac:dyDescent="0.3">
      <c r="A1775" s="588"/>
      <c r="B1775" s="588"/>
      <c r="C1775" s="588"/>
      <c r="D1775" s="588"/>
      <c r="E1775" s="588"/>
      <c r="F1775" s="588"/>
      <c r="G1775" s="600"/>
      <c r="H1775" s="588"/>
      <c r="I1775" s="588"/>
      <c r="J1775" s="588"/>
    </row>
    <row r="1776" spans="1:10" x14ac:dyDescent="0.3">
      <c r="A1776" s="588"/>
      <c r="B1776" s="588"/>
      <c r="C1776" s="588"/>
      <c r="D1776" s="588"/>
      <c r="E1776" s="588"/>
      <c r="F1776" s="588"/>
      <c r="G1776" s="600"/>
      <c r="H1776" s="588"/>
      <c r="I1776" s="588"/>
      <c r="J1776" s="588"/>
    </row>
    <row r="1777" spans="1:10" x14ac:dyDescent="0.3">
      <c r="A1777" s="588"/>
      <c r="B1777" s="588"/>
      <c r="C1777" s="588"/>
      <c r="D1777" s="588"/>
      <c r="E1777" s="588"/>
      <c r="F1777" s="588"/>
      <c r="G1777" s="600"/>
      <c r="H1777" s="588"/>
      <c r="I1777" s="588"/>
      <c r="J1777" s="588"/>
    </row>
    <row r="1778" spans="1:10" x14ac:dyDescent="0.3">
      <c r="A1778" s="588"/>
      <c r="B1778" s="588"/>
      <c r="C1778" s="588"/>
      <c r="D1778" s="588"/>
      <c r="E1778" s="588"/>
      <c r="F1778" s="588"/>
      <c r="G1778" s="600"/>
      <c r="H1778" s="588"/>
      <c r="I1778" s="588"/>
      <c r="J1778" s="588"/>
    </row>
    <row r="1779" spans="1:10" x14ac:dyDescent="0.3">
      <c r="A1779" s="588"/>
      <c r="B1779" s="588"/>
      <c r="C1779" s="588"/>
      <c r="D1779" s="588"/>
      <c r="E1779" s="588"/>
      <c r="F1779" s="588"/>
      <c r="G1779" s="600"/>
      <c r="H1779" s="588"/>
      <c r="I1779" s="588"/>
      <c r="J1779" s="588"/>
    </row>
    <row r="1780" spans="1:10" x14ac:dyDescent="0.3">
      <c r="A1780" s="588"/>
      <c r="B1780" s="588"/>
      <c r="C1780" s="588"/>
      <c r="D1780" s="588"/>
      <c r="E1780" s="588"/>
      <c r="F1780" s="588"/>
      <c r="G1780" s="600"/>
      <c r="H1780" s="588"/>
      <c r="I1780" s="588"/>
      <c r="J1780" s="588"/>
    </row>
    <row r="1781" spans="1:10" x14ac:dyDescent="0.3">
      <c r="A1781" s="588"/>
      <c r="B1781" s="588"/>
      <c r="C1781" s="588"/>
      <c r="D1781" s="588"/>
      <c r="E1781" s="588"/>
      <c r="F1781" s="588"/>
      <c r="G1781" s="600"/>
      <c r="H1781" s="588"/>
      <c r="I1781" s="588"/>
      <c r="J1781" s="588"/>
    </row>
    <row r="1782" spans="1:10" x14ac:dyDescent="0.3">
      <c r="A1782" s="588"/>
      <c r="B1782" s="588"/>
      <c r="C1782" s="588"/>
      <c r="D1782" s="588"/>
      <c r="E1782" s="588"/>
      <c r="F1782" s="588"/>
      <c r="G1782" s="600"/>
      <c r="H1782" s="588"/>
      <c r="I1782" s="588"/>
      <c r="J1782" s="588"/>
    </row>
    <row r="1783" spans="1:10" x14ac:dyDescent="0.3">
      <c r="A1783" s="588"/>
      <c r="B1783" s="588"/>
      <c r="C1783" s="588"/>
      <c r="D1783" s="588"/>
      <c r="E1783" s="588"/>
      <c r="F1783" s="588"/>
      <c r="G1783" s="600"/>
      <c r="H1783" s="588"/>
      <c r="I1783" s="588"/>
      <c r="J1783" s="588"/>
    </row>
    <row r="1784" spans="1:10" x14ac:dyDescent="0.3">
      <c r="A1784" s="588"/>
      <c r="B1784" s="588"/>
      <c r="C1784" s="588"/>
      <c r="D1784" s="588"/>
      <c r="E1784" s="588"/>
      <c r="F1784" s="588"/>
      <c r="G1784" s="600"/>
      <c r="H1784" s="588"/>
      <c r="I1784" s="588"/>
      <c r="J1784" s="588"/>
    </row>
    <row r="1785" spans="1:10" x14ac:dyDescent="0.3">
      <c r="A1785" s="588"/>
      <c r="B1785" s="588"/>
      <c r="C1785" s="588"/>
      <c r="D1785" s="588"/>
      <c r="E1785" s="588"/>
      <c r="F1785" s="588"/>
      <c r="G1785" s="600"/>
      <c r="H1785" s="588"/>
      <c r="I1785" s="588"/>
      <c r="J1785" s="588"/>
    </row>
    <row r="1786" spans="1:10" x14ac:dyDescent="0.3">
      <c r="A1786" s="588"/>
      <c r="B1786" s="588"/>
      <c r="C1786" s="588"/>
      <c r="D1786" s="588"/>
      <c r="E1786" s="588"/>
      <c r="F1786" s="588"/>
      <c r="G1786" s="600"/>
      <c r="H1786" s="588"/>
      <c r="I1786" s="588"/>
      <c r="J1786" s="588"/>
    </row>
    <row r="1787" spans="1:10" x14ac:dyDescent="0.3">
      <c r="A1787" s="588"/>
      <c r="B1787" s="588"/>
      <c r="C1787" s="588"/>
      <c r="D1787" s="588"/>
      <c r="E1787" s="588"/>
      <c r="F1787" s="588"/>
      <c r="G1787" s="600"/>
      <c r="H1787" s="588"/>
      <c r="I1787" s="588"/>
      <c r="J1787" s="588"/>
    </row>
    <row r="1788" spans="1:10" x14ac:dyDescent="0.3">
      <c r="A1788" s="588"/>
      <c r="B1788" s="588"/>
      <c r="C1788" s="588"/>
      <c r="D1788" s="588"/>
      <c r="E1788" s="588"/>
      <c r="F1788" s="588"/>
      <c r="G1788" s="600"/>
      <c r="H1788" s="588"/>
      <c r="I1788" s="588"/>
      <c r="J1788" s="588"/>
    </row>
    <row r="1789" spans="1:10" x14ac:dyDescent="0.3">
      <c r="A1789" s="588"/>
      <c r="B1789" s="588"/>
      <c r="C1789" s="588"/>
      <c r="D1789" s="588"/>
      <c r="E1789" s="588"/>
      <c r="F1789" s="588"/>
      <c r="G1789" s="600"/>
      <c r="H1789" s="588"/>
      <c r="I1789" s="588"/>
      <c r="J1789" s="588"/>
    </row>
    <row r="1790" spans="1:10" x14ac:dyDescent="0.3">
      <c r="A1790" s="588"/>
      <c r="B1790" s="588"/>
      <c r="C1790" s="588"/>
      <c r="D1790" s="588"/>
      <c r="E1790" s="588"/>
      <c r="F1790" s="588"/>
      <c r="G1790" s="600"/>
      <c r="H1790" s="588"/>
      <c r="I1790" s="588"/>
      <c r="J1790" s="588"/>
    </row>
    <row r="1791" spans="1:10" x14ac:dyDescent="0.3">
      <c r="A1791" s="588"/>
      <c r="B1791" s="588"/>
      <c r="C1791" s="588"/>
      <c r="D1791" s="588"/>
      <c r="E1791" s="588"/>
      <c r="F1791" s="588"/>
      <c r="G1791" s="600"/>
      <c r="H1791" s="588"/>
      <c r="I1791" s="588"/>
      <c r="J1791" s="588"/>
    </row>
    <row r="1792" spans="1:10" x14ac:dyDescent="0.3">
      <c r="A1792" s="588"/>
      <c r="B1792" s="588"/>
      <c r="C1792" s="588"/>
      <c r="D1792" s="588"/>
      <c r="E1792" s="588"/>
      <c r="F1792" s="588"/>
      <c r="G1792" s="600"/>
      <c r="H1792" s="588"/>
      <c r="I1792" s="588"/>
      <c r="J1792" s="588"/>
    </row>
    <row r="1793" spans="1:10" x14ac:dyDescent="0.3">
      <c r="A1793" s="588"/>
      <c r="B1793" s="588"/>
      <c r="C1793" s="588"/>
      <c r="D1793" s="588"/>
      <c r="E1793" s="588"/>
      <c r="F1793" s="588"/>
      <c r="G1793" s="600"/>
      <c r="H1793" s="588"/>
      <c r="I1793" s="588"/>
      <c r="J1793" s="588"/>
    </row>
    <row r="1794" spans="1:10" x14ac:dyDescent="0.3">
      <c r="A1794" s="588"/>
      <c r="B1794" s="588"/>
      <c r="C1794" s="588"/>
      <c r="D1794" s="588"/>
      <c r="E1794" s="588"/>
      <c r="F1794" s="588"/>
      <c r="G1794" s="600"/>
      <c r="H1794" s="588"/>
      <c r="I1794" s="588"/>
      <c r="J1794" s="588"/>
    </row>
    <row r="1795" spans="1:10" x14ac:dyDescent="0.3">
      <c r="A1795" s="588"/>
      <c r="B1795" s="588"/>
      <c r="C1795" s="588"/>
      <c r="D1795" s="588"/>
      <c r="E1795" s="588"/>
      <c r="F1795" s="588"/>
      <c r="G1795" s="600"/>
      <c r="H1795" s="588"/>
      <c r="I1795" s="588"/>
      <c r="J1795" s="588"/>
    </row>
    <row r="1796" spans="1:10" x14ac:dyDescent="0.3">
      <c r="A1796" s="588"/>
      <c r="B1796" s="588"/>
      <c r="C1796" s="588"/>
      <c r="D1796" s="588"/>
      <c r="E1796" s="588"/>
      <c r="F1796" s="588"/>
      <c r="G1796" s="600"/>
      <c r="H1796" s="588"/>
      <c r="I1796" s="588"/>
      <c r="J1796" s="588"/>
    </row>
    <row r="1797" spans="1:10" x14ac:dyDescent="0.3">
      <c r="A1797" s="588"/>
      <c r="B1797" s="588"/>
      <c r="C1797" s="588"/>
      <c r="D1797" s="588"/>
      <c r="E1797" s="588"/>
      <c r="F1797" s="588"/>
      <c r="G1797" s="600"/>
      <c r="H1797" s="588"/>
      <c r="I1797" s="588"/>
      <c r="J1797" s="588"/>
    </row>
    <row r="1798" spans="1:10" x14ac:dyDescent="0.3">
      <c r="A1798" s="588"/>
      <c r="B1798" s="588"/>
      <c r="C1798" s="588"/>
      <c r="D1798" s="588"/>
      <c r="E1798" s="588"/>
      <c r="F1798" s="588"/>
      <c r="G1798" s="600"/>
      <c r="H1798" s="588"/>
      <c r="I1798" s="588"/>
      <c r="J1798" s="588"/>
    </row>
    <row r="1799" spans="1:10" x14ac:dyDescent="0.3">
      <c r="A1799" s="588"/>
      <c r="B1799" s="588"/>
      <c r="C1799" s="588"/>
      <c r="D1799" s="588"/>
      <c r="E1799" s="588"/>
      <c r="F1799" s="588"/>
      <c r="G1799" s="600"/>
      <c r="H1799" s="588"/>
      <c r="I1799" s="588"/>
      <c r="J1799" s="588"/>
    </row>
    <row r="1800" spans="1:10" x14ac:dyDescent="0.3">
      <c r="A1800" s="588"/>
      <c r="B1800" s="588"/>
      <c r="C1800" s="588"/>
      <c r="D1800" s="588"/>
      <c r="E1800" s="588"/>
      <c r="F1800" s="588"/>
      <c r="G1800" s="600"/>
      <c r="H1800" s="588"/>
      <c r="I1800" s="588"/>
      <c r="J1800" s="588"/>
    </row>
    <row r="1801" spans="1:10" x14ac:dyDescent="0.3">
      <c r="A1801" s="588"/>
      <c r="B1801" s="588"/>
      <c r="C1801" s="588"/>
      <c r="D1801" s="588"/>
      <c r="E1801" s="588"/>
      <c r="F1801" s="588"/>
      <c r="G1801" s="600"/>
      <c r="H1801" s="588"/>
      <c r="I1801" s="588"/>
      <c r="J1801" s="588"/>
    </row>
    <row r="1802" spans="1:10" x14ac:dyDescent="0.3">
      <c r="A1802" s="588"/>
      <c r="B1802" s="588"/>
      <c r="C1802" s="588"/>
      <c r="D1802" s="588"/>
      <c r="E1802" s="588"/>
      <c r="F1802" s="588"/>
      <c r="G1802" s="600"/>
      <c r="H1802" s="588"/>
      <c r="I1802" s="588"/>
      <c r="J1802" s="588"/>
    </row>
    <row r="1803" spans="1:10" x14ac:dyDescent="0.3">
      <c r="A1803" s="588"/>
      <c r="B1803" s="588"/>
      <c r="C1803" s="588"/>
      <c r="D1803" s="588"/>
      <c r="E1803" s="588"/>
      <c r="F1803" s="588"/>
      <c r="G1803" s="600"/>
      <c r="H1803" s="588"/>
      <c r="I1803" s="588"/>
      <c r="J1803" s="588"/>
    </row>
    <row r="1804" spans="1:10" x14ac:dyDescent="0.3">
      <c r="A1804" s="588"/>
      <c r="B1804" s="588"/>
      <c r="C1804" s="588"/>
      <c r="D1804" s="588"/>
      <c r="E1804" s="588"/>
      <c r="F1804" s="588"/>
      <c r="G1804" s="600"/>
      <c r="H1804" s="588"/>
      <c r="I1804" s="588"/>
      <c r="J1804" s="588"/>
    </row>
    <row r="1805" spans="1:10" x14ac:dyDescent="0.3">
      <c r="A1805" s="588"/>
      <c r="B1805" s="588"/>
      <c r="C1805" s="588"/>
      <c r="D1805" s="588"/>
      <c r="E1805" s="588"/>
      <c r="F1805" s="588"/>
      <c r="G1805" s="600"/>
      <c r="H1805" s="588"/>
      <c r="I1805" s="588"/>
      <c r="J1805" s="588"/>
    </row>
    <row r="1806" spans="1:10" x14ac:dyDescent="0.3">
      <c r="A1806" s="588"/>
      <c r="B1806" s="588"/>
      <c r="C1806" s="588"/>
      <c r="D1806" s="588"/>
      <c r="E1806" s="588"/>
      <c r="F1806" s="588"/>
      <c r="G1806" s="600"/>
      <c r="H1806" s="588"/>
      <c r="I1806" s="588"/>
      <c r="J1806" s="588"/>
    </row>
    <row r="1807" spans="1:10" x14ac:dyDescent="0.3">
      <c r="A1807" s="588"/>
      <c r="B1807" s="588"/>
      <c r="C1807" s="588"/>
      <c r="D1807" s="588"/>
      <c r="E1807" s="588"/>
      <c r="F1807" s="588"/>
      <c r="G1807" s="600"/>
      <c r="H1807" s="588"/>
      <c r="I1807" s="588"/>
      <c r="J1807" s="588"/>
    </row>
    <row r="1808" spans="1:10" x14ac:dyDescent="0.3">
      <c r="A1808" s="588"/>
      <c r="B1808" s="588"/>
      <c r="C1808" s="588"/>
      <c r="D1808" s="588"/>
      <c r="E1808" s="588"/>
      <c r="F1808" s="588"/>
      <c r="G1808" s="600"/>
      <c r="H1808" s="588"/>
      <c r="I1808" s="588"/>
      <c r="J1808" s="588"/>
    </row>
    <row r="1809" spans="1:10" x14ac:dyDescent="0.3">
      <c r="A1809" s="588"/>
      <c r="B1809" s="588"/>
      <c r="C1809" s="588"/>
      <c r="D1809" s="588"/>
      <c r="E1809" s="588"/>
      <c r="F1809" s="588"/>
      <c r="G1809" s="600"/>
      <c r="H1809" s="588"/>
      <c r="I1809" s="588"/>
      <c r="J1809" s="588"/>
    </row>
    <row r="1810" spans="1:10" x14ac:dyDescent="0.3">
      <c r="A1810" s="588"/>
      <c r="B1810" s="588"/>
      <c r="C1810" s="588"/>
      <c r="D1810" s="588"/>
      <c r="E1810" s="588"/>
      <c r="F1810" s="588"/>
      <c r="G1810" s="600"/>
      <c r="H1810" s="588"/>
      <c r="I1810" s="588"/>
      <c r="J1810" s="588"/>
    </row>
    <row r="1811" spans="1:10" x14ac:dyDescent="0.3">
      <c r="A1811" s="588"/>
      <c r="B1811" s="588"/>
      <c r="C1811" s="588"/>
      <c r="D1811" s="588"/>
      <c r="E1811" s="588"/>
      <c r="F1811" s="588"/>
      <c r="G1811" s="600"/>
      <c r="H1811" s="588"/>
      <c r="I1811" s="588"/>
      <c r="J1811" s="588"/>
    </row>
    <row r="1812" spans="1:10" x14ac:dyDescent="0.3">
      <c r="A1812" s="588"/>
      <c r="B1812" s="588"/>
      <c r="C1812" s="588"/>
      <c r="D1812" s="588"/>
      <c r="E1812" s="588"/>
      <c r="F1812" s="588"/>
      <c r="G1812" s="600"/>
      <c r="H1812" s="588"/>
      <c r="I1812" s="588"/>
      <c r="J1812" s="588"/>
    </row>
    <row r="1813" spans="1:10" x14ac:dyDescent="0.3">
      <c r="A1813" s="588"/>
      <c r="B1813" s="588"/>
      <c r="C1813" s="588"/>
      <c r="D1813" s="588"/>
      <c r="E1813" s="588"/>
      <c r="F1813" s="588"/>
      <c r="G1813" s="600"/>
      <c r="H1813" s="588"/>
      <c r="I1813" s="588"/>
      <c r="J1813" s="588"/>
    </row>
    <row r="1814" spans="1:10" x14ac:dyDescent="0.3">
      <c r="A1814" s="588"/>
      <c r="B1814" s="588"/>
      <c r="C1814" s="588"/>
      <c r="D1814" s="588"/>
      <c r="E1814" s="588"/>
      <c r="F1814" s="588"/>
      <c r="G1814" s="600"/>
      <c r="H1814" s="588"/>
      <c r="I1814" s="588"/>
      <c r="J1814" s="588"/>
    </row>
    <row r="1815" spans="1:10" x14ac:dyDescent="0.3">
      <c r="A1815" s="588"/>
      <c r="B1815" s="588"/>
      <c r="C1815" s="588"/>
      <c r="D1815" s="588"/>
      <c r="E1815" s="588"/>
      <c r="F1815" s="588"/>
      <c r="G1815" s="600"/>
      <c r="H1815" s="588"/>
      <c r="I1815" s="588"/>
      <c r="J1815" s="588"/>
    </row>
    <row r="1816" spans="1:10" x14ac:dyDescent="0.3">
      <c r="A1816" s="588"/>
      <c r="B1816" s="588"/>
      <c r="C1816" s="588"/>
      <c r="D1816" s="588"/>
      <c r="E1816" s="588"/>
      <c r="F1816" s="588"/>
      <c r="G1816" s="600"/>
      <c r="H1816" s="588"/>
      <c r="I1816" s="588"/>
      <c r="J1816" s="588"/>
    </row>
    <row r="1817" spans="1:10" x14ac:dyDescent="0.3">
      <c r="A1817" s="588"/>
      <c r="B1817" s="588"/>
      <c r="C1817" s="588"/>
      <c r="D1817" s="588"/>
      <c r="E1817" s="588"/>
      <c r="F1817" s="588"/>
      <c r="G1817" s="600"/>
      <c r="H1817" s="588"/>
      <c r="I1817" s="588"/>
      <c r="J1817" s="588"/>
    </row>
    <row r="1818" spans="1:10" x14ac:dyDescent="0.3">
      <c r="A1818" s="588"/>
      <c r="B1818" s="588"/>
      <c r="C1818" s="588"/>
      <c r="D1818" s="588"/>
      <c r="E1818" s="588"/>
      <c r="F1818" s="588"/>
      <c r="G1818" s="600"/>
      <c r="H1818" s="588"/>
      <c r="I1818" s="588"/>
      <c r="J1818" s="588"/>
    </row>
    <row r="1819" spans="1:10" x14ac:dyDescent="0.3">
      <c r="A1819" s="588"/>
      <c r="B1819" s="588"/>
      <c r="C1819" s="588"/>
      <c r="D1819" s="588"/>
      <c r="E1819" s="588"/>
      <c r="F1819" s="588"/>
      <c r="G1819" s="600"/>
      <c r="H1819" s="588"/>
      <c r="I1819" s="588"/>
      <c r="J1819" s="588"/>
    </row>
    <row r="1820" spans="1:10" x14ac:dyDescent="0.3">
      <c r="A1820" s="588"/>
      <c r="B1820" s="588"/>
      <c r="C1820" s="588"/>
      <c r="D1820" s="588"/>
      <c r="E1820" s="588"/>
      <c r="F1820" s="588"/>
      <c r="G1820" s="600"/>
      <c r="H1820" s="588"/>
      <c r="I1820" s="588"/>
      <c r="J1820" s="588"/>
    </row>
    <row r="1821" spans="1:10" x14ac:dyDescent="0.3">
      <c r="A1821" s="588"/>
      <c r="B1821" s="588"/>
      <c r="C1821" s="588"/>
      <c r="D1821" s="588"/>
      <c r="E1821" s="588"/>
      <c r="F1821" s="588"/>
      <c r="G1821" s="600"/>
      <c r="H1821" s="588"/>
      <c r="I1821" s="588"/>
      <c r="J1821" s="588"/>
    </row>
    <row r="1822" spans="1:10" x14ac:dyDescent="0.3">
      <c r="A1822" s="588"/>
      <c r="B1822" s="588"/>
      <c r="C1822" s="588"/>
      <c r="D1822" s="588"/>
      <c r="E1822" s="588"/>
      <c r="F1822" s="588"/>
      <c r="G1822" s="600"/>
      <c r="H1822" s="588"/>
      <c r="I1822" s="588"/>
      <c r="J1822" s="588"/>
    </row>
    <row r="1823" spans="1:10" x14ac:dyDescent="0.3">
      <c r="A1823" s="588"/>
      <c r="B1823" s="588"/>
      <c r="C1823" s="588"/>
      <c r="D1823" s="588"/>
      <c r="E1823" s="588"/>
      <c r="F1823" s="588"/>
      <c r="G1823" s="600"/>
      <c r="H1823" s="588"/>
      <c r="I1823" s="588"/>
      <c r="J1823" s="588"/>
    </row>
    <row r="1824" spans="1:10" x14ac:dyDescent="0.3">
      <c r="A1824" s="588"/>
      <c r="B1824" s="588"/>
      <c r="C1824" s="588"/>
      <c r="D1824" s="588"/>
      <c r="E1824" s="588"/>
      <c r="F1824" s="588"/>
      <c r="G1824" s="600"/>
      <c r="H1824" s="588"/>
      <c r="I1824" s="588"/>
      <c r="J1824" s="588"/>
    </row>
    <row r="1825" spans="1:10" x14ac:dyDescent="0.3">
      <c r="A1825" s="588"/>
      <c r="B1825" s="588"/>
      <c r="C1825" s="588"/>
      <c r="D1825" s="588"/>
      <c r="E1825" s="588"/>
      <c r="F1825" s="588"/>
      <c r="G1825" s="600"/>
      <c r="H1825" s="588"/>
      <c r="I1825" s="588"/>
      <c r="J1825" s="588"/>
    </row>
    <row r="1826" spans="1:10" x14ac:dyDescent="0.3">
      <c r="A1826" s="588"/>
      <c r="B1826" s="588"/>
      <c r="C1826" s="588"/>
      <c r="D1826" s="588"/>
      <c r="E1826" s="588"/>
      <c r="F1826" s="588"/>
      <c r="G1826" s="600"/>
      <c r="H1826" s="588"/>
      <c r="I1826" s="588"/>
      <c r="J1826" s="588"/>
    </row>
    <row r="1827" spans="1:10" x14ac:dyDescent="0.3">
      <c r="A1827" s="588"/>
      <c r="B1827" s="588"/>
      <c r="C1827" s="588"/>
      <c r="D1827" s="588"/>
      <c r="E1827" s="588"/>
      <c r="F1827" s="588"/>
      <c r="G1827" s="600"/>
      <c r="H1827" s="588"/>
      <c r="I1827" s="588"/>
      <c r="J1827" s="588"/>
    </row>
    <row r="1828" spans="1:10" x14ac:dyDescent="0.3">
      <c r="A1828" s="588"/>
      <c r="B1828" s="588"/>
      <c r="C1828" s="588"/>
      <c r="D1828" s="588"/>
      <c r="E1828" s="588"/>
      <c r="F1828" s="588"/>
      <c r="G1828" s="600"/>
      <c r="H1828" s="588"/>
      <c r="I1828" s="588"/>
      <c r="J1828" s="588"/>
    </row>
    <row r="1829" spans="1:10" x14ac:dyDescent="0.3">
      <c r="A1829" s="588"/>
      <c r="B1829" s="588"/>
      <c r="C1829" s="588"/>
      <c r="D1829" s="588"/>
      <c r="E1829" s="588"/>
      <c r="F1829" s="588"/>
      <c r="G1829" s="600"/>
      <c r="H1829" s="588"/>
      <c r="I1829" s="588"/>
      <c r="J1829" s="588"/>
    </row>
    <row r="1830" spans="1:10" x14ac:dyDescent="0.3">
      <c r="A1830" s="588"/>
      <c r="B1830" s="588"/>
      <c r="C1830" s="588"/>
      <c r="D1830" s="588"/>
      <c r="E1830" s="588"/>
      <c r="F1830" s="588"/>
      <c r="G1830" s="600"/>
      <c r="H1830" s="588"/>
      <c r="I1830" s="588"/>
      <c r="J1830" s="588"/>
    </row>
    <row r="1831" spans="1:10" x14ac:dyDescent="0.3">
      <c r="A1831" s="588"/>
      <c r="B1831" s="588"/>
      <c r="C1831" s="588"/>
      <c r="D1831" s="588"/>
      <c r="E1831" s="588"/>
      <c r="F1831" s="588"/>
      <c r="G1831" s="600"/>
      <c r="H1831" s="588"/>
      <c r="I1831" s="588"/>
      <c r="J1831" s="588"/>
    </row>
    <row r="1832" spans="1:10" x14ac:dyDescent="0.3">
      <c r="A1832" s="588"/>
      <c r="B1832" s="588"/>
      <c r="C1832" s="588"/>
      <c r="D1832" s="588"/>
      <c r="E1832" s="588"/>
      <c r="F1832" s="588"/>
      <c r="G1832" s="600"/>
      <c r="H1832" s="588"/>
      <c r="I1832" s="588"/>
      <c r="J1832" s="588"/>
    </row>
    <row r="1833" spans="1:10" x14ac:dyDescent="0.3">
      <c r="A1833" s="588"/>
      <c r="B1833" s="588"/>
      <c r="C1833" s="588"/>
      <c r="D1833" s="588"/>
      <c r="E1833" s="588"/>
      <c r="F1833" s="588"/>
      <c r="G1833" s="600"/>
      <c r="H1833" s="588"/>
      <c r="I1833" s="588"/>
      <c r="J1833" s="588"/>
    </row>
    <row r="1834" spans="1:10" x14ac:dyDescent="0.3">
      <c r="A1834" s="588"/>
      <c r="B1834" s="588"/>
      <c r="C1834" s="588"/>
      <c r="D1834" s="588"/>
      <c r="E1834" s="588"/>
      <c r="F1834" s="588"/>
      <c r="G1834" s="600"/>
      <c r="H1834" s="588"/>
      <c r="I1834" s="588"/>
      <c r="J1834" s="588"/>
    </row>
    <row r="1835" spans="1:10" x14ac:dyDescent="0.3">
      <c r="A1835" s="588"/>
      <c r="B1835" s="588"/>
      <c r="C1835" s="588"/>
      <c r="D1835" s="588"/>
      <c r="E1835" s="588"/>
      <c r="F1835" s="588"/>
      <c r="G1835" s="600"/>
      <c r="H1835" s="588"/>
      <c r="I1835" s="588"/>
      <c r="J1835" s="588"/>
    </row>
    <row r="1836" spans="1:10" x14ac:dyDescent="0.3">
      <c r="A1836" s="588"/>
      <c r="B1836" s="588"/>
      <c r="C1836" s="588"/>
      <c r="D1836" s="588"/>
      <c r="E1836" s="588"/>
      <c r="F1836" s="588"/>
      <c r="G1836" s="600"/>
      <c r="H1836" s="588"/>
      <c r="I1836" s="588"/>
      <c r="J1836" s="588"/>
    </row>
    <row r="1837" spans="1:10" x14ac:dyDescent="0.3">
      <c r="A1837" s="588"/>
      <c r="B1837" s="588"/>
      <c r="C1837" s="588"/>
      <c r="D1837" s="588"/>
      <c r="E1837" s="588"/>
      <c r="F1837" s="588"/>
      <c r="G1837" s="600"/>
      <c r="H1837" s="588"/>
      <c r="I1837" s="588"/>
      <c r="J1837" s="588"/>
    </row>
    <row r="1838" spans="1:10" x14ac:dyDescent="0.3">
      <c r="A1838" s="588"/>
      <c r="B1838" s="588"/>
      <c r="C1838" s="588"/>
      <c r="D1838" s="588"/>
      <c r="E1838" s="588"/>
      <c r="F1838" s="588"/>
      <c r="G1838" s="600"/>
      <c r="H1838" s="588"/>
      <c r="I1838" s="588"/>
      <c r="J1838" s="588"/>
    </row>
    <row r="1839" spans="1:10" x14ac:dyDescent="0.3">
      <c r="A1839" s="588"/>
      <c r="B1839" s="588"/>
      <c r="C1839" s="588"/>
      <c r="D1839" s="588"/>
      <c r="E1839" s="588"/>
      <c r="F1839" s="588"/>
      <c r="G1839" s="600"/>
      <c r="H1839" s="588"/>
      <c r="I1839" s="588"/>
      <c r="J1839" s="588"/>
    </row>
    <row r="1840" spans="1:10" x14ac:dyDescent="0.3">
      <c r="A1840" s="588"/>
      <c r="B1840" s="588"/>
      <c r="C1840" s="588"/>
      <c r="D1840" s="588"/>
      <c r="E1840" s="588"/>
      <c r="F1840" s="588"/>
      <c r="G1840" s="600"/>
      <c r="H1840" s="588"/>
      <c r="I1840" s="588"/>
      <c r="J1840" s="588"/>
    </row>
    <row r="1841" spans="1:10" x14ac:dyDescent="0.3">
      <c r="A1841" s="588"/>
      <c r="B1841" s="588"/>
      <c r="C1841" s="588"/>
      <c r="D1841" s="588"/>
      <c r="E1841" s="588"/>
      <c r="F1841" s="588"/>
      <c r="G1841" s="600"/>
      <c r="H1841" s="588"/>
      <c r="I1841" s="588"/>
      <c r="J1841" s="588"/>
    </row>
    <row r="1842" spans="1:10" x14ac:dyDescent="0.3">
      <c r="A1842" s="588"/>
      <c r="B1842" s="588"/>
      <c r="C1842" s="588"/>
      <c r="D1842" s="588"/>
      <c r="E1842" s="588"/>
      <c r="F1842" s="588"/>
      <c r="G1842" s="600"/>
      <c r="H1842" s="588"/>
      <c r="I1842" s="588"/>
      <c r="J1842" s="588"/>
    </row>
    <row r="1843" spans="1:10" x14ac:dyDescent="0.3">
      <c r="A1843" s="588"/>
      <c r="B1843" s="588"/>
      <c r="C1843" s="588"/>
      <c r="D1843" s="588"/>
      <c r="E1843" s="588"/>
      <c r="F1843" s="588"/>
      <c r="G1843" s="600"/>
      <c r="H1843" s="588"/>
      <c r="I1843" s="588"/>
      <c r="J1843" s="588"/>
    </row>
    <row r="1844" spans="1:10" x14ac:dyDescent="0.3">
      <c r="A1844" s="588"/>
      <c r="B1844" s="588"/>
      <c r="C1844" s="588"/>
      <c r="D1844" s="588"/>
      <c r="E1844" s="588"/>
      <c r="F1844" s="588"/>
      <c r="G1844" s="600"/>
      <c r="H1844" s="588"/>
      <c r="I1844" s="588"/>
      <c r="J1844" s="588"/>
    </row>
    <row r="1845" spans="1:10" x14ac:dyDescent="0.3">
      <c r="A1845" s="588"/>
      <c r="B1845" s="588"/>
      <c r="C1845" s="588"/>
      <c r="D1845" s="588"/>
      <c r="E1845" s="588"/>
      <c r="F1845" s="588"/>
      <c r="G1845" s="600"/>
      <c r="H1845" s="588"/>
      <c r="I1845" s="588"/>
      <c r="J1845" s="588"/>
    </row>
    <row r="1846" spans="1:10" x14ac:dyDescent="0.3">
      <c r="A1846" s="588"/>
      <c r="B1846" s="588"/>
      <c r="C1846" s="588"/>
      <c r="D1846" s="588"/>
      <c r="E1846" s="588"/>
      <c r="F1846" s="588"/>
      <c r="G1846" s="600"/>
      <c r="H1846" s="588"/>
      <c r="I1846" s="588"/>
      <c r="J1846" s="588"/>
    </row>
    <row r="1847" spans="1:10" x14ac:dyDescent="0.3">
      <c r="A1847" s="588"/>
      <c r="B1847" s="588"/>
      <c r="C1847" s="588"/>
      <c r="D1847" s="588"/>
      <c r="E1847" s="588"/>
      <c r="F1847" s="588"/>
      <c r="G1847" s="600"/>
      <c r="H1847" s="588"/>
      <c r="I1847" s="588"/>
      <c r="J1847" s="588"/>
    </row>
    <row r="1848" spans="1:10" x14ac:dyDescent="0.3">
      <c r="A1848" s="588"/>
      <c r="B1848" s="588"/>
      <c r="C1848" s="588"/>
      <c r="D1848" s="588"/>
      <c r="E1848" s="588"/>
      <c r="F1848" s="588"/>
      <c r="G1848" s="600"/>
      <c r="H1848" s="588"/>
      <c r="I1848" s="588"/>
      <c r="J1848" s="588"/>
    </row>
    <row r="1849" spans="1:10" x14ac:dyDescent="0.3">
      <c r="A1849" s="588"/>
      <c r="B1849" s="588"/>
      <c r="C1849" s="588"/>
      <c r="D1849" s="588"/>
      <c r="E1849" s="588"/>
      <c r="F1849" s="588"/>
      <c r="G1849" s="600"/>
      <c r="H1849" s="588"/>
      <c r="I1849" s="588"/>
      <c r="J1849" s="588"/>
    </row>
    <row r="1850" spans="1:10" x14ac:dyDescent="0.3">
      <c r="A1850" s="588"/>
      <c r="B1850" s="588"/>
      <c r="C1850" s="588"/>
      <c r="D1850" s="588"/>
      <c r="E1850" s="588"/>
      <c r="F1850" s="588"/>
      <c r="G1850" s="600"/>
      <c r="H1850" s="588"/>
      <c r="I1850" s="588"/>
      <c r="J1850" s="588"/>
    </row>
    <row r="1851" spans="1:10" x14ac:dyDescent="0.3">
      <c r="A1851" s="588"/>
      <c r="B1851" s="588"/>
      <c r="C1851" s="588"/>
      <c r="D1851" s="588"/>
      <c r="E1851" s="588"/>
      <c r="F1851" s="588"/>
      <c r="G1851" s="600"/>
      <c r="H1851" s="588"/>
      <c r="I1851" s="588"/>
      <c r="J1851" s="588"/>
    </row>
    <row r="1852" spans="1:10" x14ac:dyDescent="0.3">
      <c r="A1852" s="588"/>
      <c r="B1852" s="588"/>
      <c r="C1852" s="588"/>
      <c r="D1852" s="588"/>
      <c r="E1852" s="588"/>
      <c r="F1852" s="588"/>
      <c r="G1852" s="600"/>
      <c r="H1852" s="588"/>
      <c r="I1852" s="588"/>
      <c r="J1852" s="588"/>
    </row>
    <row r="1853" spans="1:10" x14ac:dyDescent="0.3">
      <c r="A1853" s="588"/>
      <c r="B1853" s="588"/>
      <c r="C1853" s="588"/>
      <c r="D1853" s="588"/>
      <c r="E1853" s="588"/>
      <c r="F1853" s="588"/>
      <c r="G1853" s="600"/>
      <c r="H1853" s="588"/>
      <c r="I1853" s="588"/>
      <c r="J1853" s="588"/>
    </row>
    <row r="1854" spans="1:10" x14ac:dyDescent="0.3">
      <c r="A1854" s="588"/>
      <c r="B1854" s="588"/>
      <c r="C1854" s="588"/>
      <c r="D1854" s="588"/>
      <c r="E1854" s="588"/>
      <c r="F1854" s="588"/>
      <c r="G1854" s="600"/>
      <c r="H1854" s="588"/>
      <c r="I1854" s="588"/>
      <c r="J1854" s="588"/>
    </row>
    <row r="1855" spans="1:10" x14ac:dyDescent="0.3">
      <c r="A1855" s="588"/>
      <c r="B1855" s="588"/>
      <c r="C1855" s="588"/>
      <c r="D1855" s="588"/>
      <c r="E1855" s="588"/>
      <c r="F1855" s="588"/>
      <c r="G1855" s="600"/>
      <c r="H1855" s="588"/>
      <c r="I1855" s="588"/>
      <c r="J1855" s="588"/>
    </row>
    <row r="1856" spans="1:10" x14ac:dyDescent="0.3">
      <c r="A1856" s="588"/>
      <c r="B1856" s="588"/>
      <c r="C1856" s="588"/>
      <c r="D1856" s="588"/>
      <c r="E1856" s="588"/>
      <c r="F1856" s="588"/>
      <c r="G1856" s="600"/>
      <c r="H1856" s="588"/>
      <c r="I1856" s="588"/>
      <c r="J1856" s="588"/>
    </row>
    <row r="1857" spans="1:10" x14ac:dyDescent="0.3">
      <c r="A1857" s="588"/>
      <c r="B1857" s="588"/>
      <c r="C1857" s="588"/>
      <c r="D1857" s="588"/>
      <c r="E1857" s="588"/>
      <c r="F1857" s="588"/>
      <c r="G1857" s="600"/>
      <c r="H1857" s="588"/>
      <c r="I1857" s="588"/>
      <c r="J1857" s="588"/>
    </row>
    <row r="1858" spans="1:10" x14ac:dyDescent="0.3">
      <c r="A1858" s="588"/>
      <c r="B1858" s="588"/>
      <c r="C1858" s="588"/>
      <c r="D1858" s="588"/>
      <c r="E1858" s="588"/>
      <c r="F1858" s="588"/>
      <c r="G1858" s="600"/>
      <c r="H1858" s="588"/>
      <c r="I1858" s="588"/>
      <c r="J1858" s="588"/>
    </row>
    <row r="1859" spans="1:10" x14ac:dyDescent="0.3">
      <c r="A1859" s="588"/>
      <c r="B1859" s="588"/>
      <c r="C1859" s="588"/>
      <c r="D1859" s="588"/>
      <c r="E1859" s="588"/>
      <c r="F1859" s="588"/>
      <c r="G1859" s="600"/>
      <c r="H1859" s="588"/>
      <c r="I1859" s="588"/>
      <c r="J1859" s="588"/>
    </row>
    <row r="1860" spans="1:10" x14ac:dyDescent="0.3">
      <c r="A1860" s="588"/>
      <c r="B1860" s="588"/>
      <c r="C1860" s="588"/>
      <c r="D1860" s="588"/>
      <c r="E1860" s="588"/>
      <c r="F1860" s="588"/>
      <c r="G1860" s="600"/>
      <c r="H1860" s="588"/>
      <c r="I1860" s="588"/>
      <c r="J1860" s="588"/>
    </row>
    <row r="1861" spans="1:10" x14ac:dyDescent="0.3">
      <c r="A1861" s="588"/>
      <c r="B1861" s="588"/>
      <c r="C1861" s="588"/>
      <c r="D1861" s="588"/>
      <c r="E1861" s="588"/>
      <c r="F1861" s="588"/>
      <c r="G1861" s="600"/>
      <c r="H1861" s="588"/>
      <c r="I1861" s="588"/>
      <c r="J1861" s="588"/>
    </row>
    <row r="1862" spans="1:10" x14ac:dyDescent="0.3">
      <c r="A1862" s="588"/>
      <c r="B1862" s="588"/>
      <c r="C1862" s="588"/>
      <c r="D1862" s="588"/>
      <c r="E1862" s="588"/>
      <c r="F1862" s="588"/>
      <c r="G1862" s="600"/>
      <c r="H1862" s="588"/>
      <c r="I1862" s="588"/>
      <c r="J1862" s="588"/>
    </row>
    <row r="1863" spans="1:10" x14ac:dyDescent="0.3">
      <c r="A1863" s="588"/>
      <c r="B1863" s="588"/>
      <c r="C1863" s="588"/>
      <c r="D1863" s="588"/>
      <c r="E1863" s="588"/>
      <c r="F1863" s="588"/>
      <c r="G1863" s="600"/>
      <c r="H1863" s="588"/>
      <c r="I1863" s="588"/>
      <c r="J1863" s="588"/>
    </row>
    <row r="1864" spans="1:10" x14ac:dyDescent="0.3">
      <c r="A1864" s="588"/>
      <c r="B1864" s="588"/>
      <c r="C1864" s="588"/>
      <c r="D1864" s="588"/>
      <c r="E1864" s="588"/>
      <c r="F1864" s="588"/>
      <c r="G1864" s="600"/>
      <c r="H1864" s="588"/>
      <c r="I1864" s="588"/>
      <c r="J1864" s="588"/>
    </row>
    <row r="1865" spans="1:10" x14ac:dyDescent="0.3">
      <c r="A1865" s="588"/>
      <c r="B1865" s="588"/>
      <c r="C1865" s="588"/>
      <c r="D1865" s="588"/>
      <c r="E1865" s="588"/>
      <c r="F1865" s="588"/>
      <c r="G1865" s="600"/>
      <c r="H1865" s="588"/>
      <c r="I1865" s="588"/>
      <c r="J1865" s="588"/>
    </row>
    <row r="1866" spans="1:10" x14ac:dyDescent="0.3">
      <c r="A1866" s="588"/>
      <c r="B1866" s="588"/>
      <c r="C1866" s="588"/>
      <c r="D1866" s="588"/>
      <c r="E1866" s="588"/>
      <c r="F1866" s="588"/>
      <c r="G1866" s="600"/>
      <c r="H1866" s="588"/>
      <c r="I1866" s="588"/>
      <c r="J1866" s="588"/>
    </row>
    <row r="1867" spans="1:10" x14ac:dyDescent="0.3">
      <c r="A1867" s="588"/>
      <c r="B1867" s="588"/>
      <c r="C1867" s="588"/>
      <c r="D1867" s="588"/>
      <c r="E1867" s="588"/>
      <c r="F1867" s="588"/>
      <c r="G1867" s="600"/>
      <c r="H1867" s="588"/>
      <c r="I1867" s="588"/>
      <c r="J1867" s="588"/>
    </row>
    <row r="1868" spans="1:10" x14ac:dyDescent="0.3">
      <c r="A1868" s="588"/>
      <c r="B1868" s="588"/>
      <c r="C1868" s="588"/>
      <c r="D1868" s="588"/>
      <c r="E1868" s="588"/>
      <c r="F1868" s="588"/>
      <c r="G1868" s="600"/>
      <c r="H1868" s="588"/>
      <c r="I1868" s="588"/>
      <c r="J1868" s="588"/>
    </row>
    <row r="1869" spans="1:10" x14ac:dyDescent="0.3">
      <c r="A1869" s="588"/>
      <c r="B1869" s="588"/>
      <c r="C1869" s="588"/>
      <c r="D1869" s="588"/>
      <c r="E1869" s="588"/>
      <c r="F1869" s="588"/>
      <c r="G1869" s="600"/>
      <c r="H1869" s="588"/>
      <c r="I1869" s="588"/>
      <c r="J1869" s="588"/>
    </row>
    <row r="1870" spans="1:10" x14ac:dyDescent="0.3">
      <c r="A1870" s="588"/>
      <c r="B1870" s="588"/>
      <c r="C1870" s="588"/>
      <c r="D1870" s="588"/>
      <c r="E1870" s="588"/>
      <c r="F1870" s="588"/>
      <c r="G1870" s="600"/>
      <c r="H1870" s="588"/>
      <c r="I1870" s="588"/>
      <c r="J1870" s="588"/>
    </row>
    <row r="1871" spans="1:10" x14ac:dyDescent="0.3">
      <c r="A1871" s="588"/>
      <c r="B1871" s="588"/>
      <c r="C1871" s="588"/>
      <c r="D1871" s="588"/>
      <c r="E1871" s="588"/>
      <c r="F1871" s="588"/>
      <c r="G1871" s="600"/>
      <c r="H1871" s="588"/>
      <c r="I1871" s="588"/>
      <c r="J1871" s="588"/>
    </row>
    <row r="1872" spans="1:10" x14ac:dyDescent="0.3">
      <c r="A1872" s="588"/>
      <c r="B1872" s="588"/>
      <c r="C1872" s="588"/>
      <c r="D1872" s="588"/>
      <c r="E1872" s="588"/>
      <c r="F1872" s="588"/>
      <c r="G1872" s="600"/>
      <c r="H1872" s="588"/>
      <c r="I1872" s="588"/>
      <c r="J1872" s="588"/>
    </row>
    <row r="1873" spans="1:10" x14ac:dyDescent="0.3">
      <c r="A1873" s="588"/>
      <c r="B1873" s="588"/>
      <c r="C1873" s="588"/>
      <c r="D1873" s="588"/>
      <c r="E1873" s="588"/>
      <c r="F1873" s="588"/>
      <c r="G1873" s="600"/>
      <c r="H1873" s="588"/>
      <c r="I1873" s="588"/>
      <c r="J1873" s="588"/>
    </row>
    <row r="1874" spans="1:10" x14ac:dyDescent="0.3">
      <c r="A1874" s="588"/>
      <c r="B1874" s="588"/>
      <c r="C1874" s="588"/>
      <c r="D1874" s="588"/>
      <c r="E1874" s="588"/>
      <c r="F1874" s="588"/>
      <c r="G1874" s="600"/>
      <c r="H1874" s="588"/>
      <c r="I1874" s="588"/>
      <c r="J1874" s="588"/>
    </row>
    <row r="1875" spans="1:10" x14ac:dyDescent="0.3">
      <c r="A1875" s="588"/>
      <c r="B1875" s="588"/>
      <c r="C1875" s="588"/>
      <c r="D1875" s="588"/>
      <c r="E1875" s="588"/>
      <c r="F1875" s="588"/>
      <c r="G1875" s="600"/>
      <c r="H1875" s="588"/>
      <c r="I1875" s="588"/>
      <c r="J1875" s="588"/>
    </row>
    <row r="1876" spans="1:10" x14ac:dyDescent="0.3">
      <c r="A1876" s="588"/>
      <c r="B1876" s="588"/>
      <c r="C1876" s="588"/>
      <c r="D1876" s="588"/>
      <c r="E1876" s="588"/>
      <c r="F1876" s="588"/>
      <c r="G1876" s="600"/>
      <c r="H1876" s="588"/>
      <c r="I1876" s="588"/>
      <c r="J1876" s="588"/>
    </row>
    <row r="1877" spans="1:10" x14ac:dyDescent="0.3">
      <c r="A1877" s="588"/>
      <c r="B1877" s="588"/>
      <c r="C1877" s="588"/>
      <c r="D1877" s="588"/>
      <c r="E1877" s="588"/>
      <c r="F1877" s="588"/>
      <c r="G1877" s="600"/>
      <c r="H1877" s="588"/>
      <c r="I1877" s="588"/>
      <c r="J1877" s="588"/>
    </row>
    <row r="1878" spans="1:10" x14ac:dyDescent="0.3">
      <c r="A1878" s="588"/>
      <c r="B1878" s="588"/>
      <c r="C1878" s="588"/>
      <c r="D1878" s="588"/>
      <c r="E1878" s="588"/>
      <c r="F1878" s="588"/>
      <c r="G1878" s="600"/>
      <c r="H1878" s="588"/>
      <c r="I1878" s="588"/>
      <c r="J1878" s="588"/>
    </row>
    <row r="1879" spans="1:10" x14ac:dyDescent="0.3">
      <c r="A1879" s="588"/>
      <c r="B1879" s="588"/>
      <c r="C1879" s="588"/>
      <c r="D1879" s="588"/>
      <c r="E1879" s="588"/>
      <c r="F1879" s="588"/>
      <c r="G1879" s="600"/>
      <c r="H1879" s="588"/>
      <c r="I1879" s="588"/>
      <c r="J1879" s="588"/>
    </row>
    <row r="1880" spans="1:10" x14ac:dyDescent="0.3">
      <c r="A1880" s="588"/>
      <c r="B1880" s="588"/>
      <c r="C1880" s="588"/>
      <c r="D1880" s="588"/>
      <c r="E1880" s="588"/>
      <c r="F1880" s="588"/>
      <c r="G1880" s="600"/>
      <c r="H1880" s="588"/>
      <c r="I1880" s="588"/>
      <c r="J1880" s="588"/>
    </row>
    <row r="1881" spans="1:10" x14ac:dyDescent="0.3">
      <c r="A1881" s="588"/>
      <c r="B1881" s="588"/>
      <c r="C1881" s="588"/>
      <c r="D1881" s="588"/>
      <c r="E1881" s="588"/>
      <c r="F1881" s="588"/>
      <c r="G1881" s="600"/>
      <c r="H1881" s="588"/>
      <c r="I1881" s="588"/>
      <c r="J1881" s="588"/>
    </row>
    <row r="1882" spans="1:10" x14ac:dyDescent="0.3">
      <c r="A1882" s="588"/>
      <c r="B1882" s="588"/>
      <c r="C1882" s="588"/>
      <c r="D1882" s="588"/>
      <c r="E1882" s="588"/>
      <c r="F1882" s="588"/>
      <c r="G1882" s="600"/>
      <c r="H1882" s="588"/>
      <c r="I1882" s="588"/>
      <c r="J1882" s="588"/>
    </row>
    <row r="1883" spans="1:10" x14ac:dyDescent="0.3">
      <c r="A1883" s="588"/>
      <c r="B1883" s="588"/>
      <c r="C1883" s="588"/>
      <c r="D1883" s="588"/>
      <c r="E1883" s="588"/>
      <c r="F1883" s="588"/>
      <c r="G1883" s="600"/>
      <c r="H1883" s="588"/>
      <c r="I1883" s="588"/>
      <c r="J1883" s="588"/>
    </row>
    <row r="1884" spans="1:10" x14ac:dyDescent="0.3">
      <c r="A1884" s="588"/>
      <c r="B1884" s="588"/>
      <c r="C1884" s="588"/>
      <c r="D1884" s="588"/>
      <c r="E1884" s="588"/>
      <c r="F1884" s="588"/>
      <c r="G1884" s="600"/>
      <c r="H1884" s="588"/>
      <c r="I1884" s="588"/>
      <c r="J1884" s="588"/>
    </row>
    <row r="1885" spans="1:10" x14ac:dyDescent="0.3">
      <c r="A1885" s="588"/>
      <c r="B1885" s="588"/>
      <c r="C1885" s="588"/>
      <c r="D1885" s="588"/>
      <c r="E1885" s="588"/>
      <c r="F1885" s="588"/>
      <c r="G1885" s="600"/>
      <c r="H1885" s="588"/>
      <c r="I1885" s="588"/>
      <c r="J1885" s="588"/>
    </row>
    <row r="1886" spans="1:10" x14ac:dyDescent="0.3">
      <c r="A1886" s="588"/>
      <c r="B1886" s="588"/>
      <c r="C1886" s="588"/>
      <c r="D1886" s="588"/>
      <c r="E1886" s="588"/>
      <c r="F1886" s="588"/>
      <c r="G1886" s="600"/>
      <c r="H1886" s="588"/>
      <c r="I1886" s="588"/>
      <c r="J1886" s="588"/>
    </row>
    <row r="1887" spans="1:10" x14ac:dyDescent="0.3">
      <c r="A1887" s="588"/>
      <c r="B1887" s="588"/>
      <c r="C1887" s="588"/>
      <c r="D1887" s="588"/>
      <c r="E1887" s="588"/>
      <c r="F1887" s="588"/>
      <c r="G1887" s="600"/>
      <c r="H1887" s="588"/>
      <c r="I1887" s="588"/>
      <c r="J1887" s="588"/>
    </row>
    <row r="1888" spans="1:10" x14ac:dyDescent="0.3">
      <c r="A1888" s="588"/>
      <c r="B1888" s="588"/>
      <c r="C1888" s="588"/>
      <c r="D1888" s="588"/>
      <c r="E1888" s="588"/>
      <c r="F1888" s="588"/>
      <c r="G1888" s="600"/>
      <c r="H1888" s="588"/>
      <c r="I1888" s="588"/>
      <c r="J1888" s="588"/>
    </row>
    <row r="1889" spans="1:10" x14ac:dyDescent="0.3">
      <c r="A1889" s="588"/>
      <c r="B1889" s="588"/>
      <c r="C1889" s="588"/>
      <c r="D1889" s="588"/>
      <c r="E1889" s="588"/>
      <c r="F1889" s="588"/>
      <c r="G1889" s="600"/>
      <c r="H1889" s="588"/>
      <c r="I1889" s="588"/>
      <c r="J1889" s="588"/>
    </row>
    <row r="1890" spans="1:10" x14ac:dyDescent="0.3">
      <c r="A1890" s="588"/>
      <c r="B1890" s="588"/>
      <c r="C1890" s="588"/>
      <c r="D1890" s="588"/>
      <c r="E1890" s="588"/>
      <c r="F1890" s="588"/>
      <c r="G1890" s="600"/>
      <c r="H1890" s="588"/>
      <c r="I1890" s="588"/>
      <c r="J1890" s="588"/>
    </row>
    <row r="1891" spans="1:10" x14ac:dyDescent="0.3">
      <c r="A1891" s="588"/>
      <c r="B1891" s="588"/>
      <c r="C1891" s="588"/>
      <c r="D1891" s="588"/>
      <c r="E1891" s="588"/>
      <c r="F1891" s="588"/>
      <c r="G1891" s="600"/>
      <c r="H1891" s="588"/>
      <c r="I1891" s="588"/>
      <c r="J1891" s="588"/>
    </row>
    <row r="1892" spans="1:10" x14ac:dyDescent="0.3">
      <c r="A1892" s="588"/>
      <c r="B1892" s="588"/>
      <c r="C1892" s="588"/>
      <c r="D1892" s="588"/>
      <c r="E1892" s="588"/>
      <c r="F1892" s="588"/>
      <c r="G1892" s="600"/>
      <c r="H1892" s="588"/>
      <c r="I1892" s="588"/>
      <c r="J1892" s="588"/>
    </row>
    <row r="1893" spans="1:10" x14ac:dyDescent="0.3">
      <c r="A1893" s="588"/>
      <c r="B1893" s="588"/>
      <c r="C1893" s="588"/>
      <c r="D1893" s="588"/>
      <c r="E1893" s="588"/>
      <c r="F1893" s="588"/>
      <c r="G1893" s="600"/>
      <c r="H1893" s="588"/>
      <c r="I1893" s="588"/>
      <c r="J1893" s="588"/>
    </row>
    <row r="1894" spans="1:10" x14ac:dyDescent="0.3">
      <c r="A1894" s="588"/>
      <c r="B1894" s="588"/>
      <c r="C1894" s="588"/>
      <c r="D1894" s="588"/>
      <c r="E1894" s="588"/>
      <c r="F1894" s="588"/>
      <c r="G1894" s="600"/>
      <c r="H1894" s="588"/>
      <c r="I1894" s="588"/>
      <c r="J1894" s="588"/>
    </row>
    <row r="1895" spans="1:10" x14ac:dyDescent="0.3">
      <c r="A1895" s="588"/>
      <c r="B1895" s="588"/>
      <c r="C1895" s="588"/>
      <c r="D1895" s="588"/>
      <c r="E1895" s="588"/>
      <c r="F1895" s="588"/>
      <c r="G1895" s="600"/>
      <c r="H1895" s="588"/>
      <c r="I1895" s="588"/>
      <c r="J1895" s="588"/>
    </row>
    <row r="1896" spans="1:10" x14ac:dyDescent="0.3">
      <c r="A1896" s="588"/>
      <c r="B1896" s="588"/>
      <c r="C1896" s="588"/>
      <c r="D1896" s="588"/>
      <c r="E1896" s="588"/>
      <c r="F1896" s="588"/>
      <c r="G1896" s="600"/>
      <c r="H1896" s="588"/>
      <c r="I1896" s="588"/>
      <c r="J1896" s="588"/>
    </row>
    <row r="1897" spans="1:10" x14ac:dyDescent="0.3">
      <c r="A1897" s="588"/>
      <c r="B1897" s="588"/>
      <c r="C1897" s="588"/>
      <c r="D1897" s="588"/>
      <c r="E1897" s="588"/>
      <c r="F1897" s="588"/>
      <c r="G1897" s="600"/>
      <c r="H1897" s="588"/>
      <c r="I1897" s="588"/>
      <c r="J1897" s="588"/>
    </row>
    <row r="1898" spans="1:10" x14ac:dyDescent="0.3">
      <c r="A1898" s="588"/>
      <c r="B1898" s="588"/>
      <c r="C1898" s="588"/>
      <c r="D1898" s="588"/>
      <c r="E1898" s="588"/>
      <c r="F1898" s="588"/>
      <c r="G1898" s="600"/>
      <c r="H1898" s="588"/>
      <c r="I1898" s="588"/>
      <c r="J1898" s="588"/>
    </row>
    <row r="1899" spans="1:10" x14ac:dyDescent="0.3">
      <c r="A1899" s="588"/>
      <c r="B1899" s="588"/>
      <c r="C1899" s="588"/>
      <c r="D1899" s="588"/>
      <c r="E1899" s="588"/>
      <c r="F1899" s="588"/>
      <c r="G1899" s="600"/>
      <c r="H1899" s="588"/>
      <c r="I1899" s="588"/>
      <c r="J1899" s="588"/>
    </row>
    <row r="1900" spans="1:10" x14ac:dyDescent="0.3">
      <c r="A1900" s="588"/>
      <c r="B1900" s="588"/>
      <c r="C1900" s="588"/>
      <c r="D1900" s="588"/>
      <c r="E1900" s="588"/>
      <c r="F1900" s="588"/>
      <c r="G1900" s="600"/>
      <c r="H1900" s="588"/>
      <c r="I1900" s="588"/>
      <c r="J1900" s="588"/>
    </row>
    <row r="1901" spans="1:10" x14ac:dyDescent="0.3">
      <c r="A1901" s="588"/>
      <c r="B1901" s="588"/>
      <c r="C1901" s="588"/>
      <c r="D1901" s="588"/>
      <c r="E1901" s="588"/>
      <c r="F1901" s="588"/>
      <c r="G1901" s="600"/>
      <c r="H1901" s="588"/>
      <c r="I1901" s="588"/>
      <c r="J1901" s="588"/>
    </row>
    <row r="1902" spans="1:10" x14ac:dyDescent="0.3">
      <c r="A1902" s="588"/>
      <c r="B1902" s="588"/>
      <c r="C1902" s="588"/>
      <c r="D1902" s="588"/>
      <c r="E1902" s="588"/>
      <c r="F1902" s="588"/>
      <c r="G1902" s="600"/>
      <c r="H1902" s="588"/>
      <c r="I1902" s="588"/>
      <c r="J1902" s="588"/>
    </row>
    <row r="1903" spans="1:10" x14ac:dyDescent="0.3">
      <c r="A1903" s="588"/>
      <c r="B1903" s="588"/>
      <c r="C1903" s="588"/>
      <c r="D1903" s="588"/>
      <c r="E1903" s="588"/>
      <c r="F1903" s="588"/>
      <c r="G1903" s="600"/>
      <c r="H1903" s="588"/>
      <c r="I1903" s="588"/>
      <c r="J1903" s="588"/>
    </row>
    <row r="1904" spans="1:10" x14ac:dyDescent="0.3">
      <c r="A1904" s="588"/>
      <c r="B1904" s="588"/>
      <c r="C1904" s="588"/>
      <c r="D1904" s="588"/>
      <c r="E1904" s="588"/>
      <c r="F1904" s="588"/>
      <c r="G1904" s="600"/>
      <c r="H1904" s="588"/>
      <c r="I1904" s="588"/>
      <c r="J1904" s="588"/>
    </row>
    <row r="1905" spans="1:10" x14ac:dyDescent="0.3">
      <c r="A1905" s="588"/>
      <c r="B1905" s="588"/>
      <c r="C1905" s="588"/>
      <c r="D1905" s="588"/>
      <c r="E1905" s="588"/>
      <c r="F1905" s="588"/>
      <c r="G1905" s="600"/>
      <c r="H1905" s="588"/>
      <c r="I1905" s="588"/>
      <c r="J1905" s="588"/>
    </row>
    <row r="1906" spans="1:10" x14ac:dyDescent="0.3">
      <c r="A1906" s="588"/>
      <c r="B1906" s="588"/>
      <c r="C1906" s="588"/>
      <c r="D1906" s="588"/>
      <c r="E1906" s="588"/>
      <c r="F1906" s="588"/>
      <c r="G1906" s="600"/>
      <c r="H1906" s="588"/>
      <c r="I1906" s="588"/>
      <c r="J1906" s="588"/>
    </row>
    <row r="1907" spans="1:10" x14ac:dyDescent="0.3">
      <c r="A1907" s="588"/>
      <c r="B1907" s="588"/>
      <c r="C1907" s="588"/>
      <c r="D1907" s="588"/>
      <c r="E1907" s="588"/>
      <c r="F1907" s="588"/>
      <c r="G1907" s="600"/>
      <c r="H1907" s="588"/>
      <c r="I1907" s="588"/>
      <c r="J1907" s="588"/>
    </row>
    <row r="1908" spans="1:10" x14ac:dyDescent="0.3">
      <c r="A1908" s="588"/>
      <c r="B1908" s="588"/>
      <c r="C1908" s="588"/>
      <c r="D1908" s="588"/>
      <c r="E1908" s="588"/>
      <c r="F1908" s="588"/>
      <c r="G1908" s="600"/>
      <c r="H1908" s="588"/>
      <c r="I1908" s="588"/>
      <c r="J1908" s="588"/>
    </row>
    <row r="1909" spans="1:10" x14ac:dyDescent="0.3">
      <c r="A1909" s="588"/>
      <c r="B1909" s="588"/>
      <c r="C1909" s="588"/>
      <c r="D1909" s="588"/>
      <c r="E1909" s="588"/>
      <c r="F1909" s="588"/>
      <c r="G1909" s="600"/>
      <c r="H1909" s="588"/>
      <c r="I1909" s="588"/>
      <c r="J1909" s="588"/>
    </row>
    <row r="1910" spans="1:10" x14ac:dyDescent="0.3">
      <c r="A1910" s="588"/>
      <c r="B1910" s="588"/>
      <c r="C1910" s="588"/>
      <c r="D1910" s="588"/>
      <c r="E1910" s="588"/>
      <c r="F1910" s="588"/>
      <c r="G1910" s="600"/>
      <c r="H1910" s="588"/>
      <c r="I1910" s="588"/>
      <c r="J1910" s="588"/>
    </row>
    <row r="1911" spans="1:10" x14ac:dyDescent="0.3">
      <c r="A1911" s="588"/>
      <c r="B1911" s="588"/>
      <c r="C1911" s="588"/>
      <c r="D1911" s="588"/>
      <c r="E1911" s="588"/>
      <c r="F1911" s="588"/>
      <c r="G1911" s="600"/>
      <c r="H1911" s="588"/>
      <c r="I1911" s="588"/>
      <c r="J1911" s="588"/>
    </row>
    <row r="1912" spans="1:10" x14ac:dyDescent="0.3">
      <c r="A1912" s="588"/>
      <c r="B1912" s="588"/>
      <c r="C1912" s="588"/>
      <c r="D1912" s="588"/>
      <c r="E1912" s="588"/>
      <c r="F1912" s="588"/>
      <c r="G1912" s="600"/>
      <c r="H1912" s="588"/>
      <c r="I1912" s="588"/>
      <c r="J1912" s="588"/>
    </row>
    <row r="1913" spans="1:10" x14ac:dyDescent="0.3">
      <c r="A1913" s="588"/>
      <c r="B1913" s="588"/>
      <c r="C1913" s="588"/>
      <c r="D1913" s="588"/>
      <c r="E1913" s="588"/>
      <c r="F1913" s="588"/>
      <c r="G1913" s="600"/>
      <c r="H1913" s="588"/>
      <c r="I1913" s="588"/>
      <c r="J1913" s="588"/>
    </row>
    <row r="1914" spans="1:10" x14ac:dyDescent="0.3">
      <c r="A1914" s="588"/>
      <c r="B1914" s="588"/>
      <c r="C1914" s="588"/>
      <c r="D1914" s="588"/>
      <c r="E1914" s="588"/>
      <c r="F1914" s="588"/>
      <c r="G1914" s="600"/>
      <c r="H1914" s="588"/>
      <c r="I1914" s="588"/>
      <c r="J1914" s="588"/>
    </row>
    <row r="1915" spans="1:10" x14ac:dyDescent="0.3">
      <c r="A1915" s="588"/>
      <c r="B1915" s="588"/>
      <c r="C1915" s="588"/>
      <c r="D1915" s="588"/>
      <c r="E1915" s="588"/>
      <c r="F1915" s="588"/>
      <c r="G1915" s="600"/>
      <c r="H1915" s="588"/>
      <c r="I1915" s="588"/>
      <c r="J1915" s="588"/>
    </row>
    <row r="1916" spans="1:10" x14ac:dyDescent="0.3">
      <c r="A1916" s="588"/>
      <c r="B1916" s="588"/>
      <c r="C1916" s="588"/>
      <c r="D1916" s="588"/>
      <c r="E1916" s="588"/>
      <c r="F1916" s="588"/>
      <c r="G1916" s="600"/>
      <c r="H1916" s="588"/>
      <c r="I1916" s="588"/>
      <c r="J1916" s="588"/>
    </row>
    <row r="1917" spans="1:10" x14ac:dyDescent="0.3">
      <c r="A1917" s="588"/>
      <c r="B1917" s="588"/>
      <c r="C1917" s="588"/>
      <c r="D1917" s="588"/>
      <c r="E1917" s="588"/>
      <c r="F1917" s="588"/>
      <c r="G1917" s="600"/>
      <c r="H1917" s="588"/>
      <c r="I1917" s="588"/>
      <c r="J1917" s="588"/>
    </row>
    <row r="1918" spans="1:10" x14ac:dyDescent="0.3">
      <c r="A1918" s="588"/>
      <c r="B1918" s="588"/>
      <c r="C1918" s="588"/>
      <c r="D1918" s="588"/>
      <c r="E1918" s="588"/>
      <c r="F1918" s="588"/>
      <c r="G1918" s="600"/>
      <c r="H1918" s="588"/>
      <c r="I1918" s="588"/>
      <c r="J1918" s="588"/>
    </row>
    <row r="1919" spans="1:10" x14ac:dyDescent="0.3">
      <c r="A1919" s="588"/>
      <c r="B1919" s="588"/>
      <c r="C1919" s="588"/>
      <c r="D1919" s="588"/>
      <c r="E1919" s="588"/>
      <c r="F1919" s="588"/>
      <c r="G1919" s="600"/>
      <c r="H1919" s="588"/>
      <c r="I1919" s="588"/>
      <c r="J1919" s="588"/>
    </row>
    <row r="1920" spans="1:10" x14ac:dyDescent="0.3">
      <c r="A1920" s="588"/>
      <c r="B1920" s="588"/>
      <c r="C1920" s="588"/>
      <c r="D1920" s="588"/>
      <c r="E1920" s="588"/>
      <c r="F1920" s="588"/>
      <c r="G1920" s="600"/>
      <c r="H1920" s="588"/>
      <c r="I1920" s="588"/>
      <c r="J1920" s="588"/>
    </row>
    <row r="1921" spans="1:10" x14ac:dyDescent="0.3">
      <c r="A1921" s="588"/>
      <c r="B1921" s="588"/>
      <c r="C1921" s="588"/>
      <c r="D1921" s="588"/>
      <c r="E1921" s="588"/>
      <c r="F1921" s="588"/>
      <c r="G1921" s="600"/>
      <c r="H1921" s="588"/>
      <c r="I1921" s="588"/>
      <c r="J1921" s="588"/>
    </row>
    <row r="1922" spans="1:10" x14ac:dyDescent="0.3">
      <c r="A1922" s="588"/>
      <c r="B1922" s="588"/>
      <c r="C1922" s="588"/>
      <c r="D1922" s="588"/>
      <c r="E1922" s="588"/>
      <c r="F1922" s="588"/>
      <c r="G1922" s="600"/>
      <c r="H1922" s="588"/>
      <c r="I1922" s="588"/>
      <c r="J1922" s="588"/>
    </row>
    <row r="1923" spans="1:10" x14ac:dyDescent="0.3">
      <c r="A1923" s="588"/>
      <c r="B1923" s="588"/>
      <c r="C1923" s="588"/>
      <c r="D1923" s="588"/>
      <c r="E1923" s="588"/>
      <c r="F1923" s="588"/>
      <c r="G1923" s="600"/>
      <c r="H1923" s="588"/>
      <c r="I1923" s="588"/>
      <c r="J1923" s="588"/>
    </row>
    <row r="1924" spans="1:10" x14ac:dyDescent="0.3">
      <c r="A1924" s="588"/>
      <c r="B1924" s="588"/>
      <c r="C1924" s="588"/>
      <c r="D1924" s="588"/>
      <c r="E1924" s="588"/>
      <c r="F1924" s="588"/>
      <c r="G1924" s="600"/>
      <c r="H1924" s="588"/>
      <c r="I1924" s="588"/>
      <c r="J1924" s="588"/>
    </row>
    <row r="1925" spans="1:10" x14ac:dyDescent="0.3">
      <c r="A1925" s="588"/>
      <c r="B1925" s="588"/>
      <c r="C1925" s="588"/>
      <c r="D1925" s="588"/>
      <c r="E1925" s="588"/>
      <c r="F1925" s="588"/>
      <c r="G1925" s="600"/>
      <c r="H1925" s="588"/>
      <c r="I1925" s="588"/>
      <c r="J1925" s="588"/>
    </row>
    <row r="1926" spans="1:10" x14ac:dyDescent="0.3">
      <c r="A1926" s="588"/>
      <c r="B1926" s="588"/>
      <c r="C1926" s="588"/>
      <c r="D1926" s="588"/>
      <c r="E1926" s="588"/>
      <c r="F1926" s="588"/>
      <c r="G1926" s="600"/>
      <c r="H1926" s="588"/>
      <c r="I1926" s="588"/>
      <c r="J1926" s="588"/>
    </row>
    <row r="1927" spans="1:10" x14ac:dyDescent="0.3">
      <c r="A1927" s="588"/>
      <c r="B1927" s="588"/>
      <c r="C1927" s="588"/>
      <c r="D1927" s="588"/>
      <c r="E1927" s="588"/>
      <c r="F1927" s="588"/>
      <c r="G1927" s="600"/>
      <c r="H1927" s="588"/>
      <c r="I1927" s="588"/>
      <c r="J1927" s="588"/>
    </row>
    <row r="1928" spans="1:10" x14ac:dyDescent="0.3">
      <c r="A1928" s="588"/>
      <c r="B1928" s="588"/>
      <c r="C1928" s="588"/>
      <c r="D1928" s="588"/>
      <c r="E1928" s="588"/>
      <c r="F1928" s="588"/>
      <c r="G1928" s="600"/>
      <c r="H1928" s="588"/>
      <c r="I1928" s="588"/>
      <c r="J1928" s="588"/>
    </row>
    <row r="1929" spans="1:10" x14ac:dyDescent="0.3">
      <c r="A1929" s="588"/>
      <c r="B1929" s="588"/>
      <c r="C1929" s="588"/>
      <c r="D1929" s="588"/>
      <c r="E1929" s="588"/>
      <c r="F1929" s="588"/>
      <c r="G1929" s="600"/>
      <c r="H1929" s="588"/>
      <c r="I1929" s="588"/>
      <c r="J1929" s="588"/>
    </row>
    <row r="1930" spans="1:10" x14ac:dyDescent="0.3">
      <c r="A1930" s="588"/>
      <c r="B1930" s="588"/>
      <c r="C1930" s="588"/>
      <c r="D1930" s="588"/>
      <c r="E1930" s="588"/>
      <c r="F1930" s="588"/>
      <c r="G1930" s="600"/>
      <c r="H1930" s="588"/>
      <c r="I1930" s="588"/>
      <c r="J1930" s="588"/>
    </row>
    <row r="1931" spans="1:10" x14ac:dyDescent="0.3">
      <c r="A1931" s="588"/>
      <c r="B1931" s="588"/>
      <c r="C1931" s="588"/>
      <c r="D1931" s="588"/>
      <c r="E1931" s="588"/>
      <c r="F1931" s="588"/>
      <c r="G1931" s="600"/>
      <c r="H1931" s="588"/>
      <c r="I1931" s="588"/>
      <c r="J1931" s="588"/>
    </row>
    <row r="1932" spans="1:10" x14ac:dyDescent="0.3">
      <c r="A1932" s="588"/>
      <c r="B1932" s="588"/>
      <c r="C1932" s="588"/>
      <c r="D1932" s="588"/>
      <c r="E1932" s="588"/>
      <c r="F1932" s="588"/>
      <c r="G1932" s="600"/>
      <c r="H1932" s="588"/>
      <c r="I1932" s="588"/>
      <c r="J1932" s="588"/>
    </row>
    <row r="1933" spans="1:10" x14ac:dyDescent="0.3">
      <c r="A1933" s="588"/>
      <c r="B1933" s="588"/>
      <c r="C1933" s="588"/>
      <c r="D1933" s="588"/>
      <c r="E1933" s="588"/>
      <c r="F1933" s="588"/>
      <c r="G1933" s="600"/>
      <c r="H1933" s="588"/>
      <c r="I1933" s="588"/>
      <c r="J1933" s="588"/>
    </row>
    <row r="1934" spans="1:10" x14ac:dyDescent="0.3">
      <c r="A1934" s="588"/>
      <c r="B1934" s="588"/>
      <c r="C1934" s="588"/>
      <c r="D1934" s="588"/>
      <c r="E1934" s="588"/>
      <c r="F1934" s="588"/>
      <c r="G1934" s="600"/>
      <c r="H1934" s="588"/>
      <c r="I1934" s="588"/>
      <c r="J1934" s="588"/>
    </row>
    <row r="1935" spans="1:10" x14ac:dyDescent="0.3">
      <c r="A1935" s="588"/>
      <c r="B1935" s="588"/>
      <c r="C1935" s="588"/>
      <c r="D1935" s="588"/>
      <c r="E1935" s="588"/>
      <c r="F1935" s="588"/>
      <c r="G1935" s="600"/>
      <c r="H1935" s="588"/>
      <c r="I1935" s="588"/>
      <c r="J1935" s="588"/>
    </row>
    <row r="1936" spans="1:10" x14ac:dyDescent="0.3">
      <c r="A1936" s="588"/>
      <c r="B1936" s="588"/>
      <c r="C1936" s="588"/>
      <c r="D1936" s="588"/>
      <c r="E1936" s="588"/>
      <c r="F1936" s="588"/>
      <c r="G1936" s="600"/>
      <c r="H1936" s="588"/>
      <c r="I1936" s="588"/>
      <c r="J1936" s="588"/>
    </row>
    <row r="1937" spans="1:10" x14ac:dyDescent="0.3">
      <c r="A1937" s="588"/>
      <c r="B1937" s="588"/>
      <c r="C1937" s="588"/>
      <c r="D1937" s="588"/>
      <c r="E1937" s="588"/>
      <c r="F1937" s="588"/>
      <c r="G1937" s="600"/>
      <c r="H1937" s="588"/>
      <c r="I1937" s="588"/>
      <c r="J1937" s="588"/>
    </row>
    <row r="1938" spans="1:10" x14ac:dyDescent="0.3">
      <c r="A1938" s="588"/>
      <c r="B1938" s="588"/>
      <c r="C1938" s="588"/>
      <c r="D1938" s="588"/>
      <c r="E1938" s="588"/>
      <c r="F1938" s="588"/>
      <c r="G1938" s="600"/>
      <c r="H1938" s="588"/>
      <c r="I1938" s="588"/>
      <c r="J1938" s="588"/>
    </row>
    <row r="1939" spans="1:10" x14ac:dyDescent="0.3">
      <c r="A1939" s="588"/>
      <c r="B1939" s="588"/>
      <c r="C1939" s="588"/>
      <c r="D1939" s="588"/>
      <c r="E1939" s="588"/>
      <c r="F1939" s="588"/>
      <c r="G1939" s="600"/>
      <c r="H1939" s="588"/>
      <c r="I1939" s="588"/>
      <c r="J1939" s="588"/>
    </row>
    <row r="1940" spans="1:10" x14ac:dyDescent="0.3">
      <c r="A1940" s="588"/>
      <c r="B1940" s="588"/>
      <c r="C1940" s="588"/>
      <c r="D1940" s="588"/>
      <c r="E1940" s="588"/>
      <c r="F1940" s="588"/>
      <c r="G1940" s="600"/>
      <c r="H1940" s="588"/>
      <c r="I1940" s="588"/>
      <c r="J1940" s="588"/>
    </row>
    <row r="1941" spans="1:10" x14ac:dyDescent="0.3">
      <c r="A1941" s="588"/>
      <c r="B1941" s="588"/>
      <c r="C1941" s="588"/>
      <c r="D1941" s="588"/>
      <c r="E1941" s="588"/>
      <c r="F1941" s="588"/>
      <c r="G1941" s="600"/>
      <c r="H1941" s="588"/>
      <c r="I1941" s="588"/>
      <c r="J1941" s="588"/>
    </row>
    <row r="1942" spans="1:10" x14ac:dyDescent="0.3">
      <c r="A1942" s="588"/>
      <c r="B1942" s="588"/>
      <c r="C1942" s="588"/>
      <c r="D1942" s="588"/>
      <c r="E1942" s="588"/>
      <c r="F1942" s="588"/>
      <c r="G1942" s="600"/>
      <c r="H1942" s="588"/>
      <c r="I1942" s="588"/>
      <c r="J1942" s="588"/>
    </row>
    <row r="1943" spans="1:10" x14ac:dyDescent="0.3">
      <c r="A1943" s="588"/>
      <c r="B1943" s="588"/>
      <c r="C1943" s="588"/>
      <c r="D1943" s="588"/>
      <c r="E1943" s="588"/>
      <c r="F1943" s="588"/>
      <c r="G1943" s="600"/>
      <c r="H1943" s="588"/>
      <c r="I1943" s="588"/>
      <c r="J1943" s="588"/>
    </row>
    <row r="1944" spans="1:10" x14ac:dyDescent="0.3">
      <c r="A1944" s="588"/>
      <c r="B1944" s="588"/>
      <c r="C1944" s="588"/>
      <c r="D1944" s="588"/>
      <c r="E1944" s="588"/>
      <c r="F1944" s="588"/>
      <c r="G1944" s="600"/>
      <c r="H1944" s="588"/>
      <c r="I1944" s="588"/>
      <c r="J1944" s="588"/>
    </row>
    <row r="1945" spans="1:10" x14ac:dyDescent="0.3">
      <c r="A1945" s="588"/>
      <c r="B1945" s="588"/>
      <c r="C1945" s="588"/>
      <c r="D1945" s="588"/>
      <c r="E1945" s="588"/>
      <c r="F1945" s="588"/>
      <c r="G1945" s="600"/>
      <c r="H1945" s="588"/>
      <c r="I1945" s="588"/>
      <c r="J1945" s="588"/>
    </row>
    <row r="1946" spans="1:10" x14ac:dyDescent="0.3">
      <c r="A1946" s="588"/>
      <c r="B1946" s="588"/>
      <c r="C1946" s="588"/>
      <c r="D1946" s="588"/>
      <c r="E1946" s="588"/>
      <c r="F1946" s="588"/>
      <c r="G1946" s="600"/>
      <c r="H1946" s="588"/>
      <c r="I1946" s="588"/>
      <c r="J1946" s="588"/>
    </row>
    <row r="1947" spans="1:10" x14ac:dyDescent="0.3">
      <c r="A1947" s="588"/>
      <c r="B1947" s="588"/>
      <c r="C1947" s="588"/>
      <c r="D1947" s="588"/>
      <c r="E1947" s="588"/>
      <c r="F1947" s="588"/>
      <c r="G1947" s="600"/>
      <c r="H1947" s="588"/>
      <c r="I1947" s="588"/>
      <c r="J1947" s="588"/>
    </row>
    <row r="1948" spans="1:10" x14ac:dyDescent="0.3">
      <c r="A1948" s="588"/>
      <c r="B1948" s="588"/>
      <c r="C1948" s="588"/>
      <c r="D1948" s="588"/>
      <c r="E1948" s="588"/>
      <c r="F1948" s="588"/>
      <c r="G1948" s="600"/>
      <c r="H1948" s="588"/>
      <c r="I1948" s="588"/>
      <c r="J1948" s="588"/>
    </row>
    <row r="1949" spans="1:10" x14ac:dyDescent="0.3">
      <c r="A1949" s="588"/>
      <c r="B1949" s="588"/>
      <c r="C1949" s="588"/>
      <c r="D1949" s="588"/>
      <c r="E1949" s="588"/>
      <c r="F1949" s="588"/>
      <c r="G1949" s="600"/>
      <c r="H1949" s="588"/>
      <c r="I1949" s="588"/>
      <c r="J1949" s="588"/>
    </row>
    <row r="1950" spans="1:10" x14ac:dyDescent="0.3">
      <c r="A1950" s="588"/>
      <c r="B1950" s="588"/>
      <c r="C1950" s="588"/>
      <c r="D1950" s="588"/>
      <c r="E1950" s="588"/>
      <c r="F1950" s="588"/>
      <c r="G1950" s="600"/>
      <c r="H1950" s="588"/>
      <c r="I1950" s="588"/>
      <c r="J1950" s="588"/>
    </row>
    <row r="1951" spans="1:10" x14ac:dyDescent="0.3">
      <c r="A1951" s="588"/>
      <c r="B1951" s="588"/>
      <c r="C1951" s="588"/>
      <c r="D1951" s="588"/>
      <c r="E1951" s="588"/>
      <c r="F1951" s="588"/>
      <c r="G1951" s="600"/>
      <c r="H1951" s="588"/>
      <c r="I1951" s="588"/>
      <c r="J1951" s="588"/>
    </row>
    <row r="1952" spans="1:10" x14ac:dyDescent="0.3">
      <c r="A1952" s="588"/>
      <c r="B1952" s="588"/>
      <c r="C1952" s="588"/>
      <c r="D1952" s="588"/>
      <c r="E1952" s="588"/>
      <c r="F1952" s="588"/>
      <c r="G1952" s="600"/>
      <c r="H1952" s="588"/>
      <c r="I1952" s="588"/>
      <c r="J1952" s="588"/>
    </row>
    <row r="1953" spans="1:10" x14ac:dyDescent="0.3">
      <c r="A1953" s="588"/>
      <c r="B1953" s="588"/>
      <c r="C1953" s="588"/>
      <c r="D1953" s="588"/>
      <c r="E1953" s="588"/>
      <c r="F1953" s="588"/>
      <c r="G1953" s="600"/>
      <c r="H1953" s="588"/>
      <c r="I1953" s="588"/>
      <c r="J1953" s="588"/>
    </row>
    <row r="1954" spans="1:10" x14ac:dyDescent="0.3">
      <c r="A1954" s="588"/>
      <c r="B1954" s="588"/>
      <c r="C1954" s="588"/>
      <c r="D1954" s="588"/>
      <c r="E1954" s="588"/>
      <c r="F1954" s="588"/>
      <c r="G1954" s="600"/>
      <c r="H1954" s="588"/>
      <c r="I1954" s="588"/>
      <c r="J1954" s="588"/>
    </row>
    <row r="1955" spans="1:10" x14ac:dyDescent="0.3">
      <c r="A1955" s="588"/>
      <c r="B1955" s="588"/>
      <c r="C1955" s="588"/>
      <c r="D1955" s="588"/>
      <c r="E1955" s="588"/>
      <c r="F1955" s="588"/>
      <c r="G1955" s="600"/>
      <c r="H1955" s="588"/>
      <c r="I1955" s="588"/>
      <c r="J1955" s="588"/>
    </row>
    <row r="1956" spans="1:10" x14ac:dyDescent="0.3">
      <c r="A1956" s="588"/>
      <c r="B1956" s="588"/>
      <c r="C1956" s="588"/>
      <c r="D1956" s="588"/>
      <c r="E1956" s="588"/>
      <c r="F1956" s="588"/>
      <c r="G1956" s="600"/>
      <c r="H1956" s="588"/>
      <c r="I1956" s="588"/>
      <c r="J1956" s="588"/>
    </row>
    <row r="1957" spans="1:10" x14ac:dyDescent="0.3">
      <c r="A1957" s="588"/>
      <c r="B1957" s="588"/>
      <c r="C1957" s="588"/>
      <c r="D1957" s="588"/>
      <c r="E1957" s="588"/>
      <c r="F1957" s="588"/>
      <c r="G1957" s="600"/>
      <c r="H1957" s="588"/>
      <c r="I1957" s="588"/>
      <c r="J1957" s="588"/>
    </row>
    <row r="1958" spans="1:10" x14ac:dyDescent="0.3">
      <c r="A1958" s="588"/>
      <c r="B1958" s="588"/>
      <c r="C1958" s="588"/>
      <c r="D1958" s="588"/>
      <c r="E1958" s="588"/>
      <c r="F1958" s="588"/>
      <c r="G1958" s="600"/>
      <c r="H1958" s="588"/>
      <c r="I1958" s="588"/>
      <c r="J1958" s="588"/>
    </row>
    <row r="1959" spans="1:10" x14ac:dyDescent="0.3">
      <c r="A1959" s="588"/>
      <c r="B1959" s="588"/>
      <c r="C1959" s="588"/>
      <c r="D1959" s="588"/>
      <c r="E1959" s="588"/>
      <c r="F1959" s="588"/>
      <c r="G1959" s="600"/>
      <c r="H1959" s="588"/>
      <c r="I1959" s="588"/>
      <c r="J1959" s="588"/>
    </row>
    <row r="1960" spans="1:10" x14ac:dyDescent="0.3">
      <c r="A1960" s="588"/>
      <c r="B1960" s="588"/>
      <c r="C1960" s="588"/>
      <c r="D1960" s="588"/>
      <c r="E1960" s="588"/>
      <c r="F1960" s="588"/>
      <c r="G1960" s="600"/>
      <c r="H1960" s="588"/>
      <c r="I1960" s="588"/>
      <c r="J1960" s="588"/>
    </row>
    <row r="1961" spans="1:10" x14ac:dyDescent="0.3">
      <c r="A1961" s="588"/>
      <c r="B1961" s="588"/>
      <c r="C1961" s="588"/>
      <c r="D1961" s="588"/>
      <c r="E1961" s="588"/>
      <c r="F1961" s="588"/>
      <c r="G1961" s="600"/>
      <c r="H1961" s="588"/>
      <c r="I1961" s="588"/>
      <c r="J1961" s="588"/>
    </row>
    <row r="1962" spans="1:10" x14ac:dyDescent="0.3">
      <c r="A1962" s="588"/>
      <c r="B1962" s="588"/>
      <c r="C1962" s="588"/>
      <c r="D1962" s="588"/>
      <c r="E1962" s="588"/>
      <c r="F1962" s="588"/>
      <c r="G1962" s="600"/>
      <c r="H1962" s="588"/>
      <c r="I1962" s="588"/>
      <c r="J1962" s="588"/>
    </row>
    <row r="1963" spans="1:10" x14ac:dyDescent="0.3">
      <c r="A1963" s="588"/>
      <c r="B1963" s="588"/>
      <c r="C1963" s="588"/>
      <c r="D1963" s="588"/>
      <c r="E1963" s="588"/>
      <c r="F1963" s="588"/>
      <c r="G1963" s="600"/>
      <c r="H1963" s="588"/>
      <c r="I1963" s="588"/>
      <c r="J1963" s="588"/>
    </row>
    <row r="1964" spans="1:10" x14ac:dyDescent="0.3">
      <c r="A1964" s="588"/>
      <c r="B1964" s="588"/>
      <c r="C1964" s="588"/>
      <c r="D1964" s="588"/>
      <c r="E1964" s="588"/>
      <c r="F1964" s="588"/>
      <c r="G1964" s="600"/>
      <c r="H1964" s="588"/>
      <c r="I1964" s="588"/>
      <c r="J1964" s="588"/>
    </row>
    <row r="1965" spans="1:10" x14ac:dyDescent="0.3">
      <c r="A1965" s="588"/>
      <c r="B1965" s="588"/>
      <c r="C1965" s="588"/>
      <c r="D1965" s="588"/>
      <c r="E1965" s="588"/>
      <c r="F1965" s="588"/>
      <c r="G1965" s="600"/>
      <c r="H1965" s="588"/>
      <c r="I1965" s="588"/>
      <c r="J1965" s="588"/>
    </row>
    <row r="1966" spans="1:10" x14ac:dyDescent="0.3">
      <c r="A1966" s="588"/>
      <c r="B1966" s="588"/>
      <c r="C1966" s="588"/>
      <c r="D1966" s="588"/>
      <c r="E1966" s="588"/>
      <c r="F1966" s="588"/>
      <c r="G1966" s="600"/>
      <c r="H1966" s="588"/>
      <c r="I1966" s="588"/>
      <c r="J1966" s="588"/>
    </row>
    <row r="1967" spans="1:10" x14ac:dyDescent="0.3">
      <c r="A1967" s="588"/>
      <c r="B1967" s="588"/>
      <c r="C1967" s="588"/>
      <c r="D1967" s="588"/>
      <c r="E1967" s="588"/>
      <c r="F1967" s="588"/>
      <c r="G1967" s="600"/>
      <c r="H1967" s="588"/>
      <c r="I1967" s="588"/>
      <c r="J1967" s="588"/>
    </row>
    <row r="1968" spans="1:10" x14ac:dyDescent="0.3">
      <c r="A1968" s="588"/>
      <c r="B1968" s="588"/>
      <c r="C1968" s="588"/>
      <c r="D1968" s="588"/>
      <c r="E1968" s="588"/>
      <c r="F1968" s="588"/>
      <c r="G1968" s="600"/>
      <c r="H1968" s="588"/>
      <c r="I1968" s="588"/>
      <c r="J1968" s="588"/>
    </row>
    <row r="1969" spans="1:10" x14ac:dyDescent="0.3">
      <c r="A1969" s="588"/>
      <c r="B1969" s="588"/>
      <c r="C1969" s="588"/>
      <c r="D1969" s="588"/>
      <c r="E1969" s="588"/>
      <c r="F1969" s="588"/>
      <c r="G1969" s="600"/>
      <c r="H1969" s="588"/>
      <c r="I1969" s="588"/>
      <c r="J1969" s="588"/>
    </row>
    <row r="1970" spans="1:10" x14ac:dyDescent="0.3">
      <c r="A1970" s="588"/>
      <c r="B1970" s="588"/>
      <c r="C1970" s="588"/>
      <c r="D1970" s="588"/>
      <c r="E1970" s="588"/>
      <c r="F1970" s="588"/>
      <c r="G1970" s="600"/>
      <c r="H1970" s="588"/>
      <c r="I1970" s="588"/>
      <c r="J1970" s="588"/>
    </row>
    <row r="1971" spans="1:10" x14ac:dyDescent="0.3">
      <c r="A1971" s="588"/>
      <c r="B1971" s="588"/>
      <c r="C1971" s="588"/>
      <c r="D1971" s="588"/>
      <c r="E1971" s="588"/>
      <c r="F1971" s="588"/>
      <c r="G1971" s="600"/>
      <c r="H1971" s="588"/>
      <c r="I1971" s="588"/>
      <c r="J1971" s="588"/>
    </row>
    <row r="1972" spans="1:10" x14ac:dyDescent="0.3">
      <c r="A1972" s="588"/>
      <c r="B1972" s="588"/>
      <c r="C1972" s="588"/>
      <c r="D1972" s="588"/>
      <c r="E1972" s="588"/>
      <c r="F1972" s="588"/>
      <c r="G1972" s="600"/>
      <c r="H1972" s="588"/>
      <c r="I1972" s="588"/>
      <c r="J1972" s="588"/>
    </row>
    <row r="1973" spans="1:10" x14ac:dyDescent="0.3">
      <c r="A1973" s="588"/>
      <c r="B1973" s="588"/>
      <c r="C1973" s="588"/>
      <c r="D1973" s="588"/>
      <c r="E1973" s="588"/>
      <c r="F1973" s="588"/>
      <c r="G1973" s="600"/>
      <c r="H1973" s="588"/>
      <c r="I1973" s="588"/>
      <c r="J1973" s="588"/>
    </row>
    <row r="1974" spans="1:10" x14ac:dyDescent="0.3">
      <c r="A1974" s="588"/>
      <c r="B1974" s="588"/>
      <c r="C1974" s="588"/>
      <c r="D1974" s="588"/>
      <c r="E1974" s="588"/>
      <c r="F1974" s="588"/>
      <c r="G1974" s="600"/>
      <c r="H1974" s="588"/>
      <c r="I1974" s="588"/>
      <c r="J1974" s="588"/>
    </row>
    <row r="1975" spans="1:10" x14ac:dyDescent="0.3">
      <c r="A1975" s="588"/>
      <c r="B1975" s="588"/>
      <c r="C1975" s="588"/>
      <c r="D1975" s="588"/>
      <c r="E1975" s="588"/>
      <c r="F1975" s="588"/>
      <c r="G1975" s="600"/>
      <c r="H1975" s="588"/>
      <c r="I1975" s="588"/>
      <c r="J1975" s="588"/>
    </row>
    <row r="1976" spans="1:10" x14ac:dyDescent="0.3">
      <c r="A1976" s="588"/>
      <c r="B1976" s="588"/>
      <c r="C1976" s="588"/>
      <c r="D1976" s="588"/>
      <c r="E1976" s="588"/>
      <c r="F1976" s="588"/>
      <c r="G1976" s="600"/>
      <c r="H1976" s="588"/>
      <c r="I1976" s="588"/>
      <c r="J1976" s="588"/>
    </row>
    <row r="1977" spans="1:10" x14ac:dyDescent="0.3">
      <c r="A1977" s="588"/>
      <c r="B1977" s="588"/>
      <c r="C1977" s="588"/>
      <c r="D1977" s="588"/>
      <c r="E1977" s="588"/>
      <c r="F1977" s="588"/>
      <c r="G1977" s="600"/>
      <c r="H1977" s="588"/>
      <c r="I1977" s="588"/>
      <c r="J1977" s="588"/>
    </row>
    <row r="1978" spans="1:10" x14ac:dyDescent="0.3">
      <c r="A1978" s="588"/>
      <c r="B1978" s="588"/>
      <c r="C1978" s="588"/>
      <c r="D1978" s="588"/>
      <c r="E1978" s="588"/>
      <c r="F1978" s="588"/>
      <c r="G1978" s="600"/>
      <c r="H1978" s="588"/>
      <c r="I1978" s="588"/>
      <c r="J1978" s="588"/>
    </row>
    <row r="1979" spans="1:10" x14ac:dyDescent="0.3">
      <c r="A1979" s="588"/>
      <c r="B1979" s="588"/>
      <c r="C1979" s="588"/>
      <c r="D1979" s="588"/>
      <c r="E1979" s="588"/>
      <c r="F1979" s="588"/>
      <c r="G1979" s="600"/>
      <c r="H1979" s="588"/>
      <c r="I1979" s="588"/>
      <c r="J1979" s="588"/>
    </row>
    <row r="1980" spans="1:10" x14ac:dyDescent="0.3">
      <c r="A1980" s="588"/>
      <c r="B1980" s="588"/>
      <c r="C1980" s="588"/>
      <c r="D1980" s="588"/>
      <c r="E1980" s="588"/>
      <c r="F1980" s="588"/>
      <c r="G1980" s="600"/>
      <c r="H1980" s="588"/>
      <c r="I1980" s="588"/>
      <c r="J1980" s="588"/>
    </row>
    <row r="1981" spans="1:10" x14ac:dyDescent="0.3">
      <c r="A1981" s="588"/>
      <c r="B1981" s="588"/>
      <c r="C1981" s="588"/>
      <c r="D1981" s="588"/>
      <c r="E1981" s="588"/>
      <c r="F1981" s="588"/>
      <c r="G1981" s="600"/>
      <c r="H1981" s="588"/>
      <c r="I1981" s="588"/>
      <c r="J1981" s="588"/>
    </row>
    <row r="1982" spans="1:10" x14ac:dyDescent="0.3">
      <c r="A1982" s="588"/>
      <c r="B1982" s="588"/>
      <c r="C1982" s="588"/>
      <c r="D1982" s="588"/>
      <c r="E1982" s="588"/>
      <c r="F1982" s="588"/>
      <c r="G1982" s="600"/>
      <c r="H1982" s="588"/>
      <c r="I1982" s="588"/>
      <c r="J1982" s="588"/>
    </row>
    <row r="1983" spans="1:10" x14ac:dyDescent="0.3">
      <c r="A1983" s="588"/>
      <c r="B1983" s="588"/>
      <c r="C1983" s="588"/>
      <c r="D1983" s="588"/>
      <c r="E1983" s="588"/>
      <c r="F1983" s="588"/>
      <c r="G1983" s="600"/>
      <c r="H1983" s="588"/>
      <c r="I1983" s="588"/>
      <c r="J1983" s="588"/>
    </row>
    <row r="1984" spans="1:10" x14ac:dyDescent="0.3">
      <c r="A1984" s="588"/>
      <c r="B1984" s="588"/>
      <c r="C1984" s="588"/>
      <c r="D1984" s="588"/>
      <c r="E1984" s="588"/>
      <c r="F1984" s="588"/>
      <c r="G1984" s="600"/>
      <c r="H1984" s="588"/>
      <c r="I1984" s="588"/>
      <c r="J1984" s="588"/>
    </row>
    <row r="1985" spans="1:10" x14ac:dyDescent="0.3">
      <c r="A1985" s="588"/>
      <c r="B1985" s="588"/>
      <c r="C1985" s="588"/>
      <c r="D1985" s="588"/>
      <c r="E1985" s="588"/>
      <c r="F1985" s="588"/>
      <c r="G1985" s="600"/>
      <c r="H1985" s="588"/>
      <c r="I1985" s="588"/>
      <c r="J1985" s="588"/>
    </row>
    <row r="1986" spans="1:10" x14ac:dyDescent="0.3">
      <c r="A1986" s="588"/>
      <c r="B1986" s="588"/>
      <c r="C1986" s="588"/>
      <c r="D1986" s="588"/>
      <c r="E1986" s="588"/>
      <c r="F1986" s="588"/>
      <c r="G1986" s="600"/>
      <c r="H1986" s="588"/>
      <c r="I1986" s="588"/>
      <c r="J1986" s="588"/>
    </row>
    <row r="1987" spans="1:10" x14ac:dyDescent="0.3">
      <c r="A1987" s="588"/>
      <c r="B1987" s="588"/>
      <c r="C1987" s="588"/>
      <c r="D1987" s="588"/>
      <c r="E1987" s="588"/>
      <c r="F1987" s="588"/>
      <c r="G1987" s="600"/>
      <c r="H1987" s="588"/>
      <c r="I1987" s="588"/>
      <c r="J1987" s="588"/>
    </row>
    <row r="1988" spans="1:10" x14ac:dyDescent="0.3">
      <c r="A1988" s="588"/>
      <c r="B1988" s="588"/>
      <c r="C1988" s="588"/>
      <c r="D1988" s="588"/>
      <c r="E1988" s="588"/>
      <c r="F1988" s="588"/>
      <c r="G1988" s="600"/>
      <c r="H1988" s="588"/>
      <c r="I1988" s="588"/>
      <c r="J1988" s="588"/>
    </row>
    <row r="1989" spans="1:10" x14ac:dyDescent="0.3">
      <c r="A1989" s="588"/>
      <c r="B1989" s="588"/>
      <c r="C1989" s="588"/>
      <c r="D1989" s="588"/>
      <c r="E1989" s="588"/>
      <c r="F1989" s="588"/>
      <c r="G1989" s="600"/>
      <c r="H1989" s="588"/>
      <c r="I1989" s="588"/>
      <c r="J1989" s="588"/>
    </row>
    <row r="1990" spans="1:10" x14ac:dyDescent="0.3">
      <c r="A1990" s="588"/>
      <c r="B1990" s="588"/>
      <c r="C1990" s="588"/>
      <c r="D1990" s="588"/>
      <c r="E1990" s="588"/>
      <c r="F1990" s="588"/>
      <c r="G1990" s="600"/>
      <c r="H1990" s="588"/>
      <c r="I1990" s="588"/>
      <c r="J1990" s="588"/>
    </row>
    <row r="1991" spans="1:10" x14ac:dyDescent="0.3">
      <c r="A1991" s="588"/>
      <c r="B1991" s="588"/>
      <c r="C1991" s="588"/>
      <c r="D1991" s="588"/>
      <c r="E1991" s="588"/>
      <c r="F1991" s="588"/>
      <c r="G1991" s="600"/>
      <c r="H1991" s="588"/>
      <c r="I1991" s="588"/>
      <c r="J1991" s="588"/>
    </row>
    <row r="1992" spans="1:10" x14ac:dyDescent="0.3">
      <c r="A1992" s="588"/>
      <c r="B1992" s="588"/>
      <c r="C1992" s="588"/>
      <c r="D1992" s="588"/>
      <c r="E1992" s="588"/>
      <c r="F1992" s="588"/>
      <c r="G1992" s="600"/>
      <c r="H1992" s="588"/>
      <c r="I1992" s="588"/>
      <c r="J1992" s="588"/>
    </row>
    <row r="1993" spans="1:10" x14ac:dyDescent="0.3">
      <c r="A1993" s="588"/>
      <c r="B1993" s="588"/>
      <c r="C1993" s="588"/>
      <c r="D1993" s="588"/>
      <c r="E1993" s="588"/>
      <c r="F1993" s="588"/>
      <c r="G1993" s="600"/>
      <c r="H1993" s="588"/>
      <c r="I1993" s="588"/>
      <c r="J1993" s="588"/>
    </row>
    <row r="1994" spans="1:10" x14ac:dyDescent="0.3">
      <c r="A1994" s="588"/>
      <c r="B1994" s="588"/>
      <c r="C1994" s="588"/>
      <c r="D1994" s="588"/>
      <c r="E1994" s="588"/>
      <c r="F1994" s="588"/>
      <c r="G1994" s="600"/>
      <c r="H1994" s="588"/>
      <c r="I1994" s="588"/>
      <c r="J1994" s="588"/>
    </row>
    <row r="1995" spans="1:10" x14ac:dyDescent="0.3">
      <c r="A1995" s="588"/>
      <c r="B1995" s="588"/>
      <c r="C1995" s="588"/>
      <c r="D1995" s="588"/>
      <c r="E1995" s="588"/>
      <c r="F1995" s="588"/>
      <c r="G1995" s="600"/>
      <c r="H1995" s="588"/>
      <c r="I1995" s="588"/>
      <c r="J1995" s="588"/>
    </row>
    <row r="1996" spans="1:10" x14ac:dyDescent="0.3">
      <c r="A1996" s="588"/>
      <c r="B1996" s="588"/>
      <c r="C1996" s="588"/>
      <c r="D1996" s="588"/>
      <c r="E1996" s="588"/>
      <c r="F1996" s="588"/>
      <c r="G1996" s="600"/>
      <c r="H1996" s="588"/>
      <c r="I1996" s="588"/>
      <c r="J1996" s="588"/>
    </row>
    <row r="1997" spans="1:10" x14ac:dyDescent="0.3">
      <c r="A1997" s="588"/>
      <c r="B1997" s="588"/>
      <c r="C1997" s="588"/>
      <c r="D1997" s="588"/>
      <c r="E1997" s="588"/>
      <c r="F1997" s="588"/>
      <c r="G1997" s="600"/>
      <c r="H1997" s="588"/>
      <c r="I1997" s="588"/>
      <c r="J1997" s="588"/>
    </row>
    <row r="1998" spans="1:10" x14ac:dyDescent="0.3">
      <c r="A1998" s="588"/>
      <c r="B1998" s="588"/>
      <c r="C1998" s="588"/>
      <c r="D1998" s="588"/>
      <c r="E1998" s="588"/>
      <c r="F1998" s="588"/>
      <c r="G1998" s="600"/>
      <c r="H1998" s="588"/>
      <c r="I1998" s="588"/>
      <c r="J1998" s="588"/>
    </row>
    <row r="1999" spans="1:10" x14ac:dyDescent="0.3">
      <c r="A1999" s="588"/>
      <c r="B1999" s="588"/>
      <c r="C1999" s="588"/>
      <c r="D1999" s="588"/>
      <c r="E1999" s="588"/>
      <c r="F1999" s="588"/>
      <c r="G1999" s="600"/>
      <c r="H1999" s="588"/>
      <c r="I1999" s="588"/>
      <c r="J1999" s="588"/>
    </row>
    <row r="2000" spans="1:10" x14ac:dyDescent="0.3">
      <c r="A2000" s="588"/>
      <c r="B2000" s="588"/>
      <c r="C2000" s="588"/>
      <c r="D2000" s="588"/>
      <c r="E2000" s="588"/>
      <c r="F2000" s="588"/>
      <c r="G2000" s="600"/>
      <c r="H2000" s="588"/>
      <c r="I2000" s="588"/>
      <c r="J2000" s="588"/>
    </row>
    <row r="2001" spans="1:10" x14ac:dyDescent="0.3">
      <c r="A2001" s="588"/>
      <c r="B2001" s="588"/>
      <c r="C2001" s="588"/>
      <c r="D2001" s="588"/>
      <c r="E2001" s="588"/>
      <c r="F2001" s="588"/>
      <c r="G2001" s="600"/>
      <c r="H2001" s="588"/>
      <c r="I2001" s="588"/>
      <c r="J2001" s="588"/>
    </row>
    <row r="2002" spans="1:10" x14ac:dyDescent="0.3">
      <c r="A2002" s="588"/>
      <c r="B2002" s="588"/>
      <c r="C2002" s="588"/>
      <c r="D2002" s="588"/>
      <c r="E2002" s="588"/>
      <c r="F2002" s="588"/>
      <c r="G2002" s="600"/>
      <c r="H2002" s="588"/>
      <c r="I2002" s="588"/>
      <c r="J2002" s="588"/>
    </row>
    <row r="2003" spans="1:10" x14ac:dyDescent="0.3">
      <c r="A2003" s="588"/>
      <c r="B2003" s="588"/>
      <c r="C2003" s="588"/>
      <c r="D2003" s="588"/>
      <c r="E2003" s="588"/>
      <c r="F2003" s="588"/>
      <c r="G2003" s="600"/>
      <c r="H2003" s="588"/>
      <c r="I2003" s="588"/>
      <c r="J2003" s="588"/>
    </row>
    <row r="2004" spans="1:10" x14ac:dyDescent="0.3">
      <c r="A2004" s="588"/>
      <c r="B2004" s="588"/>
      <c r="C2004" s="588"/>
      <c r="D2004" s="588"/>
      <c r="E2004" s="588"/>
      <c r="F2004" s="588"/>
      <c r="G2004" s="600"/>
      <c r="H2004" s="588"/>
      <c r="I2004" s="588"/>
      <c r="J2004" s="588"/>
    </row>
    <row r="2005" spans="1:10" x14ac:dyDescent="0.3">
      <c r="A2005" s="588"/>
      <c r="B2005" s="588"/>
      <c r="C2005" s="588"/>
      <c r="D2005" s="588"/>
      <c r="E2005" s="588"/>
      <c r="F2005" s="588"/>
      <c r="G2005" s="600"/>
      <c r="H2005" s="588"/>
      <c r="I2005" s="588"/>
      <c r="J2005" s="588"/>
    </row>
    <row r="2006" spans="1:10" x14ac:dyDescent="0.3">
      <c r="A2006" s="588"/>
      <c r="B2006" s="588"/>
      <c r="C2006" s="588"/>
      <c r="D2006" s="588"/>
      <c r="E2006" s="588"/>
      <c r="F2006" s="588"/>
      <c r="G2006" s="600"/>
      <c r="H2006" s="588"/>
      <c r="I2006" s="588"/>
      <c r="J2006" s="588"/>
    </row>
    <row r="2007" spans="1:10" x14ac:dyDescent="0.3">
      <c r="A2007" s="588"/>
      <c r="B2007" s="588"/>
      <c r="C2007" s="588"/>
      <c r="D2007" s="588"/>
      <c r="E2007" s="588"/>
      <c r="F2007" s="588"/>
      <c r="G2007" s="600"/>
      <c r="H2007" s="588"/>
      <c r="I2007" s="588"/>
      <c r="J2007" s="588"/>
    </row>
    <row r="2008" spans="1:10" x14ac:dyDescent="0.3">
      <c r="A2008" s="588"/>
      <c r="B2008" s="588"/>
      <c r="C2008" s="588"/>
      <c r="D2008" s="588"/>
      <c r="E2008" s="588"/>
      <c r="F2008" s="588"/>
      <c r="G2008" s="600"/>
      <c r="H2008" s="588"/>
      <c r="I2008" s="588"/>
      <c r="J2008" s="588"/>
    </row>
    <row r="2009" spans="1:10" x14ac:dyDescent="0.3">
      <c r="A2009" s="588"/>
      <c r="B2009" s="588"/>
      <c r="C2009" s="588"/>
      <c r="D2009" s="588"/>
      <c r="E2009" s="588"/>
      <c r="F2009" s="588"/>
      <c r="G2009" s="600"/>
      <c r="H2009" s="588"/>
      <c r="I2009" s="588"/>
      <c r="J2009" s="588"/>
    </row>
    <row r="2010" spans="1:10" x14ac:dyDescent="0.3">
      <c r="A2010" s="588"/>
      <c r="B2010" s="588"/>
      <c r="C2010" s="588"/>
      <c r="D2010" s="588"/>
      <c r="E2010" s="588"/>
      <c r="F2010" s="588"/>
      <c r="G2010" s="600"/>
      <c r="H2010" s="588"/>
      <c r="I2010" s="588"/>
      <c r="J2010" s="588"/>
    </row>
    <row r="2011" spans="1:10" x14ac:dyDescent="0.3">
      <c r="A2011" s="588"/>
      <c r="B2011" s="588"/>
      <c r="C2011" s="588"/>
      <c r="D2011" s="588"/>
      <c r="E2011" s="588"/>
      <c r="F2011" s="588"/>
      <c r="G2011" s="600"/>
      <c r="H2011" s="588"/>
      <c r="I2011" s="588"/>
      <c r="J2011" s="588"/>
    </row>
    <row r="2012" spans="1:10" x14ac:dyDescent="0.3">
      <c r="A2012" s="588"/>
      <c r="B2012" s="588"/>
      <c r="C2012" s="588"/>
      <c r="D2012" s="588"/>
      <c r="E2012" s="588"/>
      <c r="F2012" s="588"/>
      <c r="G2012" s="600"/>
      <c r="H2012" s="588"/>
      <c r="I2012" s="588"/>
      <c r="J2012" s="588"/>
    </row>
    <row r="2013" spans="1:10" x14ac:dyDescent="0.3">
      <c r="A2013" s="588"/>
      <c r="B2013" s="588"/>
      <c r="C2013" s="588"/>
      <c r="D2013" s="588"/>
      <c r="E2013" s="588"/>
      <c r="F2013" s="588"/>
      <c r="G2013" s="600"/>
      <c r="H2013" s="588"/>
      <c r="I2013" s="588"/>
      <c r="J2013" s="588"/>
    </row>
    <row r="2014" spans="1:10" x14ac:dyDescent="0.3">
      <c r="A2014" s="588"/>
      <c r="B2014" s="588"/>
      <c r="C2014" s="588"/>
      <c r="D2014" s="588"/>
      <c r="E2014" s="588"/>
      <c r="F2014" s="588"/>
      <c r="G2014" s="600"/>
      <c r="H2014" s="588"/>
      <c r="I2014" s="588"/>
      <c r="J2014" s="588"/>
    </row>
    <row r="2015" spans="1:10" x14ac:dyDescent="0.3">
      <c r="A2015" s="588"/>
      <c r="B2015" s="588"/>
      <c r="C2015" s="588"/>
      <c r="D2015" s="588"/>
      <c r="E2015" s="588"/>
      <c r="F2015" s="588"/>
      <c r="G2015" s="600"/>
      <c r="H2015" s="588"/>
      <c r="I2015" s="588"/>
      <c r="J2015" s="588"/>
    </row>
    <row r="2016" spans="1:10" x14ac:dyDescent="0.3">
      <c r="A2016" s="588"/>
      <c r="B2016" s="588"/>
      <c r="C2016" s="588"/>
      <c r="D2016" s="588"/>
      <c r="E2016" s="588"/>
      <c r="F2016" s="588"/>
      <c r="G2016" s="600"/>
      <c r="H2016" s="588"/>
      <c r="I2016" s="588"/>
      <c r="J2016" s="588"/>
    </row>
    <row r="2017" spans="1:10" x14ac:dyDescent="0.3">
      <c r="A2017" s="588"/>
      <c r="B2017" s="588"/>
      <c r="C2017" s="588"/>
      <c r="D2017" s="588"/>
      <c r="E2017" s="588"/>
      <c r="F2017" s="588"/>
      <c r="G2017" s="600"/>
      <c r="H2017" s="588"/>
      <c r="I2017" s="588"/>
      <c r="J2017" s="588"/>
    </row>
    <row r="2018" spans="1:10" x14ac:dyDescent="0.3">
      <c r="A2018" s="588"/>
      <c r="B2018" s="588"/>
      <c r="C2018" s="588"/>
      <c r="D2018" s="588"/>
      <c r="E2018" s="588"/>
      <c r="F2018" s="588"/>
      <c r="G2018" s="600"/>
      <c r="H2018" s="588"/>
      <c r="I2018" s="588"/>
      <c r="J2018" s="588"/>
    </row>
    <row r="2019" spans="1:10" x14ac:dyDescent="0.3">
      <c r="A2019" s="588"/>
      <c r="B2019" s="588"/>
      <c r="C2019" s="588"/>
      <c r="D2019" s="588"/>
      <c r="E2019" s="588"/>
      <c r="F2019" s="588"/>
      <c r="G2019" s="600"/>
      <c r="H2019" s="588"/>
      <c r="I2019" s="588"/>
      <c r="J2019" s="588"/>
    </row>
    <row r="2020" spans="1:10" x14ac:dyDescent="0.3">
      <c r="A2020" s="588"/>
      <c r="B2020" s="588"/>
      <c r="C2020" s="588"/>
      <c r="D2020" s="588"/>
      <c r="E2020" s="588"/>
      <c r="F2020" s="588"/>
      <c r="G2020" s="600"/>
      <c r="H2020" s="588"/>
      <c r="I2020" s="588"/>
      <c r="J2020" s="588"/>
    </row>
    <row r="2021" spans="1:10" x14ac:dyDescent="0.3">
      <c r="A2021" s="588"/>
      <c r="B2021" s="588"/>
      <c r="C2021" s="588"/>
      <c r="D2021" s="588"/>
      <c r="E2021" s="588"/>
      <c r="F2021" s="588"/>
      <c r="G2021" s="600"/>
      <c r="H2021" s="588"/>
      <c r="I2021" s="588"/>
      <c r="J2021" s="588"/>
    </row>
    <row r="2022" spans="1:10" x14ac:dyDescent="0.3">
      <c r="A2022" s="588"/>
      <c r="B2022" s="588"/>
      <c r="C2022" s="588"/>
      <c r="D2022" s="588"/>
      <c r="E2022" s="588"/>
      <c r="F2022" s="588"/>
      <c r="G2022" s="600"/>
      <c r="H2022" s="588"/>
      <c r="I2022" s="588"/>
      <c r="J2022" s="588"/>
    </row>
    <row r="2023" spans="1:10" x14ac:dyDescent="0.3">
      <c r="A2023" s="588"/>
      <c r="B2023" s="588"/>
      <c r="C2023" s="588"/>
      <c r="D2023" s="588"/>
      <c r="E2023" s="588"/>
      <c r="F2023" s="588"/>
      <c r="G2023" s="600"/>
      <c r="H2023" s="588"/>
      <c r="I2023" s="588"/>
      <c r="J2023" s="588"/>
    </row>
    <row r="2024" spans="1:10" x14ac:dyDescent="0.3">
      <c r="A2024" s="588"/>
      <c r="B2024" s="588"/>
      <c r="C2024" s="588"/>
      <c r="D2024" s="588"/>
      <c r="E2024" s="588"/>
      <c r="F2024" s="588"/>
      <c r="G2024" s="600"/>
      <c r="H2024" s="588"/>
      <c r="I2024" s="588"/>
      <c r="J2024" s="588"/>
    </row>
    <row r="2025" spans="1:10" x14ac:dyDescent="0.3">
      <c r="A2025" s="588"/>
      <c r="B2025" s="588"/>
      <c r="C2025" s="588"/>
      <c r="D2025" s="588"/>
      <c r="E2025" s="588"/>
      <c r="F2025" s="588"/>
      <c r="G2025" s="600"/>
      <c r="H2025" s="588"/>
      <c r="I2025" s="588"/>
      <c r="J2025" s="588"/>
    </row>
    <row r="2026" spans="1:10" x14ac:dyDescent="0.3">
      <c r="A2026" s="588"/>
      <c r="B2026" s="588"/>
      <c r="C2026" s="588"/>
      <c r="D2026" s="588"/>
      <c r="E2026" s="588"/>
      <c r="F2026" s="588"/>
      <c r="G2026" s="600"/>
      <c r="H2026" s="588"/>
      <c r="I2026" s="588"/>
      <c r="J2026" s="588"/>
    </row>
    <row r="2027" spans="1:10" x14ac:dyDescent="0.3">
      <c r="A2027" s="588"/>
      <c r="B2027" s="588"/>
      <c r="C2027" s="588"/>
      <c r="D2027" s="588"/>
      <c r="E2027" s="588"/>
      <c r="F2027" s="588"/>
      <c r="G2027" s="600"/>
      <c r="H2027" s="588"/>
      <c r="I2027" s="588"/>
      <c r="J2027" s="588"/>
    </row>
    <row r="2028" spans="1:10" x14ac:dyDescent="0.3">
      <c r="A2028" s="588"/>
      <c r="B2028" s="588"/>
      <c r="C2028" s="588"/>
      <c r="D2028" s="588"/>
      <c r="E2028" s="588"/>
      <c r="F2028" s="588"/>
      <c r="G2028" s="600"/>
      <c r="H2028" s="588"/>
      <c r="I2028" s="588"/>
      <c r="J2028" s="588"/>
    </row>
    <row r="2029" spans="1:10" x14ac:dyDescent="0.3">
      <c r="A2029" s="588"/>
      <c r="B2029" s="588"/>
      <c r="C2029" s="588"/>
      <c r="D2029" s="588"/>
      <c r="E2029" s="588"/>
      <c r="F2029" s="588"/>
      <c r="G2029" s="600"/>
      <c r="H2029" s="588"/>
      <c r="I2029" s="588"/>
      <c r="J2029" s="588"/>
    </row>
    <row r="2030" spans="1:10" x14ac:dyDescent="0.3">
      <c r="A2030" s="588"/>
      <c r="B2030" s="588"/>
      <c r="C2030" s="588"/>
      <c r="D2030" s="588"/>
      <c r="E2030" s="588"/>
      <c r="F2030" s="588"/>
      <c r="G2030" s="600"/>
      <c r="H2030" s="588"/>
      <c r="I2030" s="588"/>
      <c r="J2030" s="588"/>
    </row>
    <row r="2031" spans="1:10" x14ac:dyDescent="0.3">
      <c r="A2031" s="588"/>
      <c r="B2031" s="588"/>
      <c r="C2031" s="588"/>
      <c r="D2031" s="588"/>
      <c r="E2031" s="588"/>
      <c r="F2031" s="588"/>
      <c r="G2031" s="600"/>
      <c r="H2031" s="588"/>
      <c r="I2031" s="588"/>
      <c r="J2031" s="588"/>
    </row>
    <row r="2032" spans="1:10" x14ac:dyDescent="0.3">
      <c r="A2032" s="588"/>
      <c r="B2032" s="588"/>
      <c r="C2032" s="588"/>
      <c r="D2032" s="588"/>
      <c r="E2032" s="588"/>
      <c r="F2032" s="588"/>
      <c r="G2032" s="600"/>
      <c r="H2032" s="588"/>
      <c r="I2032" s="588"/>
      <c r="J2032" s="588"/>
    </row>
    <row r="2033" spans="1:10" x14ac:dyDescent="0.3">
      <c r="A2033" s="588"/>
      <c r="B2033" s="588"/>
      <c r="C2033" s="588"/>
      <c r="D2033" s="588"/>
      <c r="E2033" s="588"/>
      <c r="F2033" s="588"/>
      <c r="G2033" s="600"/>
      <c r="H2033" s="588"/>
      <c r="I2033" s="588"/>
      <c r="J2033" s="588"/>
    </row>
    <row r="2034" spans="1:10" x14ac:dyDescent="0.3">
      <c r="A2034" s="588"/>
      <c r="B2034" s="588"/>
      <c r="C2034" s="588"/>
      <c r="D2034" s="588"/>
      <c r="E2034" s="588"/>
      <c r="F2034" s="588"/>
      <c r="G2034" s="600"/>
      <c r="H2034" s="588"/>
      <c r="I2034" s="588"/>
      <c r="J2034" s="588"/>
    </row>
    <row r="2035" spans="1:10" x14ac:dyDescent="0.3">
      <c r="A2035" s="588"/>
      <c r="B2035" s="588"/>
      <c r="C2035" s="588"/>
      <c r="D2035" s="588"/>
      <c r="E2035" s="588"/>
      <c r="F2035" s="588"/>
      <c r="G2035" s="600"/>
      <c r="H2035" s="588"/>
      <c r="I2035" s="588"/>
      <c r="J2035" s="588"/>
    </row>
    <row r="2036" spans="1:10" x14ac:dyDescent="0.3">
      <c r="A2036" s="588"/>
      <c r="B2036" s="588"/>
      <c r="C2036" s="588"/>
      <c r="D2036" s="588"/>
      <c r="E2036" s="588"/>
      <c r="F2036" s="588"/>
      <c r="G2036" s="600"/>
      <c r="H2036" s="588"/>
      <c r="I2036" s="588"/>
      <c r="J2036" s="588"/>
    </row>
    <row r="2037" spans="1:10" x14ac:dyDescent="0.3">
      <c r="A2037" s="588"/>
      <c r="B2037" s="588"/>
      <c r="C2037" s="588"/>
      <c r="D2037" s="588"/>
      <c r="E2037" s="588"/>
      <c r="F2037" s="588"/>
      <c r="G2037" s="600"/>
      <c r="H2037" s="588"/>
      <c r="I2037" s="588"/>
      <c r="J2037" s="588"/>
    </row>
    <row r="2038" spans="1:10" x14ac:dyDescent="0.3">
      <c r="A2038" s="588"/>
      <c r="B2038" s="588"/>
      <c r="C2038" s="588"/>
      <c r="D2038" s="588"/>
      <c r="E2038" s="588"/>
      <c r="F2038" s="588"/>
      <c r="G2038" s="600"/>
      <c r="H2038" s="588"/>
      <c r="I2038" s="588"/>
      <c r="J2038" s="588"/>
    </row>
    <row r="2039" spans="1:10" x14ac:dyDescent="0.3">
      <c r="A2039" s="588"/>
      <c r="B2039" s="588"/>
      <c r="C2039" s="588"/>
      <c r="D2039" s="588"/>
      <c r="E2039" s="588"/>
      <c r="F2039" s="588"/>
      <c r="G2039" s="600"/>
      <c r="H2039" s="588"/>
      <c r="I2039" s="588"/>
      <c r="J2039" s="588"/>
    </row>
    <row r="2040" spans="1:10" x14ac:dyDescent="0.3">
      <c r="A2040" s="588"/>
      <c r="B2040" s="588"/>
      <c r="C2040" s="588"/>
      <c r="D2040" s="588"/>
      <c r="E2040" s="588"/>
      <c r="F2040" s="588"/>
      <c r="G2040" s="600"/>
      <c r="H2040" s="588"/>
      <c r="I2040" s="588"/>
      <c r="J2040" s="588"/>
    </row>
    <row r="2041" spans="1:10" x14ac:dyDescent="0.3">
      <c r="A2041" s="588"/>
      <c r="B2041" s="588"/>
      <c r="C2041" s="588"/>
      <c r="D2041" s="588"/>
      <c r="E2041" s="588"/>
      <c r="F2041" s="588"/>
      <c r="G2041" s="600"/>
      <c r="H2041" s="588"/>
      <c r="I2041" s="588"/>
      <c r="J2041" s="588"/>
    </row>
    <row r="2042" spans="1:10" x14ac:dyDescent="0.3">
      <c r="A2042" s="588"/>
      <c r="B2042" s="588"/>
      <c r="C2042" s="588"/>
      <c r="D2042" s="588"/>
      <c r="E2042" s="588"/>
      <c r="F2042" s="588"/>
      <c r="G2042" s="600"/>
      <c r="H2042" s="588"/>
      <c r="I2042" s="588"/>
      <c r="J2042" s="588"/>
    </row>
    <row r="2043" spans="1:10" x14ac:dyDescent="0.3">
      <c r="A2043" s="588"/>
      <c r="B2043" s="588"/>
      <c r="C2043" s="588"/>
      <c r="D2043" s="588"/>
      <c r="E2043" s="588"/>
      <c r="F2043" s="588"/>
      <c r="G2043" s="600"/>
      <c r="H2043" s="588"/>
      <c r="I2043" s="588"/>
      <c r="J2043" s="588"/>
    </row>
    <row r="2044" spans="1:10" x14ac:dyDescent="0.3">
      <c r="A2044" s="588"/>
      <c r="B2044" s="588"/>
      <c r="C2044" s="588"/>
      <c r="D2044" s="588"/>
      <c r="E2044" s="588"/>
      <c r="F2044" s="588"/>
      <c r="G2044" s="600"/>
      <c r="H2044" s="588"/>
      <c r="I2044" s="588"/>
      <c r="J2044" s="588"/>
    </row>
    <row r="2045" spans="1:10" x14ac:dyDescent="0.3">
      <c r="A2045" s="588"/>
      <c r="B2045" s="588"/>
      <c r="C2045" s="588"/>
      <c r="D2045" s="588"/>
      <c r="E2045" s="588"/>
      <c r="F2045" s="588"/>
      <c r="G2045" s="600"/>
      <c r="H2045" s="588"/>
      <c r="I2045" s="588"/>
      <c r="J2045" s="588"/>
    </row>
    <row r="2046" spans="1:10" x14ac:dyDescent="0.3">
      <c r="A2046" s="588"/>
      <c r="B2046" s="588"/>
      <c r="C2046" s="588"/>
      <c r="D2046" s="588"/>
      <c r="E2046" s="588"/>
      <c r="F2046" s="588"/>
      <c r="G2046" s="600"/>
      <c r="H2046" s="588"/>
      <c r="I2046" s="588"/>
      <c r="J2046" s="588"/>
    </row>
    <row r="2047" spans="1:10" x14ac:dyDescent="0.3">
      <c r="A2047" s="588"/>
      <c r="B2047" s="588"/>
      <c r="C2047" s="588"/>
      <c r="D2047" s="588"/>
      <c r="E2047" s="588"/>
      <c r="F2047" s="588"/>
      <c r="G2047" s="600"/>
      <c r="H2047" s="588"/>
      <c r="I2047" s="588"/>
      <c r="J2047" s="588"/>
    </row>
    <row r="2048" spans="1:10" x14ac:dyDescent="0.3">
      <c r="A2048" s="588"/>
      <c r="B2048" s="588"/>
      <c r="C2048" s="588"/>
      <c r="D2048" s="588"/>
      <c r="E2048" s="588"/>
      <c r="F2048" s="588"/>
      <c r="G2048" s="600"/>
      <c r="H2048" s="588"/>
      <c r="I2048" s="588"/>
      <c r="J2048" s="588"/>
    </row>
    <row r="2049" spans="1:10" x14ac:dyDescent="0.3">
      <c r="A2049" s="588"/>
      <c r="B2049" s="588"/>
      <c r="C2049" s="588"/>
      <c r="D2049" s="588"/>
      <c r="E2049" s="588"/>
      <c r="F2049" s="588"/>
      <c r="G2049" s="600"/>
      <c r="H2049" s="588"/>
      <c r="I2049" s="588"/>
      <c r="J2049" s="588"/>
    </row>
    <row r="2050" spans="1:10" x14ac:dyDescent="0.3">
      <c r="A2050" s="588"/>
      <c r="B2050" s="588"/>
      <c r="C2050" s="588"/>
      <c r="D2050" s="588"/>
      <c r="E2050" s="588"/>
      <c r="F2050" s="588"/>
      <c r="G2050" s="600"/>
      <c r="H2050" s="588"/>
      <c r="I2050" s="588"/>
      <c r="J2050" s="588"/>
    </row>
    <row r="2051" spans="1:10" x14ac:dyDescent="0.3">
      <c r="A2051" s="588"/>
      <c r="B2051" s="588"/>
      <c r="C2051" s="588"/>
      <c r="D2051" s="588"/>
      <c r="E2051" s="588"/>
      <c r="F2051" s="588"/>
      <c r="G2051" s="600"/>
      <c r="H2051" s="588"/>
      <c r="I2051" s="588"/>
      <c r="J2051" s="588"/>
    </row>
    <row r="2052" spans="1:10" x14ac:dyDescent="0.3">
      <c r="A2052" s="588"/>
      <c r="B2052" s="588"/>
      <c r="C2052" s="588"/>
      <c r="D2052" s="588"/>
      <c r="E2052" s="588"/>
      <c r="F2052" s="588"/>
      <c r="G2052" s="600"/>
      <c r="H2052" s="588"/>
      <c r="I2052" s="588"/>
      <c r="J2052" s="588"/>
    </row>
    <row r="2053" spans="1:10" x14ac:dyDescent="0.3">
      <c r="A2053" s="588"/>
      <c r="B2053" s="588"/>
      <c r="C2053" s="588"/>
      <c r="D2053" s="588"/>
      <c r="E2053" s="588"/>
      <c r="F2053" s="588"/>
      <c r="G2053" s="600"/>
      <c r="H2053" s="588"/>
      <c r="I2053" s="588"/>
      <c r="J2053" s="588"/>
    </row>
    <row r="2054" spans="1:10" x14ac:dyDescent="0.3">
      <c r="A2054" s="588"/>
      <c r="B2054" s="588"/>
      <c r="C2054" s="588"/>
      <c r="D2054" s="588"/>
      <c r="E2054" s="588"/>
      <c r="F2054" s="588"/>
      <c r="G2054" s="600"/>
      <c r="H2054" s="588"/>
      <c r="I2054" s="588"/>
      <c r="J2054" s="588"/>
    </row>
    <row r="2055" spans="1:10" x14ac:dyDescent="0.3">
      <c r="A2055" s="588"/>
      <c r="B2055" s="588"/>
      <c r="C2055" s="588"/>
      <c r="D2055" s="588"/>
      <c r="E2055" s="588"/>
      <c r="F2055" s="588"/>
      <c r="G2055" s="600"/>
      <c r="H2055" s="588"/>
      <c r="I2055" s="588"/>
      <c r="J2055" s="588"/>
    </row>
    <row r="2056" spans="1:10" x14ac:dyDescent="0.3">
      <c r="A2056" s="588"/>
      <c r="B2056" s="588"/>
      <c r="C2056" s="588"/>
      <c r="D2056" s="588"/>
      <c r="E2056" s="588"/>
      <c r="F2056" s="588"/>
      <c r="G2056" s="600"/>
      <c r="H2056" s="588"/>
      <c r="I2056" s="588"/>
      <c r="J2056" s="588"/>
    </row>
    <row r="2057" spans="1:10" x14ac:dyDescent="0.3">
      <c r="A2057" s="588"/>
      <c r="B2057" s="588"/>
      <c r="C2057" s="588"/>
      <c r="D2057" s="588"/>
      <c r="E2057" s="588"/>
      <c r="F2057" s="588"/>
      <c r="G2057" s="600"/>
      <c r="H2057" s="588"/>
      <c r="I2057" s="588"/>
      <c r="J2057" s="588"/>
    </row>
    <row r="2058" spans="1:10" x14ac:dyDescent="0.3">
      <c r="A2058" s="588"/>
      <c r="B2058" s="588"/>
      <c r="C2058" s="588"/>
      <c r="D2058" s="588"/>
      <c r="E2058" s="588"/>
      <c r="F2058" s="588"/>
      <c r="G2058" s="600"/>
      <c r="H2058" s="588"/>
      <c r="I2058" s="588"/>
      <c r="J2058" s="588"/>
    </row>
    <row r="2059" spans="1:10" x14ac:dyDescent="0.3">
      <c r="A2059" s="588"/>
      <c r="B2059" s="588"/>
      <c r="C2059" s="588"/>
      <c r="D2059" s="588"/>
      <c r="E2059" s="588"/>
      <c r="F2059" s="588"/>
      <c r="G2059" s="600"/>
      <c r="H2059" s="588"/>
      <c r="I2059" s="588"/>
      <c r="J2059" s="588"/>
    </row>
    <row r="2060" spans="1:10" x14ac:dyDescent="0.3">
      <c r="A2060" s="588"/>
      <c r="B2060" s="588"/>
      <c r="C2060" s="588"/>
      <c r="D2060" s="588"/>
      <c r="E2060" s="588"/>
      <c r="F2060" s="588"/>
      <c r="G2060" s="600"/>
      <c r="H2060" s="588"/>
      <c r="I2060" s="588"/>
      <c r="J2060" s="588"/>
    </row>
    <row r="2061" spans="1:10" x14ac:dyDescent="0.3">
      <c r="A2061" s="588"/>
      <c r="B2061" s="588"/>
      <c r="C2061" s="588"/>
      <c r="D2061" s="588"/>
      <c r="E2061" s="588"/>
      <c r="F2061" s="588"/>
      <c r="G2061" s="600"/>
      <c r="H2061" s="588"/>
      <c r="I2061" s="588"/>
      <c r="J2061" s="588"/>
    </row>
    <row r="2062" spans="1:10" x14ac:dyDescent="0.3">
      <c r="A2062" s="588"/>
      <c r="B2062" s="588"/>
      <c r="C2062" s="588"/>
      <c r="D2062" s="588"/>
      <c r="E2062" s="588"/>
      <c r="F2062" s="588"/>
      <c r="G2062" s="600"/>
      <c r="H2062" s="588"/>
      <c r="I2062" s="588"/>
      <c r="J2062" s="588"/>
    </row>
    <row r="2063" spans="1:10" x14ac:dyDescent="0.3">
      <c r="A2063" s="588"/>
      <c r="B2063" s="588"/>
      <c r="C2063" s="588"/>
      <c r="D2063" s="588"/>
      <c r="E2063" s="588"/>
      <c r="F2063" s="588"/>
      <c r="G2063" s="600"/>
      <c r="H2063" s="588"/>
      <c r="I2063" s="588"/>
      <c r="J2063" s="588"/>
    </row>
    <row r="2064" spans="1:10" x14ac:dyDescent="0.3">
      <c r="A2064" s="588"/>
      <c r="B2064" s="588"/>
      <c r="C2064" s="588"/>
      <c r="D2064" s="588"/>
      <c r="E2064" s="588"/>
      <c r="F2064" s="588"/>
      <c r="G2064" s="600"/>
      <c r="H2064" s="588"/>
      <c r="I2064" s="588"/>
      <c r="J2064" s="588"/>
    </row>
    <row r="2065" spans="1:10" x14ac:dyDescent="0.3">
      <c r="A2065" s="588"/>
      <c r="B2065" s="588"/>
      <c r="C2065" s="588"/>
      <c r="D2065" s="588"/>
      <c r="E2065" s="588"/>
      <c r="F2065" s="588"/>
      <c r="G2065" s="600"/>
      <c r="H2065" s="588"/>
      <c r="I2065" s="588"/>
      <c r="J2065" s="588"/>
    </row>
    <row r="2066" spans="1:10" x14ac:dyDescent="0.3">
      <c r="A2066" s="588"/>
      <c r="B2066" s="588"/>
      <c r="C2066" s="588"/>
      <c r="D2066" s="588"/>
      <c r="E2066" s="588"/>
      <c r="F2066" s="588"/>
      <c r="G2066" s="600"/>
      <c r="H2066" s="588"/>
      <c r="I2066" s="588"/>
      <c r="J2066" s="588"/>
    </row>
    <row r="2067" spans="1:10" x14ac:dyDescent="0.3">
      <c r="A2067" s="588"/>
      <c r="B2067" s="588"/>
      <c r="C2067" s="588"/>
      <c r="D2067" s="588"/>
      <c r="E2067" s="588"/>
      <c r="F2067" s="588"/>
      <c r="G2067" s="600"/>
      <c r="H2067" s="588"/>
      <c r="I2067" s="588"/>
      <c r="J2067" s="588"/>
    </row>
    <row r="2068" spans="1:10" x14ac:dyDescent="0.3">
      <c r="A2068" s="588"/>
      <c r="B2068" s="588"/>
      <c r="C2068" s="588"/>
      <c r="D2068" s="588"/>
      <c r="E2068" s="588"/>
      <c r="F2068" s="588"/>
      <c r="G2068" s="600"/>
      <c r="H2068" s="588"/>
      <c r="I2068" s="588"/>
      <c r="J2068" s="588"/>
    </row>
    <row r="2069" spans="1:10" x14ac:dyDescent="0.3">
      <c r="A2069" s="588"/>
      <c r="B2069" s="588"/>
      <c r="C2069" s="588"/>
      <c r="D2069" s="588"/>
      <c r="E2069" s="588"/>
      <c r="F2069" s="588"/>
      <c r="G2069" s="600"/>
      <c r="H2069" s="588"/>
      <c r="I2069" s="588"/>
      <c r="J2069" s="588"/>
    </row>
    <row r="2070" spans="1:10" x14ac:dyDescent="0.3">
      <c r="A2070" s="588"/>
      <c r="B2070" s="588"/>
      <c r="C2070" s="588"/>
      <c r="D2070" s="588"/>
      <c r="E2070" s="588"/>
      <c r="F2070" s="588"/>
      <c r="G2070" s="600"/>
      <c r="H2070" s="588"/>
      <c r="I2070" s="588"/>
      <c r="J2070" s="588"/>
    </row>
    <row r="2071" spans="1:10" x14ac:dyDescent="0.3">
      <c r="A2071" s="588"/>
      <c r="B2071" s="588"/>
      <c r="C2071" s="588"/>
      <c r="D2071" s="588"/>
      <c r="E2071" s="588"/>
      <c r="F2071" s="588"/>
      <c r="G2071" s="600"/>
      <c r="H2071" s="588"/>
      <c r="I2071" s="588"/>
      <c r="J2071" s="588"/>
    </row>
    <row r="2072" spans="1:10" x14ac:dyDescent="0.3">
      <c r="A2072" s="588"/>
      <c r="B2072" s="588"/>
      <c r="C2072" s="588"/>
      <c r="D2072" s="588"/>
      <c r="E2072" s="588"/>
      <c r="F2072" s="588"/>
      <c r="G2072" s="600"/>
      <c r="H2072" s="588"/>
      <c r="I2072" s="588"/>
      <c r="J2072" s="588"/>
    </row>
    <row r="2073" spans="1:10" x14ac:dyDescent="0.3">
      <c r="A2073" s="588"/>
      <c r="B2073" s="588"/>
      <c r="C2073" s="588"/>
      <c r="D2073" s="588"/>
      <c r="E2073" s="588"/>
      <c r="F2073" s="588"/>
      <c r="G2073" s="600"/>
      <c r="H2073" s="588"/>
      <c r="I2073" s="588"/>
      <c r="J2073" s="588"/>
    </row>
    <row r="2074" spans="1:10" x14ac:dyDescent="0.3">
      <c r="A2074" s="588"/>
      <c r="B2074" s="588"/>
      <c r="C2074" s="588"/>
      <c r="D2074" s="588"/>
      <c r="E2074" s="588"/>
      <c r="F2074" s="588"/>
      <c r="G2074" s="600"/>
      <c r="H2074" s="588"/>
      <c r="I2074" s="588"/>
      <c r="J2074" s="588"/>
    </row>
    <row r="2075" spans="1:10" x14ac:dyDescent="0.3">
      <c r="A2075" s="588"/>
      <c r="B2075" s="588"/>
      <c r="C2075" s="588"/>
      <c r="D2075" s="588"/>
      <c r="E2075" s="588"/>
      <c r="F2075" s="588"/>
      <c r="G2075" s="600"/>
      <c r="H2075" s="588"/>
      <c r="I2075" s="588"/>
      <c r="J2075" s="588"/>
    </row>
    <row r="2076" spans="1:10" x14ac:dyDescent="0.3">
      <c r="A2076" s="588"/>
      <c r="B2076" s="588"/>
      <c r="C2076" s="588"/>
      <c r="D2076" s="588"/>
      <c r="E2076" s="588"/>
      <c r="F2076" s="588"/>
      <c r="G2076" s="600"/>
      <c r="H2076" s="588"/>
      <c r="I2076" s="588"/>
      <c r="J2076" s="588"/>
    </row>
    <row r="2077" spans="1:10" x14ac:dyDescent="0.3">
      <c r="A2077" s="588"/>
      <c r="B2077" s="588"/>
      <c r="C2077" s="588"/>
      <c r="D2077" s="588"/>
      <c r="E2077" s="588"/>
      <c r="F2077" s="588"/>
      <c r="G2077" s="600"/>
      <c r="H2077" s="588"/>
      <c r="I2077" s="588"/>
      <c r="J2077" s="588"/>
    </row>
    <row r="2078" spans="1:10" x14ac:dyDescent="0.3">
      <c r="A2078" s="588"/>
      <c r="B2078" s="588"/>
      <c r="C2078" s="588"/>
      <c r="D2078" s="588"/>
      <c r="E2078" s="588"/>
      <c r="F2078" s="588"/>
      <c r="G2078" s="600"/>
      <c r="H2078" s="588"/>
      <c r="I2078" s="588"/>
      <c r="J2078" s="588"/>
    </row>
    <row r="2079" spans="1:10" x14ac:dyDescent="0.3">
      <c r="A2079" s="588"/>
      <c r="B2079" s="588"/>
      <c r="C2079" s="588"/>
      <c r="D2079" s="588"/>
      <c r="E2079" s="588"/>
      <c r="F2079" s="588"/>
      <c r="G2079" s="600"/>
      <c r="H2079" s="588"/>
      <c r="I2079" s="588"/>
      <c r="J2079" s="588"/>
    </row>
    <row r="2080" spans="1:10" x14ac:dyDescent="0.3">
      <c r="A2080" s="588"/>
      <c r="B2080" s="588"/>
      <c r="C2080" s="588"/>
      <c r="D2080" s="588"/>
      <c r="E2080" s="588"/>
      <c r="F2080" s="588"/>
      <c r="G2080" s="600"/>
      <c r="H2080" s="588"/>
      <c r="I2080" s="588"/>
      <c r="J2080" s="588"/>
    </row>
    <row r="2081" spans="1:10" x14ac:dyDescent="0.3">
      <c r="A2081" s="588"/>
      <c r="B2081" s="588"/>
      <c r="C2081" s="588"/>
      <c r="D2081" s="588"/>
      <c r="E2081" s="588"/>
      <c r="F2081" s="588"/>
      <c r="G2081" s="600"/>
      <c r="H2081" s="588"/>
      <c r="I2081" s="588"/>
      <c r="J2081" s="588"/>
    </row>
    <row r="2082" spans="1:10" x14ac:dyDescent="0.3">
      <c r="A2082" s="588"/>
      <c r="B2082" s="588"/>
      <c r="C2082" s="588"/>
      <c r="D2082" s="588"/>
      <c r="E2082" s="588"/>
      <c r="F2082" s="588"/>
      <c r="G2082" s="600"/>
      <c r="H2082" s="588"/>
      <c r="I2082" s="588"/>
      <c r="J2082" s="588"/>
    </row>
    <row r="2083" spans="1:10" x14ac:dyDescent="0.3">
      <c r="A2083" s="588"/>
      <c r="B2083" s="588"/>
      <c r="C2083" s="588"/>
      <c r="D2083" s="588"/>
      <c r="E2083" s="588"/>
      <c r="F2083" s="588"/>
      <c r="G2083" s="600"/>
      <c r="H2083" s="588"/>
      <c r="I2083" s="588"/>
      <c r="J2083" s="588"/>
    </row>
    <row r="2084" spans="1:10" x14ac:dyDescent="0.3">
      <c r="A2084" s="588"/>
      <c r="B2084" s="588"/>
      <c r="C2084" s="588"/>
      <c r="D2084" s="588"/>
      <c r="E2084" s="588"/>
      <c r="F2084" s="588"/>
      <c r="G2084" s="600"/>
      <c r="H2084" s="588"/>
      <c r="I2084" s="588"/>
      <c r="J2084" s="588"/>
    </row>
    <row r="2085" spans="1:10" x14ac:dyDescent="0.3">
      <c r="A2085" s="588"/>
      <c r="B2085" s="588"/>
      <c r="C2085" s="588"/>
      <c r="D2085" s="588"/>
      <c r="E2085" s="588"/>
      <c r="F2085" s="588"/>
      <c r="G2085" s="600"/>
      <c r="H2085" s="588"/>
      <c r="I2085" s="588"/>
      <c r="J2085" s="588"/>
    </row>
    <row r="2086" spans="1:10" x14ac:dyDescent="0.3">
      <c r="A2086" s="588"/>
      <c r="B2086" s="588"/>
      <c r="C2086" s="588"/>
      <c r="D2086" s="588"/>
      <c r="E2086" s="588"/>
      <c r="F2086" s="588"/>
      <c r="G2086" s="600"/>
      <c r="H2086" s="588"/>
      <c r="I2086" s="588"/>
      <c r="J2086" s="588"/>
    </row>
    <row r="2087" spans="1:10" x14ac:dyDescent="0.3">
      <c r="A2087" s="588"/>
      <c r="B2087" s="588"/>
      <c r="C2087" s="588"/>
      <c r="D2087" s="588"/>
      <c r="E2087" s="588"/>
      <c r="F2087" s="588"/>
      <c r="G2087" s="600"/>
      <c r="H2087" s="588"/>
      <c r="I2087" s="588"/>
      <c r="J2087" s="588"/>
    </row>
    <row r="2088" spans="1:10" x14ac:dyDescent="0.3">
      <c r="A2088" s="588"/>
      <c r="B2088" s="588"/>
      <c r="C2088" s="588"/>
      <c r="D2088" s="588"/>
      <c r="E2088" s="588"/>
      <c r="F2088" s="588"/>
      <c r="G2088" s="600"/>
      <c r="H2088" s="588"/>
      <c r="I2088" s="588"/>
      <c r="J2088" s="588"/>
    </row>
    <row r="2089" spans="1:10" x14ac:dyDescent="0.3">
      <c r="A2089" s="588"/>
      <c r="B2089" s="588"/>
      <c r="C2089" s="588"/>
      <c r="D2089" s="588"/>
      <c r="E2089" s="588"/>
      <c r="F2089" s="588"/>
      <c r="G2089" s="600"/>
      <c r="H2089" s="588"/>
      <c r="I2089" s="588"/>
      <c r="J2089" s="588"/>
    </row>
    <row r="2090" spans="1:10" x14ac:dyDescent="0.3">
      <c r="A2090" s="588"/>
      <c r="B2090" s="588"/>
      <c r="C2090" s="588"/>
      <c r="D2090" s="588"/>
      <c r="E2090" s="588"/>
      <c r="F2090" s="588"/>
      <c r="G2090" s="600"/>
      <c r="H2090" s="588"/>
      <c r="I2090" s="588"/>
      <c r="J2090" s="588"/>
    </row>
    <row r="2091" spans="1:10" x14ac:dyDescent="0.3">
      <c r="A2091" s="588"/>
      <c r="B2091" s="588"/>
      <c r="C2091" s="588"/>
      <c r="D2091" s="588"/>
      <c r="E2091" s="588"/>
      <c r="F2091" s="588"/>
      <c r="G2091" s="600"/>
      <c r="H2091" s="588"/>
      <c r="I2091" s="588"/>
      <c r="J2091" s="588"/>
    </row>
    <row r="2092" spans="1:10" x14ac:dyDescent="0.3">
      <c r="A2092" s="588"/>
      <c r="B2092" s="588"/>
      <c r="C2092" s="588"/>
      <c r="D2092" s="588"/>
      <c r="E2092" s="588"/>
      <c r="F2092" s="588"/>
      <c r="G2092" s="600"/>
      <c r="H2092" s="588"/>
      <c r="I2092" s="588"/>
      <c r="J2092" s="588"/>
    </row>
    <row r="2093" spans="1:10" x14ac:dyDescent="0.3">
      <c r="A2093" s="588"/>
      <c r="B2093" s="588"/>
      <c r="C2093" s="588"/>
      <c r="D2093" s="588"/>
      <c r="E2093" s="588"/>
      <c r="F2093" s="588"/>
      <c r="G2093" s="600"/>
      <c r="H2093" s="588"/>
      <c r="I2093" s="588"/>
      <c r="J2093" s="588"/>
    </row>
    <row r="2094" spans="1:10" x14ac:dyDescent="0.3">
      <c r="A2094" s="588"/>
      <c r="B2094" s="588"/>
      <c r="C2094" s="588"/>
      <c r="D2094" s="588"/>
      <c r="E2094" s="588"/>
      <c r="F2094" s="588"/>
      <c r="G2094" s="600"/>
      <c r="H2094" s="588"/>
      <c r="I2094" s="588"/>
      <c r="J2094" s="588"/>
    </row>
    <row r="2095" spans="1:10" x14ac:dyDescent="0.3">
      <c r="A2095" s="588"/>
      <c r="B2095" s="588"/>
      <c r="C2095" s="588"/>
      <c r="D2095" s="588"/>
      <c r="E2095" s="588"/>
      <c r="F2095" s="588"/>
      <c r="G2095" s="600"/>
      <c r="H2095" s="588"/>
      <c r="I2095" s="588"/>
      <c r="J2095" s="588"/>
    </row>
    <row r="2096" spans="1:10" x14ac:dyDescent="0.3">
      <c r="A2096" s="588"/>
      <c r="B2096" s="588"/>
      <c r="C2096" s="588"/>
      <c r="D2096" s="588"/>
      <c r="E2096" s="588"/>
      <c r="F2096" s="588"/>
      <c r="G2096" s="600"/>
      <c r="H2096" s="588"/>
      <c r="I2096" s="588"/>
      <c r="J2096" s="588"/>
    </row>
    <row r="2097" spans="1:10" x14ac:dyDescent="0.3">
      <c r="A2097" s="588"/>
      <c r="B2097" s="588"/>
      <c r="C2097" s="588"/>
      <c r="D2097" s="588"/>
      <c r="E2097" s="588"/>
      <c r="F2097" s="588"/>
      <c r="G2097" s="600"/>
      <c r="H2097" s="588"/>
      <c r="I2097" s="588"/>
      <c r="J2097" s="588"/>
    </row>
    <row r="2098" spans="1:10" x14ac:dyDescent="0.3">
      <c r="A2098" s="588"/>
      <c r="B2098" s="588"/>
      <c r="C2098" s="588"/>
      <c r="D2098" s="588"/>
      <c r="E2098" s="588"/>
      <c r="F2098" s="588"/>
      <c r="G2098" s="600"/>
      <c r="H2098" s="588"/>
      <c r="I2098" s="588"/>
      <c r="J2098" s="588"/>
    </row>
    <row r="2099" spans="1:10" x14ac:dyDescent="0.3">
      <c r="A2099" s="588"/>
      <c r="B2099" s="588"/>
      <c r="C2099" s="588"/>
      <c r="D2099" s="588"/>
      <c r="E2099" s="588"/>
      <c r="F2099" s="588"/>
      <c r="G2099" s="600"/>
      <c r="H2099" s="588"/>
      <c r="I2099" s="588"/>
      <c r="J2099" s="588"/>
    </row>
    <row r="2100" spans="1:10" x14ac:dyDescent="0.3">
      <c r="A2100" s="588"/>
      <c r="B2100" s="588"/>
      <c r="C2100" s="588"/>
      <c r="D2100" s="588"/>
      <c r="E2100" s="588"/>
      <c r="F2100" s="588"/>
      <c r="G2100" s="600"/>
      <c r="H2100" s="588"/>
      <c r="I2100" s="588"/>
      <c r="J2100" s="588"/>
    </row>
    <row r="2101" spans="1:10" x14ac:dyDescent="0.3">
      <c r="A2101" s="588"/>
      <c r="B2101" s="588"/>
      <c r="C2101" s="588"/>
      <c r="D2101" s="588"/>
      <c r="E2101" s="588"/>
      <c r="F2101" s="588"/>
      <c r="G2101" s="600"/>
      <c r="H2101" s="588"/>
      <c r="I2101" s="588"/>
      <c r="J2101" s="588"/>
    </row>
    <row r="2102" spans="1:10" x14ac:dyDescent="0.3">
      <c r="A2102" s="588"/>
      <c r="B2102" s="588"/>
      <c r="C2102" s="588"/>
      <c r="D2102" s="588"/>
      <c r="E2102" s="588"/>
      <c r="F2102" s="588"/>
      <c r="G2102" s="600"/>
      <c r="H2102" s="588"/>
      <c r="I2102" s="588"/>
      <c r="J2102" s="588"/>
    </row>
    <row r="2103" spans="1:10" x14ac:dyDescent="0.3">
      <c r="A2103" s="588"/>
      <c r="B2103" s="588"/>
      <c r="C2103" s="588"/>
      <c r="D2103" s="588"/>
      <c r="E2103" s="588"/>
      <c r="F2103" s="588"/>
      <c r="G2103" s="600"/>
      <c r="H2103" s="588"/>
      <c r="I2103" s="588"/>
      <c r="J2103" s="588"/>
    </row>
    <row r="2104" spans="1:10" x14ac:dyDescent="0.3">
      <c r="A2104" s="588"/>
      <c r="B2104" s="588"/>
      <c r="C2104" s="588"/>
      <c r="D2104" s="588"/>
      <c r="E2104" s="588"/>
      <c r="F2104" s="588"/>
      <c r="G2104" s="600"/>
      <c r="H2104" s="588"/>
      <c r="I2104" s="588"/>
      <c r="J2104" s="588"/>
    </row>
    <row r="2105" spans="1:10" x14ac:dyDescent="0.3">
      <c r="A2105" s="588"/>
      <c r="B2105" s="588"/>
      <c r="C2105" s="588"/>
      <c r="D2105" s="588"/>
      <c r="E2105" s="588"/>
      <c r="F2105" s="588"/>
      <c r="G2105" s="600"/>
      <c r="H2105" s="588"/>
      <c r="I2105" s="588"/>
      <c r="J2105" s="588"/>
    </row>
    <row r="2106" spans="1:10" x14ac:dyDescent="0.3">
      <c r="A2106" s="588"/>
      <c r="B2106" s="588"/>
      <c r="C2106" s="588"/>
      <c r="D2106" s="588"/>
      <c r="E2106" s="588"/>
      <c r="F2106" s="588"/>
      <c r="G2106" s="600"/>
      <c r="H2106" s="588"/>
      <c r="I2106" s="588"/>
      <c r="J2106" s="588"/>
    </row>
    <row r="2107" spans="1:10" x14ac:dyDescent="0.3">
      <c r="A2107" s="588"/>
      <c r="B2107" s="588"/>
      <c r="C2107" s="588"/>
      <c r="D2107" s="588"/>
      <c r="E2107" s="588"/>
      <c r="F2107" s="588"/>
      <c r="G2107" s="600"/>
      <c r="H2107" s="588"/>
      <c r="I2107" s="588"/>
      <c r="J2107" s="588"/>
    </row>
    <row r="2108" spans="1:10" x14ac:dyDescent="0.3">
      <c r="A2108" s="588"/>
      <c r="B2108" s="588"/>
      <c r="C2108" s="588"/>
      <c r="D2108" s="588"/>
      <c r="E2108" s="588"/>
      <c r="F2108" s="588"/>
      <c r="G2108" s="600"/>
      <c r="H2108" s="588"/>
      <c r="I2108" s="588"/>
      <c r="J2108" s="588"/>
    </row>
    <row r="2109" spans="1:10" x14ac:dyDescent="0.3">
      <c r="A2109" s="588"/>
      <c r="B2109" s="588"/>
      <c r="C2109" s="588"/>
      <c r="D2109" s="588"/>
      <c r="E2109" s="588"/>
      <c r="F2109" s="588"/>
      <c r="G2109" s="600"/>
      <c r="H2109" s="588"/>
      <c r="I2109" s="588"/>
      <c r="J2109" s="588"/>
    </row>
    <row r="2110" spans="1:10" x14ac:dyDescent="0.3">
      <c r="A2110" s="588"/>
      <c r="B2110" s="588"/>
      <c r="C2110" s="588"/>
      <c r="D2110" s="588"/>
      <c r="E2110" s="588"/>
      <c r="F2110" s="588"/>
      <c r="G2110" s="600"/>
      <c r="H2110" s="588"/>
      <c r="I2110" s="588"/>
      <c r="J2110" s="588"/>
    </row>
    <row r="2111" spans="1:10" x14ac:dyDescent="0.3">
      <c r="A2111" s="588"/>
      <c r="B2111" s="588"/>
      <c r="C2111" s="588"/>
      <c r="D2111" s="588"/>
      <c r="E2111" s="588"/>
      <c r="F2111" s="588"/>
      <c r="G2111" s="600"/>
      <c r="H2111" s="588"/>
      <c r="I2111" s="588"/>
      <c r="J2111" s="588"/>
    </row>
    <row r="2112" spans="1:10" x14ac:dyDescent="0.3">
      <c r="A2112" s="588"/>
      <c r="B2112" s="588"/>
      <c r="C2112" s="588"/>
      <c r="D2112" s="588"/>
      <c r="E2112" s="588"/>
      <c r="F2112" s="588"/>
      <c r="G2112" s="600"/>
      <c r="H2112" s="588"/>
      <c r="I2112" s="588"/>
      <c r="J2112" s="588"/>
    </row>
    <row r="2113" spans="1:10" x14ac:dyDescent="0.3">
      <c r="A2113" s="588"/>
      <c r="B2113" s="588"/>
      <c r="C2113" s="588"/>
      <c r="D2113" s="588"/>
      <c r="E2113" s="588"/>
      <c r="F2113" s="588"/>
      <c r="G2113" s="600"/>
      <c r="H2113" s="588"/>
      <c r="I2113" s="588"/>
      <c r="J2113" s="588"/>
    </row>
    <row r="2114" spans="1:10" x14ac:dyDescent="0.3">
      <c r="A2114" s="588"/>
      <c r="B2114" s="588"/>
      <c r="C2114" s="588"/>
      <c r="D2114" s="588"/>
      <c r="E2114" s="588"/>
      <c r="F2114" s="588"/>
      <c r="G2114" s="600"/>
      <c r="H2114" s="588"/>
      <c r="I2114" s="588"/>
      <c r="J2114" s="588"/>
    </row>
    <row r="2115" spans="1:10" x14ac:dyDescent="0.3">
      <c r="A2115" s="588"/>
      <c r="B2115" s="588"/>
      <c r="C2115" s="588"/>
      <c r="D2115" s="588"/>
      <c r="E2115" s="588"/>
      <c r="F2115" s="588"/>
      <c r="G2115" s="600"/>
      <c r="H2115" s="588"/>
      <c r="I2115" s="588"/>
      <c r="J2115" s="588"/>
    </row>
    <row r="2116" spans="1:10" x14ac:dyDescent="0.3">
      <c r="A2116" s="588"/>
      <c r="B2116" s="588"/>
      <c r="C2116" s="588"/>
      <c r="D2116" s="588"/>
      <c r="E2116" s="588"/>
      <c r="F2116" s="588"/>
      <c r="G2116" s="600"/>
      <c r="H2116" s="588"/>
      <c r="I2116" s="588"/>
      <c r="J2116" s="588"/>
    </row>
    <row r="2117" spans="1:10" x14ac:dyDescent="0.3">
      <c r="A2117" s="588"/>
      <c r="B2117" s="588"/>
      <c r="C2117" s="588"/>
      <c r="D2117" s="588"/>
      <c r="E2117" s="588"/>
      <c r="F2117" s="588"/>
      <c r="G2117" s="600"/>
      <c r="H2117" s="588"/>
      <c r="I2117" s="588"/>
      <c r="J2117" s="588"/>
    </row>
    <row r="2118" spans="1:10" x14ac:dyDescent="0.3">
      <c r="A2118" s="588"/>
      <c r="B2118" s="588"/>
      <c r="C2118" s="588"/>
      <c r="D2118" s="588"/>
      <c r="E2118" s="588"/>
      <c r="F2118" s="588"/>
      <c r="G2118" s="600"/>
      <c r="H2118" s="588"/>
      <c r="I2118" s="588"/>
      <c r="J2118" s="588"/>
    </row>
    <row r="2119" spans="1:10" x14ac:dyDescent="0.3">
      <c r="A2119" s="588"/>
      <c r="B2119" s="588"/>
      <c r="C2119" s="588"/>
      <c r="D2119" s="588"/>
      <c r="E2119" s="588"/>
      <c r="F2119" s="588"/>
      <c r="G2119" s="600"/>
      <c r="H2119" s="588"/>
      <c r="I2119" s="588"/>
      <c r="J2119" s="588"/>
    </row>
    <row r="2120" spans="1:10" x14ac:dyDescent="0.3">
      <c r="A2120" s="588"/>
      <c r="B2120" s="588"/>
      <c r="C2120" s="588"/>
      <c r="D2120" s="588"/>
      <c r="E2120" s="588"/>
      <c r="F2120" s="588"/>
      <c r="G2120" s="600"/>
      <c r="H2120" s="588"/>
      <c r="I2120" s="588"/>
      <c r="J2120" s="588"/>
    </row>
    <row r="2121" spans="1:10" x14ac:dyDescent="0.3">
      <c r="A2121" s="588"/>
      <c r="B2121" s="588"/>
      <c r="C2121" s="588"/>
      <c r="D2121" s="588"/>
      <c r="E2121" s="588"/>
      <c r="F2121" s="588"/>
      <c r="G2121" s="600"/>
      <c r="H2121" s="588"/>
      <c r="I2121" s="588"/>
      <c r="J2121" s="588"/>
    </row>
    <row r="2122" spans="1:10" x14ac:dyDescent="0.3">
      <c r="A2122" s="588"/>
      <c r="B2122" s="588"/>
      <c r="C2122" s="588"/>
      <c r="D2122" s="588"/>
      <c r="E2122" s="588"/>
      <c r="F2122" s="588"/>
      <c r="G2122" s="600"/>
      <c r="H2122" s="588"/>
      <c r="I2122" s="588"/>
      <c r="J2122" s="588"/>
    </row>
    <row r="2123" spans="1:10" x14ac:dyDescent="0.3">
      <c r="A2123" s="588"/>
      <c r="B2123" s="588"/>
      <c r="C2123" s="588"/>
      <c r="D2123" s="588"/>
      <c r="E2123" s="588"/>
      <c r="F2123" s="588"/>
      <c r="G2123" s="600"/>
      <c r="H2123" s="588"/>
      <c r="I2123" s="588"/>
      <c r="J2123" s="588"/>
    </row>
    <row r="2124" spans="1:10" x14ac:dyDescent="0.3">
      <c r="A2124" s="588"/>
      <c r="B2124" s="588"/>
      <c r="C2124" s="588"/>
      <c r="D2124" s="588"/>
      <c r="E2124" s="588"/>
      <c r="F2124" s="588"/>
      <c r="G2124" s="600"/>
      <c r="H2124" s="588"/>
      <c r="I2124" s="588"/>
      <c r="J2124" s="588"/>
    </row>
    <row r="2125" spans="1:10" x14ac:dyDescent="0.3">
      <c r="A2125" s="588"/>
      <c r="B2125" s="588"/>
      <c r="C2125" s="588"/>
      <c r="D2125" s="588"/>
      <c r="E2125" s="588"/>
      <c r="F2125" s="588"/>
      <c r="G2125" s="600"/>
      <c r="H2125" s="588"/>
      <c r="I2125" s="588"/>
      <c r="J2125" s="588"/>
    </row>
    <row r="2126" spans="1:10" x14ac:dyDescent="0.3">
      <c r="A2126" s="588"/>
      <c r="B2126" s="588"/>
      <c r="C2126" s="588"/>
      <c r="D2126" s="588"/>
      <c r="E2126" s="588"/>
      <c r="F2126" s="588"/>
      <c r="G2126" s="600"/>
      <c r="H2126" s="588"/>
      <c r="I2126" s="588"/>
      <c r="J2126" s="588"/>
    </row>
    <row r="2127" spans="1:10" x14ac:dyDescent="0.3">
      <c r="A2127" s="588"/>
      <c r="B2127" s="588"/>
      <c r="C2127" s="588"/>
      <c r="D2127" s="588"/>
      <c r="E2127" s="588"/>
      <c r="F2127" s="588"/>
      <c r="G2127" s="600"/>
      <c r="H2127" s="588"/>
      <c r="I2127" s="588"/>
      <c r="J2127" s="588"/>
    </row>
    <row r="2128" spans="1:10" x14ac:dyDescent="0.3">
      <c r="A2128" s="588"/>
      <c r="B2128" s="588"/>
      <c r="C2128" s="588"/>
      <c r="D2128" s="588"/>
      <c r="E2128" s="588"/>
      <c r="F2128" s="588"/>
      <c r="G2128" s="600"/>
      <c r="H2128" s="588"/>
      <c r="I2128" s="588"/>
      <c r="J2128" s="588"/>
    </row>
    <row r="2129" spans="1:10" x14ac:dyDescent="0.3">
      <c r="A2129" s="588"/>
      <c r="B2129" s="588"/>
      <c r="C2129" s="588"/>
      <c r="D2129" s="588"/>
      <c r="E2129" s="588"/>
      <c r="F2129" s="588"/>
      <c r="G2129" s="600"/>
      <c r="H2129" s="588"/>
      <c r="I2129" s="588"/>
      <c r="J2129" s="588"/>
    </row>
    <row r="2130" spans="1:10" x14ac:dyDescent="0.3">
      <c r="A2130" s="588"/>
      <c r="B2130" s="588"/>
      <c r="C2130" s="588"/>
      <c r="D2130" s="588"/>
      <c r="E2130" s="588"/>
      <c r="F2130" s="588"/>
      <c r="G2130" s="600"/>
      <c r="H2130" s="588"/>
      <c r="I2130" s="588"/>
      <c r="J2130" s="588"/>
    </row>
    <row r="2131" spans="1:10" x14ac:dyDescent="0.3">
      <c r="A2131" s="588"/>
      <c r="B2131" s="588"/>
      <c r="C2131" s="588"/>
      <c r="D2131" s="588"/>
      <c r="E2131" s="588"/>
      <c r="F2131" s="588"/>
      <c r="G2131" s="600"/>
      <c r="H2131" s="588"/>
      <c r="I2131" s="588"/>
      <c r="J2131" s="588"/>
    </row>
    <row r="2132" spans="1:10" x14ac:dyDescent="0.3">
      <c r="A2132" s="588"/>
      <c r="B2132" s="588"/>
      <c r="C2132" s="588"/>
      <c r="D2132" s="588"/>
      <c r="E2132" s="588"/>
      <c r="F2132" s="588"/>
      <c r="G2132" s="600"/>
      <c r="H2132" s="588"/>
      <c r="I2132" s="588"/>
      <c r="J2132" s="588"/>
    </row>
    <row r="2133" spans="1:10" x14ac:dyDescent="0.3">
      <c r="A2133" s="588"/>
      <c r="B2133" s="588"/>
      <c r="C2133" s="588"/>
      <c r="D2133" s="588"/>
      <c r="E2133" s="588"/>
      <c r="F2133" s="588"/>
      <c r="G2133" s="600"/>
      <c r="H2133" s="588"/>
      <c r="I2133" s="588"/>
      <c r="J2133" s="588"/>
    </row>
    <row r="2134" spans="1:10" x14ac:dyDescent="0.3">
      <c r="A2134" s="588"/>
      <c r="B2134" s="588"/>
      <c r="C2134" s="588"/>
      <c r="D2134" s="588"/>
      <c r="E2134" s="588"/>
      <c r="F2134" s="588"/>
      <c r="G2134" s="600"/>
      <c r="H2134" s="588"/>
      <c r="I2134" s="588"/>
      <c r="J2134" s="588"/>
    </row>
    <row r="2135" spans="1:10" x14ac:dyDescent="0.3">
      <c r="A2135" s="588"/>
      <c r="B2135" s="588"/>
      <c r="C2135" s="588"/>
      <c r="D2135" s="588"/>
      <c r="E2135" s="588"/>
      <c r="F2135" s="588"/>
      <c r="G2135" s="600"/>
      <c r="H2135" s="588"/>
      <c r="I2135" s="588"/>
      <c r="J2135" s="588"/>
    </row>
    <row r="2136" spans="1:10" x14ac:dyDescent="0.3">
      <c r="A2136" s="588"/>
      <c r="B2136" s="588"/>
      <c r="C2136" s="588"/>
      <c r="D2136" s="588"/>
      <c r="E2136" s="588"/>
      <c r="F2136" s="588"/>
      <c r="G2136" s="600"/>
      <c r="H2136" s="588"/>
      <c r="I2136" s="588"/>
      <c r="J2136" s="588"/>
    </row>
    <row r="2137" spans="1:10" x14ac:dyDescent="0.3">
      <c r="A2137" s="588"/>
      <c r="B2137" s="588"/>
      <c r="C2137" s="588"/>
      <c r="D2137" s="588"/>
      <c r="E2137" s="588"/>
      <c r="F2137" s="588"/>
      <c r="G2137" s="600"/>
      <c r="H2137" s="588"/>
      <c r="I2137" s="588"/>
      <c r="J2137" s="588"/>
    </row>
    <row r="2138" spans="1:10" x14ac:dyDescent="0.3">
      <c r="A2138" s="588"/>
      <c r="B2138" s="588"/>
      <c r="C2138" s="588"/>
      <c r="D2138" s="588"/>
      <c r="E2138" s="588"/>
      <c r="F2138" s="588"/>
      <c r="G2138" s="600"/>
      <c r="H2138" s="588"/>
      <c r="I2138" s="588"/>
      <c r="J2138" s="588"/>
    </row>
    <row r="2139" spans="1:10" x14ac:dyDescent="0.3">
      <c r="A2139" s="588"/>
      <c r="B2139" s="588"/>
      <c r="C2139" s="588"/>
      <c r="D2139" s="588"/>
      <c r="E2139" s="588"/>
      <c r="F2139" s="588"/>
      <c r="G2139" s="600"/>
      <c r="H2139" s="588"/>
      <c r="I2139" s="588"/>
      <c r="J2139" s="588"/>
    </row>
    <row r="2140" spans="1:10" x14ac:dyDescent="0.3">
      <c r="A2140" s="588"/>
      <c r="B2140" s="588"/>
      <c r="C2140" s="588"/>
      <c r="D2140" s="588"/>
      <c r="E2140" s="588"/>
      <c r="F2140" s="588"/>
      <c r="G2140" s="600"/>
      <c r="H2140" s="588"/>
      <c r="I2140" s="588"/>
      <c r="J2140" s="588"/>
    </row>
    <row r="2141" spans="1:10" x14ac:dyDescent="0.3">
      <c r="A2141" s="588"/>
      <c r="B2141" s="588"/>
      <c r="C2141" s="588"/>
      <c r="D2141" s="588"/>
      <c r="E2141" s="588"/>
      <c r="F2141" s="588"/>
      <c r="G2141" s="600"/>
      <c r="H2141" s="588"/>
      <c r="I2141" s="588"/>
      <c r="J2141" s="588"/>
    </row>
    <row r="2142" spans="1:10" x14ac:dyDescent="0.3">
      <c r="A2142" s="588"/>
      <c r="B2142" s="588"/>
      <c r="C2142" s="588"/>
      <c r="D2142" s="588"/>
      <c r="E2142" s="588"/>
      <c r="F2142" s="588"/>
      <c r="G2142" s="600"/>
      <c r="H2142" s="588"/>
      <c r="I2142" s="588"/>
      <c r="J2142" s="588"/>
    </row>
    <row r="2143" spans="1:10" x14ac:dyDescent="0.3">
      <c r="A2143" s="588"/>
      <c r="B2143" s="588"/>
      <c r="C2143" s="588"/>
      <c r="D2143" s="588"/>
      <c r="E2143" s="588"/>
      <c r="F2143" s="588"/>
      <c r="G2143" s="600"/>
      <c r="H2143" s="588"/>
      <c r="I2143" s="588"/>
      <c r="J2143" s="588"/>
    </row>
    <row r="2144" spans="1:10" x14ac:dyDescent="0.3">
      <c r="A2144" s="588"/>
      <c r="B2144" s="588"/>
      <c r="C2144" s="588"/>
      <c r="D2144" s="588"/>
      <c r="E2144" s="588"/>
      <c r="F2144" s="588"/>
      <c r="G2144" s="600"/>
      <c r="H2144" s="588"/>
      <c r="I2144" s="588"/>
      <c r="J2144" s="588"/>
    </row>
    <row r="2145" spans="1:10" x14ac:dyDescent="0.3">
      <c r="A2145" s="588"/>
      <c r="B2145" s="588"/>
      <c r="C2145" s="588"/>
      <c r="D2145" s="588"/>
      <c r="E2145" s="588"/>
      <c r="F2145" s="588"/>
      <c r="G2145" s="600"/>
      <c r="H2145" s="588"/>
      <c r="I2145" s="588"/>
      <c r="J2145" s="588"/>
    </row>
    <row r="2146" spans="1:10" x14ac:dyDescent="0.3">
      <c r="A2146" s="588"/>
      <c r="B2146" s="588"/>
      <c r="C2146" s="588"/>
      <c r="D2146" s="588"/>
      <c r="E2146" s="588"/>
      <c r="F2146" s="588"/>
      <c r="G2146" s="600"/>
      <c r="H2146" s="588"/>
      <c r="I2146" s="588"/>
      <c r="J2146" s="588"/>
    </row>
    <row r="2147" spans="1:10" x14ac:dyDescent="0.3">
      <c r="A2147" s="588"/>
      <c r="B2147" s="588"/>
      <c r="C2147" s="588"/>
      <c r="D2147" s="588"/>
      <c r="E2147" s="588"/>
      <c r="F2147" s="588"/>
      <c r="G2147" s="600"/>
      <c r="H2147" s="588"/>
      <c r="I2147" s="588"/>
      <c r="J2147" s="588"/>
    </row>
    <row r="2148" spans="1:10" x14ac:dyDescent="0.3">
      <c r="A2148" s="588"/>
      <c r="B2148" s="588"/>
      <c r="C2148" s="588"/>
      <c r="D2148" s="588"/>
      <c r="E2148" s="588"/>
      <c r="F2148" s="588"/>
      <c r="G2148" s="600"/>
      <c r="H2148" s="588"/>
      <c r="I2148" s="588"/>
      <c r="J2148" s="588"/>
    </row>
    <row r="2149" spans="1:10" x14ac:dyDescent="0.3">
      <c r="A2149" s="588"/>
      <c r="B2149" s="588"/>
      <c r="C2149" s="588"/>
      <c r="D2149" s="588"/>
      <c r="E2149" s="588"/>
      <c r="F2149" s="588"/>
      <c r="G2149" s="600"/>
      <c r="H2149" s="588"/>
      <c r="I2149" s="588"/>
      <c r="J2149" s="588"/>
    </row>
    <row r="2150" spans="1:10" x14ac:dyDescent="0.3">
      <c r="A2150" s="588"/>
      <c r="B2150" s="588"/>
      <c r="C2150" s="588"/>
      <c r="D2150" s="588"/>
      <c r="E2150" s="588"/>
      <c r="F2150" s="588"/>
      <c r="G2150" s="600"/>
      <c r="H2150" s="588"/>
      <c r="I2150" s="588"/>
      <c r="J2150" s="588"/>
    </row>
    <row r="2151" spans="1:10" x14ac:dyDescent="0.3">
      <c r="A2151" s="588"/>
      <c r="B2151" s="588"/>
      <c r="C2151" s="588"/>
      <c r="D2151" s="588"/>
      <c r="E2151" s="588"/>
      <c r="F2151" s="588"/>
      <c r="G2151" s="600"/>
      <c r="H2151" s="588"/>
      <c r="I2151" s="588"/>
      <c r="J2151" s="588"/>
    </row>
    <row r="2152" spans="1:10" x14ac:dyDescent="0.3">
      <c r="A2152" s="588"/>
      <c r="B2152" s="588"/>
      <c r="C2152" s="588"/>
      <c r="D2152" s="588"/>
      <c r="E2152" s="588"/>
      <c r="F2152" s="588"/>
      <c r="G2152" s="600"/>
      <c r="H2152" s="588"/>
      <c r="I2152" s="588"/>
      <c r="J2152" s="588"/>
    </row>
    <row r="2153" spans="1:10" x14ac:dyDescent="0.3">
      <c r="A2153" s="588"/>
      <c r="B2153" s="588"/>
      <c r="C2153" s="588"/>
      <c r="D2153" s="588"/>
      <c r="E2153" s="588"/>
      <c r="F2153" s="588"/>
      <c r="G2153" s="600"/>
      <c r="H2153" s="588"/>
      <c r="I2153" s="588"/>
      <c r="J2153" s="588"/>
    </row>
    <row r="2154" spans="1:10" x14ac:dyDescent="0.3">
      <c r="A2154" s="588"/>
      <c r="B2154" s="588"/>
      <c r="C2154" s="588"/>
      <c r="D2154" s="588"/>
      <c r="E2154" s="588"/>
      <c r="F2154" s="588"/>
      <c r="G2154" s="600"/>
      <c r="H2154" s="588"/>
      <c r="I2154" s="588"/>
      <c r="J2154" s="588"/>
    </row>
    <row r="2155" spans="1:10" x14ac:dyDescent="0.3">
      <c r="A2155" s="588"/>
      <c r="B2155" s="588"/>
      <c r="C2155" s="588"/>
      <c r="D2155" s="588"/>
      <c r="E2155" s="588"/>
      <c r="F2155" s="588"/>
      <c r="G2155" s="600"/>
      <c r="H2155" s="588"/>
      <c r="I2155" s="588"/>
      <c r="J2155" s="588"/>
    </row>
    <row r="2156" spans="1:10" x14ac:dyDescent="0.3">
      <c r="A2156" s="588"/>
      <c r="B2156" s="588"/>
      <c r="C2156" s="588"/>
      <c r="D2156" s="588"/>
      <c r="E2156" s="588"/>
      <c r="F2156" s="588"/>
      <c r="G2156" s="600"/>
      <c r="H2156" s="588"/>
      <c r="I2156" s="588"/>
      <c r="J2156" s="588"/>
    </row>
    <row r="2157" spans="1:10" x14ac:dyDescent="0.3">
      <c r="A2157" s="588"/>
      <c r="B2157" s="588"/>
      <c r="C2157" s="588"/>
      <c r="D2157" s="588"/>
      <c r="E2157" s="588"/>
      <c r="F2157" s="588"/>
      <c r="G2157" s="600"/>
      <c r="H2157" s="588"/>
      <c r="I2157" s="588"/>
      <c r="J2157" s="588"/>
    </row>
    <row r="2158" spans="1:10" x14ac:dyDescent="0.3">
      <c r="A2158" s="588"/>
      <c r="B2158" s="588"/>
      <c r="C2158" s="588"/>
      <c r="D2158" s="588"/>
      <c r="E2158" s="588"/>
      <c r="F2158" s="588"/>
      <c r="G2158" s="600"/>
      <c r="H2158" s="588"/>
      <c r="I2158" s="588"/>
      <c r="J2158" s="588"/>
    </row>
    <row r="2159" spans="1:10" x14ac:dyDescent="0.3">
      <c r="A2159" s="588"/>
      <c r="B2159" s="588"/>
      <c r="C2159" s="588"/>
      <c r="D2159" s="588"/>
      <c r="E2159" s="588"/>
      <c r="F2159" s="588"/>
      <c r="G2159" s="600"/>
      <c r="H2159" s="588"/>
      <c r="I2159" s="588"/>
      <c r="J2159" s="588"/>
    </row>
    <row r="2160" spans="1:10" x14ac:dyDescent="0.3">
      <c r="A2160" s="588"/>
      <c r="B2160" s="588"/>
      <c r="C2160" s="588"/>
      <c r="D2160" s="588"/>
      <c r="E2160" s="588"/>
      <c r="F2160" s="588"/>
      <c r="G2160" s="600"/>
      <c r="H2160" s="588"/>
      <c r="I2160" s="588"/>
      <c r="J2160" s="588"/>
    </row>
    <row r="2161" spans="1:10" x14ac:dyDescent="0.3">
      <c r="A2161" s="588"/>
      <c r="B2161" s="588"/>
      <c r="C2161" s="588"/>
      <c r="D2161" s="588"/>
      <c r="E2161" s="588"/>
      <c r="F2161" s="588"/>
      <c r="G2161" s="600"/>
      <c r="H2161" s="588"/>
      <c r="I2161" s="588"/>
      <c r="J2161" s="588"/>
    </row>
    <row r="2162" spans="1:10" x14ac:dyDescent="0.3">
      <c r="A2162" s="588"/>
      <c r="B2162" s="588"/>
      <c r="C2162" s="588"/>
      <c r="D2162" s="588"/>
      <c r="E2162" s="588"/>
      <c r="F2162" s="588"/>
      <c r="G2162" s="600"/>
      <c r="H2162" s="588"/>
      <c r="I2162" s="588"/>
      <c r="J2162" s="588"/>
    </row>
    <row r="2163" spans="1:10" x14ac:dyDescent="0.3">
      <c r="A2163" s="588"/>
      <c r="B2163" s="588"/>
      <c r="C2163" s="588"/>
      <c r="D2163" s="588"/>
      <c r="E2163" s="588"/>
      <c r="F2163" s="588"/>
      <c r="G2163" s="600"/>
      <c r="H2163" s="588"/>
      <c r="I2163" s="588"/>
      <c r="J2163" s="588"/>
    </row>
    <row r="2164" spans="1:10" x14ac:dyDescent="0.3">
      <c r="A2164" s="588"/>
      <c r="B2164" s="588"/>
      <c r="C2164" s="588"/>
      <c r="D2164" s="588"/>
      <c r="E2164" s="588"/>
      <c r="F2164" s="588"/>
      <c r="G2164" s="600"/>
      <c r="H2164" s="588"/>
      <c r="I2164" s="588"/>
      <c r="J2164" s="588"/>
    </row>
    <row r="2165" spans="1:10" x14ac:dyDescent="0.3">
      <c r="A2165" s="588"/>
      <c r="B2165" s="588"/>
      <c r="C2165" s="588"/>
      <c r="D2165" s="588"/>
      <c r="E2165" s="588"/>
      <c r="F2165" s="588"/>
      <c r="G2165" s="600"/>
      <c r="H2165" s="588"/>
      <c r="I2165" s="588"/>
      <c r="J2165" s="588"/>
    </row>
    <row r="2166" spans="1:10" x14ac:dyDescent="0.3">
      <c r="A2166" s="588"/>
      <c r="B2166" s="588"/>
      <c r="C2166" s="588"/>
      <c r="D2166" s="588"/>
      <c r="E2166" s="588"/>
      <c r="F2166" s="588"/>
      <c r="G2166" s="600"/>
      <c r="H2166" s="588"/>
      <c r="I2166" s="588"/>
      <c r="J2166" s="588"/>
    </row>
    <row r="2167" spans="1:10" x14ac:dyDescent="0.3">
      <c r="A2167" s="588"/>
      <c r="B2167" s="588"/>
      <c r="C2167" s="588"/>
      <c r="D2167" s="588"/>
      <c r="E2167" s="588"/>
      <c r="F2167" s="588"/>
      <c r="G2167" s="600"/>
      <c r="H2167" s="588"/>
      <c r="I2167" s="588"/>
      <c r="J2167" s="588"/>
    </row>
    <row r="2168" spans="1:10" x14ac:dyDescent="0.3">
      <c r="A2168" s="588"/>
      <c r="B2168" s="588"/>
      <c r="C2168" s="588"/>
      <c r="D2168" s="588"/>
      <c r="E2168" s="588"/>
      <c r="F2168" s="588"/>
      <c r="G2168" s="600"/>
      <c r="H2168" s="588"/>
      <c r="I2168" s="588"/>
      <c r="J2168" s="588"/>
    </row>
    <row r="2169" spans="1:10" x14ac:dyDescent="0.3">
      <c r="A2169" s="588"/>
      <c r="B2169" s="588"/>
      <c r="C2169" s="588"/>
      <c r="D2169" s="588"/>
      <c r="E2169" s="588"/>
      <c r="F2169" s="588"/>
      <c r="G2169" s="600"/>
      <c r="H2169" s="588"/>
      <c r="I2169" s="588"/>
      <c r="J2169" s="588"/>
    </row>
    <row r="2170" spans="1:10" x14ac:dyDescent="0.3">
      <c r="A2170" s="588"/>
      <c r="B2170" s="588"/>
      <c r="C2170" s="588"/>
      <c r="D2170" s="588"/>
      <c r="E2170" s="588"/>
      <c r="F2170" s="588"/>
      <c r="G2170" s="600"/>
      <c r="H2170" s="588"/>
      <c r="I2170" s="588"/>
      <c r="J2170" s="588"/>
    </row>
    <row r="2171" spans="1:10" x14ac:dyDescent="0.3">
      <c r="A2171" s="588"/>
      <c r="B2171" s="588"/>
      <c r="C2171" s="588"/>
      <c r="D2171" s="588"/>
      <c r="E2171" s="588"/>
      <c r="F2171" s="588"/>
      <c r="G2171" s="600"/>
      <c r="H2171" s="588"/>
      <c r="I2171" s="588"/>
      <c r="J2171" s="588"/>
    </row>
    <row r="2172" spans="1:10" x14ac:dyDescent="0.3">
      <c r="A2172" s="588"/>
      <c r="B2172" s="588"/>
      <c r="C2172" s="588"/>
      <c r="D2172" s="588"/>
      <c r="E2172" s="588"/>
      <c r="F2172" s="588"/>
      <c r="G2172" s="600"/>
      <c r="H2172" s="588"/>
      <c r="I2172" s="588"/>
      <c r="J2172" s="588"/>
    </row>
    <row r="2173" spans="1:10" x14ac:dyDescent="0.3">
      <c r="A2173" s="588"/>
      <c r="B2173" s="588"/>
      <c r="C2173" s="588"/>
      <c r="D2173" s="588"/>
      <c r="E2173" s="588"/>
      <c r="F2173" s="588"/>
      <c r="G2173" s="600"/>
      <c r="H2173" s="588"/>
      <c r="I2173" s="588"/>
      <c r="J2173" s="588"/>
    </row>
    <row r="2174" spans="1:10" x14ac:dyDescent="0.3">
      <c r="A2174" s="588"/>
      <c r="B2174" s="588"/>
      <c r="C2174" s="588"/>
      <c r="D2174" s="588"/>
      <c r="E2174" s="588"/>
      <c r="F2174" s="588"/>
      <c r="G2174" s="600"/>
      <c r="H2174" s="588"/>
      <c r="I2174" s="588"/>
      <c r="J2174" s="588"/>
    </row>
    <row r="2175" spans="1:10" x14ac:dyDescent="0.3">
      <c r="A2175" s="588"/>
      <c r="B2175" s="588"/>
      <c r="C2175" s="588"/>
      <c r="D2175" s="588"/>
      <c r="E2175" s="588"/>
      <c r="F2175" s="588"/>
      <c r="G2175" s="600"/>
      <c r="H2175" s="588"/>
      <c r="I2175" s="588"/>
      <c r="J2175" s="588"/>
    </row>
    <row r="2176" spans="1:10" x14ac:dyDescent="0.3">
      <c r="A2176" s="588"/>
      <c r="B2176" s="588"/>
      <c r="C2176" s="588"/>
      <c r="D2176" s="588"/>
      <c r="E2176" s="588"/>
      <c r="F2176" s="588"/>
      <c r="G2176" s="600"/>
      <c r="H2176" s="588"/>
      <c r="I2176" s="588"/>
      <c r="J2176" s="588"/>
    </row>
    <row r="2177" spans="1:10" x14ac:dyDescent="0.3">
      <c r="A2177" s="588"/>
      <c r="B2177" s="588"/>
      <c r="C2177" s="588"/>
      <c r="D2177" s="588"/>
      <c r="E2177" s="588"/>
      <c r="F2177" s="588"/>
      <c r="G2177" s="600"/>
      <c r="H2177" s="588"/>
      <c r="I2177" s="588"/>
      <c r="J2177" s="588"/>
    </row>
    <row r="2178" spans="1:10" x14ac:dyDescent="0.3">
      <c r="A2178" s="588"/>
      <c r="B2178" s="588"/>
      <c r="C2178" s="588"/>
      <c r="D2178" s="588"/>
      <c r="E2178" s="588"/>
      <c r="F2178" s="588"/>
      <c r="G2178" s="600"/>
      <c r="H2178" s="588"/>
      <c r="I2178" s="588"/>
      <c r="J2178" s="588"/>
    </row>
    <row r="2179" spans="1:10" x14ac:dyDescent="0.3">
      <c r="A2179" s="588"/>
      <c r="B2179" s="588"/>
      <c r="C2179" s="588"/>
      <c r="D2179" s="588"/>
      <c r="E2179" s="588"/>
      <c r="F2179" s="588"/>
      <c r="G2179" s="600"/>
      <c r="H2179" s="588"/>
      <c r="I2179" s="588"/>
      <c r="J2179" s="588"/>
    </row>
    <row r="2180" spans="1:10" x14ac:dyDescent="0.3">
      <c r="A2180" s="588"/>
      <c r="B2180" s="588"/>
      <c r="C2180" s="588"/>
      <c r="D2180" s="588"/>
      <c r="E2180" s="588"/>
      <c r="F2180" s="588"/>
      <c r="G2180" s="600"/>
      <c r="H2180" s="588"/>
      <c r="I2180" s="588"/>
      <c r="J2180" s="588"/>
    </row>
    <row r="2181" spans="1:10" x14ac:dyDescent="0.3">
      <c r="A2181" s="588"/>
      <c r="B2181" s="588"/>
      <c r="C2181" s="588"/>
      <c r="D2181" s="588"/>
      <c r="E2181" s="588"/>
      <c r="F2181" s="588"/>
      <c r="G2181" s="600"/>
      <c r="H2181" s="588"/>
      <c r="I2181" s="588"/>
      <c r="J2181" s="588"/>
    </row>
    <row r="2182" spans="1:10" x14ac:dyDescent="0.3">
      <c r="A2182" s="588"/>
      <c r="B2182" s="588"/>
      <c r="C2182" s="588"/>
      <c r="D2182" s="588"/>
      <c r="E2182" s="588"/>
      <c r="F2182" s="588"/>
      <c r="G2182" s="600"/>
      <c r="H2182" s="588"/>
      <c r="I2182" s="588"/>
      <c r="J2182" s="588"/>
    </row>
    <row r="2183" spans="1:10" x14ac:dyDescent="0.3">
      <c r="A2183" s="588"/>
      <c r="B2183" s="588"/>
      <c r="C2183" s="588"/>
      <c r="D2183" s="588"/>
      <c r="E2183" s="588"/>
      <c r="F2183" s="588"/>
      <c r="G2183" s="600"/>
      <c r="H2183" s="588"/>
      <c r="I2183" s="588"/>
      <c r="J2183" s="588"/>
    </row>
    <row r="2184" spans="1:10" x14ac:dyDescent="0.3">
      <c r="A2184" s="588"/>
      <c r="B2184" s="588"/>
      <c r="C2184" s="588"/>
      <c r="D2184" s="588"/>
      <c r="E2184" s="588"/>
      <c r="F2184" s="588"/>
      <c r="G2184" s="600"/>
      <c r="H2184" s="588"/>
      <c r="I2184" s="588"/>
      <c r="J2184" s="588"/>
    </row>
    <row r="2185" spans="1:10" x14ac:dyDescent="0.3">
      <c r="A2185" s="588"/>
      <c r="B2185" s="588"/>
      <c r="C2185" s="588"/>
      <c r="D2185" s="588"/>
      <c r="E2185" s="588"/>
      <c r="F2185" s="588"/>
      <c r="G2185" s="600"/>
      <c r="H2185" s="588"/>
      <c r="I2185" s="588"/>
      <c r="J2185" s="588"/>
    </row>
    <row r="2186" spans="1:10" x14ac:dyDescent="0.3">
      <c r="A2186" s="588"/>
      <c r="B2186" s="588"/>
      <c r="C2186" s="588"/>
      <c r="D2186" s="588"/>
      <c r="E2186" s="588"/>
      <c r="F2186" s="588"/>
      <c r="G2186" s="600"/>
      <c r="H2186" s="588"/>
      <c r="I2186" s="588"/>
      <c r="J2186" s="588"/>
    </row>
    <row r="2187" spans="1:10" x14ac:dyDescent="0.3">
      <c r="A2187" s="588"/>
      <c r="B2187" s="588"/>
      <c r="C2187" s="588"/>
      <c r="D2187" s="588"/>
      <c r="E2187" s="588"/>
      <c r="F2187" s="588"/>
      <c r="G2187" s="600"/>
      <c r="H2187" s="588"/>
      <c r="I2187" s="588"/>
      <c r="J2187" s="588"/>
    </row>
    <row r="2188" spans="1:10" x14ac:dyDescent="0.3">
      <c r="A2188" s="588"/>
      <c r="B2188" s="588"/>
      <c r="C2188" s="588"/>
      <c r="D2188" s="588"/>
      <c r="E2188" s="588"/>
      <c r="F2188" s="588"/>
      <c r="G2188" s="600"/>
      <c r="H2188" s="588"/>
      <c r="I2188" s="588"/>
      <c r="J2188" s="588"/>
    </row>
    <row r="2189" spans="1:10" x14ac:dyDescent="0.3">
      <c r="A2189" s="588"/>
      <c r="B2189" s="588"/>
      <c r="C2189" s="588"/>
      <c r="D2189" s="588"/>
      <c r="E2189" s="588"/>
      <c r="F2189" s="588"/>
      <c r="G2189" s="600"/>
      <c r="H2189" s="588"/>
      <c r="I2189" s="588"/>
      <c r="J2189" s="588"/>
    </row>
    <row r="2190" spans="1:10" x14ac:dyDescent="0.3">
      <c r="A2190" s="588"/>
      <c r="B2190" s="588"/>
      <c r="C2190" s="588"/>
      <c r="D2190" s="588"/>
      <c r="E2190" s="588"/>
      <c r="F2190" s="588"/>
      <c r="G2190" s="600"/>
      <c r="H2190" s="588"/>
      <c r="I2190" s="588"/>
      <c r="J2190" s="588"/>
    </row>
    <row r="2191" spans="1:10" x14ac:dyDescent="0.3">
      <c r="A2191" s="588"/>
      <c r="B2191" s="588"/>
      <c r="C2191" s="588"/>
      <c r="D2191" s="588"/>
      <c r="E2191" s="588"/>
      <c r="F2191" s="588"/>
      <c r="G2191" s="600"/>
      <c r="H2191" s="588"/>
      <c r="I2191" s="588"/>
      <c r="J2191" s="588"/>
    </row>
    <row r="2192" spans="1:10" x14ac:dyDescent="0.3">
      <c r="A2192" s="588"/>
      <c r="B2192" s="588"/>
      <c r="C2192" s="588"/>
      <c r="D2192" s="588"/>
      <c r="E2192" s="588"/>
      <c r="F2192" s="588"/>
      <c r="G2192" s="600"/>
      <c r="H2192" s="588"/>
      <c r="I2192" s="588"/>
      <c r="J2192" s="588"/>
    </row>
    <row r="2193" spans="1:10" x14ac:dyDescent="0.3">
      <c r="A2193" s="588"/>
      <c r="B2193" s="588"/>
      <c r="C2193" s="588"/>
      <c r="D2193" s="588"/>
      <c r="E2193" s="588"/>
      <c r="F2193" s="588"/>
      <c r="G2193" s="600"/>
      <c r="H2193" s="588"/>
      <c r="I2193" s="588"/>
      <c r="J2193" s="588"/>
    </row>
    <row r="2194" spans="1:10" x14ac:dyDescent="0.3">
      <c r="A2194" s="588"/>
      <c r="B2194" s="588"/>
      <c r="C2194" s="588"/>
      <c r="D2194" s="588"/>
      <c r="E2194" s="588"/>
      <c r="F2194" s="588"/>
      <c r="G2194" s="600"/>
      <c r="H2194" s="588"/>
      <c r="I2194" s="588"/>
      <c r="J2194" s="588"/>
    </row>
    <row r="2195" spans="1:10" x14ac:dyDescent="0.3">
      <c r="A2195" s="588"/>
      <c r="B2195" s="588"/>
      <c r="C2195" s="588"/>
      <c r="D2195" s="588"/>
      <c r="E2195" s="588"/>
      <c r="F2195" s="588"/>
      <c r="G2195" s="600"/>
      <c r="H2195" s="588"/>
      <c r="I2195" s="588"/>
      <c r="J2195" s="588"/>
    </row>
    <row r="2196" spans="1:10" x14ac:dyDescent="0.3">
      <c r="A2196" s="588"/>
      <c r="B2196" s="588"/>
      <c r="C2196" s="588"/>
      <c r="D2196" s="588"/>
      <c r="E2196" s="588"/>
      <c r="F2196" s="588"/>
      <c r="G2196" s="600"/>
      <c r="H2196" s="588"/>
      <c r="I2196" s="588"/>
      <c r="J2196" s="588"/>
    </row>
    <row r="2197" spans="1:10" x14ac:dyDescent="0.3">
      <c r="A2197" s="588"/>
      <c r="B2197" s="588"/>
      <c r="C2197" s="588"/>
      <c r="D2197" s="588"/>
      <c r="E2197" s="588"/>
      <c r="F2197" s="588"/>
      <c r="G2197" s="600"/>
      <c r="H2197" s="588"/>
      <c r="I2197" s="588"/>
      <c r="J2197" s="588"/>
    </row>
    <row r="2198" spans="1:10" x14ac:dyDescent="0.3">
      <c r="A2198" s="588"/>
      <c r="B2198" s="588"/>
      <c r="C2198" s="588"/>
      <c r="D2198" s="588"/>
      <c r="E2198" s="588"/>
      <c r="F2198" s="588"/>
      <c r="G2198" s="600"/>
      <c r="H2198" s="588"/>
      <c r="I2198" s="588"/>
      <c r="J2198" s="588"/>
    </row>
    <row r="2199" spans="1:10" x14ac:dyDescent="0.3">
      <c r="A2199" s="588"/>
      <c r="B2199" s="588"/>
      <c r="C2199" s="588"/>
      <c r="D2199" s="588"/>
      <c r="E2199" s="588"/>
      <c r="F2199" s="588"/>
      <c r="G2199" s="600"/>
      <c r="H2199" s="588"/>
      <c r="I2199" s="588"/>
      <c r="J2199" s="588"/>
    </row>
    <row r="2200" spans="1:10" x14ac:dyDescent="0.3">
      <c r="A2200" s="588"/>
      <c r="B2200" s="588"/>
      <c r="C2200" s="588"/>
      <c r="D2200" s="588"/>
      <c r="E2200" s="588"/>
      <c r="F2200" s="588"/>
      <c r="G2200" s="600"/>
      <c r="H2200" s="588"/>
      <c r="I2200" s="588"/>
      <c r="J2200" s="588"/>
    </row>
    <row r="2201" spans="1:10" x14ac:dyDescent="0.3">
      <c r="A2201" s="588"/>
      <c r="B2201" s="588"/>
      <c r="C2201" s="588"/>
      <c r="D2201" s="588"/>
      <c r="E2201" s="588"/>
      <c r="F2201" s="588"/>
      <c r="G2201" s="600"/>
      <c r="H2201" s="588"/>
      <c r="I2201" s="588"/>
      <c r="J2201" s="588"/>
    </row>
    <row r="2202" spans="1:10" x14ac:dyDescent="0.3">
      <c r="A2202" s="588"/>
      <c r="B2202" s="588"/>
      <c r="C2202" s="588"/>
      <c r="D2202" s="588"/>
      <c r="E2202" s="588"/>
      <c r="F2202" s="588"/>
      <c r="G2202" s="600"/>
      <c r="H2202" s="588"/>
      <c r="I2202" s="588"/>
      <c r="J2202" s="588"/>
    </row>
    <row r="2203" spans="1:10" x14ac:dyDescent="0.3">
      <c r="A2203" s="588"/>
      <c r="B2203" s="588"/>
      <c r="C2203" s="588"/>
      <c r="D2203" s="588"/>
      <c r="E2203" s="588"/>
      <c r="F2203" s="588"/>
      <c r="G2203" s="600"/>
      <c r="H2203" s="588"/>
      <c r="I2203" s="588"/>
      <c r="J2203" s="588"/>
    </row>
    <row r="2204" spans="1:10" x14ac:dyDescent="0.3">
      <c r="A2204" s="588"/>
      <c r="B2204" s="588"/>
      <c r="C2204" s="588"/>
      <c r="D2204" s="588"/>
      <c r="E2204" s="588"/>
      <c r="F2204" s="588"/>
      <c r="G2204" s="600"/>
      <c r="H2204" s="588"/>
      <c r="I2204" s="588"/>
      <c r="J2204" s="588"/>
    </row>
    <row r="2205" spans="1:10" x14ac:dyDescent="0.3">
      <c r="A2205" s="588"/>
      <c r="B2205" s="588"/>
      <c r="C2205" s="588"/>
      <c r="D2205" s="588"/>
      <c r="E2205" s="588"/>
      <c r="F2205" s="588"/>
      <c r="G2205" s="600"/>
      <c r="H2205" s="588"/>
      <c r="I2205" s="588"/>
      <c r="J2205" s="588"/>
    </row>
    <row r="2206" spans="1:10" x14ac:dyDescent="0.3">
      <c r="A2206" s="588"/>
      <c r="B2206" s="588"/>
      <c r="C2206" s="588"/>
      <c r="D2206" s="588"/>
      <c r="E2206" s="588"/>
      <c r="F2206" s="588"/>
      <c r="G2206" s="600"/>
      <c r="H2206" s="588"/>
      <c r="I2206" s="588"/>
      <c r="J2206" s="588"/>
    </row>
    <row r="2207" spans="1:10" x14ac:dyDescent="0.3">
      <c r="A2207" s="588"/>
      <c r="B2207" s="588"/>
      <c r="C2207" s="588"/>
      <c r="D2207" s="588"/>
      <c r="E2207" s="588"/>
      <c r="F2207" s="588"/>
      <c r="G2207" s="600"/>
      <c r="H2207" s="588"/>
      <c r="I2207" s="588"/>
      <c r="J2207" s="588"/>
    </row>
    <row r="2208" spans="1:10" x14ac:dyDescent="0.3">
      <c r="A2208" s="588"/>
      <c r="B2208" s="588"/>
      <c r="C2208" s="588"/>
      <c r="D2208" s="588"/>
      <c r="E2208" s="588"/>
      <c r="F2208" s="588"/>
      <c r="G2208" s="600"/>
      <c r="H2208" s="588"/>
      <c r="I2208" s="588"/>
      <c r="J2208" s="588"/>
    </row>
    <row r="2209" spans="1:10" x14ac:dyDescent="0.3">
      <c r="A2209" s="588"/>
      <c r="B2209" s="588"/>
      <c r="C2209" s="588"/>
      <c r="D2209" s="588"/>
      <c r="E2209" s="588"/>
      <c r="F2209" s="588"/>
      <c r="G2209" s="600"/>
      <c r="H2209" s="588"/>
      <c r="I2209" s="588"/>
      <c r="J2209" s="588"/>
    </row>
    <row r="2210" spans="1:10" x14ac:dyDescent="0.3">
      <c r="A2210" s="588"/>
      <c r="B2210" s="588"/>
      <c r="C2210" s="588"/>
      <c r="D2210" s="588"/>
      <c r="E2210" s="588"/>
      <c r="F2210" s="588"/>
      <c r="G2210" s="600"/>
      <c r="H2210" s="588"/>
      <c r="I2210" s="588"/>
      <c r="J2210" s="588"/>
    </row>
    <row r="2211" spans="1:10" x14ac:dyDescent="0.3">
      <c r="A2211" s="588"/>
      <c r="B2211" s="588"/>
      <c r="C2211" s="588"/>
      <c r="D2211" s="588"/>
      <c r="E2211" s="588"/>
      <c r="F2211" s="588"/>
      <c r="G2211" s="600"/>
      <c r="H2211" s="588"/>
      <c r="I2211" s="588"/>
      <c r="J2211" s="588"/>
    </row>
    <row r="2212" spans="1:10" x14ac:dyDescent="0.3">
      <c r="A2212" s="588"/>
      <c r="B2212" s="588"/>
      <c r="C2212" s="588"/>
      <c r="D2212" s="588"/>
      <c r="E2212" s="588"/>
      <c r="F2212" s="588"/>
      <c r="G2212" s="600"/>
      <c r="H2212" s="588"/>
      <c r="I2212" s="588"/>
      <c r="J2212" s="588"/>
    </row>
    <row r="2213" spans="1:10" x14ac:dyDescent="0.3">
      <c r="A2213" s="588"/>
      <c r="B2213" s="588"/>
      <c r="C2213" s="588"/>
      <c r="D2213" s="588"/>
      <c r="E2213" s="588"/>
      <c r="F2213" s="588"/>
      <c r="G2213" s="600"/>
      <c r="H2213" s="588"/>
      <c r="I2213" s="588"/>
      <c r="J2213" s="588"/>
    </row>
    <row r="2214" spans="1:10" x14ac:dyDescent="0.3">
      <c r="A2214" s="588"/>
      <c r="B2214" s="588"/>
      <c r="C2214" s="588"/>
      <c r="D2214" s="588"/>
      <c r="E2214" s="588"/>
      <c r="F2214" s="588"/>
      <c r="G2214" s="600"/>
      <c r="H2214" s="588"/>
      <c r="I2214" s="588"/>
      <c r="J2214" s="588"/>
    </row>
    <row r="2215" spans="1:10" x14ac:dyDescent="0.3">
      <c r="A2215" s="588"/>
      <c r="B2215" s="588"/>
      <c r="C2215" s="588"/>
      <c r="D2215" s="588"/>
      <c r="E2215" s="588"/>
      <c r="F2215" s="588"/>
      <c r="G2215" s="600"/>
      <c r="H2215" s="588"/>
      <c r="I2215" s="588"/>
      <c r="J2215" s="588"/>
    </row>
    <row r="2216" spans="1:10" x14ac:dyDescent="0.3">
      <c r="A2216" s="588"/>
      <c r="B2216" s="588"/>
      <c r="C2216" s="588"/>
      <c r="D2216" s="588"/>
      <c r="E2216" s="588"/>
      <c r="F2216" s="588"/>
      <c r="G2216" s="600"/>
      <c r="H2216" s="588"/>
      <c r="I2216" s="588"/>
      <c r="J2216" s="588"/>
    </row>
    <row r="2217" spans="1:10" x14ac:dyDescent="0.3">
      <c r="A2217" s="588"/>
      <c r="B2217" s="588"/>
      <c r="C2217" s="588"/>
      <c r="D2217" s="588"/>
      <c r="E2217" s="588"/>
      <c r="F2217" s="588"/>
      <c r="G2217" s="600"/>
      <c r="H2217" s="588"/>
      <c r="I2217" s="588"/>
      <c r="J2217" s="588"/>
    </row>
    <row r="2218" spans="1:10" x14ac:dyDescent="0.3">
      <c r="A2218" s="588"/>
      <c r="B2218" s="588"/>
      <c r="C2218" s="588"/>
      <c r="D2218" s="588"/>
      <c r="E2218" s="588"/>
      <c r="F2218" s="588"/>
      <c r="G2218" s="600"/>
      <c r="H2218" s="588"/>
      <c r="I2218" s="588"/>
      <c r="J2218" s="588"/>
    </row>
    <row r="2219" spans="1:10" x14ac:dyDescent="0.3">
      <c r="A2219" s="588"/>
      <c r="B2219" s="588"/>
      <c r="C2219" s="588"/>
      <c r="D2219" s="588"/>
      <c r="E2219" s="588"/>
      <c r="F2219" s="588"/>
      <c r="G2219" s="600"/>
      <c r="H2219" s="588"/>
      <c r="I2219" s="588"/>
      <c r="J2219" s="588"/>
    </row>
    <row r="2220" spans="1:10" x14ac:dyDescent="0.3">
      <c r="A2220" s="588"/>
      <c r="B2220" s="588"/>
      <c r="C2220" s="588"/>
      <c r="D2220" s="588"/>
      <c r="E2220" s="588"/>
      <c r="F2220" s="588"/>
      <c r="G2220" s="600"/>
      <c r="H2220" s="588"/>
      <c r="I2220" s="588"/>
      <c r="J2220" s="588"/>
    </row>
    <row r="2221" spans="1:10" x14ac:dyDescent="0.3">
      <c r="A2221" s="588"/>
      <c r="B2221" s="588"/>
      <c r="C2221" s="588"/>
      <c r="D2221" s="588"/>
      <c r="E2221" s="588"/>
      <c r="F2221" s="588"/>
      <c r="G2221" s="600"/>
      <c r="H2221" s="588"/>
      <c r="I2221" s="588"/>
      <c r="J2221" s="588"/>
    </row>
    <row r="2222" spans="1:10" x14ac:dyDescent="0.3">
      <c r="A2222" s="588"/>
      <c r="B2222" s="588"/>
      <c r="C2222" s="588"/>
      <c r="D2222" s="588"/>
      <c r="E2222" s="588"/>
      <c r="F2222" s="588"/>
      <c r="G2222" s="600"/>
      <c r="H2222" s="588"/>
      <c r="I2222" s="588"/>
      <c r="J2222" s="588"/>
    </row>
    <row r="2223" spans="1:10" x14ac:dyDescent="0.3">
      <c r="A2223" s="588"/>
      <c r="B2223" s="588"/>
      <c r="C2223" s="588"/>
      <c r="D2223" s="588"/>
      <c r="E2223" s="588"/>
      <c r="F2223" s="588"/>
      <c r="G2223" s="600"/>
      <c r="H2223" s="588"/>
      <c r="I2223" s="588"/>
      <c r="J2223" s="588"/>
    </row>
    <row r="2224" spans="1:10" x14ac:dyDescent="0.3">
      <c r="A2224" s="588"/>
      <c r="B2224" s="588"/>
      <c r="C2224" s="588"/>
      <c r="D2224" s="588"/>
      <c r="E2224" s="588"/>
      <c r="F2224" s="588"/>
      <c r="G2224" s="600"/>
      <c r="H2224" s="588"/>
      <c r="I2224" s="588"/>
      <c r="J2224" s="588"/>
    </row>
    <row r="2225" spans="1:10" x14ac:dyDescent="0.3">
      <c r="A2225" s="588"/>
      <c r="B2225" s="588"/>
      <c r="C2225" s="588"/>
      <c r="D2225" s="588"/>
      <c r="E2225" s="588"/>
      <c r="F2225" s="588"/>
      <c r="G2225" s="600"/>
      <c r="H2225" s="588"/>
      <c r="I2225" s="588"/>
      <c r="J2225" s="588"/>
    </row>
    <row r="2226" spans="1:10" x14ac:dyDescent="0.3">
      <c r="A2226" s="588"/>
      <c r="B2226" s="588"/>
      <c r="C2226" s="588"/>
      <c r="D2226" s="588"/>
      <c r="E2226" s="588"/>
      <c r="F2226" s="588"/>
      <c r="G2226" s="600"/>
      <c r="H2226" s="588"/>
      <c r="I2226" s="588"/>
      <c r="J2226" s="588"/>
    </row>
    <row r="2227" spans="1:10" x14ac:dyDescent="0.3">
      <c r="A2227" s="588"/>
      <c r="B2227" s="588"/>
      <c r="C2227" s="588"/>
      <c r="D2227" s="588"/>
      <c r="E2227" s="588"/>
      <c r="F2227" s="588"/>
      <c r="G2227" s="600"/>
      <c r="H2227" s="588"/>
      <c r="I2227" s="588"/>
      <c r="J2227" s="588"/>
    </row>
    <row r="2228" spans="1:10" x14ac:dyDescent="0.3">
      <c r="A2228" s="588"/>
      <c r="B2228" s="588"/>
      <c r="C2228" s="588"/>
      <c r="D2228" s="588"/>
      <c r="E2228" s="588"/>
      <c r="F2228" s="588"/>
      <c r="G2228" s="600"/>
      <c r="H2228" s="588"/>
      <c r="I2228" s="588"/>
      <c r="J2228" s="588"/>
    </row>
    <row r="2229" spans="1:10" x14ac:dyDescent="0.3">
      <c r="A2229" s="588"/>
      <c r="B2229" s="588"/>
      <c r="C2229" s="588"/>
      <c r="D2229" s="588"/>
      <c r="E2229" s="588"/>
      <c r="F2229" s="588"/>
      <c r="G2229" s="600"/>
      <c r="H2229" s="588"/>
      <c r="I2229" s="588"/>
      <c r="J2229" s="588"/>
    </row>
    <row r="2230" spans="1:10" x14ac:dyDescent="0.3">
      <c r="A2230" s="588"/>
      <c r="B2230" s="588"/>
      <c r="C2230" s="588"/>
      <c r="D2230" s="588"/>
      <c r="E2230" s="588"/>
      <c r="F2230" s="588"/>
      <c r="G2230" s="600"/>
      <c r="H2230" s="588"/>
      <c r="I2230" s="588"/>
      <c r="J2230" s="588"/>
    </row>
    <row r="2231" spans="1:10" x14ac:dyDescent="0.3">
      <c r="A2231" s="588"/>
      <c r="B2231" s="588"/>
      <c r="C2231" s="588"/>
      <c r="D2231" s="588"/>
      <c r="E2231" s="588"/>
      <c r="F2231" s="588"/>
      <c r="G2231" s="600"/>
      <c r="H2231" s="588"/>
      <c r="I2231" s="588"/>
      <c r="J2231" s="588"/>
    </row>
    <row r="2232" spans="1:10" x14ac:dyDescent="0.3">
      <c r="A2232" s="588"/>
      <c r="B2232" s="588"/>
      <c r="C2232" s="588"/>
      <c r="D2232" s="588"/>
      <c r="E2232" s="588"/>
      <c r="F2232" s="588"/>
      <c r="G2232" s="600"/>
      <c r="H2232" s="588"/>
      <c r="I2232" s="588"/>
      <c r="J2232" s="588"/>
    </row>
    <row r="2233" spans="1:10" x14ac:dyDescent="0.3">
      <c r="A2233" s="588"/>
      <c r="B2233" s="588"/>
      <c r="C2233" s="588"/>
      <c r="D2233" s="588"/>
      <c r="E2233" s="588"/>
      <c r="F2233" s="588"/>
      <c r="G2233" s="600"/>
      <c r="H2233" s="588"/>
      <c r="I2233" s="588"/>
      <c r="J2233" s="588"/>
    </row>
    <row r="2234" spans="1:10" x14ac:dyDescent="0.3">
      <c r="A2234" s="588"/>
      <c r="B2234" s="588"/>
      <c r="C2234" s="588"/>
      <c r="D2234" s="588"/>
      <c r="E2234" s="588"/>
      <c r="F2234" s="588"/>
      <c r="G2234" s="600"/>
      <c r="H2234" s="588"/>
      <c r="I2234" s="588"/>
      <c r="J2234" s="588"/>
    </row>
    <row r="2235" spans="1:10" x14ac:dyDescent="0.3">
      <c r="A2235" s="588"/>
      <c r="B2235" s="588"/>
      <c r="C2235" s="588"/>
      <c r="D2235" s="588"/>
      <c r="E2235" s="588"/>
      <c r="F2235" s="588"/>
      <c r="G2235" s="600"/>
      <c r="H2235" s="588"/>
      <c r="I2235" s="588"/>
      <c r="J2235" s="588"/>
    </row>
    <row r="2236" spans="1:10" x14ac:dyDescent="0.3">
      <c r="A2236" s="588"/>
      <c r="B2236" s="588"/>
      <c r="C2236" s="588"/>
      <c r="D2236" s="588"/>
      <c r="E2236" s="588"/>
      <c r="F2236" s="588"/>
      <c r="G2236" s="600"/>
      <c r="H2236" s="588"/>
      <c r="I2236" s="588"/>
      <c r="J2236" s="588"/>
    </row>
    <row r="2237" spans="1:10" x14ac:dyDescent="0.3">
      <c r="A2237" s="588"/>
      <c r="B2237" s="588"/>
      <c r="C2237" s="588"/>
      <c r="D2237" s="588"/>
      <c r="E2237" s="588"/>
      <c r="F2237" s="588"/>
      <c r="G2237" s="600"/>
      <c r="H2237" s="588"/>
      <c r="I2237" s="588"/>
      <c r="J2237" s="588"/>
    </row>
    <row r="2238" spans="1:10" x14ac:dyDescent="0.3">
      <c r="A2238" s="588"/>
      <c r="B2238" s="588"/>
      <c r="C2238" s="588"/>
      <c r="D2238" s="588"/>
      <c r="E2238" s="588"/>
      <c r="F2238" s="588"/>
      <c r="G2238" s="600"/>
      <c r="H2238" s="588"/>
      <c r="I2238" s="588"/>
      <c r="J2238" s="588"/>
    </row>
    <row r="2239" spans="1:10" x14ac:dyDescent="0.3">
      <c r="A2239" s="588"/>
      <c r="B2239" s="588"/>
      <c r="C2239" s="588"/>
      <c r="D2239" s="588"/>
      <c r="E2239" s="588"/>
      <c r="F2239" s="588"/>
      <c r="G2239" s="600"/>
      <c r="H2239" s="588"/>
      <c r="I2239" s="588"/>
      <c r="J2239" s="588"/>
    </row>
    <row r="2240" spans="1:10" x14ac:dyDescent="0.3">
      <c r="A2240" s="588"/>
      <c r="B2240" s="588"/>
      <c r="C2240" s="588"/>
      <c r="D2240" s="588"/>
      <c r="E2240" s="588"/>
      <c r="F2240" s="588"/>
      <c r="G2240" s="600"/>
      <c r="H2240" s="588"/>
      <c r="I2240" s="588"/>
      <c r="J2240" s="588"/>
    </row>
    <row r="2241" spans="1:10" x14ac:dyDescent="0.3">
      <c r="A2241" s="588"/>
      <c r="B2241" s="588"/>
      <c r="C2241" s="588"/>
      <c r="D2241" s="588"/>
      <c r="E2241" s="588"/>
      <c r="F2241" s="588"/>
      <c r="G2241" s="600"/>
      <c r="H2241" s="588"/>
      <c r="I2241" s="588"/>
      <c r="J2241" s="588"/>
    </row>
    <row r="2242" spans="1:10" x14ac:dyDescent="0.3">
      <c r="A2242" s="588"/>
      <c r="B2242" s="588"/>
      <c r="C2242" s="588"/>
      <c r="D2242" s="588"/>
      <c r="E2242" s="588"/>
      <c r="F2242" s="588"/>
      <c r="G2242" s="600"/>
      <c r="H2242" s="588"/>
      <c r="I2242" s="588"/>
      <c r="J2242" s="588"/>
    </row>
    <row r="2243" spans="1:10" x14ac:dyDescent="0.3">
      <c r="A2243" s="588"/>
      <c r="B2243" s="588"/>
      <c r="C2243" s="588"/>
      <c r="D2243" s="588"/>
      <c r="E2243" s="588"/>
      <c r="F2243" s="588"/>
      <c r="G2243" s="600"/>
      <c r="H2243" s="588"/>
      <c r="I2243" s="588"/>
      <c r="J2243" s="588"/>
    </row>
    <row r="2244" spans="1:10" x14ac:dyDescent="0.3">
      <c r="A2244" s="588"/>
      <c r="B2244" s="588"/>
      <c r="C2244" s="588"/>
      <c r="D2244" s="588"/>
      <c r="E2244" s="588"/>
      <c r="F2244" s="588"/>
      <c r="G2244" s="600"/>
      <c r="H2244" s="588"/>
      <c r="I2244" s="588"/>
      <c r="J2244" s="588"/>
    </row>
    <row r="2245" spans="1:10" x14ac:dyDescent="0.3">
      <c r="A2245" s="588"/>
      <c r="B2245" s="588"/>
      <c r="C2245" s="588"/>
      <c r="D2245" s="588"/>
      <c r="E2245" s="588"/>
      <c r="F2245" s="588"/>
      <c r="G2245" s="600"/>
      <c r="H2245" s="588"/>
      <c r="I2245" s="588"/>
      <c r="J2245" s="588"/>
    </row>
    <row r="2246" spans="1:10" x14ac:dyDescent="0.3">
      <c r="A2246" s="588"/>
      <c r="B2246" s="588"/>
      <c r="C2246" s="588"/>
      <c r="D2246" s="588"/>
      <c r="E2246" s="588"/>
      <c r="F2246" s="588"/>
      <c r="G2246" s="600"/>
      <c r="H2246" s="588"/>
      <c r="I2246" s="588"/>
      <c r="J2246" s="588"/>
    </row>
    <row r="2247" spans="1:10" x14ac:dyDescent="0.3">
      <c r="A2247" s="588"/>
      <c r="B2247" s="588"/>
      <c r="C2247" s="588"/>
      <c r="D2247" s="588"/>
      <c r="E2247" s="588"/>
      <c r="F2247" s="588"/>
      <c r="G2247" s="600"/>
      <c r="H2247" s="588"/>
      <c r="I2247" s="588"/>
      <c r="J2247" s="588"/>
    </row>
    <row r="2248" spans="1:10" x14ac:dyDescent="0.3">
      <c r="A2248" s="588"/>
      <c r="B2248" s="588"/>
      <c r="C2248" s="588"/>
      <c r="D2248" s="588"/>
      <c r="E2248" s="588"/>
      <c r="F2248" s="588"/>
      <c r="G2248" s="600"/>
      <c r="H2248" s="588"/>
      <c r="I2248" s="588"/>
      <c r="J2248" s="588"/>
    </row>
    <row r="2249" spans="1:10" x14ac:dyDescent="0.3">
      <c r="A2249" s="588"/>
      <c r="B2249" s="588"/>
      <c r="C2249" s="588"/>
      <c r="D2249" s="588"/>
      <c r="E2249" s="588"/>
      <c r="F2249" s="588"/>
      <c r="G2249" s="600"/>
      <c r="H2249" s="588"/>
      <c r="I2249" s="588"/>
      <c r="J2249" s="588"/>
    </row>
    <row r="2250" spans="1:10" x14ac:dyDescent="0.3">
      <c r="A2250" s="588"/>
      <c r="B2250" s="588"/>
      <c r="C2250" s="588"/>
      <c r="D2250" s="588"/>
      <c r="E2250" s="588"/>
      <c r="F2250" s="588"/>
      <c r="G2250" s="600"/>
      <c r="H2250" s="588"/>
      <c r="I2250" s="588"/>
      <c r="J2250" s="588"/>
    </row>
    <row r="2251" spans="1:10" x14ac:dyDescent="0.3">
      <c r="A2251" s="588"/>
      <c r="B2251" s="588"/>
      <c r="C2251" s="588"/>
      <c r="D2251" s="588"/>
      <c r="E2251" s="588"/>
      <c r="F2251" s="588"/>
      <c r="G2251" s="600"/>
      <c r="H2251" s="588"/>
      <c r="I2251" s="588"/>
      <c r="J2251" s="588"/>
    </row>
    <row r="2252" spans="1:10" x14ac:dyDescent="0.3">
      <c r="A2252" s="588"/>
      <c r="B2252" s="588"/>
      <c r="C2252" s="588"/>
      <c r="D2252" s="588"/>
      <c r="E2252" s="588"/>
      <c r="F2252" s="588"/>
      <c r="G2252" s="600"/>
      <c r="H2252" s="588"/>
      <c r="I2252" s="588"/>
      <c r="J2252" s="588"/>
    </row>
    <row r="2253" spans="1:10" x14ac:dyDescent="0.3">
      <c r="A2253" s="588"/>
      <c r="B2253" s="588"/>
      <c r="C2253" s="588"/>
      <c r="D2253" s="588"/>
      <c r="E2253" s="588"/>
      <c r="F2253" s="588"/>
      <c r="G2253" s="600"/>
      <c r="H2253" s="588"/>
      <c r="I2253" s="588"/>
      <c r="J2253" s="588"/>
    </row>
    <row r="2254" spans="1:10" x14ac:dyDescent="0.3">
      <c r="A2254" s="588"/>
      <c r="B2254" s="588"/>
      <c r="C2254" s="588"/>
      <c r="D2254" s="588"/>
      <c r="E2254" s="588"/>
      <c r="F2254" s="588"/>
      <c r="G2254" s="600"/>
      <c r="H2254" s="588"/>
      <c r="I2254" s="588"/>
      <c r="J2254" s="588"/>
    </row>
    <row r="2255" spans="1:10" x14ac:dyDescent="0.3">
      <c r="A2255" s="588"/>
      <c r="B2255" s="588"/>
      <c r="C2255" s="588"/>
      <c r="D2255" s="588"/>
      <c r="E2255" s="588"/>
      <c r="F2255" s="588"/>
      <c r="G2255" s="600"/>
      <c r="H2255" s="588"/>
      <c r="I2255" s="588"/>
      <c r="J2255" s="588"/>
    </row>
    <row r="2256" spans="1:10" x14ac:dyDescent="0.3">
      <c r="A2256" s="588"/>
      <c r="B2256" s="588"/>
      <c r="C2256" s="588"/>
      <c r="D2256" s="588"/>
      <c r="E2256" s="588"/>
      <c r="F2256" s="588"/>
      <c r="G2256" s="600"/>
      <c r="H2256" s="588"/>
      <c r="I2256" s="588"/>
      <c r="J2256" s="588"/>
    </row>
    <row r="2257" spans="1:10" x14ac:dyDescent="0.3">
      <c r="A2257" s="588"/>
      <c r="B2257" s="588"/>
      <c r="C2257" s="588"/>
      <c r="D2257" s="588"/>
      <c r="E2257" s="588"/>
      <c r="F2257" s="588"/>
      <c r="G2257" s="600"/>
      <c r="H2257" s="588"/>
      <c r="I2257" s="588"/>
      <c r="J2257" s="588"/>
    </row>
    <row r="2258" spans="1:10" x14ac:dyDescent="0.3">
      <c r="A2258" s="588"/>
      <c r="B2258" s="588"/>
      <c r="C2258" s="588"/>
      <c r="D2258" s="588"/>
      <c r="E2258" s="588"/>
      <c r="F2258" s="588"/>
      <c r="G2258" s="600"/>
      <c r="H2258" s="588"/>
      <c r="I2258" s="588"/>
      <c r="J2258" s="588"/>
    </row>
    <row r="2259" spans="1:10" x14ac:dyDescent="0.3">
      <c r="A2259" s="588"/>
      <c r="B2259" s="588"/>
      <c r="C2259" s="588"/>
      <c r="D2259" s="588"/>
      <c r="E2259" s="588"/>
      <c r="F2259" s="588"/>
      <c r="G2259" s="600"/>
      <c r="H2259" s="588"/>
      <c r="I2259" s="588"/>
      <c r="J2259" s="588"/>
    </row>
    <row r="2260" spans="1:10" x14ac:dyDescent="0.3">
      <c r="A2260" s="588"/>
      <c r="B2260" s="588"/>
      <c r="C2260" s="588"/>
      <c r="D2260" s="588"/>
      <c r="E2260" s="588"/>
      <c r="F2260" s="588"/>
      <c r="G2260" s="600"/>
      <c r="H2260" s="588"/>
      <c r="I2260" s="588"/>
      <c r="J2260" s="588"/>
    </row>
    <row r="2261" spans="1:10" x14ac:dyDescent="0.3">
      <c r="A2261" s="588"/>
      <c r="B2261" s="588"/>
      <c r="C2261" s="588"/>
      <c r="D2261" s="588"/>
      <c r="E2261" s="588"/>
      <c r="F2261" s="588"/>
      <c r="G2261" s="600"/>
      <c r="H2261" s="588"/>
      <c r="I2261" s="588"/>
      <c r="J2261" s="588"/>
    </row>
    <row r="2262" spans="1:10" x14ac:dyDescent="0.3">
      <c r="A2262" s="588"/>
      <c r="B2262" s="588"/>
      <c r="C2262" s="588"/>
      <c r="D2262" s="588"/>
      <c r="E2262" s="588"/>
      <c r="F2262" s="588"/>
      <c r="G2262" s="600"/>
      <c r="H2262" s="588"/>
      <c r="I2262" s="588"/>
      <c r="J2262" s="588"/>
    </row>
    <row r="2263" spans="1:10" x14ac:dyDescent="0.3">
      <c r="A2263" s="588"/>
      <c r="B2263" s="588"/>
      <c r="C2263" s="588"/>
      <c r="D2263" s="588"/>
      <c r="E2263" s="588"/>
      <c r="F2263" s="588"/>
      <c r="G2263" s="600"/>
      <c r="H2263" s="588"/>
      <c r="I2263" s="588"/>
      <c r="J2263" s="588"/>
    </row>
    <row r="2264" spans="1:10" x14ac:dyDescent="0.3">
      <c r="A2264" s="588"/>
      <c r="B2264" s="588"/>
      <c r="C2264" s="588"/>
      <c r="D2264" s="588"/>
      <c r="E2264" s="588"/>
      <c r="F2264" s="588"/>
      <c r="G2264" s="600"/>
      <c r="H2264" s="588"/>
      <c r="I2264" s="588"/>
      <c r="J2264" s="588"/>
    </row>
    <row r="2265" spans="1:10" x14ac:dyDescent="0.3">
      <c r="A2265" s="588"/>
      <c r="B2265" s="588"/>
      <c r="C2265" s="588"/>
      <c r="D2265" s="588"/>
      <c r="E2265" s="588"/>
      <c r="F2265" s="588"/>
      <c r="G2265" s="600"/>
      <c r="H2265" s="588"/>
      <c r="I2265" s="588"/>
      <c r="J2265" s="588"/>
    </row>
    <row r="2266" spans="1:10" x14ac:dyDescent="0.3">
      <c r="A2266" s="588"/>
      <c r="B2266" s="588"/>
      <c r="C2266" s="588"/>
      <c r="D2266" s="588"/>
      <c r="E2266" s="588"/>
      <c r="F2266" s="588"/>
      <c r="G2266" s="600"/>
      <c r="H2266" s="588"/>
      <c r="I2266" s="588"/>
      <c r="J2266" s="588"/>
    </row>
    <row r="2267" spans="1:10" x14ac:dyDescent="0.3">
      <c r="A2267" s="588"/>
      <c r="B2267" s="588"/>
      <c r="C2267" s="588"/>
      <c r="D2267" s="588"/>
      <c r="E2267" s="588"/>
      <c r="F2267" s="588"/>
      <c r="G2267" s="600"/>
      <c r="H2267" s="588"/>
      <c r="I2267" s="588"/>
      <c r="J2267" s="588"/>
    </row>
    <row r="2268" spans="1:10" x14ac:dyDescent="0.3">
      <c r="A2268" s="588"/>
      <c r="B2268" s="588"/>
      <c r="C2268" s="588"/>
      <c r="D2268" s="588"/>
      <c r="E2268" s="588"/>
      <c r="F2268" s="588"/>
      <c r="G2268" s="600"/>
      <c r="H2268" s="588"/>
      <c r="I2268" s="588"/>
      <c r="J2268" s="588"/>
    </row>
    <row r="2269" spans="1:10" x14ac:dyDescent="0.3">
      <c r="A2269" s="588"/>
      <c r="B2269" s="588"/>
      <c r="C2269" s="588"/>
      <c r="D2269" s="588"/>
      <c r="E2269" s="588"/>
      <c r="F2269" s="588"/>
      <c r="G2269" s="600"/>
      <c r="H2269" s="588"/>
      <c r="I2269" s="588"/>
      <c r="J2269" s="588"/>
    </row>
    <row r="2270" spans="1:10" x14ac:dyDescent="0.3">
      <c r="A2270" s="588"/>
      <c r="B2270" s="588"/>
      <c r="C2270" s="588"/>
      <c r="D2270" s="588"/>
      <c r="E2270" s="588"/>
      <c r="F2270" s="588"/>
      <c r="G2270" s="600"/>
      <c r="H2270" s="588"/>
      <c r="I2270" s="588"/>
      <c r="J2270" s="588"/>
    </row>
    <row r="2271" spans="1:10" x14ac:dyDescent="0.3">
      <c r="A2271" s="588"/>
      <c r="B2271" s="588"/>
      <c r="C2271" s="588"/>
      <c r="D2271" s="588"/>
      <c r="E2271" s="588"/>
      <c r="F2271" s="588"/>
      <c r="G2271" s="600"/>
      <c r="H2271" s="588"/>
      <c r="I2271" s="588"/>
      <c r="J2271" s="588"/>
    </row>
    <row r="2272" spans="1:10" x14ac:dyDescent="0.3">
      <c r="A2272" s="588"/>
      <c r="B2272" s="588"/>
      <c r="C2272" s="588"/>
      <c r="D2272" s="588"/>
      <c r="E2272" s="588"/>
      <c r="F2272" s="588"/>
      <c r="G2272" s="600"/>
      <c r="H2272" s="588"/>
      <c r="I2272" s="588"/>
      <c r="J2272" s="588"/>
    </row>
    <row r="2273" spans="1:10" x14ac:dyDescent="0.3">
      <c r="A2273" s="588"/>
      <c r="B2273" s="588"/>
      <c r="C2273" s="588"/>
      <c r="D2273" s="588"/>
      <c r="E2273" s="588"/>
      <c r="F2273" s="588"/>
      <c r="G2273" s="600"/>
      <c r="H2273" s="588"/>
      <c r="I2273" s="588"/>
      <c r="J2273" s="588"/>
    </row>
    <row r="2274" spans="1:10" x14ac:dyDescent="0.3">
      <c r="A2274" s="588"/>
      <c r="B2274" s="588"/>
      <c r="C2274" s="588"/>
      <c r="D2274" s="588"/>
      <c r="E2274" s="588"/>
      <c r="F2274" s="588"/>
      <c r="G2274" s="600"/>
      <c r="H2274" s="588"/>
      <c r="I2274" s="588"/>
      <c r="J2274" s="588"/>
    </row>
    <row r="2275" spans="1:10" x14ac:dyDescent="0.3">
      <c r="A2275" s="588"/>
      <c r="B2275" s="588"/>
      <c r="C2275" s="588"/>
      <c r="D2275" s="588"/>
      <c r="E2275" s="588"/>
      <c r="F2275" s="588"/>
      <c r="G2275" s="600"/>
      <c r="H2275" s="588"/>
      <c r="I2275" s="588"/>
      <c r="J2275" s="588"/>
    </row>
    <row r="2276" spans="1:10" x14ac:dyDescent="0.3">
      <c r="A2276" s="588"/>
      <c r="B2276" s="588"/>
      <c r="C2276" s="588"/>
      <c r="D2276" s="588"/>
      <c r="E2276" s="588"/>
      <c r="F2276" s="588"/>
      <c r="G2276" s="600"/>
      <c r="H2276" s="588"/>
      <c r="I2276" s="588"/>
      <c r="J2276" s="588"/>
    </row>
    <row r="2277" spans="1:10" x14ac:dyDescent="0.3">
      <c r="A2277" s="588"/>
      <c r="B2277" s="588"/>
      <c r="C2277" s="588"/>
      <c r="D2277" s="588"/>
      <c r="E2277" s="588"/>
      <c r="F2277" s="588"/>
      <c r="G2277" s="600"/>
      <c r="H2277" s="588"/>
      <c r="I2277" s="588"/>
      <c r="J2277" s="588"/>
    </row>
    <row r="2278" spans="1:10" x14ac:dyDescent="0.3">
      <c r="A2278" s="588"/>
      <c r="B2278" s="588"/>
      <c r="C2278" s="588"/>
      <c r="D2278" s="588"/>
      <c r="E2278" s="588"/>
      <c r="F2278" s="588"/>
      <c r="G2278" s="600"/>
      <c r="H2278" s="588"/>
      <c r="I2278" s="588"/>
      <c r="J2278" s="588"/>
    </row>
    <row r="2279" spans="1:10" x14ac:dyDescent="0.3">
      <c r="A2279" s="588"/>
      <c r="B2279" s="588"/>
      <c r="C2279" s="588"/>
      <c r="D2279" s="588"/>
      <c r="E2279" s="588"/>
      <c r="F2279" s="588"/>
      <c r="G2279" s="600"/>
      <c r="H2279" s="588"/>
      <c r="I2279" s="588"/>
      <c r="J2279" s="588"/>
    </row>
    <row r="2280" spans="1:10" x14ac:dyDescent="0.3">
      <c r="A2280" s="588"/>
      <c r="B2280" s="588"/>
      <c r="C2280" s="588"/>
      <c r="D2280" s="588"/>
      <c r="E2280" s="588"/>
      <c r="F2280" s="588"/>
      <c r="G2280" s="600"/>
      <c r="H2280" s="588"/>
      <c r="I2280" s="588"/>
      <c r="J2280" s="588"/>
    </row>
    <row r="2281" spans="1:10" x14ac:dyDescent="0.3">
      <c r="A2281" s="588"/>
      <c r="B2281" s="588"/>
      <c r="C2281" s="588"/>
      <c r="D2281" s="588"/>
      <c r="E2281" s="588"/>
      <c r="F2281" s="588"/>
      <c r="G2281" s="600"/>
      <c r="H2281" s="588"/>
      <c r="I2281" s="588"/>
      <c r="J2281" s="588"/>
    </row>
    <row r="2282" spans="1:10" x14ac:dyDescent="0.3">
      <c r="A2282" s="588"/>
      <c r="B2282" s="588"/>
      <c r="C2282" s="588"/>
      <c r="D2282" s="588"/>
      <c r="E2282" s="588"/>
      <c r="F2282" s="588"/>
      <c r="G2282" s="600"/>
      <c r="H2282" s="588"/>
      <c r="I2282" s="588"/>
      <c r="J2282" s="588"/>
    </row>
    <row r="2283" spans="1:10" x14ac:dyDescent="0.3">
      <c r="A2283" s="588"/>
      <c r="B2283" s="588"/>
      <c r="C2283" s="588"/>
      <c r="D2283" s="588"/>
      <c r="E2283" s="588"/>
      <c r="F2283" s="588"/>
      <c r="G2283" s="600"/>
      <c r="H2283" s="588"/>
      <c r="I2283" s="588"/>
      <c r="J2283" s="588"/>
    </row>
    <row r="2284" spans="1:10" x14ac:dyDescent="0.3">
      <c r="A2284" s="588"/>
      <c r="B2284" s="588"/>
      <c r="C2284" s="588"/>
      <c r="D2284" s="588"/>
      <c r="E2284" s="588"/>
      <c r="F2284" s="588"/>
      <c r="G2284" s="600"/>
      <c r="H2284" s="588"/>
      <c r="I2284" s="588"/>
      <c r="J2284" s="588"/>
    </row>
    <row r="2285" spans="1:10" x14ac:dyDescent="0.3">
      <c r="A2285" s="588"/>
      <c r="B2285" s="588"/>
      <c r="C2285" s="588"/>
      <c r="D2285" s="588"/>
      <c r="E2285" s="588"/>
      <c r="F2285" s="588"/>
      <c r="G2285" s="600"/>
      <c r="H2285" s="588"/>
      <c r="I2285" s="588"/>
      <c r="J2285" s="588"/>
    </row>
    <row r="2286" spans="1:10" x14ac:dyDescent="0.3">
      <c r="A2286" s="588"/>
      <c r="B2286" s="588"/>
      <c r="C2286" s="588"/>
      <c r="D2286" s="588"/>
      <c r="E2286" s="588"/>
      <c r="F2286" s="588"/>
      <c r="G2286" s="600"/>
      <c r="H2286" s="588"/>
      <c r="I2286" s="588"/>
      <c r="J2286" s="588"/>
    </row>
    <row r="2287" spans="1:10" x14ac:dyDescent="0.3">
      <c r="A2287" s="588"/>
      <c r="B2287" s="588"/>
      <c r="C2287" s="588"/>
      <c r="D2287" s="588"/>
      <c r="E2287" s="588"/>
      <c r="F2287" s="588"/>
      <c r="G2287" s="600"/>
      <c r="H2287" s="588"/>
      <c r="I2287" s="588"/>
      <c r="J2287" s="588"/>
    </row>
    <row r="2288" spans="1:10" x14ac:dyDescent="0.3">
      <c r="A2288" s="588"/>
      <c r="B2288" s="588"/>
      <c r="C2288" s="588"/>
      <c r="D2288" s="588"/>
      <c r="E2288" s="588"/>
      <c r="F2288" s="588"/>
      <c r="G2288" s="600"/>
      <c r="H2288" s="588"/>
      <c r="I2288" s="588"/>
      <c r="J2288" s="588"/>
    </row>
    <row r="2289" spans="1:10" x14ac:dyDescent="0.3">
      <c r="A2289" s="588"/>
      <c r="B2289" s="588"/>
      <c r="C2289" s="588"/>
      <c r="D2289" s="588"/>
      <c r="E2289" s="588"/>
      <c r="F2289" s="588"/>
      <c r="G2289" s="600"/>
      <c r="H2289" s="588"/>
      <c r="I2289" s="588"/>
      <c r="J2289" s="588"/>
    </row>
    <row r="2290" spans="1:10" x14ac:dyDescent="0.3">
      <c r="A2290" s="588"/>
      <c r="B2290" s="588"/>
      <c r="C2290" s="588"/>
      <c r="D2290" s="588"/>
      <c r="E2290" s="588"/>
      <c r="F2290" s="588"/>
      <c r="G2290" s="600"/>
      <c r="H2290" s="588"/>
      <c r="I2290" s="588"/>
      <c r="J2290" s="588"/>
    </row>
    <row r="2291" spans="1:10" x14ac:dyDescent="0.3">
      <c r="A2291" s="588"/>
      <c r="B2291" s="588"/>
      <c r="C2291" s="588"/>
      <c r="D2291" s="588"/>
      <c r="E2291" s="588"/>
      <c r="F2291" s="588"/>
      <c r="G2291" s="600"/>
      <c r="H2291" s="588"/>
      <c r="I2291" s="588"/>
      <c r="J2291" s="588"/>
    </row>
    <row r="2292" spans="1:10" x14ac:dyDescent="0.3">
      <c r="A2292" s="588"/>
      <c r="B2292" s="588"/>
      <c r="C2292" s="588"/>
      <c r="D2292" s="588"/>
      <c r="E2292" s="588"/>
      <c r="F2292" s="588"/>
      <c r="G2292" s="600"/>
      <c r="H2292" s="588"/>
      <c r="I2292" s="588"/>
      <c r="J2292" s="588"/>
    </row>
    <row r="2293" spans="1:10" x14ac:dyDescent="0.3">
      <c r="A2293" s="588"/>
      <c r="B2293" s="588"/>
      <c r="C2293" s="588"/>
      <c r="D2293" s="588"/>
      <c r="E2293" s="588"/>
      <c r="F2293" s="588"/>
      <c r="G2293" s="600"/>
      <c r="H2293" s="588"/>
      <c r="I2293" s="588"/>
      <c r="J2293" s="588"/>
    </row>
    <row r="2294" spans="1:10" x14ac:dyDescent="0.3">
      <c r="A2294" s="588"/>
      <c r="B2294" s="588"/>
      <c r="C2294" s="588"/>
      <c r="D2294" s="588"/>
      <c r="E2294" s="588"/>
      <c r="F2294" s="588"/>
      <c r="G2294" s="600"/>
      <c r="H2294" s="588"/>
      <c r="I2294" s="588"/>
      <c r="J2294" s="588"/>
    </row>
    <row r="2295" spans="1:10" x14ac:dyDescent="0.3">
      <c r="A2295" s="588"/>
      <c r="B2295" s="588"/>
      <c r="C2295" s="588"/>
      <c r="D2295" s="588"/>
      <c r="E2295" s="588"/>
      <c r="F2295" s="588"/>
      <c r="G2295" s="600"/>
      <c r="H2295" s="588"/>
      <c r="I2295" s="588"/>
      <c r="J2295" s="588"/>
    </row>
    <row r="2296" spans="1:10" x14ac:dyDescent="0.3">
      <c r="A2296" s="588"/>
      <c r="B2296" s="588"/>
      <c r="C2296" s="588"/>
      <c r="D2296" s="588"/>
      <c r="E2296" s="588"/>
      <c r="F2296" s="588"/>
      <c r="G2296" s="600"/>
      <c r="H2296" s="588"/>
      <c r="I2296" s="588"/>
      <c r="J2296" s="588"/>
    </row>
    <row r="2297" spans="1:10" x14ac:dyDescent="0.3">
      <c r="A2297" s="588"/>
      <c r="B2297" s="588"/>
      <c r="C2297" s="588"/>
      <c r="D2297" s="588"/>
      <c r="E2297" s="588"/>
      <c r="F2297" s="588"/>
      <c r="G2297" s="600"/>
      <c r="H2297" s="588"/>
      <c r="I2297" s="588"/>
      <c r="J2297" s="588"/>
    </row>
    <row r="2298" spans="1:10" x14ac:dyDescent="0.3">
      <c r="A2298" s="588"/>
      <c r="B2298" s="588"/>
      <c r="C2298" s="588"/>
      <c r="D2298" s="588"/>
      <c r="E2298" s="588"/>
      <c r="F2298" s="588"/>
      <c r="G2298" s="600"/>
      <c r="H2298" s="588"/>
      <c r="I2298" s="588"/>
      <c r="J2298" s="588"/>
    </row>
    <row r="2299" spans="1:10" x14ac:dyDescent="0.3">
      <c r="A2299" s="588"/>
      <c r="B2299" s="588"/>
      <c r="C2299" s="588"/>
      <c r="D2299" s="588"/>
      <c r="E2299" s="588"/>
      <c r="F2299" s="588"/>
      <c r="G2299" s="600"/>
      <c r="H2299" s="588"/>
      <c r="I2299" s="588"/>
      <c r="J2299" s="588"/>
    </row>
    <row r="2300" spans="1:10" x14ac:dyDescent="0.3">
      <c r="A2300" s="588"/>
      <c r="B2300" s="588"/>
      <c r="C2300" s="588"/>
      <c r="D2300" s="588"/>
      <c r="E2300" s="588"/>
      <c r="F2300" s="588"/>
      <c r="G2300" s="600"/>
      <c r="H2300" s="588"/>
      <c r="I2300" s="588"/>
      <c r="J2300" s="588"/>
    </row>
    <row r="2301" spans="1:10" x14ac:dyDescent="0.3">
      <c r="A2301" s="588"/>
      <c r="B2301" s="588"/>
      <c r="C2301" s="588"/>
      <c r="D2301" s="588"/>
      <c r="E2301" s="588"/>
      <c r="F2301" s="588"/>
      <c r="G2301" s="600"/>
      <c r="H2301" s="588"/>
      <c r="I2301" s="588"/>
      <c r="J2301" s="588"/>
    </row>
    <row r="2302" spans="1:10" x14ac:dyDescent="0.3">
      <c r="A2302" s="588"/>
      <c r="B2302" s="588"/>
      <c r="C2302" s="588"/>
      <c r="D2302" s="588"/>
      <c r="E2302" s="588"/>
      <c r="F2302" s="588"/>
      <c r="G2302" s="600"/>
      <c r="H2302" s="588"/>
      <c r="I2302" s="588"/>
      <c r="J2302" s="588"/>
    </row>
    <row r="2303" spans="1:10" x14ac:dyDescent="0.3">
      <c r="A2303" s="588"/>
      <c r="B2303" s="588"/>
      <c r="C2303" s="588"/>
      <c r="D2303" s="588"/>
      <c r="E2303" s="588"/>
      <c r="F2303" s="588"/>
      <c r="G2303" s="600"/>
      <c r="H2303" s="588"/>
      <c r="I2303" s="588"/>
      <c r="J2303" s="588"/>
    </row>
    <row r="2304" spans="1:10" x14ac:dyDescent="0.3">
      <c r="A2304" s="588"/>
      <c r="B2304" s="588"/>
      <c r="C2304" s="588"/>
      <c r="D2304" s="588"/>
      <c r="E2304" s="588"/>
      <c r="F2304" s="588"/>
      <c r="G2304" s="600"/>
      <c r="H2304" s="588"/>
      <c r="I2304" s="588"/>
      <c r="J2304" s="588"/>
    </row>
    <row r="2305" spans="1:10" x14ac:dyDescent="0.3">
      <c r="A2305" s="588"/>
      <c r="B2305" s="588"/>
      <c r="C2305" s="588"/>
      <c r="D2305" s="588"/>
      <c r="E2305" s="588"/>
      <c r="F2305" s="588"/>
      <c r="G2305" s="600"/>
      <c r="H2305" s="588"/>
      <c r="I2305" s="588"/>
      <c r="J2305" s="588"/>
    </row>
    <row r="2306" spans="1:10" x14ac:dyDescent="0.3">
      <c r="A2306" s="588"/>
      <c r="B2306" s="588"/>
      <c r="C2306" s="588"/>
      <c r="D2306" s="588"/>
      <c r="E2306" s="588"/>
      <c r="F2306" s="588"/>
      <c r="G2306" s="600"/>
      <c r="H2306" s="588"/>
      <c r="I2306" s="588"/>
      <c r="J2306" s="588"/>
    </row>
    <row r="2307" spans="1:10" x14ac:dyDescent="0.3">
      <c r="A2307" s="588"/>
      <c r="B2307" s="588"/>
      <c r="C2307" s="588"/>
      <c r="D2307" s="588"/>
      <c r="E2307" s="588"/>
      <c r="F2307" s="588"/>
      <c r="G2307" s="600"/>
      <c r="H2307" s="588"/>
      <c r="I2307" s="588"/>
      <c r="J2307" s="588"/>
    </row>
    <row r="2308" spans="1:10" x14ac:dyDescent="0.3">
      <c r="A2308" s="588"/>
      <c r="B2308" s="588"/>
      <c r="C2308" s="588"/>
      <c r="D2308" s="588"/>
      <c r="E2308" s="588"/>
      <c r="F2308" s="588"/>
      <c r="G2308" s="600"/>
      <c r="H2308" s="588"/>
      <c r="I2308" s="588"/>
      <c r="J2308" s="588"/>
    </row>
    <row r="2309" spans="1:10" x14ac:dyDescent="0.3">
      <c r="A2309" s="588"/>
      <c r="B2309" s="588"/>
      <c r="C2309" s="588"/>
      <c r="D2309" s="588"/>
      <c r="E2309" s="588"/>
      <c r="F2309" s="588"/>
      <c r="G2309" s="600"/>
      <c r="H2309" s="588"/>
      <c r="I2309" s="588"/>
      <c r="J2309" s="588"/>
    </row>
    <row r="2310" spans="1:10" x14ac:dyDescent="0.3">
      <c r="A2310" s="588"/>
      <c r="B2310" s="588"/>
      <c r="C2310" s="588"/>
      <c r="D2310" s="588"/>
      <c r="E2310" s="588"/>
      <c r="F2310" s="588"/>
      <c r="G2310" s="600"/>
      <c r="H2310" s="588"/>
      <c r="I2310" s="588"/>
      <c r="J2310" s="588"/>
    </row>
    <row r="2311" spans="1:10" x14ac:dyDescent="0.3">
      <c r="A2311" s="588"/>
      <c r="B2311" s="588"/>
      <c r="C2311" s="588"/>
      <c r="D2311" s="588"/>
      <c r="E2311" s="588"/>
      <c r="F2311" s="588"/>
      <c r="G2311" s="600"/>
      <c r="H2311" s="588"/>
      <c r="I2311" s="588"/>
      <c r="J2311" s="588"/>
    </row>
    <row r="2312" spans="1:10" x14ac:dyDescent="0.3">
      <c r="A2312" s="588"/>
      <c r="B2312" s="588"/>
      <c r="C2312" s="588"/>
      <c r="D2312" s="588"/>
      <c r="E2312" s="588"/>
      <c r="F2312" s="588"/>
      <c r="G2312" s="600"/>
      <c r="H2312" s="588"/>
      <c r="I2312" s="588"/>
      <c r="J2312" s="588"/>
    </row>
    <row r="2313" spans="1:10" x14ac:dyDescent="0.3">
      <c r="A2313" s="588"/>
      <c r="B2313" s="588"/>
      <c r="C2313" s="588"/>
      <c r="D2313" s="588"/>
      <c r="E2313" s="588"/>
      <c r="F2313" s="588"/>
      <c r="G2313" s="600"/>
      <c r="H2313" s="588"/>
      <c r="I2313" s="588"/>
      <c r="J2313" s="588"/>
    </row>
    <row r="2314" spans="1:10" x14ac:dyDescent="0.3">
      <c r="A2314" s="588"/>
      <c r="B2314" s="588"/>
      <c r="C2314" s="588"/>
      <c r="D2314" s="588"/>
      <c r="E2314" s="588"/>
      <c r="F2314" s="588"/>
      <c r="G2314" s="600"/>
      <c r="H2314" s="588"/>
      <c r="I2314" s="588"/>
      <c r="J2314" s="588"/>
    </row>
    <row r="2315" spans="1:10" x14ac:dyDescent="0.3">
      <c r="A2315" s="588"/>
      <c r="B2315" s="588"/>
      <c r="C2315" s="588"/>
      <c r="D2315" s="588"/>
      <c r="E2315" s="588"/>
      <c r="F2315" s="588"/>
      <c r="G2315" s="600"/>
      <c r="H2315" s="588"/>
      <c r="I2315" s="588"/>
      <c r="J2315" s="588"/>
    </row>
    <row r="2316" spans="1:10" x14ac:dyDescent="0.3">
      <c r="A2316" s="588"/>
      <c r="B2316" s="588"/>
      <c r="C2316" s="588"/>
      <c r="D2316" s="588"/>
      <c r="E2316" s="588"/>
      <c r="F2316" s="588"/>
      <c r="G2316" s="600"/>
      <c r="H2316" s="588"/>
      <c r="I2316" s="588"/>
      <c r="J2316" s="588"/>
    </row>
    <row r="2317" spans="1:10" x14ac:dyDescent="0.3">
      <c r="A2317" s="588"/>
      <c r="B2317" s="588"/>
      <c r="C2317" s="588"/>
      <c r="D2317" s="588"/>
      <c r="E2317" s="588"/>
      <c r="F2317" s="588"/>
      <c r="G2317" s="600"/>
      <c r="H2317" s="588"/>
      <c r="I2317" s="588"/>
      <c r="J2317" s="588"/>
    </row>
    <row r="2318" spans="1:10" x14ac:dyDescent="0.3">
      <c r="A2318" s="588"/>
      <c r="B2318" s="588"/>
      <c r="C2318" s="588"/>
      <c r="D2318" s="588"/>
      <c r="E2318" s="588"/>
      <c r="F2318" s="588"/>
      <c r="G2318" s="600"/>
      <c r="H2318" s="588"/>
      <c r="I2318" s="588"/>
      <c r="J2318" s="588"/>
    </row>
    <row r="2319" spans="1:10" x14ac:dyDescent="0.3">
      <c r="A2319" s="588"/>
      <c r="B2319" s="588"/>
      <c r="C2319" s="588"/>
      <c r="D2319" s="588"/>
      <c r="E2319" s="588"/>
      <c r="F2319" s="588"/>
      <c r="G2319" s="600"/>
      <c r="H2319" s="588"/>
      <c r="I2319" s="588"/>
      <c r="J2319" s="588"/>
    </row>
    <row r="2320" spans="1:10" x14ac:dyDescent="0.3">
      <c r="A2320" s="588"/>
      <c r="B2320" s="588"/>
      <c r="C2320" s="588"/>
      <c r="D2320" s="588"/>
      <c r="E2320" s="588"/>
      <c r="F2320" s="588"/>
      <c r="G2320" s="600"/>
      <c r="H2320" s="588"/>
      <c r="I2320" s="588"/>
      <c r="J2320" s="588"/>
    </row>
    <row r="2321" spans="1:10" x14ac:dyDescent="0.3">
      <c r="A2321" s="588"/>
      <c r="B2321" s="588"/>
      <c r="C2321" s="588"/>
      <c r="D2321" s="588"/>
      <c r="E2321" s="588"/>
      <c r="F2321" s="588"/>
      <c r="G2321" s="600"/>
      <c r="H2321" s="588"/>
      <c r="I2321" s="588"/>
      <c r="J2321" s="588"/>
    </row>
    <row r="2322" spans="1:10" x14ac:dyDescent="0.3">
      <c r="A2322" s="588"/>
      <c r="B2322" s="588"/>
      <c r="C2322" s="588"/>
      <c r="D2322" s="588"/>
      <c r="E2322" s="588"/>
      <c r="F2322" s="588"/>
      <c r="G2322" s="600"/>
      <c r="H2322" s="588"/>
      <c r="I2322" s="588"/>
      <c r="J2322" s="588"/>
    </row>
    <row r="2323" spans="1:10" x14ac:dyDescent="0.3">
      <c r="A2323" s="588"/>
      <c r="B2323" s="588"/>
      <c r="C2323" s="588"/>
      <c r="D2323" s="588"/>
      <c r="E2323" s="588"/>
      <c r="F2323" s="588"/>
      <c r="G2323" s="600"/>
      <c r="H2323" s="588"/>
      <c r="I2323" s="588"/>
      <c r="J2323" s="588"/>
    </row>
    <row r="2324" spans="1:10" x14ac:dyDescent="0.3">
      <c r="A2324" s="588"/>
      <c r="B2324" s="588"/>
      <c r="C2324" s="588"/>
      <c r="D2324" s="588"/>
      <c r="E2324" s="588"/>
      <c r="F2324" s="588"/>
      <c r="G2324" s="600"/>
      <c r="H2324" s="588"/>
      <c r="I2324" s="588"/>
      <c r="J2324" s="588"/>
    </row>
    <row r="2325" spans="1:10" x14ac:dyDescent="0.3">
      <c r="A2325" s="588"/>
      <c r="B2325" s="588"/>
      <c r="C2325" s="588"/>
      <c r="D2325" s="588"/>
      <c r="E2325" s="588"/>
      <c r="F2325" s="588"/>
      <c r="G2325" s="600"/>
      <c r="H2325" s="588"/>
      <c r="I2325" s="588"/>
      <c r="J2325" s="588"/>
    </row>
    <row r="2326" spans="1:10" x14ac:dyDescent="0.3">
      <c r="A2326" s="588"/>
      <c r="B2326" s="588"/>
      <c r="C2326" s="588"/>
      <c r="D2326" s="588"/>
      <c r="E2326" s="588"/>
      <c r="F2326" s="588"/>
      <c r="G2326" s="600"/>
      <c r="H2326" s="588"/>
      <c r="I2326" s="588"/>
      <c r="J2326" s="588"/>
    </row>
    <row r="2327" spans="1:10" x14ac:dyDescent="0.3">
      <c r="A2327" s="588"/>
      <c r="B2327" s="588"/>
      <c r="C2327" s="588"/>
      <c r="D2327" s="588"/>
      <c r="E2327" s="588"/>
      <c r="F2327" s="588"/>
      <c r="G2327" s="600"/>
      <c r="H2327" s="588"/>
      <c r="I2327" s="588"/>
      <c r="J2327" s="588"/>
    </row>
    <row r="2328" spans="1:10" x14ac:dyDescent="0.3">
      <c r="A2328" s="588"/>
      <c r="B2328" s="588"/>
      <c r="C2328" s="588"/>
      <c r="D2328" s="588"/>
      <c r="E2328" s="588"/>
      <c r="F2328" s="588"/>
      <c r="G2328" s="600"/>
      <c r="H2328" s="588"/>
      <c r="I2328" s="588"/>
      <c r="J2328" s="588"/>
    </row>
    <row r="2329" spans="1:10" x14ac:dyDescent="0.3">
      <c r="A2329" s="588"/>
      <c r="B2329" s="588"/>
      <c r="C2329" s="588"/>
      <c r="D2329" s="588"/>
      <c r="E2329" s="588"/>
      <c r="F2329" s="588"/>
      <c r="G2329" s="600"/>
      <c r="H2329" s="588"/>
      <c r="I2329" s="588"/>
      <c r="J2329" s="588"/>
    </row>
    <row r="2330" spans="1:10" x14ac:dyDescent="0.3">
      <c r="A2330" s="588"/>
      <c r="B2330" s="588"/>
      <c r="C2330" s="588"/>
      <c r="D2330" s="588"/>
      <c r="E2330" s="588"/>
      <c r="F2330" s="588"/>
      <c r="G2330" s="600"/>
      <c r="H2330" s="588"/>
      <c r="I2330" s="588"/>
      <c r="J2330" s="588"/>
    </row>
    <row r="2331" spans="1:10" x14ac:dyDescent="0.3">
      <c r="A2331" s="588"/>
      <c r="B2331" s="588"/>
      <c r="C2331" s="588"/>
      <c r="D2331" s="588"/>
      <c r="E2331" s="588"/>
      <c r="F2331" s="588"/>
      <c r="G2331" s="600"/>
      <c r="H2331" s="588"/>
      <c r="I2331" s="588"/>
      <c r="J2331" s="588"/>
    </row>
    <row r="2332" spans="1:10" x14ac:dyDescent="0.3">
      <c r="A2332" s="588"/>
      <c r="B2332" s="588"/>
      <c r="C2332" s="588"/>
      <c r="D2332" s="588"/>
      <c r="E2332" s="588"/>
      <c r="F2332" s="588"/>
      <c r="G2332" s="600"/>
      <c r="H2332" s="588"/>
      <c r="I2332" s="588"/>
      <c r="J2332" s="588"/>
    </row>
    <row r="2333" spans="1:10" x14ac:dyDescent="0.3">
      <c r="A2333" s="588"/>
      <c r="B2333" s="588"/>
      <c r="C2333" s="588"/>
      <c r="D2333" s="588"/>
      <c r="E2333" s="588"/>
      <c r="F2333" s="588"/>
      <c r="G2333" s="600"/>
      <c r="H2333" s="588"/>
      <c r="I2333" s="588"/>
      <c r="J2333" s="588"/>
    </row>
    <row r="2334" spans="1:10" x14ac:dyDescent="0.3">
      <c r="A2334" s="588"/>
      <c r="B2334" s="588"/>
      <c r="C2334" s="588"/>
      <c r="D2334" s="588"/>
      <c r="E2334" s="588"/>
      <c r="F2334" s="588"/>
      <c r="G2334" s="600"/>
      <c r="H2334" s="588"/>
      <c r="I2334" s="588"/>
      <c r="J2334" s="588"/>
    </row>
    <row r="2335" spans="1:10" x14ac:dyDescent="0.3">
      <c r="A2335" s="588"/>
      <c r="B2335" s="588"/>
      <c r="C2335" s="588"/>
      <c r="D2335" s="588"/>
      <c r="E2335" s="588"/>
      <c r="F2335" s="588"/>
      <c r="G2335" s="600"/>
      <c r="H2335" s="588"/>
      <c r="I2335" s="588"/>
      <c r="J2335" s="588"/>
    </row>
    <row r="2336" spans="1:10" x14ac:dyDescent="0.3">
      <c r="A2336" s="588"/>
      <c r="B2336" s="588"/>
      <c r="C2336" s="588"/>
      <c r="D2336" s="588"/>
      <c r="E2336" s="588"/>
      <c r="F2336" s="588"/>
      <c r="G2336" s="600"/>
      <c r="H2336" s="588"/>
      <c r="I2336" s="588"/>
      <c r="J2336" s="588"/>
    </row>
    <row r="2337" spans="1:10" x14ac:dyDescent="0.3">
      <c r="A2337" s="588"/>
      <c r="B2337" s="588"/>
      <c r="C2337" s="588"/>
      <c r="D2337" s="588"/>
      <c r="E2337" s="588"/>
      <c r="F2337" s="588"/>
      <c r="G2337" s="600"/>
      <c r="H2337" s="588"/>
      <c r="I2337" s="588"/>
      <c r="J2337" s="588"/>
    </row>
    <row r="2338" spans="1:10" x14ac:dyDescent="0.3">
      <c r="A2338" s="588"/>
      <c r="B2338" s="588"/>
      <c r="C2338" s="588"/>
      <c r="D2338" s="588"/>
      <c r="E2338" s="588"/>
      <c r="F2338" s="588"/>
      <c r="G2338" s="600"/>
      <c r="H2338" s="588"/>
      <c r="I2338" s="588"/>
      <c r="J2338" s="588"/>
    </row>
    <row r="2339" spans="1:10" x14ac:dyDescent="0.3">
      <c r="A2339" s="588"/>
      <c r="B2339" s="588"/>
      <c r="C2339" s="588"/>
      <c r="D2339" s="588"/>
      <c r="E2339" s="588"/>
      <c r="F2339" s="588"/>
      <c r="G2339" s="600"/>
      <c r="H2339" s="588"/>
      <c r="I2339" s="588"/>
      <c r="J2339" s="588"/>
    </row>
    <row r="2340" spans="1:10" x14ac:dyDescent="0.3">
      <c r="A2340" s="588"/>
      <c r="B2340" s="588"/>
      <c r="C2340" s="588"/>
      <c r="D2340" s="588"/>
      <c r="E2340" s="588"/>
      <c r="F2340" s="588"/>
      <c r="G2340" s="600"/>
      <c r="H2340" s="588"/>
      <c r="I2340" s="588"/>
      <c r="J2340" s="588"/>
    </row>
    <row r="2341" spans="1:10" x14ac:dyDescent="0.3">
      <c r="A2341" s="588"/>
      <c r="B2341" s="588"/>
      <c r="C2341" s="588"/>
      <c r="D2341" s="588"/>
      <c r="E2341" s="588"/>
      <c r="F2341" s="588"/>
      <c r="G2341" s="600"/>
      <c r="H2341" s="588"/>
      <c r="I2341" s="588"/>
      <c r="J2341" s="588"/>
    </row>
    <row r="2342" spans="1:10" x14ac:dyDescent="0.3">
      <c r="A2342" s="588"/>
      <c r="B2342" s="588"/>
      <c r="C2342" s="588"/>
      <c r="D2342" s="588"/>
      <c r="E2342" s="588"/>
      <c r="F2342" s="588"/>
      <c r="G2342" s="600"/>
      <c r="H2342" s="588"/>
      <c r="I2342" s="588"/>
      <c r="J2342" s="588"/>
    </row>
    <row r="2343" spans="1:10" x14ac:dyDescent="0.3">
      <c r="A2343" s="588"/>
      <c r="B2343" s="588"/>
      <c r="C2343" s="588"/>
      <c r="D2343" s="588"/>
      <c r="E2343" s="588"/>
      <c r="F2343" s="588"/>
      <c r="G2343" s="600"/>
      <c r="H2343" s="588"/>
      <c r="I2343" s="588"/>
      <c r="J2343" s="588"/>
    </row>
    <row r="2344" spans="1:10" x14ac:dyDescent="0.3">
      <c r="A2344" s="588"/>
      <c r="B2344" s="588"/>
      <c r="C2344" s="588"/>
      <c r="D2344" s="588"/>
      <c r="E2344" s="588"/>
      <c r="F2344" s="588"/>
      <c r="G2344" s="600"/>
      <c r="H2344" s="588"/>
      <c r="I2344" s="588"/>
      <c r="J2344" s="588"/>
    </row>
    <row r="2345" spans="1:10" x14ac:dyDescent="0.3">
      <c r="A2345" s="588"/>
      <c r="B2345" s="588"/>
      <c r="C2345" s="588"/>
      <c r="D2345" s="588"/>
      <c r="E2345" s="588"/>
      <c r="F2345" s="588"/>
      <c r="G2345" s="600"/>
      <c r="H2345" s="588"/>
      <c r="I2345" s="588"/>
      <c r="J2345" s="588"/>
    </row>
    <row r="2346" spans="1:10" x14ac:dyDescent="0.3">
      <c r="A2346" s="588"/>
      <c r="B2346" s="588"/>
      <c r="C2346" s="588"/>
      <c r="D2346" s="588"/>
      <c r="E2346" s="588"/>
      <c r="F2346" s="588"/>
      <c r="G2346" s="600"/>
      <c r="H2346" s="588"/>
      <c r="I2346" s="588"/>
      <c r="J2346" s="588"/>
    </row>
    <row r="2347" spans="1:10" x14ac:dyDescent="0.3">
      <c r="A2347" s="588"/>
      <c r="B2347" s="588"/>
      <c r="C2347" s="588"/>
      <c r="D2347" s="588"/>
      <c r="E2347" s="588"/>
      <c r="F2347" s="588"/>
      <c r="G2347" s="600"/>
      <c r="H2347" s="588"/>
      <c r="I2347" s="588"/>
      <c r="J2347" s="588"/>
    </row>
    <row r="2348" spans="1:10" x14ac:dyDescent="0.3">
      <c r="A2348" s="588"/>
      <c r="B2348" s="588"/>
      <c r="C2348" s="588"/>
      <c r="D2348" s="588"/>
      <c r="E2348" s="588"/>
      <c r="F2348" s="588"/>
      <c r="G2348" s="600"/>
      <c r="H2348" s="588"/>
      <c r="I2348" s="588"/>
      <c r="J2348" s="588"/>
    </row>
    <row r="2349" spans="1:10" x14ac:dyDescent="0.3">
      <c r="A2349" s="588"/>
      <c r="B2349" s="588"/>
      <c r="C2349" s="588"/>
      <c r="D2349" s="588"/>
      <c r="E2349" s="588"/>
      <c r="F2349" s="588"/>
      <c r="G2349" s="600"/>
      <c r="H2349" s="588"/>
      <c r="I2349" s="588"/>
      <c r="J2349" s="588"/>
    </row>
    <row r="2350" spans="1:10" x14ac:dyDescent="0.3">
      <c r="A2350" s="588"/>
      <c r="B2350" s="588"/>
      <c r="C2350" s="588"/>
      <c r="D2350" s="588"/>
      <c r="E2350" s="588"/>
      <c r="F2350" s="588"/>
      <c r="G2350" s="600"/>
      <c r="H2350" s="588"/>
      <c r="I2350" s="588"/>
      <c r="J2350" s="588"/>
    </row>
    <row r="2351" spans="1:10" x14ac:dyDescent="0.3">
      <c r="A2351" s="588"/>
      <c r="B2351" s="588"/>
      <c r="C2351" s="588"/>
      <c r="D2351" s="588"/>
      <c r="E2351" s="588"/>
      <c r="F2351" s="588"/>
      <c r="G2351" s="600"/>
      <c r="H2351" s="588"/>
      <c r="I2351" s="588"/>
      <c r="J2351" s="588"/>
    </row>
    <row r="2352" spans="1:10" x14ac:dyDescent="0.3">
      <c r="A2352" s="588"/>
      <c r="B2352" s="588"/>
      <c r="C2352" s="588"/>
      <c r="D2352" s="588"/>
      <c r="E2352" s="588"/>
      <c r="F2352" s="588"/>
      <c r="G2352" s="600"/>
      <c r="H2352" s="588"/>
      <c r="I2352" s="588"/>
      <c r="J2352" s="588"/>
    </row>
    <row r="2353" spans="1:10" x14ac:dyDescent="0.3">
      <c r="A2353" s="588"/>
      <c r="B2353" s="588"/>
      <c r="C2353" s="588"/>
      <c r="D2353" s="588"/>
      <c r="E2353" s="588"/>
      <c r="F2353" s="588"/>
      <c r="G2353" s="600"/>
      <c r="H2353" s="588"/>
      <c r="I2353" s="588"/>
      <c r="J2353" s="588"/>
    </row>
    <row r="2354" spans="1:10" x14ac:dyDescent="0.3">
      <c r="A2354" s="588"/>
      <c r="B2354" s="588"/>
      <c r="C2354" s="588"/>
      <c r="D2354" s="588"/>
      <c r="E2354" s="588"/>
      <c r="F2354" s="588"/>
      <c r="G2354" s="600"/>
      <c r="H2354" s="588"/>
      <c r="I2354" s="588"/>
      <c r="J2354" s="588"/>
    </row>
    <row r="2355" spans="1:10" x14ac:dyDescent="0.3">
      <c r="A2355" s="588"/>
      <c r="B2355" s="588"/>
      <c r="C2355" s="588"/>
      <c r="D2355" s="588"/>
      <c r="E2355" s="588"/>
      <c r="F2355" s="588"/>
      <c r="G2355" s="600"/>
      <c r="H2355" s="588"/>
      <c r="I2355" s="588"/>
      <c r="J2355" s="588"/>
    </row>
    <row r="2356" spans="1:10" x14ac:dyDescent="0.3">
      <c r="A2356" s="588"/>
      <c r="B2356" s="588"/>
      <c r="C2356" s="588"/>
      <c r="D2356" s="588"/>
      <c r="E2356" s="588"/>
      <c r="F2356" s="588"/>
      <c r="G2356" s="600"/>
      <c r="H2356" s="588"/>
      <c r="I2356" s="588"/>
      <c r="J2356" s="588"/>
    </row>
    <row r="2357" spans="1:10" x14ac:dyDescent="0.3">
      <c r="A2357" s="588"/>
      <c r="B2357" s="588"/>
      <c r="C2357" s="588"/>
      <c r="D2357" s="588"/>
      <c r="E2357" s="588"/>
      <c r="F2357" s="588"/>
      <c r="G2357" s="600"/>
      <c r="H2357" s="588"/>
      <c r="I2357" s="588"/>
      <c r="J2357" s="588"/>
    </row>
    <row r="2358" spans="1:10" x14ac:dyDescent="0.3">
      <c r="A2358" s="588"/>
      <c r="B2358" s="588"/>
      <c r="C2358" s="588"/>
      <c r="D2358" s="588"/>
      <c r="E2358" s="588"/>
      <c r="F2358" s="588"/>
      <c r="G2358" s="600"/>
      <c r="H2358" s="588"/>
      <c r="I2358" s="588"/>
      <c r="J2358" s="588"/>
    </row>
    <row r="2359" spans="1:10" x14ac:dyDescent="0.3">
      <c r="A2359" s="588"/>
      <c r="B2359" s="588"/>
      <c r="C2359" s="588"/>
      <c r="D2359" s="588"/>
      <c r="E2359" s="588"/>
      <c r="F2359" s="588"/>
      <c r="G2359" s="600"/>
      <c r="H2359" s="588"/>
      <c r="I2359" s="588"/>
      <c r="J2359" s="588"/>
    </row>
    <row r="2360" spans="1:10" x14ac:dyDescent="0.3">
      <c r="A2360" s="588"/>
      <c r="B2360" s="588"/>
      <c r="C2360" s="588"/>
      <c r="D2360" s="588"/>
      <c r="E2360" s="588"/>
      <c r="F2360" s="588"/>
      <c r="G2360" s="600"/>
      <c r="H2360" s="588"/>
      <c r="I2360" s="588"/>
      <c r="J2360" s="588"/>
    </row>
    <row r="2361" spans="1:10" x14ac:dyDescent="0.3">
      <c r="A2361" s="588"/>
      <c r="B2361" s="588"/>
      <c r="C2361" s="588"/>
      <c r="D2361" s="588"/>
      <c r="E2361" s="588"/>
      <c r="F2361" s="588"/>
      <c r="G2361" s="600"/>
      <c r="H2361" s="588"/>
      <c r="I2361" s="588"/>
      <c r="J2361" s="588"/>
    </row>
    <row r="2362" spans="1:10" x14ac:dyDescent="0.3">
      <c r="A2362" s="588"/>
      <c r="B2362" s="588"/>
      <c r="C2362" s="588"/>
      <c r="D2362" s="588"/>
      <c r="E2362" s="588"/>
      <c r="F2362" s="588"/>
      <c r="G2362" s="600"/>
      <c r="H2362" s="588"/>
      <c r="I2362" s="588"/>
      <c r="J2362" s="588"/>
    </row>
    <row r="2363" spans="1:10" x14ac:dyDescent="0.3">
      <c r="A2363" s="588"/>
      <c r="B2363" s="588"/>
      <c r="C2363" s="588"/>
      <c r="D2363" s="588"/>
      <c r="E2363" s="588"/>
      <c r="F2363" s="588"/>
      <c r="G2363" s="600"/>
      <c r="H2363" s="588"/>
      <c r="I2363" s="588"/>
      <c r="J2363" s="588"/>
    </row>
    <row r="2364" spans="1:10" x14ac:dyDescent="0.3">
      <c r="A2364" s="588"/>
      <c r="B2364" s="588"/>
      <c r="C2364" s="588"/>
      <c r="D2364" s="588"/>
      <c r="E2364" s="588"/>
      <c r="F2364" s="588"/>
      <c r="G2364" s="600"/>
      <c r="H2364" s="588"/>
      <c r="I2364" s="588"/>
      <c r="J2364" s="588"/>
    </row>
    <row r="2365" spans="1:10" x14ac:dyDescent="0.3">
      <c r="A2365" s="588"/>
      <c r="B2365" s="588"/>
      <c r="C2365" s="588"/>
      <c r="D2365" s="588"/>
      <c r="E2365" s="588"/>
      <c r="F2365" s="588"/>
      <c r="G2365" s="600"/>
      <c r="H2365" s="588"/>
      <c r="I2365" s="588"/>
      <c r="J2365" s="588"/>
    </row>
    <row r="2366" spans="1:10" x14ac:dyDescent="0.3">
      <c r="A2366" s="588"/>
      <c r="B2366" s="588"/>
      <c r="C2366" s="588"/>
      <c r="D2366" s="588"/>
      <c r="E2366" s="588"/>
      <c r="F2366" s="588"/>
      <c r="G2366" s="600"/>
      <c r="H2366" s="588"/>
      <c r="I2366" s="588"/>
      <c r="J2366" s="588"/>
    </row>
    <row r="2367" spans="1:10" x14ac:dyDescent="0.3">
      <c r="A2367" s="588"/>
      <c r="B2367" s="588"/>
      <c r="C2367" s="588"/>
      <c r="D2367" s="588"/>
      <c r="E2367" s="588"/>
      <c r="F2367" s="588"/>
      <c r="G2367" s="600"/>
      <c r="H2367" s="588"/>
      <c r="I2367" s="588"/>
      <c r="J2367" s="588"/>
    </row>
    <row r="2368" spans="1:10" x14ac:dyDescent="0.3">
      <c r="A2368" s="588"/>
      <c r="B2368" s="588"/>
      <c r="C2368" s="588"/>
      <c r="D2368" s="588"/>
      <c r="E2368" s="588"/>
      <c r="F2368" s="588"/>
      <c r="G2368" s="600"/>
      <c r="H2368" s="588"/>
      <c r="I2368" s="588"/>
      <c r="J2368" s="588"/>
    </row>
    <row r="2369" spans="1:10" x14ac:dyDescent="0.3">
      <c r="A2369" s="588"/>
      <c r="B2369" s="588"/>
      <c r="C2369" s="588"/>
      <c r="D2369" s="588"/>
      <c r="E2369" s="588"/>
      <c r="F2369" s="588"/>
      <c r="G2369" s="600"/>
      <c r="H2369" s="588"/>
      <c r="I2369" s="588"/>
      <c r="J2369" s="588"/>
    </row>
    <row r="2370" spans="1:10" x14ac:dyDescent="0.3">
      <c r="A2370" s="588"/>
      <c r="B2370" s="588"/>
      <c r="C2370" s="588"/>
      <c r="D2370" s="588"/>
      <c r="E2370" s="588"/>
      <c r="F2370" s="588"/>
      <c r="G2370" s="600"/>
      <c r="H2370" s="588"/>
      <c r="I2370" s="588"/>
      <c r="J2370" s="588"/>
    </row>
    <row r="2371" spans="1:10" x14ac:dyDescent="0.3">
      <c r="A2371" s="588"/>
      <c r="B2371" s="588"/>
      <c r="C2371" s="588"/>
      <c r="D2371" s="588"/>
      <c r="E2371" s="588"/>
      <c r="F2371" s="588"/>
      <c r="G2371" s="600"/>
      <c r="H2371" s="588"/>
      <c r="I2371" s="588"/>
      <c r="J2371" s="588"/>
    </row>
    <row r="2372" spans="1:10" x14ac:dyDescent="0.3">
      <c r="A2372" s="588"/>
      <c r="B2372" s="588"/>
      <c r="C2372" s="588"/>
      <c r="D2372" s="588"/>
      <c r="E2372" s="588"/>
      <c r="F2372" s="588"/>
      <c r="G2372" s="600"/>
      <c r="H2372" s="588"/>
      <c r="I2372" s="588"/>
      <c r="J2372" s="588"/>
    </row>
    <row r="2373" spans="1:10" x14ac:dyDescent="0.3">
      <c r="A2373" s="588"/>
      <c r="B2373" s="588"/>
      <c r="C2373" s="588"/>
      <c r="D2373" s="588"/>
      <c r="E2373" s="588"/>
      <c r="F2373" s="588"/>
      <c r="G2373" s="600"/>
      <c r="H2373" s="588"/>
      <c r="I2373" s="588"/>
      <c r="J2373" s="588"/>
    </row>
    <row r="2374" spans="1:10" x14ac:dyDescent="0.3">
      <c r="A2374" s="588"/>
      <c r="B2374" s="588"/>
      <c r="C2374" s="588"/>
      <c r="D2374" s="588"/>
      <c r="E2374" s="588"/>
      <c r="F2374" s="588"/>
      <c r="G2374" s="600"/>
      <c r="H2374" s="588"/>
      <c r="I2374" s="588"/>
      <c r="J2374" s="588"/>
    </row>
    <row r="2375" spans="1:10" x14ac:dyDescent="0.3">
      <c r="A2375" s="588"/>
      <c r="B2375" s="588"/>
      <c r="C2375" s="588"/>
      <c r="D2375" s="588"/>
      <c r="E2375" s="588"/>
      <c r="F2375" s="588"/>
      <c r="G2375" s="600"/>
      <c r="H2375" s="588"/>
      <c r="I2375" s="588"/>
      <c r="J2375" s="588"/>
    </row>
    <row r="2376" spans="1:10" x14ac:dyDescent="0.3">
      <c r="A2376" s="588"/>
      <c r="B2376" s="588"/>
      <c r="C2376" s="588"/>
      <c r="D2376" s="588"/>
      <c r="E2376" s="588"/>
      <c r="F2376" s="588"/>
      <c r="G2376" s="600"/>
      <c r="H2376" s="588"/>
      <c r="I2376" s="588"/>
      <c r="J2376" s="588"/>
    </row>
    <row r="2377" spans="1:10" x14ac:dyDescent="0.3">
      <c r="A2377" s="588"/>
      <c r="B2377" s="588"/>
      <c r="C2377" s="588"/>
      <c r="D2377" s="588"/>
      <c r="E2377" s="588"/>
      <c r="F2377" s="588"/>
      <c r="G2377" s="600"/>
      <c r="H2377" s="588"/>
      <c r="I2377" s="588"/>
      <c r="J2377" s="588"/>
    </row>
    <row r="2378" spans="1:10" x14ac:dyDescent="0.3">
      <c r="A2378" s="588"/>
      <c r="B2378" s="588"/>
      <c r="C2378" s="588"/>
      <c r="D2378" s="588"/>
      <c r="E2378" s="588"/>
      <c r="F2378" s="588"/>
      <c r="G2378" s="600"/>
      <c r="H2378" s="588"/>
      <c r="I2378" s="588"/>
      <c r="J2378" s="588"/>
    </row>
    <row r="2379" spans="1:10" x14ac:dyDescent="0.3">
      <c r="A2379" s="588"/>
      <c r="B2379" s="588"/>
      <c r="C2379" s="588"/>
      <c r="D2379" s="588"/>
      <c r="E2379" s="588"/>
      <c r="F2379" s="588"/>
      <c r="G2379" s="600"/>
      <c r="H2379" s="588"/>
      <c r="I2379" s="588"/>
      <c r="J2379" s="588"/>
    </row>
    <row r="2380" spans="1:10" x14ac:dyDescent="0.3">
      <c r="A2380" s="588"/>
      <c r="B2380" s="588"/>
      <c r="C2380" s="588"/>
      <c r="D2380" s="588"/>
      <c r="E2380" s="588"/>
      <c r="F2380" s="588"/>
      <c r="G2380" s="600"/>
      <c r="H2380" s="588"/>
      <c r="I2380" s="588"/>
      <c r="J2380" s="588"/>
    </row>
    <row r="2381" spans="1:10" x14ac:dyDescent="0.3">
      <c r="A2381" s="588"/>
      <c r="B2381" s="588"/>
      <c r="C2381" s="588"/>
      <c r="D2381" s="588"/>
      <c r="E2381" s="588"/>
      <c r="F2381" s="588"/>
      <c r="G2381" s="600"/>
      <c r="H2381" s="588"/>
      <c r="I2381" s="588"/>
      <c r="J2381" s="588"/>
    </row>
    <row r="2382" spans="1:10" x14ac:dyDescent="0.3">
      <c r="A2382" s="588"/>
      <c r="B2382" s="588"/>
      <c r="C2382" s="588"/>
      <c r="D2382" s="588"/>
      <c r="E2382" s="588"/>
      <c r="F2382" s="588"/>
      <c r="G2382" s="600"/>
      <c r="H2382" s="588"/>
      <c r="I2382" s="588"/>
      <c r="J2382" s="588"/>
    </row>
    <row r="2383" spans="1:10" x14ac:dyDescent="0.3">
      <c r="A2383" s="588"/>
      <c r="B2383" s="588"/>
      <c r="C2383" s="588"/>
      <c r="D2383" s="588"/>
      <c r="E2383" s="588"/>
      <c r="F2383" s="588"/>
      <c r="G2383" s="600"/>
      <c r="H2383" s="588"/>
      <c r="I2383" s="588"/>
      <c r="J2383" s="588"/>
    </row>
    <row r="2384" spans="1:10" x14ac:dyDescent="0.3">
      <c r="A2384" s="588"/>
      <c r="B2384" s="588"/>
      <c r="C2384" s="588"/>
      <c r="D2384" s="588"/>
      <c r="E2384" s="588"/>
      <c r="F2384" s="588"/>
      <c r="G2384" s="600"/>
      <c r="H2384" s="588"/>
      <c r="I2384" s="588"/>
      <c r="J2384" s="588"/>
    </row>
    <row r="2385" spans="1:10" x14ac:dyDescent="0.3">
      <c r="A2385" s="588"/>
      <c r="B2385" s="588"/>
      <c r="C2385" s="588"/>
      <c r="D2385" s="588"/>
      <c r="E2385" s="588"/>
      <c r="F2385" s="588"/>
      <c r="G2385" s="600"/>
      <c r="H2385" s="588"/>
      <c r="I2385" s="588"/>
      <c r="J2385" s="588"/>
    </row>
    <row r="2386" spans="1:10" x14ac:dyDescent="0.3">
      <c r="A2386" s="588"/>
      <c r="B2386" s="588"/>
      <c r="C2386" s="588"/>
      <c r="D2386" s="588"/>
      <c r="E2386" s="588"/>
      <c r="F2386" s="588"/>
      <c r="G2386" s="600"/>
      <c r="H2386" s="588"/>
      <c r="I2386" s="588"/>
      <c r="J2386" s="588"/>
    </row>
    <row r="2387" spans="1:10" x14ac:dyDescent="0.3">
      <c r="A2387" s="588"/>
      <c r="B2387" s="588"/>
      <c r="C2387" s="588"/>
      <c r="D2387" s="588"/>
      <c r="E2387" s="588"/>
      <c r="F2387" s="588"/>
      <c r="G2387" s="600"/>
      <c r="H2387" s="588"/>
      <c r="I2387" s="588"/>
      <c r="J2387" s="588"/>
    </row>
    <row r="2388" spans="1:10" x14ac:dyDescent="0.3">
      <c r="A2388" s="588"/>
      <c r="B2388" s="588"/>
      <c r="C2388" s="588"/>
      <c r="D2388" s="588"/>
      <c r="E2388" s="588"/>
      <c r="F2388" s="588"/>
      <c r="G2388" s="600"/>
      <c r="H2388" s="588"/>
      <c r="I2388" s="588"/>
      <c r="J2388" s="588"/>
    </row>
    <row r="2389" spans="1:10" x14ac:dyDescent="0.3">
      <c r="A2389" s="588"/>
      <c r="B2389" s="588"/>
      <c r="C2389" s="588"/>
      <c r="D2389" s="588"/>
      <c r="E2389" s="588"/>
      <c r="F2389" s="588"/>
      <c r="G2389" s="600"/>
      <c r="H2389" s="588"/>
      <c r="I2389" s="588"/>
      <c r="J2389" s="588"/>
    </row>
    <row r="2390" spans="1:10" x14ac:dyDescent="0.3">
      <c r="A2390" s="588"/>
      <c r="B2390" s="588"/>
      <c r="C2390" s="588"/>
      <c r="D2390" s="588"/>
      <c r="E2390" s="588"/>
      <c r="F2390" s="588"/>
      <c r="G2390" s="600"/>
      <c r="H2390" s="588"/>
      <c r="I2390" s="588"/>
      <c r="J2390" s="588"/>
    </row>
    <row r="2391" spans="1:10" x14ac:dyDescent="0.3">
      <c r="A2391" s="588"/>
      <c r="B2391" s="588"/>
      <c r="C2391" s="588"/>
      <c r="D2391" s="588"/>
      <c r="E2391" s="588"/>
      <c r="F2391" s="588"/>
      <c r="G2391" s="600"/>
      <c r="H2391" s="588"/>
      <c r="I2391" s="588"/>
      <c r="J2391" s="588"/>
    </row>
    <row r="2392" spans="1:10" x14ac:dyDescent="0.3">
      <c r="A2392" s="588"/>
      <c r="B2392" s="588"/>
      <c r="C2392" s="588"/>
      <c r="D2392" s="588"/>
      <c r="E2392" s="588"/>
      <c r="F2392" s="588"/>
      <c r="G2392" s="600"/>
      <c r="H2392" s="588"/>
      <c r="I2392" s="588"/>
      <c r="J2392" s="588"/>
    </row>
    <row r="2393" spans="1:10" x14ac:dyDescent="0.3">
      <c r="A2393" s="588"/>
      <c r="B2393" s="588"/>
      <c r="C2393" s="588"/>
      <c r="D2393" s="588"/>
      <c r="E2393" s="588"/>
      <c r="F2393" s="588"/>
      <c r="G2393" s="600"/>
      <c r="H2393" s="588"/>
      <c r="I2393" s="588"/>
      <c r="J2393" s="588"/>
    </row>
    <row r="2394" spans="1:10" x14ac:dyDescent="0.3">
      <c r="A2394" s="588"/>
      <c r="B2394" s="588"/>
      <c r="C2394" s="588"/>
      <c r="D2394" s="588"/>
      <c r="E2394" s="588"/>
      <c r="F2394" s="588"/>
      <c r="G2394" s="600"/>
      <c r="H2394" s="588"/>
      <c r="I2394" s="588"/>
      <c r="J2394" s="588"/>
    </row>
    <row r="2395" spans="1:10" x14ac:dyDescent="0.3">
      <c r="A2395" s="588"/>
      <c r="B2395" s="588"/>
      <c r="C2395" s="588"/>
      <c r="D2395" s="588"/>
      <c r="E2395" s="588"/>
      <c r="F2395" s="588"/>
      <c r="G2395" s="600"/>
      <c r="H2395" s="588"/>
      <c r="I2395" s="588"/>
      <c r="J2395" s="588"/>
    </row>
    <row r="2396" spans="1:10" x14ac:dyDescent="0.3">
      <c r="A2396" s="588"/>
      <c r="B2396" s="588"/>
      <c r="C2396" s="588"/>
      <c r="D2396" s="588"/>
      <c r="E2396" s="588"/>
      <c r="F2396" s="588"/>
      <c r="G2396" s="600"/>
      <c r="H2396" s="588"/>
      <c r="I2396" s="588"/>
      <c r="J2396" s="588"/>
    </row>
    <row r="2397" spans="1:10" x14ac:dyDescent="0.3">
      <c r="A2397" s="588"/>
      <c r="B2397" s="588"/>
      <c r="C2397" s="588"/>
      <c r="D2397" s="588"/>
      <c r="E2397" s="588"/>
      <c r="F2397" s="588"/>
      <c r="G2397" s="600"/>
      <c r="H2397" s="588"/>
      <c r="I2397" s="588"/>
      <c r="J2397" s="588"/>
    </row>
    <row r="2398" spans="1:10" x14ac:dyDescent="0.3">
      <c r="A2398" s="588"/>
      <c r="B2398" s="588"/>
      <c r="C2398" s="588"/>
      <c r="D2398" s="588"/>
      <c r="E2398" s="588"/>
      <c r="F2398" s="588"/>
      <c r="G2398" s="600"/>
      <c r="H2398" s="588"/>
      <c r="I2398" s="588"/>
      <c r="J2398" s="588"/>
    </row>
    <row r="2399" spans="1:10" x14ac:dyDescent="0.3">
      <c r="A2399" s="588"/>
      <c r="B2399" s="588"/>
      <c r="C2399" s="588"/>
      <c r="D2399" s="588"/>
      <c r="E2399" s="588"/>
      <c r="F2399" s="588"/>
      <c r="G2399" s="600"/>
      <c r="H2399" s="588"/>
      <c r="I2399" s="588"/>
      <c r="J2399" s="588"/>
    </row>
    <row r="2400" spans="1:10" x14ac:dyDescent="0.3">
      <c r="A2400" s="588"/>
      <c r="B2400" s="588"/>
      <c r="C2400" s="588"/>
      <c r="D2400" s="588"/>
      <c r="E2400" s="588"/>
      <c r="F2400" s="588"/>
      <c r="G2400" s="600"/>
      <c r="H2400" s="588"/>
      <c r="I2400" s="588"/>
      <c r="J2400" s="588"/>
    </row>
    <row r="2401" spans="1:10" x14ac:dyDescent="0.3">
      <c r="A2401" s="588"/>
      <c r="B2401" s="588"/>
      <c r="C2401" s="588"/>
      <c r="D2401" s="588"/>
      <c r="E2401" s="588"/>
      <c r="F2401" s="588"/>
      <c r="G2401" s="600"/>
      <c r="H2401" s="588"/>
      <c r="I2401" s="588"/>
      <c r="J2401" s="588"/>
    </row>
    <row r="2402" spans="1:10" x14ac:dyDescent="0.3">
      <c r="A2402" s="588"/>
      <c r="B2402" s="588"/>
      <c r="C2402" s="588"/>
      <c r="D2402" s="588"/>
      <c r="E2402" s="588"/>
      <c r="F2402" s="588"/>
      <c r="G2402" s="600"/>
      <c r="H2402" s="588"/>
      <c r="I2402" s="588"/>
      <c r="J2402" s="588"/>
    </row>
    <row r="2403" spans="1:10" x14ac:dyDescent="0.3">
      <c r="A2403" s="588"/>
      <c r="B2403" s="588"/>
      <c r="C2403" s="588"/>
      <c r="D2403" s="588"/>
      <c r="E2403" s="588"/>
      <c r="F2403" s="588"/>
      <c r="G2403" s="600"/>
      <c r="H2403" s="588"/>
      <c r="I2403" s="588"/>
      <c r="J2403" s="588"/>
    </row>
    <row r="2404" spans="1:10" x14ac:dyDescent="0.3">
      <c r="A2404" s="588"/>
      <c r="B2404" s="588"/>
      <c r="C2404" s="588"/>
      <c r="D2404" s="588"/>
      <c r="E2404" s="588"/>
      <c r="F2404" s="588"/>
      <c r="G2404" s="600"/>
      <c r="H2404" s="588"/>
      <c r="I2404" s="588"/>
      <c r="J2404" s="588"/>
    </row>
    <row r="2405" spans="1:10" x14ac:dyDescent="0.3">
      <c r="A2405" s="588"/>
      <c r="B2405" s="588"/>
      <c r="C2405" s="588"/>
      <c r="D2405" s="588"/>
      <c r="E2405" s="588"/>
      <c r="F2405" s="588"/>
      <c r="G2405" s="600"/>
      <c r="H2405" s="588"/>
      <c r="I2405" s="588"/>
      <c r="J2405" s="588"/>
    </row>
    <row r="2406" spans="1:10" x14ac:dyDescent="0.3">
      <c r="A2406" s="588"/>
      <c r="B2406" s="588"/>
      <c r="C2406" s="588"/>
      <c r="D2406" s="588"/>
      <c r="E2406" s="588"/>
      <c r="F2406" s="588"/>
      <c r="G2406" s="600"/>
      <c r="H2406" s="588"/>
      <c r="I2406" s="588"/>
      <c r="J2406" s="588"/>
    </row>
    <row r="2407" spans="1:10" x14ac:dyDescent="0.3">
      <c r="A2407" s="588"/>
      <c r="B2407" s="588"/>
      <c r="C2407" s="588"/>
      <c r="D2407" s="588"/>
      <c r="E2407" s="588"/>
      <c r="F2407" s="588"/>
      <c r="G2407" s="600"/>
      <c r="H2407" s="588"/>
      <c r="I2407" s="588"/>
      <c r="J2407" s="588"/>
    </row>
    <row r="2408" spans="1:10" x14ac:dyDescent="0.3">
      <c r="A2408" s="588"/>
      <c r="B2408" s="588"/>
      <c r="C2408" s="588"/>
      <c r="D2408" s="588"/>
      <c r="E2408" s="588"/>
      <c r="F2408" s="588"/>
      <c r="G2408" s="600"/>
      <c r="H2408" s="588"/>
      <c r="I2408" s="588"/>
      <c r="J2408" s="588"/>
    </row>
    <row r="2409" spans="1:10" x14ac:dyDescent="0.3">
      <c r="A2409" s="588"/>
      <c r="B2409" s="588"/>
      <c r="C2409" s="588"/>
      <c r="D2409" s="588"/>
      <c r="E2409" s="588"/>
      <c r="F2409" s="588"/>
      <c r="G2409" s="600"/>
      <c r="H2409" s="588"/>
      <c r="I2409" s="588"/>
      <c r="J2409" s="588"/>
    </row>
    <row r="2410" spans="1:10" x14ac:dyDescent="0.3">
      <c r="A2410" s="588"/>
      <c r="B2410" s="588"/>
      <c r="C2410" s="588"/>
      <c r="D2410" s="588"/>
      <c r="E2410" s="588"/>
      <c r="F2410" s="588"/>
      <c r="G2410" s="600"/>
      <c r="H2410" s="588"/>
      <c r="I2410" s="588"/>
      <c r="J2410" s="588"/>
    </row>
    <row r="2411" spans="1:10" x14ac:dyDescent="0.3">
      <c r="A2411" s="588"/>
      <c r="B2411" s="588"/>
      <c r="C2411" s="588"/>
      <c r="D2411" s="588"/>
      <c r="E2411" s="588"/>
      <c r="F2411" s="588"/>
      <c r="G2411" s="600"/>
      <c r="H2411" s="588"/>
      <c r="I2411" s="588"/>
      <c r="J2411" s="588"/>
    </row>
    <row r="2412" spans="1:10" x14ac:dyDescent="0.3">
      <c r="A2412" s="588"/>
      <c r="B2412" s="588"/>
      <c r="C2412" s="588"/>
      <c r="D2412" s="588"/>
      <c r="E2412" s="588"/>
      <c r="F2412" s="588"/>
      <c r="G2412" s="600"/>
      <c r="H2412" s="588"/>
      <c r="I2412" s="588"/>
      <c r="J2412" s="588"/>
    </row>
    <row r="2413" spans="1:10" x14ac:dyDescent="0.3">
      <c r="A2413" s="588"/>
      <c r="B2413" s="588"/>
      <c r="C2413" s="588"/>
      <c r="D2413" s="588"/>
      <c r="E2413" s="588"/>
      <c r="F2413" s="588"/>
      <c r="G2413" s="600"/>
      <c r="H2413" s="588"/>
      <c r="I2413" s="588"/>
      <c r="J2413" s="588"/>
    </row>
    <row r="2414" spans="1:10" x14ac:dyDescent="0.3">
      <c r="A2414" s="588"/>
      <c r="B2414" s="588"/>
      <c r="C2414" s="588"/>
      <c r="D2414" s="588"/>
      <c r="E2414" s="588"/>
      <c r="F2414" s="588"/>
      <c r="G2414" s="600"/>
      <c r="H2414" s="588"/>
      <c r="I2414" s="588"/>
      <c r="J2414" s="588"/>
    </row>
    <row r="2415" spans="1:10" x14ac:dyDescent="0.3">
      <c r="A2415" s="588"/>
      <c r="B2415" s="588"/>
      <c r="C2415" s="588"/>
      <c r="D2415" s="588"/>
      <c r="E2415" s="588"/>
      <c r="F2415" s="588"/>
      <c r="G2415" s="600"/>
      <c r="H2415" s="588"/>
      <c r="I2415" s="588"/>
      <c r="J2415" s="588"/>
    </row>
    <row r="2416" spans="1:10" x14ac:dyDescent="0.3">
      <c r="A2416" s="588"/>
      <c r="B2416" s="588"/>
      <c r="C2416" s="588"/>
      <c r="D2416" s="588"/>
      <c r="E2416" s="588"/>
      <c r="F2416" s="588"/>
      <c r="G2416" s="600"/>
      <c r="H2416" s="588"/>
      <c r="I2416" s="588"/>
      <c r="J2416" s="588"/>
    </row>
    <row r="2417" spans="1:10" x14ac:dyDescent="0.3">
      <c r="A2417" s="588"/>
      <c r="B2417" s="588"/>
      <c r="C2417" s="588"/>
      <c r="D2417" s="588"/>
      <c r="E2417" s="588"/>
      <c r="F2417" s="588"/>
      <c r="G2417" s="600"/>
      <c r="H2417" s="588"/>
      <c r="I2417" s="588"/>
      <c r="J2417" s="588"/>
    </row>
    <row r="2418" spans="1:10" x14ac:dyDescent="0.3">
      <c r="A2418" s="588"/>
      <c r="B2418" s="588"/>
      <c r="C2418" s="588"/>
      <c r="D2418" s="588"/>
      <c r="E2418" s="588"/>
      <c r="F2418" s="588"/>
      <c r="G2418" s="600"/>
      <c r="H2418" s="588"/>
      <c r="I2418" s="588"/>
      <c r="J2418" s="588"/>
    </row>
    <row r="2419" spans="1:10" x14ac:dyDescent="0.3">
      <c r="A2419" s="588"/>
      <c r="B2419" s="588"/>
      <c r="C2419" s="588"/>
      <c r="D2419" s="588"/>
      <c r="E2419" s="588"/>
      <c r="F2419" s="588"/>
      <c r="G2419" s="600"/>
      <c r="H2419" s="588"/>
      <c r="I2419" s="588"/>
      <c r="J2419" s="588"/>
    </row>
    <row r="2420" spans="1:10" x14ac:dyDescent="0.3">
      <c r="A2420" s="588"/>
      <c r="B2420" s="588"/>
      <c r="C2420" s="588"/>
      <c r="D2420" s="588"/>
      <c r="E2420" s="588"/>
      <c r="F2420" s="588"/>
      <c r="G2420" s="600"/>
      <c r="H2420" s="588"/>
      <c r="I2420" s="588"/>
      <c r="J2420" s="588"/>
    </row>
    <row r="2421" spans="1:10" x14ac:dyDescent="0.3">
      <c r="A2421" s="588"/>
      <c r="B2421" s="588"/>
      <c r="C2421" s="588"/>
      <c r="D2421" s="588"/>
      <c r="E2421" s="588"/>
      <c r="F2421" s="588"/>
      <c r="G2421" s="600"/>
      <c r="H2421" s="588"/>
      <c r="I2421" s="588"/>
      <c r="J2421" s="588"/>
    </row>
    <row r="2422" spans="1:10" x14ac:dyDescent="0.3">
      <c r="A2422" s="588"/>
      <c r="B2422" s="588"/>
      <c r="C2422" s="588"/>
      <c r="D2422" s="588"/>
      <c r="E2422" s="588"/>
      <c r="F2422" s="588"/>
      <c r="G2422" s="600"/>
      <c r="H2422" s="588"/>
      <c r="I2422" s="588"/>
      <c r="J2422" s="588"/>
    </row>
    <row r="2423" spans="1:10" x14ac:dyDescent="0.3">
      <c r="A2423" s="588"/>
      <c r="B2423" s="588"/>
      <c r="C2423" s="588"/>
      <c r="D2423" s="588"/>
      <c r="E2423" s="588"/>
      <c r="F2423" s="588"/>
      <c r="G2423" s="600"/>
      <c r="H2423" s="588"/>
      <c r="I2423" s="588"/>
      <c r="J2423" s="588"/>
    </row>
    <row r="2424" spans="1:10" x14ac:dyDescent="0.3">
      <c r="A2424" s="588"/>
      <c r="B2424" s="588"/>
      <c r="C2424" s="588"/>
      <c r="D2424" s="588"/>
      <c r="E2424" s="588"/>
      <c r="F2424" s="588"/>
      <c r="G2424" s="600"/>
      <c r="H2424" s="588"/>
      <c r="I2424" s="588"/>
      <c r="J2424" s="588"/>
    </row>
    <row r="2425" spans="1:10" x14ac:dyDescent="0.3">
      <c r="A2425" s="588"/>
      <c r="B2425" s="588"/>
      <c r="C2425" s="588"/>
      <c r="D2425" s="588"/>
      <c r="E2425" s="588"/>
      <c r="F2425" s="588"/>
      <c r="G2425" s="600"/>
      <c r="H2425" s="588"/>
      <c r="I2425" s="588"/>
      <c r="J2425" s="588"/>
    </row>
    <row r="2426" spans="1:10" x14ac:dyDescent="0.3">
      <c r="A2426" s="588"/>
      <c r="B2426" s="588"/>
      <c r="C2426" s="588"/>
      <c r="D2426" s="588"/>
      <c r="E2426" s="588"/>
      <c r="F2426" s="588"/>
      <c r="G2426" s="600"/>
      <c r="H2426" s="588"/>
      <c r="I2426" s="588"/>
      <c r="J2426" s="588"/>
    </row>
    <row r="2427" spans="1:10" x14ac:dyDescent="0.3">
      <c r="A2427" s="588"/>
      <c r="B2427" s="588"/>
      <c r="C2427" s="588"/>
      <c r="D2427" s="588"/>
      <c r="E2427" s="588"/>
      <c r="F2427" s="588"/>
      <c r="G2427" s="600"/>
      <c r="H2427" s="588"/>
      <c r="I2427" s="588"/>
      <c r="J2427" s="588"/>
    </row>
    <row r="2428" spans="1:10" x14ac:dyDescent="0.3">
      <c r="A2428" s="588"/>
      <c r="B2428" s="588"/>
      <c r="C2428" s="588"/>
      <c r="D2428" s="588"/>
      <c r="E2428" s="588"/>
      <c r="F2428" s="588"/>
      <c r="G2428" s="600"/>
      <c r="H2428" s="588"/>
      <c r="I2428" s="588"/>
      <c r="J2428" s="588"/>
    </row>
    <row r="2429" spans="1:10" x14ac:dyDescent="0.3">
      <c r="A2429" s="588"/>
      <c r="B2429" s="588"/>
      <c r="C2429" s="588"/>
      <c r="D2429" s="588"/>
      <c r="E2429" s="588"/>
      <c r="F2429" s="588"/>
      <c r="G2429" s="600"/>
      <c r="H2429" s="588"/>
      <c r="I2429" s="588"/>
      <c r="J2429" s="588"/>
    </row>
    <row r="2430" spans="1:10" x14ac:dyDescent="0.3">
      <c r="A2430" s="588"/>
      <c r="B2430" s="588"/>
      <c r="C2430" s="588"/>
      <c r="D2430" s="588"/>
      <c r="E2430" s="588"/>
      <c r="F2430" s="588"/>
      <c r="G2430" s="600"/>
      <c r="H2430" s="588"/>
      <c r="I2430" s="588"/>
      <c r="J2430" s="588"/>
    </row>
    <row r="2431" spans="1:10" x14ac:dyDescent="0.3">
      <c r="A2431" s="588"/>
      <c r="B2431" s="588"/>
      <c r="C2431" s="588"/>
      <c r="D2431" s="588"/>
      <c r="E2431" s="588"/>
      <c r="F2431" s="588"/>
      <c r="G2431" s="600"/>
      <c r="H2431" s="588"/>
      <c r="I2431" s="588"/>
      <c r="J2431" s="588"/>
    </row>
    <row r="2432" spans="1:10" x14ac:dyDescent="0.3">
      <c r="A2432" s="588"/>
      <c r="B2432" s="588"/>
      <c r="C2432" s="588"/>
      <c r="D2432" s="588"/>
      <c r="E2432" s="588"/>
      <c r="F2432" s="588"/>
      <c r="G2432" s="600"/>
      <c r="H2432" s="588"/>
      <c r="I2432" s="588"/>
      <c r="J2432" s="588"/>
    </row>
    <row r="2433" spans="1:10" x14ac:dyDescent="0.3">
      <c r="A2433" s="588"/>
      <c r="B2433" s="588"/>
      <c r="C2433" s="588"/>
      <c r="D2433" s="588"/>
      <c r="E2433" s="588"/>
      <c r="F2433" s="588"/>
      <c r="G2433" s="600"/>
      <c r="H2433" s="588"/>
      <c r="I2433" s="588"/>
      <c r="J2433" s="588"/>
    </row>
    <row r="2434" spans="1:10" x14ac:dyDescent="0.3">
      <c r="A2434" s="588"/>
      <c r="B2434" s="588"/>
      <c r="C2434" s="588"/>
      <c r="D2434" s="588"/>
      <c r="E2434" s="588"/>
      <c r="F2434" s="588"/>
      <c r="G2434" s="600"/>
      <c r="H2434" s="588"/>
      <c r="I2434" s="588"/>
      <c r="J2434" s="588"/>
    </row>
    <row r="2435" spans="1:10" x14ac:dyDescent="0.3">
      <c r="A2435" s="588"/>
      <c r="B2435" s="588"/>
      <c r="C2435" s="588"/>
      <c r="D2435" s="588"/>
      <c r="E2435" s="588"/>
      <c r="F2435" s="588"/>
      <c r="G2435" s="600"/>
      <c r="H2435" s="588"/>
      <c r="I2435" s="588"/>
      <c r="J2435" s="588"/>
    </row>
    <row r="2436" spans="1:10" x14ac:dyDescent="0.3">
      <c r="A2436" s="588"/>
      <c r="B2436" s="588"/>
      <c r="C2436" s="588"/>
      <c r="D2436" s="588"/>
      <c r="E2436" s="588"/>
      <c r="F2436" s="588"/>
      <c r="G2436" s="600"/>
      <c r="H2436" s="588"/>
      <c r="I2436" s="588"/>
      <c r="J2436" s="588"/>
    </row>
    <row r="2437" spans="1:10" x14ac:dyDescent="0.3">
      <c r="A2437" s="588"/>
      <c r="B2437" s="588"/>
      <c r="C2437" s="588"/>
      <c r="D2437" s="588"/>
      <c r="E2437" s="588"/>
      <c r="F2437" s="588"/>
      <c r="G2437" s="600"/>
      <c r="H2437" s="588"/>
      <c r="I2437" s="588"/>
      <c r="J2437" s="588"/>
    </row>
    <row r="2438" spans="1:10" x14ac:dyDescent="0.3">
      <c r="A2438" s="588"/>
      <c r="B2438" s="588"/>
      <c r="C2438" s="588"/>
      <c r="D2438" s="588"/>
      <c r="E2438" s="588"/>
      <c r="F2438" s="588"/>
      <c r="G2438" s="600"/>
      <c r="H2438" s="588"/>
      <c r="I2438" s="588"/>
      <c r="J2438" s="588"/>
    </row>
    <row r="2439" spans="1:10" x14ac:dyDescent="0.3">
      <c r="A2439" s="588"/>
      <c r="B2439" s="588"/>
      <c r="C2439" s="588"/>
      <c r="D2439" s="588"/>
      <c r="E2439" s="588"/>
      <c r="F2439" s="588"/>
      <c r="G2439" s="600"/>
      <c r="H2439" s="588"/>
      <c r="I2439" s="588"/>
      <c r="J2439" s="588"/>
    </row>
    <row r="2440" spans="1:10" x14ac:dyDescent="0.3">
      <c r="A2440" s="588"/>
      <c r="B2440" s="588"/>
      <c r="C2440" s="588"/>
      <c r="D2440" s="588"/>
      <c r="E2440" s="588"/>
      <c r="F2440" s="588"/>
      <c r="G2440" s="600"/>
      <c r="H2440" s="588"/>
      <c r="I2440" s="588"/>
      <c r="J2440" s="588"/>
    </row>
    <row r="2441" spans="1:10" x14ac:dyDescent="0.3">
      <c r="A2441" s="588"/>
      <c r="B2441" s="588"/>
      <c r="C2441" s="588"/>
      <c r="D2441" s="588"/>
      <c r="E2441" s="588"/>
      <c r="F2441" s="588"/>
      <c r="G2441" s="600"/>
      <c r="H2441" s="588"/>
      <c r="I2441" s="588"/>
      <c r="J2441" s="588"/>
    </row>
    <row r="2442" spans="1:10" x14ac:dyDescent="0.3">
      <c r="A2442" s="588"/>
      <c r="B2442" s="588"/>
      <c r="C2442" s="588"/>
      <c r="D2442" s="588"/>
      <c r="E2442" s="588"/>
      <c r="F2442" s="588"/>
      <c r="G2442" s="600"/>
      <c r="H2442" s="588"/>
      <c r="I2442" s="588"/>
      <c r="J2442" s="588"/>
    </row>
    <row r="2443" spans="1:10" x14ac:dyDescent="0.3">
      <c r="A2443" s="588"/>
      <c r="B2443" s="588"/>
      <c r="C2443" s="588"/>
      <c r="D2443" s="588"/>
      <c r="E2443" s="588"/>
      <c r="F2443" s="588"/>
      <c r="G2443" s="600"/>
      <c r="H2443" s="588"/>
      <c r="I2443" s="588"/>
      <c r="J2443" s="588"/>
    </row>
    <row r="2444" spans="1:10" x14ac:dyDescent="0.3">
      <c r="A2444" s="588"/>
      <c r="B2444" s="588"/>
      <c r="C2444" s="588"/>
      <c r="D2444" s="588"/>
      <c r="E2444" s="588"/>
      <c r="F2444" s="588"/>
      <c r="G2444" s="600"/>
      <c r="H2444" s="588"/>
      <c r="I2444" s="588"/>
      <c r="J2444" s="588"/>
    </row>
    <row r="2445" spans="1:10" x14ac:dyDescent="0.3">
      <c r="A2445" s="588"/>
      <c r="B2445" s="588"/>
      <c r="C2445" s="588"/>
      <c r="D2445" s="588"/>
      <c r="E2445" s="588"/>
      <c r="F2445" s="588"/>
      <c r="G2445" s="600"/>
      <c r="H2445" s="588"/>
      <c r="I2445" s="588"/>
      <c r="J2445" s="588"/>
    </row>
    <row r="2446" spans="1:10" x14ac:dyDescent="0.3">
      <c r="A2446" s="588"/>
      <c r="B2446" s="588"/>
      <c r="C2446" s="588"/>
      <c r="D2446" s="588"/>
      <c r="E2446" s="588"/>
      <c r="F2446" s="588"/>
      <c r="G2446" s="600"/>
      <c r="H2446" s="588"/>
      <c r="I2446" s="588"/>
      <c r="J2446" s="588"/>
    </row>
    <row r="2447" spans="1:10" x14ac:dyDescent="0.3">
      <c r="A2447" s="588"/>
      <c r="B2447" s="588"/>
      <c r="C2447" s="588"/>
      <c r="D2447" s="588"/>
      <c r="E2447" s="588"/>
      <c r="F2447" s="588"/>
      <c r="G2447" s="600"/>
      <c r="H2447" s="588"/>
      <c r="I2447" s="588"/>
      <c r="J2447" s="588"/>
    </row>
    <row r="2448" spans="1:10" x14ac:dyDescent="0.3">
      <c r="A2448" s="588"/>
      <c r="B2448" s="588"/>
      <c r="C2448" s="588"/>
      <c r="D2448" s="588"/>
      <c r="E2448" s="588"/>
      <c r="F2448" s="588"/>
      <c r="G2448" s="600"/>
      <c r="H2448" s="588"/>
      <c r="I2448" s="588"/>
      <c r="J2448" s="588"/>
    </row>
    <row r="2449" spans="1:10" x14ac:dyDescent="0.3">
      <c r="A2449" s="588"/>
      <c r="B2449" s="588"/>
      <c r="C2449" s="588"/>
      <c r="D2449" s="588"/>
      <c r="E2449" s="588"/>
      <c r="F2449" s="588"/>
      <c r="G2449" s="600"/>
      <c r="H2449" s="588"/>
      <c r="I2449" s="588"/>
      <c r="J2449" s="588"/>
    </row>
    <row r="2450" spans="1:10" x14ac:dyDescent="0.3">
      <c r="A2450" s="588"/>
      <c r="B2450" s="588"/>
      <c r="C2450" s="588"/>
      <c r="D2450" s="588"/>
      <c r="E2450" s="588"/>
      <c r="F2450" s="588"/>
      <c r="G2450" s="600"/>
      <c r="H2450" s="588"/>
      <c r="I2450" s="588"/>
      <c r="J2450" s="588"/>
    </row>
    <row r="2451" spans="1:10" x14ac:dyDescent="0.3">
      <c r="A2451" s="588"/>
      <c r="B2451" s="588"/>
      <c r="C2451" s="588"/>
      <c r="D2451" s="588"/>
      <c r="E2451" s="588"/>
      <c r="F2451" s="588"/>
      <c r="G2451" s="600"/>
      <c r="H2451" s="588"/>
      <c r="I2451" s="588"/>
      <c r="J2451" s="588"/>
    </row>
    <row r="2452" spans="1:10" x14ac:dyDescent="0.3">
      <c r="A2452" s="588"/>
      <c r="B2452" s="588"/>
      <c r="C2452" s="588"/>
      <c r="D2452" s="588"/>
      <c r="E2452" s="588"/>
      <c r="F2452" s="588"/>
      <c r="G2452" s="600"/>
      <c r="H2452" s="588"/>
      <c r="I2452" s="588"/>
      <c r="J2452" s="588"/>
    </row>
    <row r="2453" spans="1:10" x14ac:dyDescent="0.3">
      <c r="A2453" s="588"/>
      <c r="B2453" s="588"/>
      <c r="C2453" s="588"/>
      <c r="D2453" s="588"/>
      <c r="E2453" s="588"/>
      <c r="F2453" s="588"/>
      <c r="G2453" s="600"/>
      <c r="H2453" s="588"/>
      <c r="I2453" s="588"/>
      <c r="J2453" s="588"/>
    </row>
    <row r="2454" spans="1:10" x14ac:dyDescent="0.3">
      <c r="A2454" s="588"/>
      <c r="B2454" s="588"/>
      <c r="C2454" s="588"/>
      <c r="D2454" s="588"/>
      <c r="E2454" s="588"/>
      <c r="F2454" s="588"/>
      <c r="G2454" s="600"/>
      <c r="H2454" s="588"/>
      <c r="I2454" s="588"/>
      <c r="J2454" s="588"/>
    </row>
    <row r="2455" spans="1:10" x14ac:dyDescent="0.3">
      <c r="A2455" s="588"/>
      <c r="B2455" s="588"/>
      <c r="C2455" s="588"/>
      <c r="D2455" s="588"/>
      <c r="E2455" s="588"/>
      <c r="F2455" s="588"/>
      <c r="G2455" s="600"/>
      <c r="H2455" s="588"/>
      <c r="I2455" s="588"/>
      <c r="J2455" s="588"/>
    </row>
    <row r="2456" spans="1:10" x14ac:dyDescent="0.3">
      <c r="A2456" s="588"/>
      <c r="B2456" s="588"/>
      <c r="C2456" s="588"/>
      <c r="D2456" s="588"/>
      <c r="E2456" s="588"/>
      <c r="F2456" s="588"/>
      <c r="G2456" s="600"/>
      <c r="H2456" s="588"/>
      <c r="I2456" s="588"/>
      <c r="J2456" s="588"/>
    </row>
    <row r="2457" spans="1:10" x14ac:dyDescent="0.3">
      <c r="A2457" s="588"/>
      <c r="B2457" s="588"/>
      <c r="C2457" s="588"/>
      <c r="D2457" s="588"/>
      <c r="E2457" s="588"/>
      <c r="F2457" s="588"/>
      <c r="G2457" s="600"/>
      <c r="H2457" s="588"/>
      <c r="I2457" s="588"/>
      <c r="J2457" s="588"/>
    </row>
    <row r="2458" spans="1:10" x14ac:dyDescent="0.3">
      <c r="A2458" s="588"/>
      <c r="B2458" s="588"/>
      <c r="C2458" s="588"/>
      <c r="D2458" s="588"/>
      <c r="E2458" s="588"/>
      <c r="F2458" s="588"/>
      <c r="G2458" s="600"/>
      <c r="H2458" s="588"/>
      <c r="I2458" s="588"/>
      <c r="J2458" s="588"/>
    </row>
    <row r="2459" spans="1:10" x14ac:dyDescent="0.3">
      <c r="A2459" s="588"/>
      <c r="B2459" s="588"/>
      <c r="C2459" s="588"/>
      <c r="D2459" s="588"/>
      <c r="E2459" s="588"/>
      <c r="F2459" s="588"/>
      <c r="G2459" s="600"/>
      <c r="H2459" s="588"/>
      <c r="I2459" s="588"/>
      <c r="J2459" s="588"/>
    </row>
    <row r="2460" spans="1:10" x14ac:dyDescent="0.3">
      <c r="A2460" s="588"/>
      <c r="B2460" s="588"/>
      <c r="C2460" s="588"/>
      <c r="D2460" s="588"/>
      <c r="E2460" s="588"/>
      <c r="F2460" s="588"/>
      <c r="G2460" s="600"/>
      <c r="H2460" s="588"/>
      <c r="I2460" s="588"/>
      <c r="J2460" s="588"/>
    </row>
    <row r="2461" spans="1:10" x14ac:dyDescent="0.3">
      <c r="A2461" s="588"/>
      <c r="B2461" s="588"/>
      <c r="C2461" s="588"/>
      <c r="D2461" s="588"/>
      <c r="E2461" s="588"/>
      <c r="F2461" s="588"/>
      <c r="G2461" s="600"/>
      <c r="H2461" s="588"/>
      <c r="I2461" s="588"/>
      <c r="J2461" s="588"/>
    </row>
    <row r="2462" spans="1:10" x14ac:dyDescent="0.3">
      <c r="A2462" s="588"/>
      <c r="B2462" s="588"/>
      <c r="C2462" s="588"/>
      <c r="D2462" s="588"/>
      <c r="E2462" s="588"/>
      <c r="F2462" s="588"/>
      <c r="G2462" s="600"/>
      <c r="H2462" s="588"/>
      <c r="I2462" s="588"/>
      <c r="J2462" s="588"/>
    </row>
    <row r="2463" spans="1:10" x14ac:dyDescent="0.3">
      <c r="A2463" s="588"/>
      <c r="B2463" s="588"/>
      <c r="C2463" s="588"/>
      <c r="D2463" s="588"/>
      <c r="E2463" s="588"/>
      <c r="F2463" s="588"/>
      <c r="G2463" s="600"/>
      <c r="H2463" s="588"/>
      <c r="I2463" s="588"/>
      <c r="J2463" s="588"/>
    </row>
    <row r="2464" spans="1:10" x14ac:dyDescent="0.3">
      <c r="A2464" s="588"/>
      <c r="B2464" s="588"/>
      <c r="C2464" s="588"/>
      <c r="D2464" s="588"/>
      <c r="E2464" s="588"/>
      <c r="F2464" s="588"/>
      <c r="G2464" s="600"/>
      <c r="H2464" s="588"/>
      <c r="I2464" s="588"/>
      <c r="J2464" s="588"/>
    </row>
    <row r="2465" spans="1:10" x14ac:dyDescent="0.3">
      <c r="A2465" s="588"/>
      <c r="B2465" s="588"/>
      <c r="C2465" s="588"/>
      <c r="D2465" s="588"/>
      <c r="E2465" s="588"/>
      <c r="F2465" s="588"/>
      <c r="G2465" s="600"/>
      <c r="H2465" s="588"/>
      <c r="I2465" s="588"/>
      <c r="J2465" s="588"/>
    </row>
    <row r="2466" spans="1:10" x14ac:dyDescent="0.3">
      <c r="A2466" s="588"/>
      <c r="B2466" s="588"/>
      <c r="C2466" s="588"/>
      <c r="D2466" s="588"/>
      <c r="E2466" s="588"/>
      <c r="F2466" s="588"/>
      <c r="G2466" s="600"/>
      <c r="H2466" s="588"/>
      <c r="I2466" s="588"/>
      <c r="J2466" s="588"/>
    </row>
    <row r="2467" spans="1:10" x14ac:dyDescent="0.3">
      <c r="A2467" s="588"/>
      <c r="B2467" s="588"/>
      <c r="C2467" s="588"/>
      <c r="D2467" s="588"/>
      <c r="E2467" s="588"/>
      <c r="F2467" s="588"/>
      <c r="G2467" s="600"/>
      <c r="H2467" s="588"/>
      <c r="I2467" s="588"/>
      <c r="J2467" s="588"/>
    </row>
    <row r="2468" spans="1:10" x14ac:dyDescent="0.3">
      <c r="A2468" s="588"/>
      <c r="B2468" s="588"/>
      <c r="C2468" s="588"/>
      <c r="D2468" s="588"/>
      <c r="E2468" s="588"/>
      <c r="F2468" s="588"/>
      <c r="G2468" s="600"/>
      <c r="H2468" s="588"/>
      <c r="I2468" s="588"/>
      <c r="J2468" s="588"/>
    </row>
    <row r="2469" spans="1:10" x14ac:dyDescent="0.3">
      <c r="A2469" s="588"/>
      <c r="B2469" s="588"/>
      <c r="C2469" s="588"/>
      <c r="D2469" s="588"/>
      <c r="E2469" s="588"/>
      <c r="F2469" s="588"/>
      <c r="G2469" s="600"/>
      <c r="H2469" s="588"/>
      <c r="I2469" s="588"/>
      <c r="J2469" s="588"/>
    </row>
    <row r="2470" spans="1:10" x14ac:dyDescent="0.3">
      <c r="A2470" s="588"/>
      <c r="B2470" s="588"/>
      <c r="C2470" s="588"/>
      <c r="D2470" s="588"/>
      <c r="E2470" s="588"/>
      <c r="F2470" s="588"/>
      <c r="G2470" s="600"/>
      <c r="H2470" s="588"/>
      <c r="I2470" s="588"/>
      <c r="J2470" s="588"/>
    </row>
    <row r="2471" spans="1:10" x14ac:dyDescent="0.3">
      <c r="A2471" s="588"/>
      <c r="B2471" s="588"/>
      <c r="C2471" s="588"/>
      <c r="D2471" s="588"/>
      <c r="E2471" s="588"/>
      <c r="F2471" s="588"/>
      <c r="G2471" s="600"/>
      <c r="H2471" s="588"/>
      <c r="I2471" s="588"/>
      <c r="J2471" s="588"/>
    </row>
    <row r="2472" spans="1:10" x14ac:dyDescent="0.3">
      <c r="A2472" s="588"/>
      <c r="B2472" s="588"/>
      <c r="C2472" s="588"/>
      <c r="D2472" s="588"/>
      <c r="E2472" s="588"/>
      <c r="F2472" s="588"/>
      <c r="G2472" s="600"/>
      <c r="H2472" s="588"/>
      <c r="I2472" s="588"/>
      <c r="J2472" s="588"/>
    </row>
    <row r="2473" spans="1:10" x14ac:dyDescent="0.3">
      <c r="A2473" s="588"/>
      <c r="B2473" s="588"/>
      <c r="C2473" s="588"/>
      <c r="D2473" s="588"/>
      <c r="E2473" s="588"/>
      <c r="F2473" s="588"/>
      <c r="G2473" s="600"/>
      <c r="H2473" s="588"/>
      <c r="I2473" s="588"/>
      <c r="J2473" s="588"/>
    </row>
    <row r="2474" spans="1:10" x14ac:dyDescent="0.3">
      <c r="A2474" s="588"/>
      <c r="B2474" s="588"/>
      <c r="C2474" s="588"/>
      <c r="D2474" s="588"/>
      <c r="E2474" s="588"/>
      <c r="F2474" s="588"/>
      <c r="G2474" s="600"/>
      <c r="H2474" s="588"/>
      <c r="I2474" s="588"/>
      <c r="J2474" s="588"/>
    </row>
    <row r="2475" spans="1:10" x14ac:dyDescent="0.3">
      <c r="A2475" s="588"/>
      <c r="B2475" s="588"/>
      <c r="C2475" s="588"/>
      <c r="D2475" s="588"/>
      <c r="E2475" s="588"/>
      <c r="F2475" s="588"/>
      <c r="G2475" s="600"/>
      <c r="H2475" s="588"/>
      <c r="I2475" s="588"/>
      <c r="J2475" s="588"/>
    </row>
    <row r="2476" spans="1:10" x14ac:dyDescent="0.3">
      <c r="A2476" s="588"/>
      <c r="B2476" s="588"/>
      <c r="C2476" s="588"/>
      <c r="D2476" s="588"/>
      <c r="E2476" s="588"/>
      <c r="F2476" s="588"/>
      <c r="G2476" s="600"/>
      <c r="H2476" s="588"/>
      <c r="I2476" s="588"/>
      <c r="J2476" s="588"/>
    </row>
    <row r="2477" spans="1:10" x14ac:dyDescent="0.3">
      <c r="A2477" s="588"/>
      <c r="B2477" s="588"/>
      <c r="C2477" s="588"/>
      <c r="D2477" s="588"/>
      <c r="E2477" s="588"/>
      <c r="F2477" s="588"/>
      <c r="G2477" s="600"/>
      <c r="H2477" s="588"/>
      <c r="I2477" s="588"/>
      <c r="J2477" s="588"/>
    </row>
    <row r="2478" spans="1:10" x14ac:dyDescent="0.3">
      <c r="A2478" s="588"/>
      <c r="B2478" s="588"/>
      <c r="C2478" s="588"/>
      <c r="D2478" s="588"/>
      <c r="E2478" s="588"/>
      <c r="F2478" s="588"/>
      <c r="G2478" s="600"/>
      <c r="H2478" s="588"/>
      <c r="I2478" s="588"/>
      <c r="J2478" s="588"/>
    </row>
    <row r="2479" spans="1:10" x14ac:dyDescent="0.3">
      <c r="A2479" s="588"/>
      <c r="B2479" s="588"/>
      <c r="C2479" s="588"/>
      <c r="D2479" s="588"/>
      <c r="E2479" s="588"/>
      <c r="F2479" s="588"/>
      <c r="G2479" s="600"/>
      <c r="H2479" s="588"/>
      <c r="I2479" s="588"/>
      <c r="J2479" s="588"/>
    </row>
    <row r="2480" spans="1:10" x14ac:dyDescent="0.3">
      <c r="A2480" s="588"/>
      <c r="B2480" s="588"/>
      <c r="C2480" s="588"/>
      <c r="D2480" s="588"/>
      <c r="E2480" s="588"/>
      <c r="F2480" s="588"/>
      <c r="G2480" s="600"/>
      <c r="H2480" s="588"/>
      <c r="I2480" s="588"/>
      <c r="J2480" s="588"/>
    </row>
    <row r="2481" spans="1:10" x14ac:dyDescent="0.3">
      <c r="A2481" s="588"/>
      <c r="B2481" s="588"/>
      <c r="C2481" s="588"/>
      <c r="D2481" s="588"/>
      <c r="E2481" s="588"/>
      <c r="F2481" s="588"/>
      <c r="G2481" s="600"/>
      <c r="H2481" s="588"/>
      <c r="I2481" s="588"/>
      <c r="J2481" s="588"/>
    </row>
    <row r="2482" spans="1:10" x14ac:dyDescent="0.3">
      <c r="A2482" s="588"/>
      <c r="B2482" s="588"/>
      <c r="C2482" s="588"/>
      <c r="D2482" s="588"/>
      <c r="E2482" s="588"/>
      <c r="F2482" s="588"/>
      <c r="G2482" s="600"/>
      <c r="H2482" s="588"/>
      <c r="I2482" s="588"/>
      <c r="J2482" s="588"/>
    </row>
    <row r="2483" spans="1:10" x14ac:dyDescent="0.3">
      <c r="A2483" s="588"/>
      <c r="B2483" s="588"/>
      <c r="C2483" s="588"/>
      <c r="D2483" s="588"/>
      <c r="E2483" s="588"/>
      <c r="F2483" s="588"/>
      <c r="G2483" s="600"/>
      <c r="H2483" s="588"/>
      <c r="I2483" s="588"/>
      <c r="J2483" s="588"/>
    </row>
    <row r="2484" spans="1:10" x14ac:dyDescent="0.3">
      <c r="A2484" s="588"/>
      <c r="B2484" s="588"/>
      <c r="C2484" s="588"/>
      <c r="D2484" s="588"/>
      <c r="E2484" s="588"/>
      <c r="F2484" s="588"/>
      <c r="G2484" s="600"/>
      <c r="H2484" s="588"/>
      <c r="I2484" s="588"/>
      <c r="J2484" s="588"/>
    </row>
    <row r="2485" spans="1:10" x14ac:dyDescent="0.3">
      <c r="A2485" s="588"/>
      <c r="B2485" s="588"/>
      <c r="C2485" s="588"/>
      <c r="D2485" s="588"/>
      <c r="E2485" s="588"/>
      <c r="F2485" s="588"/>
      <c r="G2485" s="600"/>
      <c r="H2485" s="588"/>
      <c r="I2485" s="588"/>
      <c r="J2485" s="588"/>
    </row>
    <row r="2486" spans="1:10" x14ac:dyDescent="0.3">
      <c r="A2486" s="588"/>
      <c r="B2486" s="588"/>
      <c r="C2486" s="588"/>
      <c r="D2486" s="588"/>
      <c r="E2486" s="588"/>
      <c r="F2486" s="588"/>
      <c r="G2486" s="600"/>
      <c r="H2486" s="588"/>
      <c r="I2486" s="588"/>
      <c r="J2486" s="588"/>
    </row>
    <row r="2487" spans="1:10" x14ac:dyDescent="0.3">
      <c r="A2487" s="588"/>
      <c r="B2487" s="588"/>
      <c r="C2487" s="588"/>
      <c r="D2487" s="588"/>
      <c r="E2487" s="588"/>
      <c r="F2487" s="588"/>
      <c r="G2487" s="600"/>
      <c r="H2487" s="588"/>
      <c r="I2487" s="588"/>
      <c r="J2487" s="588"/>
    </row>
    <row r="2488" spans="1:10" x14ac:dyDescent="0.3">
      <c r="A2488" s="588"/>
      <c r="B2488" s="588"/>
      <c r="C2488" s="588"/>
      <c r="D2488" s="588"/>
      <c r="E2488" s="588"/>
      <c r="F2488" s="588"/>
      <c r="G2488" s="600"/>
      <c r="H2488" s="588"/>
      <c r="I2488" s="588"/>
      <c r="J2488" s="588"/>
    </row>
    <row r="2489" spans="1:10" x14ac:dyDescent="0.3">
      <c r="A2489" s="588"/>
      <c r="B2489" s="588"/>
      <c r="C2489" s="588"/>
      <c r="D2489" s="588"/>
      <c r="E2489" s="588"/>
      <c r="F2489" s="588"/>
      <c r="G2489" s="600"/>
      <c r="H2489" s="588"/>
      <c r="I2489" s="588"/>
      <c r="J2489" s="588"/>
    </row>
    <row r="2490" spans="1:10" x14ac:dyDescent="0.3">
      <c r="A2490" s="588"/>
      <c r="B2490" s="588"/>
      <c r="C2490" s="588"/>
      <c r="D2490" s="588"/>
      <c r="E2490" s="588"/>
      <c r="F2490" s="588"/>
      <c r="G2490" s="600"/>
      <c r="H2490" s="588"/>
      <c r="I2490" s="588"/>
      <c r="J2490" s="588"/>
    </row>
    <row r="2491" spans="1:10" x14ac:dyDescent="0.3">
      <c r="A2491" s="588"/>
      <c r="B2491" s="588"/>
      <c r="C2491" s="588"/>
      <c r="D2491" s="588"/>
      <c r="E2491" s="588"/>
      <c r="F2491" s="588"/>
      <c r="G2491" s="600"/>
      <c r="H2491" s="588"/>
      <c r="I2491" s="588"/>
      <c r="J2491" s="588"/>
    </row>
    <row r="2492" spans="1:10" x14ac:dyDescent="0.3">
      <c r="A2492" s="588"/>
      <c r="B2492" s="588"/>
      <c r="C2492" s="588"/>
      <c r="D2492" s="588"/>
      <c r="E2492" s="588"/>
      <c r="F2492" s="588"/>
      <c r="G2492" s="600"/>
      <c r="H2492" s="588"/>
      <c r="I2492" s="588"/>
      <c r="J2492" s="588"/>
    </row>
    <row r="2493" spans="1:10" x14ac:dyDescent="0.3">
      <c r="A2493" s="588"/>
      <c r="B2493" s="588"/>
      <c r="C2493" s="588"/>
      <c r="D2493" s="588"/>
      <c r="E2493" s="588"/>
      <c r="F2493" s="588"/>
      <c r="G2493" s="600"/>
      <c r="H2493" s="588"/>
      <c r="I2493" s="588"/>
      <c r="J2493" s="588"/>
    </row>
    <row r="2494" spans="1:10" x14ac:dyDescent="0.3">
      <c r="A2494" s="588"/>
      <c r="B2494" s="588"/>
      <c r="C2494" s="588"/>
      <c r="D2494" s="588"/>
      <c r="E2494" s="588"/>
      <c r="F2494" s="588"/>
      <c r="G2494" s="600"/>
      <c r="H2494" s="588"/>
      <c r="I2494" s="588"/>
      <c r="J2494" s="588"/>
    </row>
    <row r="2495" spans="1:10" x14ac:dyDescent="0.3">
      <c r="A2495" s="588"/>
      <c r="B2495" s="588"/>
      <c r="C2495" s="588"/>
      <c r="D2495" s="588"/>
      <c r="E2495" s="588"/>
      <c r="F2495" s="588"/>
      <c r="G2495" s="600"/>
      <c r="H2495" s="588"/>
      <c r="I2495" s="588"/>
      <c r="J2495" s="588"/>
    </row>
    <row r="2496" spans="1:10" x14ac:dyDescent="0.3">
      <c r="A2496" s="588"/>
      <c r="B2496" s="588"/>
      <c r="C2496" s="588"/>
      <c r="D2496" s="588"/>
      <c r="E2496" s="588"/>
      <c r="F2496" s="588"/>
      <c r="G2496" s="600"/>
      <c r="H2496" s="588"/>
      <c r="I2496" s="588"/>
      <c r="J2496" s="588"/>
    </row>
    <row r="2497" spans="1:10" x14ac:dyDescent="0.3">
      <c r="A2497" s="588"/>
      <c r="B2497" s="588"/>
      <c r="C2497" s="588"/>
      <c r="D2497" s="588"/>
      <c r="E2497" s="588"/>
      <c r="F2497" s="588"/>
      <c r="G2497" s="600"/>
      <c r="H2497" s="588"/>
      <c r="I2497" s="588"/>
      <c r="J2497" s="588"/>
    </row>
    <row r="2498" spans="1:10" x14ac:dyDescent="0.3">
      <c r="A2498" s="588"/>
      <c r="B2498" s="588"/>
      <c r="C2498" s="588"/>
      <c r="D2498" s="588"/>
      <c r="E2498" s="588"/>
      <c r="F2498" s="588"/>
      <c r="G2498" s="600"/>
      <c r="H2498" s="588"/>
      <c r="I2498" s="588"/>
      <c r="J2498" s="588"/>
    </row>
    <row r="2499" spans="1:10" x14ac:dyDescent="0.3">
      <c r="A2499" s="588"/>
      <c r="B2499" s="588"/>
      <c r="C2499" s="588"/>
      <c r="D2499" s="588"/>
      <c r="E2499" s="588"/>
      <c r="F2499" s="588"/>
      <c r="G2499" s="600"/>
      <c r="H2499" s="588"/>
      <c r="I2499" s="588"/>
      <c r="J2499" s="588"/>
    </row>
    <row r="2500" spans="1:10" x14ac:dyDescent="0.3">
      <c r="A2500" s="588"/>
      <c r="B2500" s="588"/>
      <c r="C2500" s="588"/>
      <c r="D2500" s="588"/>
      <c r="E2500" s="588"/>
      <c r="F2500" s="588"/>
      <c r="G2500" s="600"/>
      <c r="H2500" s="588"/>
      <c r="I2500" s="588"/>
      <c r="J2500" s="588"/>
    </row>
    <row r="2501" spans="1:10" x14ac:dyDescent="0.3">
      <c r="A2501" s="588"/>
      <c r="B2501" s="588"/>
      <c r="C2501" s="588"/>
      <c r="D2501" s="588"/>
      <c r="E2501" s="588"/>
      <c r="F2501" s="588"/>
      <c r="G2501" s="600"/>
      <c r="H2501" s="588"/>
      <c r="I2501" s="588"/>
      <c r="J2501" s="588"/>
    </row>
    <row r="2502" spans="1:10" x14ac:dyDescent="0.3">
      <c r="A2502" s="588"/>
      <c r="B2502" s="588"/>
      <c r="C2502" s="588"/>
      <c r="D2502" s="588"/>
      <c r="E2502" s="588"/>
      <c r="F2502" s="588"/>
      <c r="G2502" s="600"/>
      <c r="H2502" s="588"/>
      <c r="I2502" s="588"/>
      <c r="J2502" s="588"/>
    </row>
    <row r="2503" spans="1:10" x14ac:dyDescent="0.3">
      <c r="A2503" s="588"/>
      <c r="B2503" s="588"/>
      <c r="C2503" s="588"/>
      <c r="D2503" s="588"/>
      <c r="E2503" s="588"/>
      <c r="F2503" s="588"/>
      <c r="G2503" s="600"/>
      <c r="H2503" s="588"/>
      <c r="I2503" s="588"/>
      <c r="J2503" s="588"/>
    </row>
    <row r="2504" spans="1:10" x14ac:dyDescent="0.3">
      <c r="A2504" s="588"/>
      <c r="B2504" s="588"/>
      <c r="C2504" s="588"/>
      <c r="D2504" s="588"/>
      <c r="E2504" s="588"/>
      <c r="F2504" s="588"/>
      <c r="G2504" s="600"/>
      <c r="H2504" s="588"/>
      <c r="I2504" s="588"/>
      <c r="J2504" s="588"/>
    </row>
    <row r="2505" spans="1:10" x14ac:dyDescent="0.3">
      <c r="A2505" s="588"/>
      <c r="B2505" s="588"/>
      <c r="C2505" s="588"/>
      <c r="D2505" s="588"/>
      <c r="E2505" s="588"/>
      <c r="F2505" s="588"/>
      <c r="G2505" s="600"/>
      <c r="H2505" s="588"/>
      <c r="I2505" s="588"/>
      <c r="J2505" s="588"/>
    </row>
    <row r="2506" spans="1:10" x14ac:dyDescent="0.3">
      <c r="A2506" s="588"/>
      <c r="B2506" s="588"/>
      <c r="C2506" s="588"/>
      <c r="D2506" s="588"/>
      <c r="E2506" s="588"/>
      <c r="F2506" s="588"/>
      <c r="G2506" s="600"/>
      <c r="H2506" s="588"/>
      <c r="I2506" s="588"/>
      <c r="J2506" s="588"/>
    </row>
    <row r="2507" spans="1:10" x14ac:dyDescent="0.3">
      <c r="A2507" s="588"/>
      <c r="B2507" s="588"/>
      <c r="C2507" s="588"/>
      <c r="D2507" s="588"/>
      <c r="E2507" s="588"/>
      <c r="F2507" s="588"/>
      <c r="G2507" s="600"/>
      <c r="H2507" s="588"/>
      <c r="I2507" s="588"/>
      <c r="J2507" s="588"/>
    </row>
    <row r="2508" spans="1:10" x14ac:dyDescent="0.3">
      <c r="A2508" s="588"/>
      <c r="B2508" s="588"/>
      <c r="C2508" s="588"/>
      <c r="D2508" s="588"/>
      <c r="E2508" s="588"/>
      <c r="F2508" s="588"/>
      <c r="G2508" s="600"/>
      <c r="H2508" s="588"/>
      <c r="I2508" s="588"/>
      <c r="J2508" s="588"/>
    </row>
    <row r="2509" spans="1:10" x14ac:dyDescent="0.3">
      <c r="A2509" s="588"/>
      <c r="B2509" s="588"/>
      <c r="C2509" s="588"/>
      <c r="D2509" s="588"/>
      <c r="E2509" s="588"/>
      <c r="F2509" s="588"/>
      <c r="G2509" s="600"/>
      <c r="H2509" s="588"/>
      <c r="I2509" s="588"/>
      <c r="J2509" s="588"/>
    </row>
    <row r="2510" spans="1:10" x14ac:dyDescent="0.3">
      <c r="A2510" s="588"/>
      <c r="B2510" s="588"/>
      <c r="C2510" s="588"/>
      <c r="D2510" s="588"/>
      <c r="E2510" s="588"/>
      <c r="F2510" s="588"/>
      <c r="G2510" s="600"/>
      <c r="H2510" s="588"/>
      <c r="I2510" s="588"/>
      <c r="J2510" s="588"/>
    </row>
    <row r="2511" spans="1:10" x14ac:dyDescent="0.3">
      <c r="A2511" s="588"/>
      <c r="B2511" s="588"/>
      <c r="C2511" s="588"/>
      <c r="D2511" s="588"/>
      <c r="E2511" s="588"/>
      <c r="F2511" s="588"/>
      <c r="G2511" s="600"/>
      <c r="H2511" s="588"/>
      <c r="I2511" s="588"/>
      <c r="J2511" s="588"/>
    </row>
    <row r="2512" spans="1:10" x14ac:dyDescent="0.3">
      <c r="A2512" s="588"/>
      <c r="B2512" s="588"/>
      <c r="C2512" s="588"/>
      <c r="D2512" s="588"/>
      <c r="E2512" s="588"/>
      <c r="F2512" s="588"/>
      <c r="G2512" s="600"/>
      <c r="H2512" s="588"/>
      <c r="I2512" s="588"/>
      <c r="J2512" s="588"/>
    </row>
    <row r="2513" spans="1:10" x14ac:dyDescent="0.3">
      <c r="A2513" s="588"/>
      <c r="B2513" s="588"/>
      <c r="C2513" s="588"/>
      <c r="D2513" s="588"/>
      <c r="E2513" s="588"/>
      <c r="F2513" s="588"/>
      <c r="G2513" s="600"/>
      <c r="H2513" s="588"/>
      <c r="I2513" s="588"/>
      <c r="J2513" s="588"/>
    </row>
    <row r="2514" spans="1:10" x14ac:dyDescent="0.3">
      <c r="A2514" s="588"/>
      <c r="B2514" s="588"/>
      <c r="C2514" s="588"/>
      <c r="D2514" s="588"/>
      <c r="E2514" s="588"/>
      <c r="F2514" s="588"/>
      <c r="G2514" s="600"/>
      <c r="H2514" s="588"/>
      <c r="I2514" s="588"/>
      <c r="J2514" s="588"/>
    </row>
    <row r="2515" spans="1:10" x14ac:dyDescent="0.3">
      <c r="A2515" s="588"/>
      <c r="B2515" s="588"/>
      <c r="C2515" s="588"/>
      <c r="D2515" s="588"/>
      <c r="E2515" s="588"/>
      <c r="F2515" s="588"/>
      <c r="G2515" s="600"/>
      <c r="H2515" s="588"/>
      <c r="I2515" s="588"/>
      <c r="J2515" s="588"/>
    </row>
    <row r="2516" spans="1:10" x14ac:dyDescent="0.3">
      <c r="A2516" s="588"/>
      <c r="B2516" s="588"/>
      <c r="C2516" s="588"/>
      <c r="D2516" s="588"/>
      <c r="E2516" s="588"/>
      <c r="F2516" s="588"/>
      <c r="G2516" s="600"/>
      <c r="H2516" s="588"/>
      <c r="I2516" s="588"/>
      <c r="J2516" s="588"/>
    </row>
    <row r="2517" spans="1:10" x14ac:dyDescent="0.3">
      <c r="A2517" s="588"/>
      <c r="B2517" s="588"/>
      <c r="C2517" s="588"/>
      <c r="D2517" s="588"/>
      <c r="E2517" s="588"/>
      <c r="F2517" s="588"/>
      <c r="G2517" s="600"/>
      <c r="H2517" s="588"/>
      <c r="I2517" s="588"/>
      <c r="J2517" s="588"/>
    </row>
    <row r="2518" spans="1:10" x14ac:dyDescent="0.3">
      <c r="A2518" s="588"/>
      <c r="B2518" s="588"/>
      <c r="C2518" s="588"/>
      <c r="D2518" s="588"/>
      <c r="E2518" s="588"/>
      <c r="F2518" s="588"/>
      <c r="G2518" s="600"/>
      <c r="H2518" s="588"/>
      <c r="I2518" s="588"/>
      <c r="J2518" s="588"/>
    </row>
    <row r="2519" spans="1:10" x14ac:dyDescent="0.3">
      <c r="A2519" s="588"/>
      <c r="B2519" s="588"/>
      <c r="C2519" s="588"/>
      <c r="D2519" s="588"/>
      <c r="E2519" s="588"/>
      <c r="F2519" s="588"/>
      <c r="G2519" s="600"/>
      <c r="H2519" s="588"/>
      <c r="I2519" s="588"/>
      <c r="J2519" s="588"/>
    </row>
    <row r="2520" spans="1:10" x14ac:dyDescent="0.3">
      <c r="A2520" s="588"/>
      <c r="B2520" s="588"/>
      <c r="C2520" s="588"/>
      <c r="D2520" s="588"/>
      <c r="E2520" s="588"/>
      <c r="F2520" s="588"/>
      <c r="G2520" s="600"/>
      <c r="H2520" s="588"/>
      <c r="I2520" s="588"/>
      <c r="J2520" s="588"/>
    </row>
    <row r="2521" spans="1:10" x14ac:dyDescent="0.3">
      <c r="A2521" s="588"/>
      <c r="B2521" s="588"/>
      <c r="C2521" s="588"/>
      <c r="D2521" s="588"/>
      <c r="E2521" s="588"/>
      <c r="F2521" s="588"/>
      <c r="G2521" s="600"/>
      <c r="H2521" s="588"/>
      <c r="I2521" s="588"/>
      <c r="J2521" s="588"/>
    </row>
    <row r="2522" spans="1:10" x14ac:dyDescent="0.3">
      <c r="A2522" s="588"/>
      <c r="B2522" s="588"/>
      <c r="C2522" s="588"/>
      <c r="D2522" s="588"/>
      <c r="E2522" s="588"/>
      <c r="F2522" s="588"/>
      <c r="G2522" s="600"/>
      <c r="H2522" s="588"/>
      <c r="I2522" s="588"/>
      <c r="J2522" s="588"/>
    </row>
    <row r="2523" spans="1:10" x14ac:dyDescent="0.3">
      <c r="A2523" s="588"/>
      <c r="B2523" s="588"/>
      <c r="C2523" s="588"/>
      <c r="D2523" s="588"/>
      <c r="E2523" s="588"/>
      <c r="F2523" s="588"/>
      <c r="G2523" s="600"/>
      <c r="H2523" s="588"/>
      <c r="I2523" s="588"/>
      <c r="J2523" s="588"/>
    </row>
    <row r="2524" spans="1:10" x14ac:dyDescent="0.3">
      <c r="A2524" s="588"/>
      <c r="B2524" s="588"/>
      <c r="C2524" s="588"/>
      <c r="D2524" s="588"/>
      <c r="E2524" s="588"/>
      <c r="F2524" s="588"/>
      <c r="G2524" s="600"/>
      <c r="H2524" s="588"/>
      <c r="I2524" s="588"/>
      <c r="J2524" s="588"/>
    </row>
    <row r="2525" spans="1:10" x14ac:dyDescent="0.3">
      <c r="A2525" s="588"/>
      <c r="B2525" s="588"/>
      <c r="C2525" s="588"/>
      <c r="D2525" s="588"/>
      <c r="E2525" s="588"/>
      <c r="F2525" s="588"/>
      <c r="G2525" s="600"/>
      <c r="H2525" s="588"/>
      <c r="I2525" s="588"/>
      <c r="J2525" s="588"/>
    </row>
    <row r="2526" spans="1:10" x14ac:dyDescent="0.3">
      <c r="A2526" s="588"/>
      <c r="B2526" s="588"/>
      <c r="C2526" s="588"/>
      <c r="D2526" s="588"/>
      <c r="E2526" s="588"/>
      <c r="F2526" s="588"/>
      <c r="G2526" s="600"/>
      <c r="H2526" s="588"/>
      <c r="I2526" s="588"/>
      <c r="J2526" s="588"/>
    </row>
    <row r="2527" spans="1:10" x14ac:dyDescent="0.3">
      <c r="A2527" s="588"/>
      <c r="B2527" s="588"/>
      <c r="C2527" s="588"/>
      <c r="D2527" s="588"/>
      <c r="E2527" s="588"/>
      <c r="F2527" s="588"/>
      <c r="G2527" s="600"/>
      <c r="H2527" s="588"/>
      <c r="I2527" s="588"/>
      <c r="J2527" s="588"/>
    </row>
    <row r="2528" spans="1:10" x14ac:dyDescent="0.3">
      <c r="A2528" s="588"/>
      <c r="B2528" s="588"/>
      <c r="C2528" s="588"/>
      <c r="D2528" s="588"/>
      <c r="E2528" s="588"/>
      <c r="F2528" s="588"/>
      <c r="G2528" s="600"/>
      <c r="H2528" s="588"/>
      <c r="I2528" s="588"/>
      <c r="J2528" s="588"/>
    </row>
    <row r="2529" spans="1:10" x14ac:dyDescent="0.3">
      <c r="A2529" s="588"/>
      <c r="B2529" s="588"/>
      <c r="C2529" s="588"/>
      <c r="D2529" s="588"/>
      <c r="E2529" s="588"/>
      <c r="F2529" s="588"/>
      <c r="G2529" s="600"/>
      <c r="H2529" s="588"/>
      <c r="I2529" s="588"/>
      <c r="J2529" s="588"/>
    </row>
    <row r="2530" spans="1:10" x14ac:dyDescent="0.3">
      <c r="A2530" s="588"/>
      <c r="B2530" s="588"/>
      <c r="C2530" s="588"/>
      <c r="D2530" s="588"/>
      <c r="E2530" s="588"/>
      <c r="F2530" s="588"/>
      <c r="G2530" s="600"/>
      <c r="H2530" s="588"/>
      <c r="I2530" s="588"/>
      <c r="J2530" s="588"/>
    </row>
    <row r="2531" spans="1:10" x14ac:dyDescent="0.3">
      <c r="A2531" s="588"/>
      <c r="B2531" s="588"/>
      <c r="C2531" s="588"/>
      <c r="D2531" s="588"/>
      <c r="E2531" s="588"/>
      <c r="F2531" s="588"/>
      <c r="G2531" s="600"/>
      <c r="H2531" s="588"/>
      <c r="I2531" s="588"/>
      <c r="J2531" s="588"/>
    </row>
    <row r="2532" spans="1:10" x14ac:dyDescent="0.3">
      <c r="A2532" s="588"/>
      <c r="B2532" s="588"/>
      <c r="C2532" s="588"/>
      <c r="D2532" s="588"/>
      <c r="E2532" s="588"/>
      <c r="F2532" s="588"/>
      <c r="G2532" s="600"/>
      <c r="H2532" s="588"/>
      <c r="I2532" s="588"/>
      <c r="J2532" s="588"/>
    </row>
    <row r="2533" spans="1:10" x14ac:dyDescent="0.3">
      <c r="A2533" s="588"/>
      <c r="B2533" s="588"/>
      <c r="C2533" s="588"/>
      <c r="D2533" s="588"/>
      <c r="E2533" s="588"/>
      <c r="F2533" s="588"/>
      <c r="G2533" s="600"/>
      <c r="H2533" s="588"/>
      <c r="I2533" s="588"/>
      <c r="J2533" s="588"/>
    </row>
    <row r="2534" spans="1:10" x14ac:dyDescent="0.3">
      <c r="A2534" s="588"/>
      <c r="B2534" s="588"/>
      <c r="C2534" s="588"/>
      <c r="D2534" s="588"/>
      <c r="E2534" s="588"/>
      <c r="F2534" s="588"/>
      <c r="G2534" s="600"/>
      <c r="H2534" s="588"/>
      <c r="I2534" s="588"/>
      <c r="J2534" s="588"/>
    </row>
    <row r="2535" spans="1:10" x14ac:dyDescent="0.3">
      <c r="A2535" s="588"/>
      <c r="B2535" s="588"/>
      <c r="C2535" s="588"/>
      <c r="D2535" s="588"/>
      <c r="E2535" s="588"/>
      <c r="F2535" s="588"/>
      <c r="G2535" s="600"/>
      <c r="H2535" s="588"/>
      <c r="I2535" s="588"/>
      <c r="J2535" s="588"/>
    </row>
    <row r="2536" spans="1:10" x14ac:dyDescent="0.3">
      <c r="A2536" s="588"/>
      <c r="B2536" s="588"/>
      <c r="C2536" s="588"/>
      <c r="D2536" s="588"/>
      <c r="E2536" s="588"/>
      <c r="F2536" s="588"/>
      <c r="G2536" s="600"/>
      <c r="H2536" s="588"/>
      <c r="I2536" s="588"/>
      <c r="J2536" s="588"/>
    </row>
    <row r="2537" spans="1:10" x14ac:dyDescent="0.3">
      <c r="A2537" s="588"/>
      <c r="B2537" s="588"/>
      <c r="C2537" s="588"/>
      <c r="D2537" s="588"/>
      <c r="E2537" s="588"/>
      <c r="F2537" s="588"/>
      <c r="G2537" s="600"/>
      <c r="H2537" s="588"/>
      <c r="I2537" s="588"/>
      <c r="J2537" s="588"/>
    </row>
    <row r="2538" spans="1:10" x14ac:dyDescent="0.3">
      <c r="A2538" s="588"/>
      <c r="B2538" s="588"/>
      <c r="C2538" s="588"/>
      <c r="D2538" s="588"/>
      <c r="E2538" s="588"/>
      <c r="F2538" s="588"/>
      <c r="G2538" s="600"/>
      <c r="H2538" s="588"/>
      <c r="I2538" s="588"/>
      <c r="J2538" s="588"/>
    </row>
    <row r="2539" spans="1:10" x14ac:dyDescent="0.3">
      <c r="A2539" s="588"/>
      <c r="B2539" s="588"/>
      <c r="C2539" s="588"/>
      <c r="D2539" s="588"/>
      <c r="E2539" s="588"/>
      <c r="F2539" s="588"/>
      <c r="G2539" s="600"/>
      <c r="H2539" s="588"/>
      <c r="I2539" s="588"/>
      <c r="J2539" s="588"/>
    </row>
    <row r="2540" spans="1:10" x14ac:dyDescent="0.3">
      <c r="A2540" s="588"/>
      <c r="B2540" s="588"/>
      <c r="C2540" s="588"/>
      <c r="D2540" s="588"/>
      <c r="E2540" s="588"/>
      <c r="F2540" s="588"/>
      <c r="G2540" s="600"/>
      <c r="H2540" s="588"/>
      <c r="I2540" s="588"/>
      <c r="J2540" s="588"/>
    </row>
    <row r="2541" spans="1:10" x14ac:dyDescent="0.3">
      <c r="A2541" s="588"/>
      <c r="B2541" s="588"/>
      <c r="C2541" s="588"/>
      <c r="D2541" s="588"/>
      <c r="E2541" s="588"/>
      <c r="F2541" s="588"/>
      <c r="G2541" s="600"/>
      <c r="H2541" s="588"/>
      <c r="I2541" s="588"/>
      <c r="J2541" s="588"/>
    </row>
    <row r="2542" spans="1:10" x14ac:dyDescent="0.3">
      <c r="A2542" s="588"/>
      <c r="B2542" s="588"/>
      <c r="C2542" s="588"/>
      <c r="D2542" s="588"/>
      <c r="E2542" s="588"/>
      <c r="F2542" s="588"/>
      <c r="G2542" s="600"/>
      <c r="H2542" s="588"/>
      <c r="I2542" s="588"/>
      <c r="J2542" s="588"/>
    </row>
    <row r="2543" spans="1:10" x14ac:dyDescent="0.3">
      <c r="A2543" s="588"/>
      <c r="B2543" s="588"/>
      <c r="C2543" s="588"/>
      <c r="D2543" s="588"/>
      <c r="E2543" s="588"/>
      <c r="F2543" s="588"/>
      <c r="G2543" s="600"/>
      <c r="H2543" s="588"/>
      <c r="I2543" s="588"/>
      <c r="J2543" s="588"/>
    </row>
    <row r="2544" spans="1:10" x14ac:dyDescent="0.3">
      <c r="A2544" s="588"/>
      <c r="B2544" s="588"/>
      <c r="C2544" s="588"/>
      <c r="D2544" s="588"/>
      <c r="E2544" s="588"/>
      <c r="F2544" s="588"/>
      <c r="G2544" s="600"/>
      <c r="H2544" s="588"/>
      <c r="I2544" s="588"/>
      <c r="J2544" s="588"/>
    </row>
    <row r="2545" spans="1:10" x14ac:dyDescent="0.3">
      <c r="A2545" s="588"/>
      <c r="B2545" s="588"/>
      <c r="C2545" s="588"/>
      <c r="D2545" s="588"/>
      <c r="E2545" s="588"/>
      <c r="F2545" s="588"/>
      <c r="G2545" s="600"/>
      <c r="H2545" s="588"/>
      <c r="I2545" s="588"/>
      <c r="J2545" s="588"/>
    </row>
    <row r="2546" spans="1:10" x14ac:dyDescent="0.3">
      <c r="A2546" s="588"/>
      <c r="B2546" s="588"/>
      <c r="C2546" s="588"/>
      <c r="D2546" s="588"/>
      <c r="E2546" s="588"/>
      <c r="F2546" s="588"/>
      <c r="G2546" s="600"/>
      <c r="H2546" s="588"/>
      <c r="I2546" s="588"/>
      <c r="J2546" s="588"/>
    </row>
    <row r="2547" spans="1:10" x14ac:dyDescent="0.3">
      <c r="A2547" s="588"/>
      <c r="B2547" s="588"/>
      <c r="C2547" s="588"/>
      <c r="D2547" s="588"/>
      <c r="E2547" s="588"/>
      <c r="F2547" s="588"/>
      <c r="G2547" s="600"/>
      <c r="H2547" s="588"/>
      <c r="I2547" s="588"/>
      <c r="J2547" s="588"/>
    </row>
    <row r="2548" spans="1:10" x14ac:dyDescent="0.3">
      <c r="A2548" s="588"/>
      <c r="B2548" s="588"/>
      <c r="C2548" s="588"/>
      <c r="D2548" s="588"/>
      <c r="E2548" s="588"/>
      <c r="F2548" s="588"/>
      <c r="G2548" s="600"/>
      <c r="H2548" s="588"/>
      <c r="I2548" s="588"/>
      <c r="J2548" s="588"/>
    </row>
    <row r="2549" spans="1:10" x14ac:dyDescent="0.3">
      <c r="A2549" s="588"/>
      <c r="B2549" s="588"/>
      <c r="C2549" s="588"/>
      <c r="D2549" s="588"/>
      <c r="E2549" s="588"/>
      <c r="F2549" s="588"/>
      <c r="G2549" s="600"/>
      <c r="H2549" s="588"/>
      <c r="I2549" s="588"/>
      <c r="J2549" s="588"/>
    </row>
    <row r="2550" spans="1:10" x14ac:dyDescent="0.3">
      <c r="A2550" s="588"/>
      <c r="B2550" s="588"/>
      <c r="C2550" s="588"/>
      <c r="D2550" s="588"/>
      <c r="E2550" s="588"/>
      <c r="F2550" s="588"/>
      <c r="G2550" s="600"/>
      <c r="H2550" s="588"/>
      <c r="I2550" s="588"/>
      <c r="J2550" s="588"/>
    </row>
    <row r="2551" spans="1:10" x14ac:dyDescent="0.3">
      <c r="A2551" s="588"/>
      <c r="B2551" s="588"/>
      <c r="C2551" s="588"/>
      <c r="D2551" s="588"/>
      <c r="E2551" s="588"/>
      <c r="F2551" s="588"/>
      <c r="G2551" s="600"/>
      <c r="H2551" s="588"/>
      <c r="I2551" s="588"/>
      <c r="J2551" s="588"/>
    </row>
    <row r="2552" spans="1:10" x14ac:dyDescent="0.3">
      <c r="A2552" s="588"/>
      <c r="B2552" s="588"/>
      <c r="C2552" s="588"/>
      <c r="D2552" s="588"/>
      <c r="E2552" s="588"/>
      <c r="F2552" s="588"/>
      <c r="G2552" s="600"/>
      <c r="H2552" s="588"/>
      <c r="I2552" s="588"/>
      <c r="J2552" s="588"/>
    </row>
    <row r="2553" spans="1:10" x14ac:dyDescent="0.3">
      <c r="A2553" s="588"/>
      <c r="B2553" s="588"/>
      <c r="C2553" s="588"/>
      <c r="D2553" s="588"/>
      <c r="E2553" s="588"/>
      <c r="F2553" s="588"/>
      <c r="G2553" s="600"/>
      <c r="H2553" s="588"/>
      <c r="I2553" s="588"/>
      <c r="J2553" s="588"/>
    </row>
    <row r="2554" spans="1:10" x14ac:dyDescent="0.3">
      <c r="A2554" s="588"/>
      <c r="B2554" s="588"/>
      <c r="C2554" s="588"/>
      <c r="D2554" s="588"/>
      <c r="E2554" s="588"/>
      <c r="F2554" s="588"/>
      <c r="G2554" s="600"/>
      <c r="H2554" s="588"/>
      <c r="I2554" s="588"/>
      <c r="J2554" s="588"/>
    </row>
    <row r="2555" spans="1:10" x14ac:dyDescent="0.3">
      <c r="A2555" s="588"/>
      <c r="B2555" s="588"/>
      <c r="C2555" s="588"/>
      <c r="D2555" s="588"/>
      <c r="E2555" s="588"/>
      <c r="F2555" s="588"/>
      <c r="G2555" s="600"/>
      <c r="H2555" s="588"/>
      <c r="I2555" s="588"/>
      <c r="J2555" s="588"/>
    </row>
    <row r="2556" spans="1:10" x14ac:dyDescent="0.3">
      <c r="A2556" s="588"/>
      <c r="B2556" s="588"/>
      <c r="C2556" s="588"/>
      <c r="D2556" s="588"/>
      <c r="E2556" s="588"/>
      <c r="F2556" s="588"/>
      <c r="G2556" s="600"/>
      <c r="H2556" s="588"/>
      <c r="I2556" s="588"/>
      <c r="J2556" s="588"/>
    </row>
    <row r="2557" spans="1:10" x14ac:dyDescent="0.3">
      <c r="A2557" s="588"/>
      <c r="B2557" s="588"/>
      <c r="C2557" s="588"/>
      <c r="D2557" s="588"/>
      <c r="E2557" s="588"/>
      <c r="F2557" s="588"/>
      <c r="G2557" s="600"/>
      <c r="H2557" s="588"/>
      <c r="I2557" s="588"/>
      <c r="J2557" s="588"/>
    </row>
    <row r="2558" spans="1:10" x14ac:dyDescent="0.3">
      <c r="A2558" s="588"/>
      <c r="B2558" s="588"/>
      <c r="C2558" s="588"/>
      <c r="D2558" s="588"/>
      <c r="E2558" s="588"/>
      <c r="F2558" s="588"/>
      <c r="G2558" s="600"/>
      <c r="H2558" s="588"/>
      <c r="I2558" s="588"/>
      <c r="J2558" s="588"/>
    </row>
    <row r="2559" spans="1:10" x14ac:dyDescent="0.3">
      <c r="A2559" s="588"/>
      <c r="B2559" s="588"/>
      <c r="C2559" s="588"/>
      <c r="D2559" s="588"/>
      <c r="E2559" s="588"/>
      <c r="F2559" s="588"/>
      <c r="G2559" s="600"/>
      <c r="H2559" s="588"/>
      <c r="I2559" s="588"/>
      <c r="J2559" s="588"/>
    </row>
    <row r="2560" spans="1:10" x14ac:dyDescent="0.3">
      <c r="A2560" s="588"/>
      <c r="B2560" s="588"/>
      <c r="C2560" s="588"/>
      <c r="D2560" s="588"/>
      <c r="E2560" s="588"/>
      <c r="F2560" s="588"/>
      <c r="G2560" s="600"/>
      <c r="H2560" s="588"/>
      <c r="I2560" s="588"/>
      <c r="J2560" s="588"/>
    </row>
    <row r="2561" spans="1:10" x14ac:dyDescent="0.3">
      <c r="A2561" s="588"/>
      <c r="B2561" s="588"/>
      <c r="C2561" s="588"/>
      <c r="D2561" s="588"/>
      <c r="E2561" s="588"/>
      <c r="F2561" s="588"/>
      <c r="G2561" s="600"/>
      <c r="H2561" s="588"/>
      <c r="I2561" s="588"/>
      <c r="J2561" s="588"/>
    </row>
    <row r="2562" spans="1:10" x14ac:dyDescent="0.3">
      <c r="A2562" s="588"/>
      <c r="B2562" s="588"/>
      <c r="C2562" s="588"/>
      <c r="D2562" s="588"/>
      <c r="E2562" s="588"/>
      <c r="F2562" s="588"/>
      <c r="G2562" s="600"/>
      <c r="H2562" s="588"/>
      <c r="I2562" s="588"/>
      <c r="J2562" s="588"/>
    </row>
    <row r="2563" spans="1:10" x14ac:dyDescent="0.3">
      <c r="A2563" s="588"/>
      <c r="B2563" s="588"/>
      <c r="C2563" s="588"/>
      <c r="D2563" s="588"/>
      <c r="E2563" s="588"/>
      <c r="F2563" s="588"/>
      <c r="G2563" s="600"/>
      <c r="H2563" s="588"/>
      <c r="I2563" s="588"/>
      <c r="J2563" s="588"/>
    </row>
    <row r="2564" spans="1:10" x14ac:dyDescent="0.3">
      <c r="A2564" s="588"/>
      <c r="B2564" s="588"/>
      <c r="C2564" s="588"/>
      <c r="D2564" s="588"/>
      <c r="E2564" s="588"/>
      <c r="F2564" s="588"/>
      <c r="G2564" s="600"/>
      <c r="H2564" s="588"/>
      <c r="I2564" s="588"/>
      <c r="J2564" s="588"/>
    </row>
    <row r="2565" spans="1:10" x14ac:dyDescent="0.3">
      <c r="A2565" s="588"/>
      <c r="B2565" s="588"/>
      <c r="C2565" s="588"/>
      <c r="D2565" s="588"/>
      <c r="E2565" s="588"/>
      <c r="F2565" s="588"/>
      <c r="G2565" s="600"/>
      <c r="H2565" s="588"/>
      <c r="I2565" s="588"/>
      <c r="J2565" s="588"/>
    </row>
    <row r="2566" spans="1:10" x14ac:dyDescent="0.3">
      <c r="A2566" s="588"/>
      <c r="B2566" s="588"/>
      <c r="C2566" s="588"/>
      <c r="D2566" s="588"/>
      <c r="E2566" s="588"/>
      <c r="F2566" s="588"/>
      <c r="G2566" s="600"/>
      <c r="H2566" s="588"/>
      <c r="I2566" s="588"/>
      <c r="J2566" s="588"/>
    </row>
    <row r="2567" spans="1:10" x14ac:dyDescent="0.3">
      <c r="A2567" s="588"/>
      <c r="B2567" s="588"/>
      <c r="C2567" s="588"/>
      <c r="D2567" s="588"/>
      <c r="E2567" s="588"/>
      <c r="F2567" s="588"/>
      <c r="G2567" s="600"/>
      <c r="H2567" s="588"/>
      <c r="I2567" s="588"/>
      <c r="J2567" s="588"/>
    </row>
    <row r="2568" spans="1:10" x14ac:dyDescent="0.3">
      <c r="A2568" s="588"/>
      <c r="B2568" s="588"/>
      <c r="C2568" s="588"/>
      <c r="D2568" s="588"/>
      <c r="E2568" s="588"/>
      <c r="F2568" s="588"/>
      <c r="G2568" s="600"/>
      <c r="H2568" s="588"/>
      <c r="I2568" s="588"/>
      <c r="J2568" s="588"/>
    </row>
    <row r="2569" spans="1:10" x14ac:dyDescent="0.3">
      <c r="A2569" s="588"/>
      <c r="B2569" s="588"/>
      <c r="C2569" s="588"/>
      <c r="D2569" s="588"/>
      <c r="E2569" s="588"/>
      <c r="F2569" s="588"/>
      <c r="G2569" s="600"/>
      <c r="H2569" s="588"/>
      <c r="I2569" s="588"/>
      <c r="J2569" s="588"/>
    </row>
    <row r="2570" spans="1:10" x14ac:dyDescent="0.3">
      <c r="A2570" s="588"/>
      <c r="B2570" s="588"/>
      <c r="C2570" s="588"/>
      <c r="D2570" s="588"/>
      <c r="E2570" s="588"/>
      <c r="F2570" s="588"/>
      <c r="G2570" s="600"/>
      <c r="H2570" s="588"/>
      <c r="I2570" s="588"/>
      <c r="J2570" s="588"/>
    </row>
    <row r="2571" spans="1:10" x14ac:dyDescent="0.3">
      <c r="A2571" s="588"/>
      <c r="B2571" s="588"/>
      <c r="C2571" s="588"/>
      <c r="D2571" s="588"/>
      <c r="E2571" s="588"/>
      <c r="F2571" s="588"/>
      <c r="G2571" s="600"/>
      <c r="H2571" s="588"/>
      <c r="I2571" s="588"/>
      <c r="J2571" s="588"/>
    </row>
    <row r="2572" spans="1:10" x14ac:dyDescent="0.3">
      <c r="A2572" s="588"/>
      <c r="B2572" s="588"/>
      <c r="C2572" s="588"/>
      <c r="D2572" s="588"/>
      <c r="E2572" s="588"/>
      <c r="F2572" s="588"/>
      <c r="G2572" s="600"/>
      <c r="H2572" s="588"/>
      <c r="I2572" s="588"/>
      <c r="J2572" s="588"/>
    </row>
    <row r="2573" spans="1:10" x14ac:dyDescent="0.3">
      <c r="A2573" s="588"/>
      <c r="B2573" s="588"/>
      <c r="C2573" s="588"/>
      <c r="D2573" s="588"/>
      <c r="E2573" s="588"/>
      <c r="F2573" s="588"/>
      <c r="G2573" s="600"/>
      <c r="H2573" s="588"/>
      <c r="I2573" s="588"/>
      <c r="J2573" s="588"/>
    </row>
    <row r="2574" spans="1:10" x14ac:dyDescent="0.3">
      <c r="A2574" s="588"/>
      <c r="B2574" s="588"/>
      <c r="C2574" s="588"/>
      <c r="D2574" s="588"/>
      <c r="E2574" s="588"/>
      <c r="F2574" s="588"/>
      <c r="G2574" s="600"/>
      <c r="H2574" s="588"/>
      <c r="I2574" s="588"/>
      <c r="J2574" s="588"/>
    </row>
    <row r="2575" spans="1:10" x14ac:dyDescent="0.3">
      <c r="A2575" s="588"/>
      <c r="B2575" s="588"/>
      <c r="C2575" s="588"/>
      <c r="D2575" s="588"/>
      <c r="E2575" s="588"/>
      <c r="F2575" s="588"/>
      <c r="G2575" s="600"/>
      <c r="H2575" s="588"/>
      <c r="I2575" s="588"/>
      <c r="J2575" s="588"/>
    </row>
    <row r="2576" spans="1:10" x14ac:dyDescent="0.3">
      <c r="A2576" s="588"/>
      <c r="B2576" s="588"/>
      <c r="C2576" s="588"/>
      <c r="D2576" s="588"/>
      <c r="E2576" s="588"/>
      <c r="F2576" s="588"/>
      <c r="G2576" s="600"/>
      <c r="H2576" s="588"/>
      <c r="I2576" s="588"/>
      <c r="J2576" s="588"/>
    </row>
    <row r="2577" spans="1:10" x14ac:dyDescent="0.3">
      <c r="A2577" s="588"/>
      <c r="B2577" s="588"/>
      <c r="C2577" s="588"/>
      <c r="D2577" s="588"/>
      <c r="E2577" s="588"/>
      <c r="F2577" s="588"/>
      <c r="G2577" s="600"/>
      <c r="H2577" s="588"/>
      <c r="I2577" s="588"/>
      <c r="J2577" s="588"/>
    </row>
    <row r="2578" spans="1:10" x14ac:dyDescent="0.3">
      <c r="A2578" s="588"/>
      <c r="B2578" s="588"/>
      <c r="C2578" s="588"/>
      <c r="D2578" s="588"/>
      <c r="E2578" s="588"/>
      <c r="F2578" s="588"/>
      <c r="G2578" s="600"/>
      <c r="H2578" s="588"/>
      <c r="I2578" s="588"/>
      <c r="J2578" s="588"/>
    </row>
    <row r="2579" spans="1:10" x14ac:dyDescent="0.3">
      <c r="A2579" s="588"/>
      <c r="B2579" s="588"/>
      <c r="C2579" s="588"/>
      <c r="D2579" s="588"/>
      <c r="E2579" s="588"/>
      <c r="F2579" s="588"/>
      <c r="G2579" s="600"/>
      <c r="H2579" s="588"/>
      <c r="I2579" s="588"/>
      <c r="J2579" s="588"/>
    </row>
    <row r="2580" spans="1:10" x14ac:dyDescent="0.3">
      <c r="A2580" s="588"/>
      <c r="B2580" s="588"/>
      <c r="C2580" s="588"/>
      <c r="D2580" s="588"/>
      <c r="E2580" s="588"/>
      <c r="F2580" s="588"/>
      <c r="G2580" s="600"/>
      <c r="H2580" s="588"/>
      <c r="I2580" s="588"/>
      <c r="J2580" s="588"/>
    </row>
    <row r="2581" spans="1:10" x14ac:dyDescent="0.3">
      <c r="A2581" s="588"/>
      <c r="B2581" s="588"/>
      <c r="C2581" s="588"/>
      <c r="D2581" s="588"/>
      <c r="E2581" s="588"/>
      <c r="F2581" s="588"/>
      <c r="G2581" s="600"/>
      <c r="H2581" s="588"/>
      <c r="I2581" s="588"/>
      <c r="J2581" s="588"/>
    </row>
    <row r="2582" spans="1:10" x14ac:dyDescent="0.3">
      <c r="A2582" s="588"/>
      <c r="B2582" s="588"/>
      <c r="C2582" s="588"/>
      <c r="D2582" s="588"/>
      <c r="E2582" s="588"/>
      <c r="F2582" s="588"/>
      <c r="G2582" s="600"/>
      <c r="H2582" s="588"/>
      <c r="I2582" s="588"/>
      <c r="J2582" s="588"/>
    </row>
    <row r="2583" spans="1:10" x14ac:dyDescent="0.3">
      <c r="A2583" s="588"/>
      <c r="B2583" s="588"/>
      <c r="C2583" s="588"/>
      <c r="D2583" s="588"/>
      <c r="E2583" s="588"/>
      <c r="F2583" s="588"/>
      <c r="G2583" s="600"/>
      <c r="H2583" s="588"/>
      <c r="I2583" s="588"/>
      <c r="J2583" s="588"/>
    </row>
    <row r="2584" spans="1:10" x14ac:dyDescent="0.3">
      <c r="A2584" s="588"/>
      <c r="B2584" s="588"/>
      <c r="C2584" s="588"/>
      <c r="D2584" s="588"/>
      <c r="E2584" s="588"/>
      <c r="F2584" s="588"/>
      <c r="G2584" s="600"/>
      <c r="H2584" s="588"/>
      <c r="I2584" s="588"/>
      <c r="J2584" s="588"/>
    </row>
    <row r="2585" spans="1:10" x14ac:dyDescent="0.3">
      <c r="A2585" s="588"/>
      <c r="B2585" s="588"/>
      <c r="C2585" s="588"/>
      <c r="D2585" s="588"/>
      <c r="E2585" s="588"/>
      <c r="F2585" s="588"/>
      <c r="G2585" s="600"/>
      <c r="H2585" s="588"/>
      <c r="I2585" s="588"/>
      <c r="J2585" s="588"/>
    </row>
    <row r="2586" spans="1:10" x14ac:dyDescent="0.3">
      <c r="A2586" s="588"/>
      <c r="B2586" s="588"/>
      <c r="C2586" s="588"/>
      <c r="D2586" s="588"/>
      <c r="E2586" s="588"/>
      <c r="F2586" s="588"/>
      <c r="G2586" s="600"/>
      <c r="H2586" s="588"/>
      <c r="I2586" s="588"/>
      <c r="J2586" s="588"/>
    </row>
    <row r="2587" spans="1:10" x14ac:dyDescent="0.3">
      <c r="A2587" s="588"/>
      <c r="B2587" s="588"/>
      <c r="C2587" s="588"/>
      <c r="D2587" s="588"/>
      <c r="E2587" s="588"/>
      <c r="F2587" s="588"/>
      <c r="G2587" s="600"/>
      <c r="H2587" s="588"/>
      <c r="I2587" s="588"/>
      <c r="J2587" s="588"/>
    </row>
    <row r="2588" spans="1:10" x14ac:dyDescent="0.3">
      <c r="A2588" s="588"/>
      <c r="B2588" s="588"/>
      <c r="C2588" s="588"/>
      <c r="D2588" s="588"/>
      <c r="E2588" s="588"/>
      <c r="F2588" s="588"/>
      <c r="G2588" s="600"/>
      <c r="H2588" s="588"/>
      <c r="I2588" s="588"/>
      <c r="J2588" s="588"/>
    </row>
    <row r="2589" spans="1:10" x14ac:dyDescent="0.3">
      <c r="A2589" s="588"/>
      <c r="B2589" s="588"/>
      <c r="C2589" s="588"/>
      <c r="D2589" s="588"/>
      <c r="E2589" s="588"/>
      <c r="F2589" s="588"/>
      <c r="G2589" s="600"/>
      <c r="H2589" s="588"/>
      <c r="I2589" s="588"/>
      <c r="J2589" s="588"/>
    </row>
    <row r="2590" spans="1:10" x14ac:dyDescent="0.3">
      <c r="A2590" s="588"/>
      <c r="B2590" s="588"/>
      <c r="C2590" s="588"/>
      <c r="D2590" s="588"/>
      <c r="E2590" s="588"/>
      <c r="F2590" s="588"/>
      <c r="G2590" s="600"/>
      <c r="H2590" s="588"/>
      <c r="I2590" s="588"/>
      <c r="J2590" s="588"/>
    </row>
    <row r="2591" spans="1:10" x14ac:dyDescent="0.3">
      <c r="A2591" s="588"/>
      <c r="B2591" s="588"/>
      <c r="C2591" s="588"/>
      <c r="D2591" s="588"/>
      <c r="E2591" s="588"/>
      <c r="F2591" s="588"/>
      <c r="G2591" s="600"/>
      <c r="H2591" s="588"/>
      <c r="I2591" s="588"/>
      <c r="J2591" s="588"/>
    </row>
    <row r="2592" spans="1:10" x14ac:dyDescent="0.3">
      <c r="A2592" s="588"/>
      <c r="B2592" s="588"/>
      <c r="C2592" s="588"/>
      <c r="D2592" s="588"/>
      <c r="E2592" s="588"/>
      <c r="F2592" s="588"/>
      <c r="G2592" s="600"/>
      <c r="H2592" s="588"/>
      <c r="I2592" s="588"/>
      <c r="J2592" s="588"/>
    </row>
    <row r="2593" spans="1:10" x14ac:dyDescent="0.3">
      <c r="A2593" s="588"/>
      <c r="B2593" s="588"/>
      <c r="C2593" s="588"/>
      <c r="D2593" s="588"/>
      <c r="E2593" s="588"/>
      <c r="F2593" s="588"/>
      <c r="G2593" s="600"/>
      <c r="H2593" s="588"/>
      <c r="I2593" s="588"/>
      <c r="J2593" s="588"/>
    </row>
    <row r="2594" spans="1:10" x14ac:dyDescent="0.3">
      <c r="A2594" s="588"/>
      <c r="B2594" s="588"/>
      <c r="C2594" s="588"/>
      <c r="D2594" s="588"/>
      <c r="E2594" s="588"/>
      <c r="F2594" s="588"/>
      <c r="G2594" s="600"/>
      <c r="H2594" s="588"/>
      <c r="I2594" s="588"/>
      <c r="J2594" s="588"/>
    </row>
    <row r="2595" spans="1:10" x14ac:dyDescent="0.3">
      <c r="A2595" s="588"/>
      <c r="B2595" s="588"/>
      <c r="C2595" s="588"/>
      <c r="D2595" s="588"/>
      <c r="E2595" s="588"/>
      <c r="F2595" s="588"/>
      <c r="G2595" s="600"/>
      <c r="H2595" s="588"/>
      <c r="I2595" s="588"/>
      <c r="J2595" s="588"/>
    </row>
    <row r="2596" spans="1:10" x14ac:dyDescent="0.3">
      <c r="A2596" s="588"/>
      <c r="B2596" s="588"/>
      <c r="C2596" s="588"/>
      <c r="D2596" s="588"/>
      <c r="E2596" s="588"/>
      <c r="F2596" s="588"/>
      <c r="G2596" s="600"/>
      <c r="H2596" s="588"/>
      <c r="I2596" s="588"/>
      <c r="J2596" s="588"/>
    </row>
    <row r="2597" spans="1:10" x14ac:dyDescent="0.3">
      <c r="A2597" s="588"/>
      <c r="B2597" s="588"/>
      <c r="C2597" s="588"/>
      <c r="D2597" s="588"/>
      <c r="E2597" s="588"/>
      <c r="F2597" s="588"/>
      <c r="G2597" s="600"/>
      <c r="H2597" s="588"/>
      <c r="I2597" s="588"/>
      <c r="J2597" s="588"/>
    </row>
    <row r="2598" spans="1:10" x14ac:dyDescent="0.3">
      <c r="A2598" s="588"/>
      <c r="B2598" s="588"/>
      <c r="C2598" s="588"/>
      <c r="D2598" s="588"/>
      <c r="E2598" s="588"/>
      <c r="F2598" s="588"/>
      <c r="G2598" s="600"/>
      <c r="H2598" s="588"/>
      <c r="I2598" s="588"/>
      <c r="J2598" s="588"/>
    </row>
    <row r="2599" spans="1:10" x14ac:dyDescent="0.3">
      <c r="A2599" s="588"/>
      <c r="B2599" s="588"/>
      <c r="C2599" s="588"/>
      <c r="D2599" s="588"/>
      <c r="E2599" s="588"/>
      <c r="F2599" s="588"/>
      <c r="G2599" s="600"/>
      <c r="H2599" s="588"/>
      <c r="I2599" s="588"/>
      <c r="J2599" s="588"/>
    </row>
    <row r="2600" spans="1:10" x14ac:dyDescent="0.3">
      <c r="A2600" s="588"/>
      <c r="B2600" s="588"/>
      <c r="C2600" s="588"/>
      <c r="D2600" s="588"/>
      <c r="E2600" s="588"/>
      <c r="F2600" s="588"/>
      <c r="G2600" s="600"/>
      <c r="H2600" s="588"/>
      <c r="I2600" s="588"/>
      <c r="J2600" s="588"/>
    </row>
    <row r="2601" spans="1:10" x14ac:dyDescent="0.3">
      <c r="A2601" s="588"/>
      <c r="B2601" s="588"/>
      <c r="C2601" s="588"/>
      <c r="D2601" s="588"/>
      <c r="E2601" s="588"/>
      <c r="F2601" s="588"/>
      <c r="G2601" s="600"/>
      <c r="H2601" s="588"/>
      <c r="I2601" s="588"/>
      <c r="J2601" s="588"/>
    </row>
    <row r="2602" spans="1:10" x14ac:dyDescent="0.3">
      <c r="A2602" s="588"/>
      <c r="B2602" s="588"/>
      <c r="C2602" s="588"/>
      <c r="D2602" s="588"/>
      <c r="E2602" s="588"/>
      <c r="F2602" s="588"/>
      <c r="G2602" s="600"/>
      <c r="H2602" s="588"/>
      <c r="I2602" s="588"/>
      <c r="J2602" s="588"/>
    </row>
    <row r="2603" spans="1:10" x14ac:dyDescent="0.3">
      <c r="A2603" s="588"/>
      <c r="B2603" s="588"/>
      <c r="C2603" s="588"/>
      <c r="D2603" s="588"/>
      <c r="E2603" s="588"/>
      <c r="F2603" s="588"/>
      <c r="G2603" s="600"/>
      <c r="H2603" s="588"/>
      <c r="I2603" s="588"/>
      <c r="J2603" s="588"/>
    </row>
    <row r="2604" spans="1:10" x14ac:dyDescent="0.3">
      <c r="A2604" s="588"/>
      <c r="B2604" s="588"/>
      <c r="C2604" s="588"/>
      <c r="D2604" s="588"/>
      <c r="E2604" s="588"/>
      <c r="F2604" s="588"/>
      <c r="G2604" s="600"/>
      <c r="H2604" s="588"/>
      <c r="I2604" s="588"/>
      <c r="J2604" s="588"/>
    </row>
    <row r="2605" spans="1:10" x14ac:dyDescent="0.3">
      <c r="A2605" s="588"/>
      <c r="B2605" s="588"/>
      <c r="C2605" s="588"/>
      <c r="D2605" s="588"/>
      <c r="E2605" s="588"/>
      <c r="F2605" s="588"/>
      <c r="G2605" s="600"/>
      <c r="H2605" s="588"/>
      <c r="I2605" s="588"/>
      <c r="J2605" s="588"/>
    </row>
    <row r="2606" spans="1:10" x14ac:dyDescent="0.3">
      <c r="A2606" s="588"/>
      <c r="B2606" s="588"/>
      <c r="C2606" s="588"/>
      <c r="D2606" s="588"/>
      <c r="E2606" s="588"/>
      <c r="F2606" s="588"/>
      <c r="G2606" s="600"/>
      <c r="H2606" s="588"/>
      <c r="I2606" s="588"/>
      <c r="J2606" s="588"/>
    </row>
    <row r="2607" spans="1:10" x14ac:dyDescent="0.3">
      <c r="A2607" s="588"/>
      <c r="B2607" s="588"/>
      <c r="C2607" s="588"/>
      <c r="D2607" s="588"/>
      <c r="E2607" s="588"/>
      <c r="F2607" s="588"/>
      <c r="G2607" s="600"/>
      <c r="H2607" s="588"/>
      <c r="I2607" s="588"/>
      <c r="J2607" s="588"/>
    </row>
    <row r="2608" spans="1:10" x14ac:dyDescent="0.3">
      <c r="A2608" s="588"/>
      <c r="B2608" s="588"/>
      <c r="C2608" s="588"/>
      <c r="D2608" s="588"/>
      <c r="E2608" s="588"/>
      <c r="F2608" s="588"/>
      <c r="G2608" s="600"/>
      <c r="H2608" s="588"/>
      <c r="I2608" s="588"/>
      <c r="J2608" s="588"/>
    </row>
    <row r="2609" spans="1:10" x14ac:dyDescent="0.3">
      <c r="A2609" s="588"/>
      <c r="B2609" s="588"/>
      <c r="C2609" s="588"/>
      <c r="D2609" s="588"/>
      <c r="E2609" s="588"/>
      <c r="F2609" s="588"/>
      <c r="G2609" s="600"/>
      <c r="H2609" s="588"/>
      <c r="I2609" s="588"/>
      <c r="J2609" s="588"/>
    </row>
    <row r="2610" spans="1:10" x14ac:dyDescent="0.3">
      <c r="A2610" s="588"/>
      <c r="B2610" s="588"/>
      <c r="C2610" s="588"/>
      <c r="D2610" s="588"/>
      <c r="E2610" s="588"/>
      <c r="F2610" s="588"/>
      <c r="G2610" s="600"/>
      <c r="H2610" s="588"/>
      <c r="I2610" s="588"/>
      <c r="J2610" s="588"/>
    </row>
    <row r="2611" spans="1:10" x14ac:dyDescent="0.3">
      <c r="A2611" s="588"/>
      <c r="B2611" s="588"/>
      <c r="C2611" s="588"/>
      <c r="D2611" s="588"/>
      <c r="E2611" s="588"/>
      <c r="F2611" s="588"/>
      <c r="G2611" s="600"/>
      <c r="H2611" s="588"/>
      <c r="I2611" s="588"/>
      <c r="J2611" s="588"/>
    </row>
    <row r="2612" spans="1:10" x14ac:dyDescent="0.3">
      <c r="A2612" s="588"/>
      <c r="B2612" s="588"/>
      <c r="C2612" s="588"/>
      <c r="D2612" s="588"/>
      <c r="E2612" s="588"/>
      <c r="F2612" s="588"/>
      <c r="G2612" s="600"/>
      <c r="H2612" s="588"/>
      <c r="I2612" s="588"/>
      <c r="J2612" s="588"/>
    </row>
    <row r="2613" spans="1:10" x14ac:dyDescent="0.3">
      <c r="A2613" s="588"/>
      <c r="B2613" s="588"/>
      <c r="C2613" s="588"/>
      <c r="D2613" s="588"/>
      <c r="E2613" s="588"/>
      <c r="F2613" s="588"/>
      <c r="G2613" s="600"/>
      <c r="H2613" s="588"/>
      <c r="I2613" s="588"/>
      <c r="J2613" s="588"/>
    </row>
    <row r="2614" spans="1:10" x14ac:dyDescent="0.3">
      <c r="A2614" s="588"/>
      <c r="B2614" s="588"/>
      <c r="C2614" s="588"/>
      <c r="D2614" s="588"/>
      <c r="E2614" s="588"/>
      <c r="F2614" s="588"/>
      <c r="G2614" s="600"/>
      <c r="H2614" s="588"/>
      <c r="I2614" s="588"/>
      <c r="J2614" s="588"/>
    </row>
    <row r="2615" spans="1:10" x14ac:dyDescent="0.3">
      <c r="A2615" s="588"/>
      <c r="B2615" s="588"/>
      <c r="C2615" s="588"/>
      <c r="D2615" s="588"/>
      <c r="E2615" s="588"/>
      <c r="F2615" s="588"/>
      <c r="G2615" s="600"/>
      <c r="H2615" s="588"/>
      <c r="I2615" s="588"/>
      <c r="J2615" s="588"/>
    </row>
    <row r="2616" spans="1:10" x14ac:dyDescent="0.3">
      <c r="A2616" s="588"/>
      <c r="B2616" s="588"/>
      <c r="C2616" s="588"/>
      <c r="D2616" s="588"/>
      <c r="E2616" s="588"/>
      <c r="F2616" s="588"/>
      <c r="G2616" s="600"/>
      <c r="H2616" s="588"/>
      <c r="I2616" s="588"/>
      <c r="J2616" s="588"/>
    </row>
    <row r="2617" spans="1:10" x14ac:dyDescent="0.3">
      <c r="A2617" s="588"/>
      <c r="B2617" s="588"/>
      <c r="C2617" s="588"/>
      <c r="D2617" s="588"/>
      <c r="E2617" s="588"/>
      <c r="F2617" s="588"/>
      <c r="G2617" s="600"/>
      <c r="H2617" s="588"/>
      <c r="I2617" s="588"/>
      <c r="J2617" s="588"/>
    </row>
    <row r="2618" spans="1:10" x14ac:dyDescent="0.3">
      <c r="A2618" s="588"/>
      <c r="B2618" s="588"/>
      <c r="C2618" s="588"/>
      <c r="D2618" s="588"/>
      <c r="E2618" s="588"/>
      <c r="F2618" s="588"/>
      <c r="G2618" s="600"/>
      <c r="H2618" s="588"/>
      <c r="I2618" s="588"/>
      <c r="J2618" s="588"/>
    </row>
    <row r="2619" spans="1:10" x14ac:dyDescent="0.3">
      <c r="A2619" s="588"/>
      <c r="B2619" s="588"/>
      <c r="C2619" s="588"/>
      <c r="D2619" s="588"/>
      <c r="E2619" s="588"/>
      <c r="F2619" s="588"/>
      <c r="G2619" s="600"/>
      <c r="H2619" s="588"/>
      <c r="I2619" s="588"/>
      <c r="J2619" s="588"/>
    </row>
    <row r="2620" spans="1:10" x14ac:dyDescent="0.3">
      <c r="A2620" s="588"/>
      <c r="B2620" s="588"/>
      <c r="C2620" s="588"/>
      <c r="D2620" s="588"/>
      <c r="E2620" s="588"/>
      <c r="F2620" s="588"/>
      <c r="G2620" s="600"/>
      <c r="H2620" s="588"/>
      <c r="I2620" s="588"/>
      <c r="J2620" s="588"/>
    </row>
    <row r="2621" spans="1:10" x14ac:dyDescent="0.3">
      <c r="A2621" s="588"/>
      <c r="B2621" s="588"/>
      <c r="C2621" s="588"/>
      <c r="D2621" s="588"/>
      <c r="E2621" s="588"/>
      <c r="F2621" s="588"/>
      <c r="G2621" s="600"/>
      <c r="H2621" s="588"/>
      <c r="I2621" s="588"/>
      <c r="J2621" s="588"/>
    </row>
    <row r="2622" spans="1:10" x14ac:dyDescent="0.3">
      <c r="A2622" s="588"/>
      <c r="B2622" s="588"/>
      <c r="C2622" s="588"/>
      <c r="D2622" s="588"/>
      <c r="E2622" s="588"/>
      <c r="F2622" s="588"/>
      <c r="G2622" s="600"/>
      <c r="H2622" s="588"/>
      <c r="I2622" s="588"/>
      <c r="J2622" s="588"/>
    </row>
    <row r="2623" spans="1:10" x14ac:dyDescent="0.3">
      <c r="A2623" s="588"/>
      <c r="B2623" s="588"/>
      <c r="C2623" s="588"/>
      <c r="D2623" s="588"/>
      <c r="E2623" s="588"/>
      <c r="F2623" s="588"/>
      <c r="G2623" s="600"/>
      <c r="H2623" s="588"/>
      <c r="I2623" s="588"/>
      <c r="J2623" s="588"/>
    </row>
    <row r="2624" spans="1:10" x14ac:dyDescent="0.3">
      <c r="A2624" s="588"/>
      <c r="B2624" s="588"/>
      <c r="C2624" s="588"/>
      <c r="D2624" s="588"/>
      <c r="E2624" s="588"/>
      <c r="F2624" s="588"/>
      <c r="G2624" s="600"/>
      <c r="H2624" s="588"/>
      <c r="I2624" s="588"/>
      <c r="J2624" s="588"/>
    </row>
    <row r="2625" spans="1:10" x14ac:dyDescent="0.3">
      <c r="A2625" s="588"/>
      <c r="B2625" s="588"/>
      <c r="C2625" s="588"/>
      <c r="D2625" s="588"/>
      <c r="E2625" s="588"/>
      <c r="F2625" s="588"/>
      <c r="G2625" s="600"/>
      <c r="H2625" s="588"/>
      <c r="I2625" s="588"/>
      <c r="J2625" s="588"/>
    </row>
    <row r="2626" spans="1:10" x14ac:dyDescent="0.3">
      <c r="A2626" s="588"/>
      <c r="B2626" s="588"/>
      <c r="C2626" s="588"/>
      <c r="D2626" s="588"/>
      <c r="E2626" s="588"/>
      <c r="F2626" s="588"/>
      <c r="G2626" s="600"/>
      <c r="H2626" s="588"/>
      <c r="I2626" s="588"/>
      <c r="J2626" s="588"/>
    </row>
    <row r="2627" spans="1:10" x14ac:dyDescent="0.3">
      <c r="A2627" s="588"/>
      <c r="B2627" s="588"/>
      <c r="C2627" s="588"/>
      <c r="D2627" s="588"/>
      <c r="E2627" s="588"/>
      <c r="F2627" s="588"/>
      <c r="G2627" s="600"/>
      <c r="H2627" s="588"/>
      <c r="I2627" s="588"/>
      <c r="J2627" s="588"/>
    </row>
    <row r="2628" spans="1:10" x14ac:dyDescent="0.3">
      <c r="A2628" s="588"/>
      <c r="B2628" s="588"/>
      <c r="C2628" s="588"/>
      <c r="D2628" s="588"/>
      <c r="E2628" s="588"/>
      <c r="F2628" s="588"/>
      <c r="G2628" s="600"/>
      <c r="H2628" s="588"/>
      <c r="I2628" s="588"/>
      <c r="J2628" s="588"/>
    </row>
    <row r="2629" spans="1:10" x14ac:dyDescent="0.3">
      <c r="A2629" s="588"/>
      <c r="B2629" s="588"/>
      <c r="C2629" s="588"/>
      <c r="D2629" s="588"/>
      <c r="E2629" s="588"/>
      <c r="F2629" s="588"/>
      <c r="G2629" s="600"/>
      <c r="H2629" s="588"/>
      <c r="I2629" s="588"/>
      <c r="J2629" s="588"/>
    </row>
    <row r="2630" spans="1:10" x14ac:dyDescent="0.3">
      <c r="A2630" s="588"/>
      <c r="B2630" s="588"/>
      <c r="C2630" s="588"/>
      <c r="D2630" s="588"/>
      <c r="E2630" s="588"/>
      <c r="F2630" s="588"/>
      <c r="G2630" s="600"/>
      <c r="H2630" s="588"/>
      <c r="I2630" s="588"/>
      <c r="J2630" s="588"/>
    </row>
    <row r="2631" spans="1:10" x14ac:dyDescent="0.3">
      <c r="A2631" s="588"/>
      <c r="B2631" s="588"/>
      <c r="C2631" s="588"/>
      <c r="D2631" s="588"/>
      <c r="E2631" s="588"/>
      <c r="F2631" s="588"/>
      <c r="G2631" s="600"/>
      <c r="H2631" s="588"/>
      <c r="I2631" s="588"/>
      <c r="J2631" s="588"/>
    </row>
    <row r="2632" spans="1:10" x14ac:dyDescent="0.3">
      <c r="A2632" s="588"/>
      <c r="B2632" s="588"/>
      <c r="C2632" s="588"/>
      <c r="D2632" s="588"/>
      <c r="E2632" s="588"/>
      <c r="F2632" s="588"/>
      <c r="G2632" s="600"/>
      <c r="H2632" s="588"/>
      <c r="I2632" s="588"/>
      <c r="J2632" s="588"/>
    </row>
    <row r="2633" spans="1:10" x14ac:dyDescent="0.3">
      <c r="A2633" s="588"/>
      <c r="B2633" s="588"/>
      <c r="C2633" s="588"/>
      <c r="D2633" s="588"/>
      <c r="E2633" s="588"/>
      <c r="F2633" s="588"/>
      <c r="G2633" s="600"/>
      <c r="H2633" s="588"/>
      <c r="I2633" s="588"/>
      <c r="J2633" s="588"/>
    </row>
    <row r="2634" spans="1:10" x14ac:dyDescent="0.3">
      <c r="A2634" s="588"/>
      <c r="B2634" s="588"/>
      <c r="C2634" s="588"/>
      <c r="D2634" s="588"/>
      <c r="E2634" s="588"/>
      <c r="F2634" s="588"/>
      <c r="G2634" s="600"/>
      <c r="H2634" s="588"/>
      <c r="I2634" s="588"/>
      <c r="J2634" s="588"/>
    </row>
    <row r="2635" spans="1:10" x14ac:dyDescent="0.3">
      <c r="A2635" s="588"/>
      <c r="B2635" s="588"/>
      <c r="C2635" s="588"/>
      <c r="D2635" s="588"/>
      <c r="E2635" s="588"/>
      <c r="F2635" s="588"/>
      <c r="G2635" s="600"/>
      <c r="H2635" s="588"/>
      <c r="I2635" s="588"/>
      <c r="J2635" s="588"/>
    </row>
    <row r="2636" spans="1:10" x14ac:dyDescent="0.3">
      <c r="A2636" s="588"/>
      <c r="B2636" s="588"/>
      <c r="C2636" s="588"/>
      <c r="D2636" s="588"/>
      <c r="E2636" s="588"/>
      <c r="F2636" s="588"/>
      <c r="G2636" s="600"/>
      <c r="H2636" s="588"/>
      <c r="I2636" s="588"/>
      <c r="J2636" s="588"/>
    </row>
    <row r="2637" spans="1:10" x14ac:dyDescent="0.3">
      <c r="A2637" s="588"/>
      <c r="B2637" s="588"/>
      <c r="C2637" s="588"/>
      <c r="D2637" s="588"/>
      <c r="E2637" s="588"/>
      <c r="F2637" s="588"/>
      <c r="G2637" s="600"/>
      <c r="H2637" s="588"/>
      <c r="I2637" s="588"/>
      <c r="J2637" s="588"/>
    </row>
    <row r="2638" spans="1:10" x14ac:dyDescent="0.3">
      <c r="A2638" s="588"/>
      <c r="B2638" s="588"/>
      <c r="C2638" s="588"/>
      <c r="D2638" s="588"/>
      <c r="E2638" s="588"/>
      <c r="F2638" s="588"/>
      <c r="G2638" s="600"/>
      <c r="H2638" s="588"/>
      <c r="I2638" s="588"/>
      <c r="J2638" s="588"/>
    </row>
    <row r="2639" spans="1:10" x14ac:dyDescent="0.3">
      <c r="A2639" s="588"/>
      <c r="B2639" s="588"/>
      <c r="C2639" s="588"/>
      <c r="D2639" s="588"/>
      <c r="E2639" s="588"/>
      <c r="F2639" s="588"/>
      <c r="G2639" s="600"/>
      <c r="H2639" s="588"/>
      <c r="I2639" s="588"/>
      <c r="J2639" s="588"/>
    </row>
    <row r="2640" spans="1:10" x14ac:dyDescent="0.3">
      <c r="A2640" s="588"/>
      <c r="B2640" s="588"/>
      <c r="C2640" s="588"/>
      <c r="D2640" s="588"/>
      <c r="E2640" s="588"/>
      <c r="F2640" s="588"/>
      <c r="G2640" s="600"/>
      <c r="H2640" s="588"/>
      <c r="I2640" s="588"/>
      <c r="J2640" s="588"/>
    </row>
    <row r="2641" spans="1:10" x14ac:dyDescent="0.3">
      <c r="A2641" s="588"/>
      <c r="B2641" s="588"/>
      <c r="C2641" s="588"/>
      <c r="D2641" s="588"/>
      <c r="E2641" s="588"/>
      <c r="F2641" s="588"/>
      <c r="G2641" s="600"/>
      <c r="H2641" s="588"/>
      <c r="I2641" s="588"/>
      <c r="J2641" s="588"/>
    </row>
    <row r="2642" spans="1:10" x14ac:dyDescent="0.3">
      <c r="A2642" s="588"/>
      <c r="B2642" s="588"/>
      <c r="C2642" s="588"/>
      <c r="D2642" s="588"/>
      <c r="E2642" s="588"/>
      <c r="F2642" s="588"/>
      <c r="G2642" s="600"/>
      <c r="H2642" s="588"/>
      <c r="I2642" s="588"/>
      <c r="J2642" s="588"/>
    </row>
    <row r="2643" spans="1:10" x14ac:dyDescent="0.3">
      <c r="A2643" s="588"/>
      <c r="B2643" s="588"/>
      <c r="C2643" s="588"/>
      <c r="D2643" s="588"/>
      <c r="E2643" s="588"/>
      <c r="F2643" s="588"/>
      <c r="G2643" s="600"/>
      <c r="H2643" s="588"/>
      <c r="I2643" s="588"/>
      <c r="J2643" s="588"/>
    </row>
    <row r="2644" spans="1:10" x14ac:dyDescent="0.3">
      <c r="A2644" s="588"/>
      <c r="B2644" s="588"/>
      <c r="C2644" s="588"/>
      <c r="D2644" s="588"/>
      <c r="E2644" s="588"/>
      <c r="F2644" s="588"/>
      <c r="G2644" s="600"/>
      <c r="H2644" s="588"/>
      <c r="I2644" s="588"/>
      <c r="J2644" s="588"/>
    </row>
    <row r="2645" spans="1:10" x14ac:dyDescent="0.3">
      <c r="A2645" s="588"/>
      <c r="B2645" s="588"/>
      <c r="C2645" s="588"/>
      <c r="D2645" s="588"/>
      <c r="E2645" s="588"/>
      <c r="F2645" s="588"/>
      <c r="G2645" s="600"/>
      <c r="H2645" s="588"/>
      <c r="I2645" s="588"/>
      <c r="J2645" s="588"/>
    </row>
    <row r="2646" spans="1:10" x14ac:dyDescent="0.3">
      <c r="A2646" s="588"/>
      <c r="B2646" s="588"/>
      <c r="C2646" s="588"/>
      <c r="D2646" s="588"/>
      <c r="E2646" s="588"/>
      <c r="F2646" s="588"/>
      <c r="G2646" s="600"/>
      <c r="H2646" s="588"/>
      <c r="I2646" s="588"/>
      <c r="J2646" s="588"/>
    </row>
    <row r="2647" spans="1:10" x14ac:dyDescent="0.3">
      <c r="A2647" s="588"/>
      <c r="B2647" s="588"/>
      <c r="C2647" s="588"/>
      <c r="D2647" s="588"/>
      <c r="E2647" s="588"/>
      <c r="F2647" s="588"/>
      <c r="G2647" s="600"/>
      <c r="H2647" s="588"/>
      <c r="I2647" s="588"/>
      <c r="J2647" s="588"/>
    </row>
    <row r="2648" spans="1:10" x14ac:dyDescent="0.3">
      <c r="A2648" s="588"/>
      <c r="B2648" s="588"/>
      <c r="C2648" s="588"/>
      <c r="D2648" s="588"/>
      <c r="E2648" s="588"/>
      <c r="F2648" s="588"/>
      <c r="G2648" s="600"/>
      <c r="H2648" s="588"/>
      <c r="I2648" s="588"/>
      <c r="J2648" s="588"/>
    </row>
    <row r="2649" spans="1:10" x14ac:dyDescent="0.3">
      <c r="A2649" s="588"/>
      <c r="B2649" s="588"/>
      <c r="C2649" s="588"/>
      <c r="D2649" s="588"/>
      <c r="E2649" s="588"/>
      <c r="F2649" s="588"/>
      <c r="G2649" s="600"/>
      <c r="H2649" s="588"/>
      <c r="I2649" s="588"/>
      <c r="J2649" s="588"/>
    </row>
    <row r="2650" spans="1:10" x14ac:dyDescent="0.3">
      <c r="A2650" s="588"/>
      <c r="B2650" s="588"/>
      <c r="C2650" s="588"/>
      <c r="D2650" s="588"/>
      <c r="E2650" s="588"/>
      <c r="F2650" s="588"/>
      <c r="G2650" s="600"/>
      <c r="H2650" s="588"/>
      <c r="I2650" s="588"/>
      <c r="J2650" s="588"/>
    </row>
    <row r="2651" spans="1:10" x14ac:dyDescent="0.3">
      <c r="A2651" s="588"/>
      <c r="B2651" s="588"/>
      <c r="C2651" s="588"/>
      <c r="D2651" s="588"/>
      <c r="E2651" s="588"/>
      <c r="F2651" s="588"/>
      <c r="G2651" s="600"/>
      <c r="H2651" s="588"/>
      <c r="I2651" s="588"/>
      <c r="J2651" s="588"/>
    </row>
    <row r="2652" spans="1:10" x14ac:dyDescent="0.3">
      <c r="A2652" s="588"/>
      <c r="B2652" s="588"/>
      <c r="C2652" s="588"/>
      <c r="D2652" s="588"/>
      <c r="E2652" s="588"/>
      <c r="F2652" s="588"/>
      <c r="G2652" s="600"/>
      <c r="H2652" s="588"/>
      <c r="I2652" s="588"/>
      <c r="J2652" s="588"/>
    </row>
    <row r="2653" spans="1:10" x14ac:dyDescent="0.3">
      <c r="A2653" s="588"/>
      <c r="B2653" s="588"/>
      <c r="C2653" s="588"/>
      <c r="D2653" s="588"/>
      <c r="E2653" s="588"/>
      <c r="F2653" s="588"/>
      <c r="G2653" s="600"/>
      <c r="H2653" s="588"/>
      <c r="I2653" s="588"/>
      <c r="J2653" s="588"/>
    </row>
    <row r="2654" spans="1:10" x14ac:dyDescent="0.3">
      <c r="A2654" s="588"/>
      <c r="B2654" s="588"/>
      <c r="C2654" s="588"/>
      <c r="D2654" s="588"/>
      <c r="E2654" s="588"/>
      <c r="F2654" s="588"/>
      <c r="G2654" s="600"/>
      <c r="H2654" s="588"/>
      <c r="I2654" s="588"/>
      <c r="J2654" s="588"/>
    </row>
    <row r="2655" spans="1:10" x14ac:dyDescent="0.3">
      <c r="A2655" s="588"/>
      <c r="B2655" s="588"/>
      <c r="C2655" s="588"/>
      <c r="D2655" s="588"/>
      <c r="E2655" s="588"/>
      <c r="F2655" s="588"/>
      <c r="G2655" s="600"/>
      <c r="H2655" s="588"/>
      <c r="I2655" s="588"/>
      <c r="J2655" s="588"/>
    </row>
    <row r="2656" spans="1:10" x14ac:dyDescent="0.3">
      <c r="A2656" s="588"/>
      <c r="B2656" s="588"/>
      <c r="C2656" s="588"/>
      <c r="D2656" s="588"/>
      <c r="E2656" s="588"/>
      <c r="F2656" s="588"/>
      <c r="G2656" s="600"/>
      <c r="H2656" s="588"/>
      <c r="I2656" s="588"/>
      <c r="J2656" s="588"/>
    </row>
    <row r="2657" spans="1:10" x14ac:dyDescent="0.3">
      <c r="A2657" s="588"/>
      <c r="B2657" s="588"/>
      <c r="C2657" s="588"/>
      <c r="D2657" s="588"/>
      <c r="E2657" s="588"/>
      <c r="F2657" s="588"/>
      <c r="G2657" s="600"/>
      <c r="H2657" s="588"/>
      <c r="I2657" s="588"/>
      <c r="J2657" s="588"/>
    </row>
    <row r="2658" spans="1:10" x14ac:dyDescent="0.3">
      <c r="A2658" s="588"/>
      <c r="B2658" s="588"/>
      <c r="C2658" s="588"/>
      <c r="D2658" s="588"/>
      <c r="E2658" s="588"/>
      <c r="F2658" s="588"/>
      <c r="G2658" s="600"/>
      <c r="H2658" s="588"/>
      <c r="I2658" s="588"/>
      <c r="J2658" s="588"/>
    </row>
    <row r="2659" spans="1:10" x14ac:dyDescent="0.3">
      <c r="A2659" s="588"/>
      <c r="B2659" s="588"/>
      <c r="C2659" s="588"/>
      <c r="D2659" s="588"/>
      <c r="E2659" s="588"/>
      <c r="F2659" s="588"/>
      <c r="G2659" s="600"/>
      <c r="H2659" s="588"/>
      <c r="I2659" s="588"/>
      <c r="J2659" s="588"/>
    </row>
    <row r="2660" spans="1:10" x14ac:dyDescent="0.3">
      <c r="A2660" s="588"/>
      <c r="B2660" s="588"/>
      <c r="C2660" s="588"/>
      <c r="D2660" s="588"/>
      <c r="E2660" s="588"/>
      <c r="F2660" s="588"/>
      <c r="G2660" s="600"/>
      <c r="H2660" s="588"/>
      <c r="I2660" s="588"/>
      <c r="J2660" s="588"/>
    </row>
    <row r="2661" spans="1:10" x14ac:dyDescent="0.3">
      <c r="A2661" s="588"/>
      <c r="B2661" s="588"/>
      <c r="C2661" s="588"/>
      <c r="D2661" s="588"/>
      <c r="E2661" s="588"/>
      <c r="F2661" s="588"/>
      <c r="G2661" s="600"/>
      <c r="H2661" s="588"/>
      <c r="I2661" s="588"/>
      <c r="J2661" s="588"/>
    </row>
    <row r="2662" spans="1:10" x14ac:dyDescent="0.3">
      <c r="A2662" s="588"/>
      <c r="B2662" s="588"/>
      <c r="C2662" s="588"/>
      <c r="D2662" s="588"/>
      <c r="E2662" s="588"/>
      <c r="F2662" s="588"/>
      <c r="G2662" s="600"/>
      <c r="H2662" s="588"/>
      <c r="I2662" s="588"/>
      <c r="J2662" s="588"/>
    </row>
    <row r="2663" spans="1:10" x14ac:dyDescent="0.3">
      <c r="A2663" s="588"/>
      <c r="B2663" s="588"/>
      <c r="C2663" s="588"/>
      <c r="D2663" s="588"/>
      <c r="E2663" s="588"/>
      <c r="F2663" s="588"/>
      <c r="G2663" s="600"/>
      <c r="H2663" s="588"/>
      <c r="I2663" s="588"/>
      <c r="J2663" s="588"/>
    </row>
    <row r="2664" spans="1:10" x14ac:dyDescent="0.3">
      <c r="A2664" s="588"/>
      <c r="B2664" s="588"/>
      <c r="C2664" s="588"/>
      <c r="D2664" s="588"/>
      <c r="E2664" s="588"/>
      <c r="F2664" s="588"/>
      <c r="G2664" s="600"/>
      <c r="H2664" s="588"/>
      <c r="I2664" s="588"/>
      <c r="J2664" s="588"/>
    </row>
    <row r="2665" spans="1:10" x14ac:dyDescent="0.3">
      <c r="A2665" s="588"/>
      <c r="B2665" s="588"/>
      <c r="C2665" s="588"/>
      <c r="D2665" s="588"/>
      <c r="E2665" s="588"/>
      <c r="F2665" s="588"/>
      <c r="G2665" s="600"/>
      <c r="H2665" s="588"/>
      <c r="I2665" s="588"/>
      <c r="J2665" s="588"/>
    </row>
    <row r="2666" spans="1:10" x14ac:dyDescent="0.3">
      <c r="A2666" s="588"/>
      <c r="B2666" s="588"/>
      <c r="C2666" s="588"/>
      <c r="D2666" s="588"/>
      <c r="E2666" s="588"/>
      <c r="F2666" s="588"/>
      <c r="G2666" s="600"/>
      <c r="H2666" s="588"/>
      <c r="I2666" s="588"/>
      <c r="J2666" s="588"/>
    </row>
    <row r="2667" spans="1:10" x14ac:dyDescent="0.3">
      <c r="A2667" s="588"/>
      <c r="B2667" s="588"/>
      <c r="C2667" s="588"/>
      <c r="D2667" s="588"/>
      <c r="E2667" s="588"/>
      <c r="F2667" s="588"/>
      <c r="G2667" s="600"/>
      <c r="H2667" s="588"/>
      <c r="I2667" s="588"/>
      <c r="J2667" s="588"/>
    </row>
    <row r="2668" spans="1:10" x14ac:dyDescent="0.3">
      <c r="A2668" s="588"/>
      <c r="B2668" s="588"/>
      <c r="C2668" s="588"/>
      <c r="D2668" s="588"/>
      <c r="E2668" s="588"/>
      <c r="F2668" s="588"/>
      <c r="G2668" s="600"/>
      <c r="H2668" s="588"/>
      <c r="I2668" s="588"/>
      <c r="J2668" s="588"/>
    </row>
    <row r="2669" spans="1:10" x14ac:dyDescent="0.3">
      <c r="A2669" s="588"/>
      <c r="B2669" s="588"/>
      <c r="C2669" s="588"/>
      <c r="D2669" s="588"/>
      <c r="E2669" s="588"/>
      <c r="F2669" s="588"/>
      <c r="G2669" s="600"/>
      <c r="H2669" s="588"/>
      <c r="I2669" s="588"/>
      <c r="J2669" s="588"/>
    </row>
    <row r="2670" spans="1:10" x14ac:dyDescent="0.3">
      <c r="A2670" s="588"/>
      <c r="B2670" s="588"/>
      <c r="C2670" s="588"/>
      <c r="D2670" s="588"/>
      <c r="E2670" s="588"/>
      <c r="F2670" s="588"/>
      <c r="G2670" s="600"/>
      <c r="H2670" s="588"/>
      <c r="I2670" s="588"/>
      <c r="J2670" s="588"/>
    </row>
    <row r="2671" spans="1:10" x14ac:dyDescent="0.3">
      <c r="A2671" s="588"/>
      <c r="B2671" s="588"/>
      <c r="C2671" s="588"/>
      <c r="D2671" s="588"/>
      <c r="E2671" s="588"/>
      <c r="F2671" s="588"/>
      <c r="G2671" s="600"/>
      <c r="H2671" s="588"/>
      <c r="I2671" s="588"/>
      <c r="J2671" s="588"/>
    </row>
    <row r="2672" spans="1:10" x14ac:dyDescent="0.3">
      <c r="A2672" s="588"/>
      <c r="B2672" s="588"/>
      <c r="C2672" s="588"/>
      <c r="D2672" s="588"/>
      <c r="E2672" s="588"/>
      <c r="F2672" s="588"/>
      <c r="G2672" s="600"/>
      <c r="H2672" s="588"/>
      <c r="I2672" s="588"/>
      <c r="J2672" s="588"/>
    </row>
    <row r="2673" spans="1:10" x14ac:dyDescent="0.3">
      <c r="A2673" s="588"/>
      <c r="B2673" s="588"/>
      <c r="C2673" s="588"/>
      <c r="D2673" s="588"/>
      <c r="E2673" s="588"/>
      <c r="F2673" s="588"/>
      <c r="G2673" s="600"/>
      <c r="H2673" s="588"/>
      <c r="I2673" s="588"/>
      <c r="J2673" s="588"/>
    </row>
    <row r="2674" spans="1:10" x14ac:dyDescent="0.3">
      <c r="A2674" s="588"/>
      <c r="B2674" s="588"/>
      <c r="C2674" s="588"/>
      <c r="D2674" s="588"/>
      <c r="E2674" s="588"/>
      <c r="F2674" s="588"/>
      <c r="G2674" s="600"/>
      <c r="H2674" s="588"/>
      <c r="I2674" s="588"/>
      <c r="J2674" s="588"/>
    </row>
    <row r="2675" spans="1:10" x14ac:dyDescent="0.3">
      <c r="A2675" s="588"/>
      <c r="B2675" s="588"/>
      <c r="C2675" s="588"/>
      <c r="D2675" s="588"/>
      <c r="E2675" s="588"/>
      <c r="F2675" s="588"/>
      <c r="G2675" s="600"/>
      <c r="H2675" s="588"/>
      <c r="I2675" s="588"/>
      <c r="J2675" s="588"/>
    </row>
    <row r="2676" spans="1:10" x14ac:dyDescent="0.3">
      <c r="A2676" s="588"/>
      <c r="B2676" s="588"/>
      <c r="C2676" s="588"/>
      <c r="D2676" s="588"/>
      <c r="E2676" s="588"/>
      <c r="F2676" s="588"/>
      <c r="G2676" s="600"/>
      <c r="H2676" s="588"/>
      <c r="I2676" s="588"/>
      <c r="J2676" s="588"/>
    </row>
    <row r="2677" spans="1:10" x14ac:dyDescent="0.3">
      <c r="A2677" s="588"/>
      <c r="B2677" s="588"/>
      <c r="C2677" s="588"/>
      <c r="D2677" s="588"/>
      <c r="E2677" s="588"/>
      <c r="F2677" s="588"/>
      <c r="G2677" s="600"/>
      <c r="H2677" s="588"/>
      <c r="I2677" s="588"/>
      <c r="J2677" s="588"/>
    </row>
    <row r="2678" spans="1:10" x14ac:dyDescent="0.3">
      <c r="A2678" s="588"/>
      <c r="B2678" s="588"/>
      <c r="C2678" s="588"/>
      <c r="D2678" s="588"/>
      <c r="E2678" s="588"/>
      <c r="F2678" s="588"/>
      <c r="G2678" s="600"/>
      <c r="H2678" s="588"/>
      <c r="I2678" s="588"/>
      <c r="J2678" s="588"/>
    </row>
    <row r="2679" spans="1:10" x14ac:dyDescent="0.3">
      <c r="A2679" s="588"/>
      <c r="B2679" s="588"/>
      <c r="C2679" s="588"/>
      <c r="D2679" s="588"/>
      <c r="E2679" s="588"/>
      <c r="F2679" s="588"/>
      <c r="G2679" s="600"/>
      <c r="H2679" s="588"/>
      <c r="I2679" s="588"/>
      <c r="J2679" s="588"/>
    </row>
    <row r="2680" spans="1:10" x14ac:dyDescent="0.3">
      <c r="A2680" s="588"/>
      <c r="B2680" s="588"/>
      <c r="C2680" s="588"/>
      <c r="D2680" s="588"/>
      <c r="E2680" s="588"/>
      <c r="F2680" s="588"/>
      <c r="G2680" s="600"/>
      <c r="H2680" s="588"/>
      <c r="I2680" s="588"/>
      <c r="J2680" s="588"/>
    </row>
    <row r="2681" spans="1:10" x14ac:dyDescent="0.3">
      <c r="A2681" s="588"/>
      <c r="B2681" s="588"/>
      <c r="C2681" s="588"/>
      <c r="D2681" s="588"/>
      <c r="E2681" s="588"/>
      <c r="F2681" s="588"/>
      <c r="G2681" s="600"/>
      <c r="H2681" s="588"/>
      <c r="I2681" s="588"/>
      <c r="J2681" s="588"/>
    </row>
    <row r="2682" spans="1:10" x14ac:dyDescent="0.3">
      <c r="A2682" s="588"/>
      <c r="B2682" s="588"/>
      <c r="C2682" s="588"/>
      <c r="D2682" s="588"/>
      <c r="E2682" s="588"/>
      <c r="F2682" s="588"/>
      <c r="G2682" s="600"/>
      <c r="H2682" s="588"/>
      <c r="I2682" s="588"/>
      <c r="J2682" s="588"/>
    </row>
    <row r="2683" spans="1:10" x14ac:dyDescent="0.3">
      <c r="A2683" s="588"/>
      <c r="B2683" s="588"/>
      <c r="C2683" s="588"/>
      <c r="D2683" s="588"/>
      <c r="E2683" s="588"/>
      <c r="F2683" s="588"/>
      <c r="G2683" s="600"/>
      <c r="H2683" s="588"/>
      <c r="I2683" s="588"/>
      <c r="J2683" s="588"/>
    </row>
    <row r="2684" spans="1:10" x14ac:dyDescent="0.3">
      <c r="A2684" s="588"/>
      <c r="B2684" s="588"/>
      <c r="C2684" s="588"/>
      <c r="D2684" s="588"/>
      <c r="E2684" s="588"/>
      <c r="F2684" s="588"/>
      <c r="G2684" s="600"/>
      <c r="H2684" s="588"/>
      <c r="I2684" s="588"/>
      <c r="J2684" s="588"/>
    </row>
    <row r="2685" spans="1:10" x14ac:dyDescent="0.3">
      <c r="A2685" s="588"/>
      <c r="B2685" s="588"/>
      <c r="C2685" s="588"/>
      <c r="D2685" s="588"/>
      <c r="E2685" s="588"/>
      <c r="F2685" s="588"/>
      <c r="G2685" s="600"/>
      <c r="H2685" s="588"/>
      <c r="I2685" s="588"/>
      <c r="J2685" s="588"/>
    </row>
    <row r="2686" spans="1:10" x14ac:dyDescent="0.3">
      <c r="A2686" s="588"/>
      <c r="B2686" s="588"/>
      <c r="C2686" s="588"/>
      <c r="D2686" s="588"/>
      <c r="E2686" s="588"/>
      <c r="F2686" s="588"/>
      <c r="G2686" s="600"/>
      <c r="H2686" s="588"/>
      <c r="I2686" s="588"/>
      <c r="J2686" s="588"/>
    </row>
    <row r="2687" spans="1:10" x14ac:dyDescent="0.3">
      <c r="A2687" s="588"/>
      <c r="B2687" s="588"/>
      <c r="C2687" s="588"/>
      <c r="D2687" s="588"/>
      <c r="E2687" s="588"/>
      <c r="F2687" s="588"/>
      <c r="G2687" s="600"/>
      <c r="H2687" s="588"/>
      <c r="I2687" s="588"/>
      <c r="J2687" s="588"/>
    </row>
    <row r="2688" spans="1:10" x14ac:dyDescent="0.3">
      <c r="A2688" s="588"/>
      <c r="B2688" s="588"/>
      <c r="C2688" s="588"/>
      <c r="D2688" s="588"/>
      <c r="E2688" s="588"/>
      <c r="F2688" s="588"/>
      <c r="G2688" s="600"/>
      <c r="H2688" s="588"/>
      <c r="I2688" s="588"/>
      <c r="J2688" s="588"/>
    </row>
    <row r="2689" spans="1:10" x14ac:dyDescent="0.3">
      <c r="A2689" s="588"/>
      <c r="B2689" s="588"/>
      <c r="C2689" s="588"/>
      <c r="D2689" s="588"/>
      <c r="E2689" s="588"/>
      <c r="F2689" s="588"/>
      <c r="G2689" s="600"/>
      <c r="H2689" s="588"/>
      <c r="I2689" s="588"/>
      <c r="J2689" s="588"/>
    </row>
    <row r="2690" spans="1:10" x14ac:dyDescent="0.3">
      <c r="A2690" s="588"/>
      <c r="B2690" s="588"/>
      <c r="C2690" s="588"/>
      <c r="D2690" s="588"/>
      <c r="E2690" s="588"/>
      <c r="F2690" s="588"/>
      <c r="G2690" s="600"/>
      <c r="H2690" s="588"/>
      <c r="I2690" s="588"/>
      <c r="J2690" s="588"/>
    </row>
    <row r="2691" spans="1:10" x14ac:dyDescent="0.3">
      <c r="A2691" s="588"/>
      <c r="B2691" s="588"/>
      <c r="C2691" s="588"/>
      <c r="D2691" s="588"/>
      <c r="E2691" s="588"/>
      <c r="F2691" s="588"/>
      <c r="G2691" s="600"/>
      <c r="H2691" s="588"/>
      <c r="I2691" s="588"/>
      <c r="J2691" s="588"/>
    </row>
    <row r="2692" spans="1:10" x14ac:dyDescent="0.3">
      <c r="A2692" s="588"/>
      <c r="B2692" s="588"/>
      <c r="C2692" s="588"/>
      <c r="D2692" s="588"/>
      <c r="E2692" s="588"/>
      <c r="F2692" s="588"/>
      <c r="G2692" s="600"/>
      <c r="H2692" s="588"/>
      <c r="I2692" s="588"/>
      <c r="J2692" s="588"/>
    </row>
    <row r="2693" spans="1:10" x14ac:dyDescent="0.3">
      <c r="A2693" s="588"/>
      <c r="B2693" s="588"/>
      <c r="C2693" s="588"/>
      <c r="D2693" s="588"/>
      <c r="E2693" s="588"/>
      <c r="F2693" s="588"/>
      <c r="G2693" s="600"/>
      <c r="H2693" s="588"/>
      <c r="I2693" s="588"/>
      <c r="J2693" s="588"/>
    </row>
    <row r="2694" spans="1:10" x14ac:dyDescent="0.3">
      <c r="A2694" s="588"/>
      <c r="B2694" s="588"/>
      <c r="C2694" s="588"/>
      <c r="D2694" s="588"/>
      <c r="E2694" s="588"/>
      <c r="F2694" s="588"/>
      <c r="G2694" s="600"/>
      <c r="H2694" s="588"/>
      <c r="I2694" s="588"/>
      <c r="J2694" s="588"/>
    </row>
    <row r="2695" spans="1:10" x14ac:dyDescent="0.3">
      <c r="A2695" s="588"/>
      <c r="B2695" s="588"/>
      <c r="C2695" s="588"/>
      <c r="D2695" s="588"/>
      <c r="E2695" s="588"/>
      <c r="F2695" s="588"/>
      <c r="G2695" s="600"/>
      <c r="H2695" s="588"/>
      <c r="I2695" s="588"/>
      <c r="J2695" s="588"/>
    </row>
    <row r="2696" spans="1:10" x14ac:dyDescent="0.3">
      <c r="A2696" s="588"/>
      <c r="B2696" s="588"/>
      <c r="C2696" s="588"/>
      <c r="D2696" s="588"/>
      <c r="E2696" s="588"/>
      <c r="F2696" s="588"/>
      <c r="G2696" s="600"/>
      <c r="H2696" s="588"/>
      <c r="I2696" s="588"/>
      <c r="J2696" s="588"/>
    </row>
    <row r="2697" spans="1:10" x14ac:dyDescent="0.3">
      <c r="A2697" s="588"/>
      <c r="B2697" s="588"/>
      <c r="C2697" s="588"/>
      <c r="D2697" s="588"/>
      <c r="E2697" s="588"/>
      <c r="F2697" s="588"/>
      <c r="G2697" s="600"/>
      <c r="H2697" s="588"/>
      <c r="I2697" s="588"/>
      <c r="J2697" s="588"/>
    </row>
    <row r="2698" spans="1:10" x14ac:dyDescent="0.3">
      <c r="A2698" s="588"/>
      <c r="B2698" s="588"/>
      <c r="C2698" s="588"/>
      <c r="D2698" s="588"/>
      <c r="E2698" s="588"/>
      <c r="F2698" s="588"/>
      <c r="G2698" s="600"/>
      <c r="H2698" s="588"/>
      <c r="I2698" s="588"/>
      <c r="J2698" s="588"/>
    </row>
    <row r="2699" spans="1:10" x14ac:dyDescent="0.3">
      <c r="A2699" s="588"/>
      <c r="B2699" s="588"/>
      <c r="C2699" s="588"/>
      <c r="D2699" s="588"/>
      <c r="E2699" s="588"/>
      <c r="F2699" s="588"/>
      <c r="G2699" s="600"/>
      <c r="H2699" s="588"/>
      <c r="I2699" s="588"/>
      <c r="J2699" s="588"/>
    </row>
    <row r="2700" spans="1:10" x14ac:dyDescent="0.3">
      <c r="A2700" s="588"/>
      <c r="B2700" s="588"/>
      <c r="C2700" s="588"/>
      <c r="D2700" s="588"/>
      <c r="E2700" s="588"/>
      <c r="F2700" s="588"/>
      <c r="G2700" s="600"/>
      <c r="H2700" s="588"/>
      <c r="I2700" s="588"/>
      <c r="J2700" s="588"/>
    </row>
    <row r="2701" spans="1:10" x14ac:dyDescent="0.3">
      <c r="A2701" s="588"/>
      <c r="B2701" s="588"/>
      <c r="C2701" s="588"/>
      <c r="D2701" s="588"/>
      <c r="E2701" s="588"/>
      <c r="F2701" s="588"/>
      <c r="G2701" s="600"/>
      <c r="H2701" s="588"/>
      <c r="I2701" s="588"/>
      <c r="J2701" s="588"/>
    </row>
    <row r="2702" spans="1:10" x14ac:dyDescent="0.3">
      <c r="A2702" s="588"/>
      <c r="B2702" s="588"/>
      <c r="C2702" s="588"/>
      <c r="D2702" s="588"/>
      <c r="E2702" s="588"/>
      <c r="F2702" s="588"/>
      <c r="G2702" s="600"/>
      <c r="H2702" s="588"/>
      <c r="I2702" s="588"/>
      <c r="J2702" s="588"/>
    </row>
    <row r="2703" spans="1:10" x14ac:dyDescent="0.3">
      <c r="A2703" s="588"/>
      <c r="B2703" s="588"/>
      <c r="C2703" s="588"/>
      <c r="D2703" s="588"/>
      <c r="E2703" s="588"/>
      <c r="F2703" s="588"/>
      <c r="G2703" s="600"/>
      <c r="H2703" s="588"/>
      <c r="I2703" s="588"/>
      <c r="J2703" s="588"/>
    </row>
    <row r="2704" spans="1:10" x14ac:dyDescent="0.3">
      <c r="A2704" s="588"/>
      <c r="B2704" s="588"/>
      <c r="C2704" s="588"/>
      <c r="D2704" s="588"/>
      <c r="E2704" s="588"/>
      <c r="F2704" s="588"/>
      <c r="G2704" s="600"/>
      <c r="H2704" s="588"/>
      <c r="I2704" s="588"/>
      <c r="J2704" s="588"/>
    </row>
    <row r="2705" spans="1:10" x14ac:dyDescent="0.3">
      <c r="A2705" s="588"/>
      <c r="B2705" s="588"/>
      <c r="C2705" s="588"/>
      <c r="D2705" s="588"/>
      <c r="E2705" s="588"/>
      <c r="F2705" s="588"/>
      <c r="G2705" s="600"/>
      <c r="H2705" s="588"/>
      <c r="I2705" s="588"/>
      <c r="J2705" s="588"/>
    </row>
    <row r="2706" spans="1:10" x14ac:dyDescent="0.3">
      <c r="A2706" s="588"/>
      <c r="B2706" s="588"/>
      <c r="C2706" s="588"/>
      <c r="D2706" s="588"/>
      <c r="E2706" s="588"/>
      <c r="F2706" s="588"/>
      <c r="G2706" s="600"/>
      <c r="H2706" s="588"/>
      <c r="I2706" s="588"/>
      <c r="J2706" s="588"/>
    </row>
    <row r="2707" spans="1:10" x14ac:dyDescent="0.3">
      <c r="A2707" s="588"/>
      <c r="B2707" s="588"/>
      <c r="C2707" s="588"/>
      <c r="D2707" s="588"/>
      <c r="E2707" s="588"/>
      <c r="F2707" s="588"/>
      <c r="G2707" s="600"/>
      <c r="H2707" s="588"/>
      <c r="I2707" s="588"/>
      <c r="J2707" s="588"/>
    </row>
    <row r="2708" spans="1:10" x14ac:dyDescent="0.3">
      <c r="A2708" s="588"/>
      <c r="B2708" s="588"/>
      <c r="C2708" s="588"/>
      <c r="D2708" s="588"/>
      <c r="E2708" s="588"/>
      <c r="F2708" s="588"/>
      <c r="G2708" s="600"/>
      <c r="H2708" s="588"/>
      <c r="I2708" s="588"/>
      <c r="J2708" s="588"/>
    </row>
    <row r="2709" spans="1:10" x14ac:dyDescent="0.3">
      <c r="A2709" s="588"/>
      <c r="B2709" s="588"/>
      <c r="C2709" s="588"/>
      <c r="D2709" s="588"/>
      <c r="E2709" s="588"/>
      <c r="F2709" s="588"/>
      <c r="G2709" s="600"/>
      <c r="H2709" s="588"/>
      <c r="I2709" s="588"/>
      <c r="J2709" s="588"/>
    </row>
    <row r="2710" spans="1:10" x14ac:dyDescent="0.3">
      <c r="A2710" s="588"/>
      <c r="B2710" s="588"/>
      <c r="C2710" s="588"/>
      <c r="D2710" s="588"/>
      <c r="E2710" s="588"/>
      <c r="F2710" s="588"/>
      <c r="G2710" s="600"/>
      <c r="H2710" s="588"/>
      <c r="I2710" s="588"/>
      <c r="J2710" s="588"/>
    </row>
    <row r="2711" spans="1:10" x14ac:dyDescent="0.3">
      <c r="A2711" s="588"/>
      <c r="B2711" s="588"/>
      <c r="C2711" s="588"/>
      <c r="D2711" s="588"/>
      <c r="E2711" s="588"/>
      <c r="F2711" s="588"/>
      <c r="G2711" s="600"/>
      <c r="H2711" s="588"/>
      <c r="I2711" s="588"/>
      <c r="J2711" s="588"/>
    </row>
    <row r="2712" spans="1:10" x14ac:dyDescent="0.3">
      <c r="A2712" s="588"/>
      <c r="B2712" s="588"/>
      <c r="C2712" s="588"/>
      <c r="D2712" s="588"/>
      <c r="E2712" s="588"/>
      <c r="F2712" s="588"/>
      <c r="G2712" s="600"/>
      <c r="H2712" s="588"/>
      <c r="I2712" s="588"/>
      <c r="J2712" s="588"/>
    </row>
    <row r="2713" spans="1:10" x14ac:dyDescent="0.3">
      <c r="A2713" s="588"/>
      <c r="B2713" s="588"/>
      <c r="C2713" s="588"/>
      <c r="D2713" s="588"/>
      <c r="E2713" s="588"/>
      <c r="F2713" s="588"/>
      <c r="G2713" s="600"/>
      <c r="H2713" s="588"/>
      <c r="I2713" s="588"/>
      <c r="J2713" s="588"/>
    </row>
    <row r="2714" spans="1:10" x14ac:dyDescent="0.3">
      <c r="A2714" s="588"/>
      <c r="B2714" s="588"/>
      <c r="C2714" s="588"/>
      <c r="D2714" s="588"/>
      <c r="E2714" s="588"/>
      <c r="F2714" s="588"/>
      <c r="G2714" s="600"/>
      <c r="H2714" s="588"/>
      <c r="I2714" s="588"/>
      <c r="J2714" s="588"/>
    </row>
    <row r="2715" spans="1:10" x14ac:dyDescent="0.3">
      <c r="A2715" s="588"/>
      <c r="B2715" s="588"/>
      <c r="C2715" s="588"/>
      <c r="D2715" s="588"/>
      <c r="E2715" s="588"/>
      <c r="F2715" s="588"/>
      <c r="G2715" s="600"/>
      <c r="H2715" s="588"/>
      <c r="I2715" s="588"/>
      <c r="J2715" s="588"/>
    </row>
    <row r="2716" spans="1:10" x14ac:dyDescent="0.3">
      <c r="A2716" s="588"/>
      <c r="B2716" s="588"/>
      <c r="C2716" s="588"/>
      <c r="D2716" s="588"/>
      <c r="E2716" s="588"/>
      <c r="F2716" s="588"/>
      <c r="G2716" s="600"/>
      <c r="H2716" s="588"/>
      <c r="I2716" s="588"/>
      <c r="J2716" s="588"/>
    </row>
    <row r="2717" spans="1:10" x14ac:dyDescent="0.3">
      <c r="A2717" s="588"/>
      <c r="B2717" s="588"/>
      <c r="C2717" s="588"/>
      <c r="D2717" s="588"/>
      <c r="E2717" s="588"/>
      <c r="F2717" s="588"/>
      <c r="G2717" s="600"/>
      <c r="H2717" s="588"/>
      <c r="I2717" s="588"/>
      <c r="J2717" s="588"/>
    </row>
    <row r="2718" spans="1:10" x14ac:dyDescent="0.3">
      <c r="A2718" s="588"/>
      <c r="B2718" s="588"/>
      <c r="C2718" s="588"/>
      <c r="D2718" s="588"/>
      <c r="E2718" s="588"/>
      <c r="F2718" s="588"/>
      <c r="G2718" s="600"/>
      <c r="H2718" s="588"/>
      <c r="I2718" s="588"/>
      <c r="J2718" s="588"/>
    </row>
    <row r="2719" spans="1:10" x14ac:dyDescent="0.3">
      <c r="A2719" s="588"/>
      <c r="B2719" s="588"/>
      <c r="C2719" s="588"/>
      <c r="D2719" s="588"/>
      <c r="E2719" s="588"/>
      <c r="F2719" s="588"/>
      <c r="G2719" s="600"/>
      <c r="H2719" s="588"/>
      <c r="I2719" s="588"/>
      <c r="J2719" s="588"/>
    </row>
    <row r="2720" spans="1:10" x14ac:dyDescent="0.3">
      <c r="A2720" s="588"/>
      <c r="B2720" s="588"/>
      <c r="C2720" s="588"/>
      <c r="D2720" s="588"/>
      <c r="E2720" s="588"/>
      <c r="F2720" s="588"/>
      <c r="G2720" s="600"/>
      <c r="H2720" s="588"/>
      <c r="I2720" s="588"/>
      <c r="J2720" s="588"/>
    </row>
    <row r="2721" spans="1:10" x14ac:dyDescent="0.3">
      <c r="A2721" s="588"/>
      <c r="B2721" s="588"/>
      <c r="C2721" s="588"/>
      <c r="D2721" s="588"/>
      <c r="E2721" s="588"/>
      <c r="F2721" s="588"/>
      <c r="G2721" s="600"/>
      <c r="H2721" s="588"/>
      <c r="I2721" s="588"/>
      <c r="J2721" s="588"/>
    </row>
    <row r="2722" spans="1:10" x14ac:dyDescent="0.3">
      <c r="A2722" s="588"/>
      <c r="B2722" s="588"/>
      <c r="C2722" s="588"/>
      <c r="D2722" s="588"/>
      <c r="E2722" s="588"/>
      <c r="F2722" s="588"/>
      <c r="G2722" s="600"/>
      <c r="H2722" s="588"/>
      <c r="I2722" s="588"/>
      <c r="J2722" s="588"/>
    </row>
    <row r="2723" spans="1:10" x14ac:dyDescent="0.3">
      <c r="A2723" s="588"/>
      <c r="B2723" s="588"/>
      <c r="C2723" s="588"/>
      <c r="D2723" s="588"/>
      <c r="E2723" s="588"/>
      <c r="F2723" s="588"/>
      <c r="G2723" s="600"/>
      <c r="H2723" s="588"/>
      <c r="I2723" s="588"/>
      <c r="J2723" s="588"/>
    </row>
    <row r="2724" spans="1:10" x14ac:dyDescent="0.3">
      <c r="A2724" s="588"/>
      <c r="B2724" s="588"/>
      <c r="C2724" s="588"/>
      <c r="D2724" s="588"/>
      <c r="E2724" s="588"/>
      <c r="F2724" s="588"/>
      <c r="G2724" s="600"/>
      <c r="H2724" s="588"/>
      <c r="I2724" s="588"/>
      <c r="J2724" s="588"/>
    </row>
    <row r="2725" spans="1:10" x14ac:dyDescent="0.3">
      <c r="A2725" s="588"/>
      <c r="B2725" s="588"/>
      <c r="C2725" s="588"/>
      <c r="D2725" s="588"/>
      <c r="E2725" s="588"/>
      <c r="F2725" s="588"/>
      <c r="G2725" s="600"/>
      <c r="H2725" s="588"/>
      <c r="I2725" s="588"/>
      <c r="J2725" s="588"/>
    </row>
    <row r="2726" spans="1:10" x14ac:dyDescent="0.3">
      <c r="A2726" s="588"/>
      <c r="B2726" s="588"/>
      <c r="C2726" s="588"/>
      <c r="D2726" s="588"/>
      <c r="E2726" s="588"/>
      <c r="F2726" s="588"/>
      <c r="G2726" s="600"/>
      <c r="H2726" s="588"/>
      <c r="I2726" s="588"/>
      <c r="J2726" s="588"/>
    </row>
    <row r="2727" spans="1:10" x14ac:dyDescent="0.3">
      <c r="A2727" s="588"/>
      <c r="B2727" s="588"/>
      <c r="C2727" s="588"/>
      <c r="D2727" s="588"/>
      <c r="E2727" s="588"/>
      <c r="F2727" s="588"/>
      <c r="G2727" s="600"/>
      <c r="H2727" s="588"/>
      <c r="I2727" s="588"/>
      <c r="J2727" s="588"/>
    </row>
    <row r="2728" spans="1:10" x14ac:dyDescent="0.3">
      <c r="A2728" s="588"/>
      <c r="B2728" s="588"/>
      <c r="C2728" s="588"/>
      <c r="D2728" s="588"/>
      <c r="E2728" s="588"/>
      <c r="F2728" s="588"/>
      <c r="G2728" s="600"/>
      <c r="H2728" s="588"/>
      <c r="I2728" s="588"/>
      <c r="J2728" s="588"/>
    </row>
    <row r="2729" spans="1:10" x14ac:dyDescent="0.3">
      <c r="A2729" s="588"/>
      <c r="B2729" s="588"/>
      <c r="C2729" s="588"/>
      <c r="D2729" s="588"/>
      <c r="E2729" s="588"/>
      <c r="F2729" s="588"/>
      <c r="G2729" s="600"/>
      <c r="H2729" s="588"/>
      <c r="I2729" s="588"/>
      <c r="J2729" s="588"/>
    </row>
    <row r="2730" spans="1:10" x14ac:dyDescent="0.3">
      <c r="A2730" s="588"/>
      <c r="B2730" s="588"/>
      <c r="C2730" s="588"/>
      <c r="D2730" s="588"/>
      <c r="E2730" s="588"/>
      <c r="F2730" s="588"/>
      <c r="G2730" s="600"/>
      <c r="H2730" s="588"/>
      <c r="I2730" s="588"/>
      <c r="J2730" s="588"/>
    </row>
    <row r="2731" spans="1:10" x14ac:dyDescent="0.3">
      <c r="A2731" s="588"/>
      <c r="B2731" s="588"/>
      <c r="C2731" s="588"/>
      <c r="D2731" s="588"/>
      <c r="E2731" s="588"/>
      <c r="F2731" s="588"/>
      <c r="G2731" s="600"/>
      <c r="H2731" s="588"/>
      <c r="I2731" s="588"/>
      <c r="J2731" s="588"/>
    </row>
    <row r="2732" spans="1:10" x14ac:dyDescent="0.3">
      <c r="A2732" s="588"/>
      <c r="B2732" s="588"/>
      <c r="C2732" s="588"/>
      <c r="D2732" s="588"/>
      <c r="E2732" s="588"/>
      <c r="F2732" s="588"/>
      <c r="G2732" s="600"/>
      <c r="H2732" s="588"/>
      <c r="I2732" s="588"/>
      <c r="J2732" s="588"/>
    </row>
    <row r="2733" spans="1:10" x14ac:dyDescent="0.3">
      <c r="A2733" s="588"/>
      <c r="B2733" s="588"/>
      <c r="C2733" s="588"/>
      <c r="D2733" s="588"/>
      <c r="E2733" s="588"/>
      <c r="F2733" s="588"/>
      <c r="G2733" s="600"/>
      <c r="H2733" s="588"/>
      <c r="I2733" s="588"/>
      <c r="J2733" s="588"/>
    </row>
    <row r="2734" spans="1:10" x14ac:dyDescent="0.3">
      <c r="A2734" s="588"/>
      <c r="B2734" s="588"/>
      <c r="C2734" s="588"/>
      <c r="D2734" s="588"/>
      <c r="E2734" s="588"/>
      <c r="F2734" s="588"/>
      <c r="G2734" s="600"/>
      <c r="H2734" s="588"/>
      <c r="I2734" s="588"/>
      <c r="J2734" s="588"/>
    </row>
    <row r="2735" spans="1:10" x14ac:dyDescent="0.3">
      <c r="A2735" s="588"/>
      <c r="B2735" s="588"/>
      <c r="C2735" s="588"/>
      <c r="D2735" s="588"/>
      <c r="E2735" s="588"/>
      <c r="F2735" s="588"/>
      <c r="G2735" s="600"/>
      <c r="H2735" s="588"/>
      <c r="I2735" s="588"/>
      <c r="J2735" s="588"/>
    </row>
    <row r="2736" spans="1:10" x14ac:dyDescent="0.3">
      <c r="A2736" s="588"/>
      <c r="B2736" s="588"/>
      <c r="C2736" s="588"/>
      <c r="D2736" s="588"/>
      <c r="E2736" s="588"/>
      <c r="F2736" s="588"/>
      <c r="G2736" s="600"/>
      <c r="H2736" s="588"/>
      <c r="I2736" s="588"/>
      <c r="J2736" s="588"/>
    </row>
    <row r="2737" spans="1:10" x14ac:dyDescent="0.3">
      <c r="A2737" s="588"/>
      <c r="B2737" s="588"/>
      <c r="C2737" s="588"/>
      <c r="D2737" s="588"/>
      <c r="E2737" s="588"/>
      <c r="F2737" s="588"/>
      <c r="G2737" s="600"/>
      <c r="H2737" s="588"/>
      <c r="I2737" s="588"/>
      <c r="J2737" s="588"/>
    </row>
    <row r="2738" spans="1:10" x14ac:dyDescent="0.3">
      <c r="A2738" s="588"/>
      <c r="B2738" s="588"/>
      <c r="C2738" s="588"/>
      <c r="D2738" s="588"/>
      <c r="E2738" s="588"/>
      <c r="F2738" s="588"/>
      <c r="G2738" s="600"/>
      <c r="H2738" s="588"/>
      <c r="I2738" s="588"/>
      <c r="J2738" s="588"/>
    </row>
    <row r="2739" spans="1:10" x14ac:dyDescent="0.3">
      <c r="A2739" s="588"/>
      <c r="B2739" s="588"/>
      <c r="C2739" s="588"/>
      <c r="D2739" s="588"/>
      <c r="E2739" s="588"/>
      <c r="F2739" s="588"/>
      <c r="G2739" s="600"/>
      <c r="H2739" s="588"/>
      <c r="I2739" s="588"/>
      <c r="J2739" s="588"/>
    </row>
    <row r="2740" spans="1:10" x14ac:dyDescent="0.3">
      <c r="A2740" s="588"/>
      <c r="B2740" s="588"/>
      <c r="C2740" s="588"/>
      <c r="D2740" s="588"/>
      <c r="E2740" s="588"/>
      <c r="F2740" s="588"/>
      <c r="G2740" s="600"/>
      <c r="H2740" s="588"/>
      <c r="I2740" s="588"/>
      <c r="J2740" s="588"/>
    </row>
    <row r="2741" spans="1:10" x14ac:dyDescent="0.3">
      <c r="A2741" s="588"/>
      <c r="B2741" s="588"/>
      <c r="C2741" s="588"/>
      <c r="D2741" s="588"/>
      <c r="E2741" s="588"/>
      <c r="F2741" s="588"/>
      <c r="G2741" s="600"/>
      <c r="H2741" s="588"/>
      <c r="I2741" s="588"/>
      <c r="J2741" s="588"/>
    </row>
    <row r="2742" spans="1:10" x14ac:dyDescent="0.3">
      <c r="A2742" s="588"/>
      <c r="B2742" s="588"/>
      <c r="C2742" s="588"/>
      <c r="D2742" s="588"/>
      <c r="E2742" s="588"/>
      <c r="F2742" s="588"/>
      <c r="G2742" s="600"/>
      <c r="H2742" s="588"/>
      <c r="I2742" s="588"/>
      <c r="J2742" s="588"/>
    </row>
    <row r="2743" spans="1:10" x14ac:dyDescent="0.3">
      <c r="A2743" s="588"/>
      <c r="B2743" s="588"/>
      <c r="C2743" s="588"/>
      <c r="D2743" s="588"/>
      <c r="E2743" s="588"/>
      <c r="F2743" s="588"/>
      <c r="G2743" s="600"/>
      <c r="H2743" s="588"/>
      <c r="I2743" s="588"/>
      <c r="J2743" s="588"/>
    </row>
    <row r="2744" spans="1:10" x14ac:dyDescent="0.3">
      <c r="A2744" s="588"/>
      <c r="B2744" s="588"/>
      <c r="C2744" s="588"/>
      <c r="D2744" s="588"/>
      <c r="E2744" s="588"/>
      <c r="F2744" s="588"/>
      <c r="G2744" s="600"/>
      <c r="H2744" s="588"/>
      <c r="I2744" s="588"/>
      <c r="J2744" s="588"/>
    </row>
    <row r="2745" spans="1:10" x14ac:dyDescent="0.3">
      <c r="A2745" s="588"/>
      <c r="B2745" s="588"/>
      <c r="C2745" s="588"/>
      <c r="D2745" s="588"/>
      <c r="E2745" s="588"/>
      <c r="F2745" s="588"/>
      <c r="G2745" s="600"/>
      <c r="H2745" s="588"/>
      <c r="I2745" s="588"/>
      <c r="J2745" s="588"/>
    </row>
    <row r="2746" spans="1:10" x14ac:dyDescent="0.3">
      <c r="A2746" s="588"/>
      <c r="B2746" s="588"/>
      <c r="C2746" s="588"/>
      <c r="D2746" s="588"/>
      <c r="E2746" s="588"/>
      <c r="F2746" s="588"/>
      <c r="G2746" s="600"/>
      <c r="H2746" s="588"/>
      <c r="I2746" s="588"/>
      <c r="J2746" s="588"/>
    </row>
    <row r="2747" spans="1:10" x14ac:dyDescent="0.3">
      <c r="A2747" s="588"/>
      <c r="B2747" s="588"/>
      <c r="C2747" s="588"/>
      <c r="D2747" s="588"/>
      <c r="E2747" s="588"/>
      <c r="F2747" s="588"/>
      <c r="G2747" s="600"/>
      <c r="H2747" s="588"/>
      <c r="I2747" s="588"/>
      <c r="J2747" s="588"/>
    </row>
    <row r="2748" spans="1:10" x14ac:dyDescent="0.3">
      <c r="A2748" s="588"/>
      <c r="B2748" s="588"/>
      <c r="C2748" s="588"/>
      <c r="D2748" s="588"/>
      <c r="E2748" s="588"/>
      <c r="F2748" s="588"/>
      <c r="G2748" s="600"/>
      <c r="H2748" s="588"/>
      <c r="I2748" s="588"/>
      <c r="J2748" s="588"/>
    </row>
    <row r="2749" spans="1:10" x14ac:dyDescent="0.3">
      <c r="A2749" s="588"/>
      <c r="B2749" s="588"/>
      <c r="C2749" s="588"/>
      <c r="D2749" s="588"/>
      <c r="E2749" s="588"/>
      <c r="F2749" s="588"/>
      <c r="G2749" s="600"/>
      <c r="H2749" s="588"/>
      <c r="I2749" s="588"/>
      <c r="J2749" s="588"/>
    </row>
    <row r="2750" spans="1:10" x14ac:dyDescent="0.3">
      <c r="A2750" s="588"/>
      <c r="B2750" s="588"/>
      <c r="C2750" s="588"/>
      <c r="D2750" s="588"/>
      <c r="E2750" s="588"/>
      <c r="F2750" s="588"/>
      <c r="G2750" s="600"/>
      <c r="H2750" s="588"/>
      <c r="I2750" s="588"/>
      <c r="J2750" s="588"/>
    </row>
    <row r="2751" spans="1:10" x14ac:dyDescent="0.3">
      <c r="A2751" s="588"/>
      <c r="B2751" s="588"/>
      <c r="C2751" s="588"/>
      <c r="D2751" s="588"/>
      <c r="E2751" s="588"/>
      <c r="F2751" s="588"/>
      <c r="G2751" s="600"/>
      <c r="H2751" s="588"/>
      <c r="I2751" s="588"/>
      <c r="J2751" s="588"/>
    </row>
    <row r="2752" spans="1:10" x14ac:dyDescent="0.3">
      <c r="A2752" s="588"/>
      <c r="B2752" s="588"/>
      <c r="C2752" s="588"/>
      <c r="D2752" s="588"/>
      <c r="E2752" s="588"/>
      <c r="F2752" s="588"/>
      <c r="G2752" s="600"/>
      <c r="H2752" s="588"/>
      <c r="I2752" s="588"/>
      <c r="J2752" s="588"/>
    </row>
    <row r="2753" spans="1:10" x14ac:dyDescent="0.3">
      <c r="A2753" s="588"/>
      <c r="B2753" s="588"/>
      <c r="C2753" s="588"/>
      <c r="D2753" s="588"/>
      <c r="E2753" s="588"/>
      <c r="F2753" s="588"/>
      <c r="G2753" s="600"/>
      <c r="H2753" s="588"/>
      <c r="I2753" s="588"/>
      <c r="J2753" s="588"/>
    </row>
    <row r="2754" spans="1:10" x14ac:dyDescent="0.3">
      <c r="A2754" s="588"/>
      <c r="B2754" s="588"/>
      <c r="C2754" s="588"/>
      <c r="D2754" s="588"/>
      <c r="E2754" s="588"/>
      <c r="F2754" s="588"/>
      <c r="G2754" s="600"/>
      <c r="H2754" s="588"/>
      <c r="I2754" s="588"/>
      <c r="J2754" s="588"/>
    </row>
    <row r="2755" spans="1:10" x14ac:dyDescent="0.3">
      <c r="A2755" s="588"/>
      <c r="B2755" s="588"/>
      <c r="C2755" s="588"/>
      <c r="D2755" s="588"/>
      <c r="E2755" s="588"/>
      <c r="F2755" s="588"/>
      <c r="G2755" s="600"/>
      <c r="H2755" s="588"/>
      <c r="I2755" s="588"/>
      <c r="J2755" s="588"/>
    </row>
    <row r="2756" spans="1:10" x14ac:dyDescent="0.3">
      <c r="A2756" s="588"/>
      <c r="B2756" s="588"/>
      <c r="C2756" s="588"/>
      <c r="D2756" s="588"/>
      <c r="E2756" s="588"/>
      <c r="F2756" s="588"/>
      <c r="G2756" s="600"/>
      <c r="H2756" s="588"/>
      <c r="I2756" s="588"/>
      <c r="J2756" s="588"/>
    </row>
    <row r="2757" spans="1:10" x14ac:dyDescent="0.3">
      <c r="A2757" s="588"/>
      <c r="B2757" s="588"/>
      <c r="C2757" s="588"/>
      <c r="D2757" s="588"/>
      <c r="E2757" s="588"/>
      <c r="F2757" s="588"/>
      <c r="G2757" s="600"/>
      <c r="H2757" s="588"/>
      <c r="I2757" s="588"/>
      <c r="J2757" s="588"/>
    </row>
    <row r="2758" spans="1:10" x14ac:dyDescent="0.3">
      <c r="A2758" s="588"/>
      <c r="B2758" s="588"/>
      <c r="C2758" s="588"/>
      <c r="D2758" s="588"/>
      <c r="E2758" s="588"/>
      <c r="F2758" s="588"/>
      <c r="G2758" s="600"/>
      <c r="H2758" s="588"/>
      <c r="I2758" s="588"/>
      <c r="J2758" s="588"/>
    </row>
    <row r="2759" spans="1:10" x14ac:dyDescent="0.3">
      <c r="A2759" s="588"/>
      <c r="B2759" s="588"/>
      <c r="C2759" s="588"/>
      <c r="D2759" s="588"/>
      <c r="E2759" s="588"/>
      <c r="F2759" s="588"/>
      <c r="G2759" s="600"/>
      <c r="H2759" s="588"/>
      <c r="I2759" s="588"/>
      <c r="J2759" s="588"/>
    </row>
    <row r="2760" spans="1:10" x14ac:dyDescent="0.3">
      <c r="A2760" s="588"/>
      <c r="B2760" s="588"/>
      <c r="C2760" s="588"/>
      <c r="D2760" s="588"/>
      <c r="E2760" s="588"/>
      <c r="F2760" s="588"/>
      <c r="G2760" s="600"/>
      <c r="H2760" s="588"/>
      <c r="I2760" s="588"/>
      <c r="J2760" s="588"/>
    </row>
    <row r="2761" spans="1:10" x14ac:dyDescent="0.3">
      <c r="A2761" s="588"/>
      <c r="B2761" s="588"/>
      <c r="C2761" s="588"/>
      <c r="D2761" s="588"/>
      <c r="E2761" s="588"/>
      <c r="F2761" s="588"/>
      <c r="G2761" s="600"/>
      <c r="H2761" s="588"/>
      <c r="I2761" s="588"/>
      <c r="J2761" s="588"/>
    </row>
    <row r="2762" spans="1:10" x14ac:dyDescent="0.3">
      <c r="A2762" s="588"/>
      <c r="B2762" s="588"/>
      <c r="C2762" s="588"/>
      <c r="D2762" s="588"/>
      <c r="E2762" s="588"/>
      <c r="F2762" s="588"/>
      <c r="G2762" s="600"/>
      <c r="H2762" s="588"/>
      <c r="I2762" s="588"/>
      <c r="J2762" s="588"/>
    </row>
    <row r="2763" spans="1:10" x14ac:dyDescent="0.3">
      <c r="A2763" s="588"/>
      <c r="B2763" s="588"/>
      <c r="C2763" s="588"/>
      <c r="D2763" s="588"/>
      <c r="E2763" s="588"/>
      <c r="F2763" s="588"/>
      <c r="G2763" s="600"/>
      <c r="H2763" s="588"/>
      <c r="I2763" s="588"/>
      <c r="J2763" s="588"/>
    </row>
    <row r="2764" spans="1:10" x14ac:dyDescent="0.3">
      <c r="A2764" s="588"/>
      <c r="B2764" s="588"/>
      <c r="C2764" s="588"/>
      <c r="D2764" s="588"/>
      <c r="E2764" s="588"/>
      <c r="F2764" s="588"/>
      <c r="G2764" s="600"/>
      <c r="H2764" s="588"/>
      <c r="I2764" s="588"/>
      <c r="J2764" s="588"/>
    </row>
    <row r="2765" spans="1:10" x14ac:dyDescent="0.3">
      <c r="A2765" s="588"/>
      <c r="B2765" s="588"/>
      <c r="C2765" s="588"/>
      <c r="D2765" s="588"/>
      <c r="E2765" s="588"/>
      <c r="F2765" s="588"/>
      <c r="G2765" s="600"/>
      <c r="H2765" s="588"/>
      <c r="I2765" s="588"/>
      <c r="J2765" s="588"/>
    </row>
    <row r="2766" spans="1:10" x14ac:dyDescent="0.3">
      <c r="A2766" s="588"/>
      <c r="B2766" s="588"/>
      <c r="C2766" s="588"/>
      <c r="D2766" s="588"/>
      <c r="E2766" s="588"/>
      <c r="F2766" s="588"/>
      <c r="G2766" s="600"/>
      <c r="H2766" s="588"/>
      <c r="I2766" s="588"/>
      <c r="J2766" s="588"/>
    </row>
    <row r="2767" spans="1:10" x14ac:dyDescent="0.3">
      <c r="A2767" s="588"/>
      <c r="B2767" s="588"/>
      <c r="C2767" s="588"/>
      <c r="D2767" s="588"/>
      <c r="E2767" s="588"/>
      <c r="F2767" s="588"/>
      <c r="G2767" s="600"/>
      <c r="H2767" s="588"/>
      <c r="I2767" s="588"/>
      <c r="J2767" s="588"/>
    </row>
    <row r="2768" spans="1:10" x14ac:dyDescent="0.3">
      <c r="A2768" s="588"/>
      <c r="B2768" s="588"/>
      <c r="C2768" s="588"/>
      <c r="D2768" s="588"/>
      <c r="E2768" s="588"/>
      <c r="F2768" s="588"/>
      <c r="G2768" s="600"/>
      <c r="H2768" s="588"/>
      <c r="I2768" s="588"/>
      <c r="J2768" s="588"/>
    </row>
    <row r="2769" spans="1:10" x14ac:dyDescent="0.3">
      <c r="A2769" s="588"/>
      <c r="B2769" s="588"/>
      <c r="C2769" s="588"/>
      <c r="D2769" s="588"/>
      <c r="E2769" s="588"/>
      <c r="F2769" s="588"/>
      <c r="G2769" s="600"/>
      <c r="H2769" s="588"/>
      <c r="I2769" s="588"/>
      <c r="J2769" s="588"/>
    </row>
    <row r="2770" spans="1:10" x14ac:dyDescent="0.3">
      <c r="A2770" s="588"/>
      <c r="B2770" s="588"/>
      <c r="C2770" s="588"/>
      <c r="D2770" s="588"/>
      <c r="E2770" s="588"/>
      <c r="F2770" s="588"/>
      <c r="G2770" s="600"/>
      <c r="H2770" s="588"/>
      <c r="I2770" s="588"/>
      <c r="J2770" s="588"/>
    </row>
    <row r="2771" spans="1:10" x14ac:dyDescent="0.3">
      <c r="A2771" s="588"/>
      <c r="B2771" s="588"/>
      <c r="C2771" s="588"/>
      <c r="D2771" s="588"/>
      <c r="E2771" s="588"/>
      <c r="F2771" s="588"/>
      <c r="G2771" s="600"/>
      <c r="H2771" s="588"/>
      <c r="I2771" s="588"/>
      <c r="J2771" s="588"/>
    </row>
    <row r="2772" spans="1:10" x14ac:dyDescent="0.3">
      <c r="A2772" s="588"/>
      <c r="B2772" s="588"/>
      <c r="C2772" s="588"/>
      <c r="D2772" s="588"/>
      <c r="E2772" s="588"/>
      <c r="F2772" s="588"/>
      <c r="G2772" s="600"/>
      <c r="H2772" s="588"/>
      <c r="I2772" s="588"/>
      <c r="J2772" s="588"/>
    </row>
    <row r="2773" spans="1:10" x14ac:dyDescent="0.3">
      <c r="A2773" s="588"/>
      <c r="B2773" s="588"/>
      <c r="C2773" s="588"/>
      <c r="D2773" s="588"/>
      <c r="E2773" s="588"/>
      <c r="F2773" s="588"/>
      <c r="G2773" s="600"/>
      <c r="H2773" s="588"/>
      <c r="I2773" s="588"/>
      <c r="J2773" s="588"/>
    </row>
    <row r="2774" spans="1:10" x14ac:dyDescent="0.3">
      <c r="A2774" s="588"/>
      <c r="B2774" s="588"/>
      <c r="C2774" s="588"/>
      <c r="D2774" s="588"/>
      <c r="E2774" s="588"/>
      <c r="F2774" s="588"/>
      <c r="G2774" s="600"/>
      <c r="H2774" s="588"/>
      <c r="I2774" s="588"/>
      <c r="J2774" s="588"/>
    </row>
    <row r="2775" spans="1:10" x14ac:dyDescent="0.3">
      <c r="A2775" s="588"/>
      <c r="B2775" s="588"/>
      <c r="C2775" s="588"/>
      <c r="D2775" s="588"/>
      <c r="E2775" s="588"/>
      <c r="F2775" s="588"/>
      <c r="G2775" s="600"/>
      <c r="H2775" s="588"/>
      <c r="I2775" s="588"/>
      <c r="J2775" s="588"/>
    </row>
    <row r="2776" spans="1:10" x14ac:dyDescent="0.3">
      <c r="A2776" s="588"/>
      <c r="B2776" s="588"/>
      <c r="C2776" s="588"/>
      <c r="D2776" s="588"/>
      <c r="E2776" s="588"/>
      <c r="F2776" s="588"/>
      <c r="G2776" s="600"/>
      <c r="H2776" s="588"/>
      <c r="I2776" s="588"/>
      <c r="J2776" s="588"/>
    </row>
    <row r="2777" spans="1:10" x14ac:dyDescent="0.3">
      <c r="A2777" s="588"/>
      <c r="B2777" s="588"/>
      <c r="C2777" s="588"/>
      <c r="D2777" s="588"/>
      <c r="E2777" s="588"/>
      <c r="F2777" s="588"/>
      <c r="G2777" s="600"/>
      <c r="H2777" s="588"/>
      <c r="I2777" s="588"/>
      <c r="J2777" s="588"/>
    </row>
    <row r="2778" spans="1:10" x14ac:dyDescent="0.3">
      <c r="A2778" s="588"/>
      <c r="B2778" s="588"/>
      <c r="C2778" s="588"/>
      <c r="D2778" s="588"/>
      <c r="E2778" s="588"/>
      <c r="F2778" s="588"/>
      <c r="G2778" s="600"/>
      <c r="H2778" s="588"/>
      <c r="I2778" s="588"/>
      <c r="J2778" s="588"/>
    </row>
    <row r="2779" spans="1:10" x14ac:dyDescent="0.3">
      <c r="A2779" s="588"/>
      <c r="B2779" s="588"/>
      <c r="C2779" s="588"/>
      <c r="D2779" s="588"/>
      <c r="E2779" s="588"/>
      <c r="F2779" s="588"/>
      <c r="G2779" s="600"/>
      <c r="H2779" s="588"/>
      <c r="I2779" s="588"/>
      <c r="J2779" s="588"/>
    </row>
    <row r="2780" spans="1:10" x14ac:dyDescent="0.3">
      <c r="A2780" s="588"/>
      <c r="B2780" s="588"/>
      <c r="C2780" s="588"/>
      <c r="D2780" s="588"/>
      <c r="E2780" s="588"/>
      <c r="F2780" s="588"/>
      <c r="G2780" s="600"/>
      <c r="H2780" s="588"/>
      <c r="I2780" s="588"/>
      <c r="J2780" s="588"/>
    </row>
    <row r="2781" spans="1:10" x14ac:dyDescent="0.3">
      <c r="A2781" s="588"/>
      <c r="B2781" s="588"/>
      <c r="C2781" s="588"/>
      <c r="D2781" s="588"/>
      <c r="E2781" s="588"/>
      <c r="F2781" s="588"/>
      <c r="G2781" s="600"/>
      <c r="H2781" s="588"/>
      <c r="I2781" s="588"/>
      <c r="J2781" s="588"/>
    </row>
    <row r="2782" spans="1:10" x14ac:dyDescent="0.3">
      <c r="A2782" s="588"/>
      <c r="B2782" s="588"/>
      <c r="C2782" s="588"/>
      <c r="D2782" s="588"/>
      <c r="E2782" s="588"/>
      <c r="F2782" s="588"/>
      <c r="G2782" s="600"/>
      <c r="H2782" s="588"/>
      <c r="I2782" s="588"/>
      <c r="J2782" s="588"/>
    </row>
    <row r="2783" spans="1:10" x14ac:dyDescent="0.3">
      <c r="A2783" s="588"/>
      <c r="B2783" s="588"/>
      <c r="C2783" s="588"/>
      <c r="D2783" s="588"/>
      <c r="E2783" s="588"/>
      <c r="F2783" s="588"/>
      <c r="G2783" s="600"/>
      <c r="H2783" s="588"/>
      <c r="I2783" s="588"/>
      <c r="J2783" s="588"/>
    </row>
    <row r="2784" spans="1:10" x14ac:dyDescent="0.3">
      <c r="A2784" s="588"/>
      <c r="B2784" s="588"/>
      <c r="C2784" s="588"/>
      <c r="D2784" s="588"/>
      <c r="E2784" s="588"/>
      <c r="F2784" s="588"/>
      <c r="G2784" s="600"/>
      <c r="H2784" s="588"/>
      <c r="I2784" s="588"/>
      <c r="J2784" s="588"/>
    </row>
    <row r="2785" spans="1:10" x14ac:dyDescent="0.3">
      <c r="A2785" s="588"/>
      <c r="B2785" s="588"/>
      <c r="C2785" s="588"/>
      <c r="D2785" s="588"/>
      <c r="E2785" s="588"/>
      <c r="F2785" s="588"/>
      <c r="G2785" s="600"/>
      <c r="H2785" s="588"/>
      <c r="I2785" s="588"/>
      <c r="J2785" s="588"/>
    </row>
    <row r="2786" spans="1:10" x14ac:dyDescent="0.3">
      <c r="A2786" s="588"/>
      <c r="B2786" s="588"/>
      <c r="C2786" s="588"/>
      <c r="D2786" s="588"/>
      <c r="E2786" s="588"/>
      <c r="F2786" s="588"/>
      <c r="G2786" s="600"/>
      <c r="H2786" s="588"/>
      <c r="I2786" s="588"/>
      <c r="J2786" s="588"/>
    </row>
    <row r="2787" spans="1:10" x14ac:dyDescent="0.3">
      <c r="A2787" s="588"/>
      <c r="B2787" s="588"/>
      <c r="C2787" s="588"/>
      <c r="D2787" s="588"/>
      <c r="E2787" s="588"/>
      <c r="F2787" s="588"/>
      <c r="G2787" s="600"/>
      <c r="H2787" s="588"/>
      <c r="I2787" s="588"/>
      <c r="J2787" s="588"/>
    </row>
    <row r="2788" spans="1:10" x14ac:dyDescent="0.3">
      <c r="A2788" s="588"/>
      <c r="B2788" s="588"/>
      <c r="C2788" s="588"/>
      <c r="D2788" s="588"/>
      <c r="E2788" s="588"/>
      <c r="F2788" s="588"/>
      <c r="G2788" s="600"/>
      <c r="H2788" s="588"/>
      <c r="I2788" s="588"/>
      <c r="J2788" s="588"/>
    </row>
    <row r="2789" spans="1:10" x14ac:dyDescent="0.3">
      <c r="A2789" s="588"/>
      <c r="B2789" s="588"/>
      <c r="C2789" s="588"/>
      <c r="D2789" s="588"/>
      <c r="E2789" s="588"/>
      <c r="F2789" s="588"/>
      <c r="G2789" s="600"/>
      <c r="H2789" s="588"/>
      <c r="I2789" s="588"/>
      <c r="J2789" s="588"/>
    </row>
    <row r="2790" spans="1:10" x14ac:dyDescent="0.3">
      <c r="A2790" s="588"/>
      <c r="B2790" s="588"/>
      <c r="C2790" s="588"/>
      <c r="D2790" s="588"/>
      <c r="E2790" s="588"/>
      <c r="F2790" s="588"/>
      <c r="G2790" s="600"/>
      <c r="H2790" s="588"/>
      <c r="I2790" s="588"/>
      <c r="J2790" s="588"/>
    </row>
    <row r="2791" spans="1:10" x14ac:dyDescent="0.3">
      <c r="A2791" s="588"/>
      <c r="B2791" s="588"/>
      <c r="C2791" s="588"/>
      <c r="D2791" s="588"/>
      <c r="E2791" s="588"/>
      <c r="F2791" s="588"/>
      <c r="G2791" s="600"/>
      <c r="H2791" s="588"/>
      <c r="I2791" s="588"/>
      <c r="J2791" s="588"/>
    </row>
    <row r="2792" spans="1:10" x14ac:dyDescent="0.3">
      <c r="A2792" s="588"/>
      <c r="B2792" s="588"/>
      <c r="C2792" s="588"/>
      <c r="D2792" s="588"/>
      <c r="E2792" s="588"/>
      <c r="F2792" s="588"/>
      <c r="G2792" s="600"/>
      <c r="H2792" s="588"/>
      <c r="I2792" s="588"/>
      <c r="J2792" s="588"/>
    </row>
    <row r="2793" spans="1:10" x14ac:dyDescent="0.3">
      <c r="A2793" s="588"/>
      <c r="B2793" s="588"/>
      <c r="C2793" s="588"/>
      <c r="D2793" s="588"/>
      <c r="E2793" s="588"/>
      <c r="F2793" s="588"/>
      <c r="G2793" s="600"/>
      <c r="H2793" s="588"/>
      <c r="I2793" s="588"/>
      <c r="J2793" s="588"/>
    </row>
    <row r="2794" spans="1:10" x14ac:dyDescent="0.3">
      <c r="A2794" s="588"/>
      <c r="B2794" s="588"/>
      <c r="C2794" s="588"/>
      <c r="D2794" s="588"/>
      <c r="E2794" s="588"/>
      <c r="F2794" s="588"/>
      <c r="G2794" s="600"/>
      <c r="H2794" s="588"/>
      <c r="I2794" s="588"/>
      <c r="J2794" s="588"/>
    </row>
    <row r="2795" spans="1:10" x14ac:dyDescent="0.3">
      <c r="A2795" s="588"/>
      <c r="B2795" s="588"/>
      <c r="C2795" s="588"/>
      <c r="D2795" s="588"/>
      <c r="E2795" s="588"/>
      <c r="F2795" s="588"/>
      <c r="G2795" s="600"/>
      <c r="H2795" s="588"/>
      <c r="I2795" s="588"/>
      <c r="J2795" s="588"/>
    </row>
    <row r="2796" spans="1:10" x14ac:dyDescent="0.3">
      <c r="A2796" s="588"/>
      <c r="B2796" s="588"/>
      <c r="C2796" s="588"/>
      <c r="D2796" s="588"/>
      <c r="E2796" s="588"/>
      <c r="F2796" s="588"/>
      <c r="G2796" s="600"/>
      <c r="H2796" s="588"/>
      <c r="I2796" s="588"/>
      <c r="J2796" s="588"/>
    </row>
    <row r="2797" spans="1:10" x14ac:dyDescent="0.3">
      <c r="A2797" s="588"/>
      <c r="B2797" s="588"/>
      <c r="C2797" s="588"/>
      <c r="D2797" s="588"/>
      <c r="E2797" s="588"/>
      <c r="F2797" s="588"/>
      <c r="G2797" s="600"/>
      <c r="H2797" s="588"/>
      <c r="I2797" s="588"/>
      <c r="J2797" s="588"/>
    </row>
    <row r="2798" spans="1:10" x14ac:dyDescent="0.3">
      <c r="A2798" s="588"/>
      <c r="B2798" s="588"/>
      <c r="C2798" s="588"/>
      <c r="D2798" s="588"/>
      <c r="E2798" s="588"/>
      <c r="F2798" s="588"/>
      <c r="G2798" s="600"/>
      <c r="H2798" s="588"/>
      <c r="I2798" s="588"/>
      <c r="J2798" s="588"/>
    </row>
    <row r="2799" spans="1:10" x14ac:dyDescent="0.3">
      <c r="A2799" s="588"/>
      <c r="B2799" s="588"/>
      <c r="C2799" s="588"/>
      <c r="D2799" s="588"/>
      <c r="E2799" s="588"/>
      <c r="F2799" s="588"/>
      <c r="G2799" s="600"/>
      <c r="H2799" s="588"/>
      <c r="I2799" s="588"/>
      <c r="J2799" s="588"/>
    </row>
    <row r="2800" spans="1:10" x14ac:dyDescent="0.3">
      <c r="A2800" s="588"/>
      <c r="B2800" s="588"/>
      <c r="C2800" s="588"/>
      <c r="D2800" s="588"/>
      <c r="E2800" s="588"/>
      <c r="F2800" s="588"/>
      <c r="G2800" s="600"/>
      <c r="H2800" s="588"/>
      <c r="I2800" s="588"/>
      <c r="J2800" s="588"/>
    </row>
    <row r="2801" spans="1:10" x14ac:dyDescent="0.3">
      <c r="A2801" s="588"/>
      <c r="B2801" s="588"/>
      <c r="C2801" s="588"/>
      <c r="D2801" s="588"/>
      <c r="E2801" s="588"/>
      <c r="F2801" s="588"/>
      <c r="G2801" s="600"/>
      <c r="H2801" s="588"/>
      <c r="I2801" s="588"/>
      <c r="J2801" s="588"/>
    </row>
    <row r="2802" spans="1:10" x14ac:dyDescent="0.3">
      <c r="A2802" s="588"/>
      <c r="B2802" s="588"/>
      <c r="C2802" s="588"/>
      <c r="D2802" s="588"/>
      <c r="E2802" s="588"/>
      <c r="F2802" s="588"/>
      <c r="G2802" s="600"/>
      <c r="H2802" s="588"/>
      <c r="I2802" s="588"/>
      <c r="J2802" s="588"/>
    </row>
    <row r="2803" spans="1:10" x14ac:dyDescent="0.3">
      <c r="A2803" s="588"/>
      <c r="B2803" s="588"/>
      <c r="C2803" s="588"/>
      <c r="D2803" s="588"/>
      <c r="E2803" s="588"/>
      <c r="F2803" s="588"/>
      <c r="G2803" s="600"/>
      <c r="H2803" s="588"/>
      <c r="I2803" s="588"/>
      <c r="J2803" s="588"/>
    </row>
    <row r="2804" spans="1:10" x14ac:dyDescent="0.3">
      <c r="A2804" s="588"/>
      <c r="B2804" s="588"/>
      <c r="C2804" s="588"/>
      <c r="D2804" s="588"/>
      <c r="E2804" s="588"/>
      <c r="F2804" s="588"/>
      <c r="G2804" s="600"/>
      <c r="H2804" s="588"/>
      <c r="I2804" s="588"/>
      <c r="J2804" s="588"/>
    </row>
    <row r="2805" spans="1:10" x14ac:dyDescent="0.3">
      <c r="A2805" s="588"/>
      <c r="B2805" s="588"/>
      <c r="C2805" s="588"/>
      <c r="D2805" s="588"/>
      <c r="E2805" s="588"/>
      <c r="F2805" s="588"/>
      <c r="G2805" s="600"/>
      <c r="H2805" s="588"/>
      <c r="I2805" s="588"/>
      <c r="J2805" s="588"/>
    </row>
    <row r="2806" spans="1:10" x14ac:dyDescent="0.3">
      <c r="A2806" s="588"/>
      <c r="B2806" s="588"/>
      <c r="C2806" s="588"/>
      <c r="D2806" s="588"/>
      <c r="E2806" s="588"/>
      <c r="F2806" s="588"/>
      <c r="G2806" s="600"/>
      <c r="H2806" s="588"/>
      <c r="I2806" s="588"/>
      <c r="J2806" s="588"/>
    </row>
    <row r="2807" spans="1:10" x14ac:dyDescent="0.3">
      <c r="A2807" s="588"/>
      <c r="B2807" s="588"/>
      <c r="C2807" s="588"/>
      <c r="D2807" s="588"/>
      <c r="E2807" s="588"/>
      <c r="F2807" s="588"/>
      <c r="G2807" s="600"/>
      <c r="H2807" s="588"/>
      <c r="I2807" s="588"/>
      <c r="J2807" s="588"/>
    </row>
    <row r="2808" spans="1:10" x14ac:dyDescent="0.3">
      <c r="A2808" s="588"/>
      <c r="B2808" s="588"/>
      <c r="C2808" s="588"/>
      <c r="D2808" s="588"/>
      <c r="E2808" s="588"/>
      <c r="F2808" s="588"/>
      <c r="G2808" s="600"/>
      <c r="H2808" s="588"/>
      <c r="I2808" s="588"/>
      <c r="J2808" s="588"/>
    </row>
    <row r="2809" spans="1:10" x14ac:dyDescent="0.3">
      <c r="A2809" s="588"/>
      <c r="B2809" s="588"/>
      <c r="C2809" s="588"/>
      <c r="D2809" s="588"/>
      <c r="E2809" s="588"/>
      <c r="F2809" s="588"/>
      <c r="G2809" s="600"/>
      <c r="H2809" s="588"/>
      <c r="I2809" s="588"/>
      <c r="J2809" s="588"/>
    </row>
    <row r="2810" spans="1:10" x14ac:dyDescent="0.3">
      <c r="A2810" s="588"/>
      <c r="B2810" s="588"/>
      <c r="C2810" s="588"/>
      <c r="D2810" s="588"/>
      <c r="E2810" s="588"/>
      <c r="F2810" s="588"/>
      <c r="G2810" s="600"/>
      <c r="H2810" s="588"/>
      <c r="I2810" s="588"/>
      <c r="J2810" s="588"/>
    </row>
    <row r="2811" spans="1:10" x14ac:dyDescent="0.3">
      <c r="A2811" s="588"/>
      <c r="B2811" s="588"/>
      <c r="C2811" s="588"/>
      <c r="D2811" s="588"/>
      <c r="E2811" s="588"/>
      <c r="F2811" s="588"/>
      <c r="G2811" s="600"/>
      <c r="H2811" s="588"/>
      <c r="I2811" s="588"/>
      <c r="J2811" s="588"/>
    </row>
    <row r="2812" spans="1:10" x14ac:dyDescent="0.3">
      <c r="A2812" s="588"/>
      <c r="B2812" s="588"/>
      <c r="C2812" s="588"/>
      <c r="D2812" s="588"/>
      <c r="E2812" s="588"/>
      <c r="F2812" s="588"/>
      <c r="G2812" s="600"/>
      <c r="H2812" s="588"/>
      <c r="I2812" s="588"/>
      <c r="J2812" s="588"/>
    </row>
    <row r="2813" spans="1:10" x14ac:dyDescent="0.3">
      <c r="A2813" s="588"/>
      <c r="B2813" s="588"/>
      <c r="C2813" s="588"/>
      <c r="D2813" s="588"/>
      <c r="E2813" s="588"/>
      <c r="F2813" s="588"/>
      <c r="G2813" s="600"/>
      <c r="H2813" s="588"/>
      <c r="I2813" s="588"/>
      <c r="J2813" s="588"/>
    </row>
    <row r="2814" spans="1:10" x14ac:dyDescent="0.3">
      <c r="A2814" s="588"/>
      <c r="B2814" s="588"/>
      <c r="C2814" s="588"/>
      <c r="D2814" s="588"/>
      <c r="E2814" s="588"/>
      <c r="F2814" s="588"/>
      <c r="G2814" s="600"/>
      <c r="H2814" s="588"/>
      <c r="I2814" s="588"/>
      <c r="J2814" s="588"/>
    </row>
    <row r="2815" spans="1:10" x14ac:dyDescent="0.3">
      <c r="A2815" s="588"/>
      <c r="B2815" s="588"/>
      <c r="C2815" s="588"/>
      <c r="D2815" s="588"/>
      <c r="E2815" s="588"/>
      <c r="F2815" s="588"/>
      <c r="G2815" s="600"/>
      <c r="H2815" s="588"/>
      <c r="I2815" s="588"/>
      <c r="J2815" s="588"/>
    </row>
    <row r="2816" spans="1:10" x14ac:dyDescent="0.3">
      <c r="A2816" s="588"/>
      <c r="B2816" s="588"/>
      <c r="C2816" s="588"/>
      <c r="D2816" s="588"/>
      <c r="E2816" s="588"/>
      <c r="F2816" s="588"/>
      <c r="G2816" s="600"/>
      <c r="H2816" s="588"/>
      <c r="I2816" s="588"/>
      <c r="J2816" s="588"/>
    </row>
    <row r="2817" spans="1:10" x14ac:dyDescent="0.3">
      <c r="A2817" s="588"/>
      <c r="B2817" s="588"/>
      <c r="C2817" s="588"/>
      <c r="D2817" s="588"/>
      <c r="E2817" s="588"/>
      <c r="F2817" s="588"/>
      <c r="G2817" s="600"/>
      <c r="H2817" s="588"/>
      <c r="I2817" s="588"/>
      <c r="J2817" s="588"/>
    </row>
    <row r="2818" spans="1:10" x14ac:dyDescent="0.3">
      <c r="A2818" s="588"/>
      <c r="B2818" s="588"/>
      <c r="C2818" s="588"/>
      <c r="D2818" s="588"/>
      <c r="E2818" s="588"/>
      <c r="F2818" s="588"/>
      <c r="G2818" s="600"/>
      <c r="H2818" s="588"/>
      <c r="I2818" s="588"/>
      <c r="J2818" s="588"/>
    </row>
    <row r="2819" spans="1:10" x14ac:dyDescent="0.3">
      <c r="A2819" s="588"/>
      <c r="B2819" s="588"/>
      <c r="C2819" s="588"/>
      <c r="D2819" s="588"/>
      <c r="E2819" s="588"/>
      <c r="F2819" s="588"/>
      <c r="G2819" s="600"/>
      <c r="H2819" s="588"/>
      <c r="I2819" s="588"/>
      <c r="J2819" s="588"/>
    </row>
    <row r="2820" spans="1:10" x14ac:dyDescent="0.3">
      <c r="A2820" s="588"/>
      <c r="B2820" s="588"/>
      <c r="C2820" s="588"/>
      <c r="D2820" s="588"/>
      <c r="E2820" s="588"/>
      <c r="F2820" s="588"/>
      <c r="G2820" s="600"/>
      <c r="H2820" s="588"/>
      <c r="I2820" s="588"/>
      <c r="J2820" s="588"/>
    </row>
    <row r="2821" spans="1:10" x14ac:dyDescent="0.3">
      <c r="A2821" s="588"/>
      <c r="B2821" s="588"/>
      <c r="C2821" s="588"/>
      <c r="D2821" s="588"/>
      <c r="E2821" s="588"/>
      <c r="F2821" s="588"/>
      <c r="G2821" s="600"/>
      <c r="H2821" s="588"/>
      <c r="I2821" s="588"/>
      <c r="J2821" s="588"/>
    </row>
    <row r="2822" spans="1:10" x14ac:dyDescent="0.3">
      <c r="A2822" s="588"/>
      <c r="B2822" s="588"/>
      <c r="C2822" s="588"/>
      <c r="D2822" s="588"/>
      <c r="E2822" s="588"/>
      <c r="F2822" s="588"/>
      <c r="G2822" s="600"/>
      <c r="H2822" s="588"/>
      <c r="I2822" s="588"/>
      <c r="J2822" s="588"/>
    </row>
    <row r="2823" spans="1:10" x14ac:dyDescent="0.3">
      <c r="A2823" s="588"/>
      <c r="B2823" s="588"/>
      <c r="C2823" s="588"/>
      <c r="D2823" s="588"/>
      <c r="E2823" s="588"/>
      <c r="F2823" s="588"/>
      <c r="G2823" s="600"/>
      <c r="H2823" s="588"/>
      <c r="I2823" s="588"/>
      <c r="J2823" s="588"/>
    </row>
    <row r="2824" spans="1:10" x14ac:dyDescent="0.3">
      <c r="A2824" s="588"/>
      <c r="B2824" s="588"/>
      <c r="C2824" s="588"/>
      <c r="D2824" s="588"/>
      <c r="E2824" s="588"/>
      <c r="F2824" s="588"/>
      <c r="G2824" s="600"/>
      <c r="H2824" s="588"/>
      <c r="I2824" s="588"/>
      <c r="J2824" s="588"/>
    </row>
    <row r="2825" spans="1:10" x14ac:dyDescent="0.3">
      <c r="A2825" s="588"/>
      <c r="B2825" s="588"/>
      <c r="C2825" s="588"/>
      <c r="D2825" s="588"/>
      <c r="E2825" s="588"/>
      <c r="F2825" s="588"/>
      <c r="G2825" s="600"/>
      <c r="H2825" s="588"/>
      <c r="I2825" s="588"/>
      <c r="J2825" s="588"/>
    </row>
    <row r="2826" spans="1:10" x14ac:dyDescent="0.3">
      <c r="A2826" s="588"/>
      <c r="B2826" s="588"/>
      <c r="C2826" s="588"/>
      <c r="D2826" s="588"/>
      <c r="E2826" s="588"/>
      <c r="F2826" s="588"/>
      <c r="G2826" s="600"/>
      <c r="H2826" s="588"/>
      <c r="I2826" s="588"/>
      <c r="J2826" s="588"/>
    </row>
    <row r="2827" spans="1:10" x14ac:dyDescent="0.3">
      <c r="A2827" s="588"/>
      <c r="B2827" s="588"/>
      <c r="C2827" s="588"/>
      <c r="D2827" s="588"/>
      <c r="E2827" s="588"/>
      <c r="F2827" s="588"/>
      <c r="G2827" s="600"/>
      <c r="H2827" s="588"/>
      <c r="I2827" s="588"/>
      <c r="J2827" s="588"/>
    </row>
    <row r="2828" spans="1:10" x14ac:dyDescent="0.3">
      <c r="A2828" s="588"/>
      <c r="B2828" s="588"/>
      <c r="C2828" s="588"/>
      <c r="D2828" s="588"/>
      <c r="E2828" s="588"/>
      <c r="F2828" s="588"/>
      <c r="G2828" s="600"/>
      <c r="H2828" s="588"/>
      <c r="I2828" s="588"/>
      <c r="J2828" s="588"/>
    </row>
    <row r="2829" spans="1:10" x14ac:dyDescent="0.3">
      <c r="A2829" s="588"/>
      <c r="B2829" s="588"/>
      <c r="C2829" s="588"/>
      <c r="D2829" s="588"/>
      <c r="E2829" s="588"/>
      <c r="F2829" s="588"/>
      <c r="G2829" s="600"/>
      <c r="H2829" s="588"/>
      <c r="I2829" s="588"/>
      <c r="J2829" s="588"/>
    </row>
    <row r="2830" spans="1:10" x14ac:dyDescent="0.3">
      <c r="A2830" s="588"/>
      <c r="B2830" s="588"/>
      <c r="C2830" s="588"/>
      <c r="D2830" s="588"/>
      <c r="E2830" s="588"/>
      <c r="F2830" s="588"/>
      <c r="G2830" s="600"/>
      <c r="H2830" s="588"/>
      <c r="I2830" s="588"/>
      <c r="J2830" s="588"/>
    </row>
    <row r="2831" spans="1:10" x14ac:dyDescent="0.3">
      <c r="A2831" s="588"/>
      <c r="B2831" s="588"/>
      <c r="C2831" s="588"/>
      <c r="D2831" s="588"/>
      <c r="E2831" s="588"/>
      <c r="F2831" s="588"/>
      <c r="G2831" s="600"/>
      <c r="H2831" s="588"/>
      <c r="I2831" s="588"/>
      <c r="J2831" s="588"/>
    </row>
    <row r="2832" spans="1:10" x14ac:dyDescent="0.3">
      <c r="A2832" s="588"/>
      <c r="B2832" s="588"/>
      <c r="C2832" s="588"/>
      <c r="D2832" s="588"/>
      <c r="E2832" s="588"/>
      <c r="F2832" s="588"/>
      <c r="G2832" s="600"/>
      <c r="H2832" s="588"/>
      <c r="I2832" s="588"/>
      <c r="J2832" s="588"/>
    </row>
    <row r="2833" spans="1:10" x14ac:dyDescent="0.3">
      <c r="A2833" s="588"/>
      <c r="B2833" s="588"/>
      <c r="C2833" s="588"/>
      <c r="D2833" s="588"/>
      <c r="E2833" s="588"/>
      <c r="F2833" s="588"/>
      <c r="G2833" s="600"/>
      <c r="H2833" s="588"/>
      <c r="I2833" s="588"/>
      <c r="J2833" s="588"/>
    </row>
    <row r="2834" spans="1:10" x14ac:dyDescent="0.3">
      <c r="A2834" s="588"/>
      <c r="B2834" s="588"/>
      <c r="C2834" s="588"/>
      <c r="D2834" s="588"/>
      <c r="E2834" s="588"/>
      <c r="F2834" s="588"/>
      <c r="G2834" s="600"/>
      <c r="H2834" s="588"/>
      <c r="I2834" s="588"/>
      <c r="J2834" s="588"/>
    </row>
    <row r="2835" spans="1:10" x14ac:dyDescent="0.3">
      <c r="A2835" s="588"/>
      <c r="B2835" s="588"/>
      <c r="C2835" s="588"/>
      <c r="D2835" s="588"/>
      <c r="E2835" s="588"/>
      <c r="F2835" s="588"/>
      <c r="G2835" s="600"/>
      <c r="H2835" s="588"/>
      <c r="I2835" s="588"/>
      <c r="J2835" s="588"/>
    </row>
    <row r="2836" spans="1:10" x14ac:dyDescent="0.3">
      <c r="A2836" s="588"/>
      <c r="B2836" s="588"/>
      <c r="C2836" s="588"/>
      <c r="D2836" s="588"/>
      <c r="E2836" s="588"/>
      <c r="F2836" s="588"/>
      <c r="G2836" s="600"/>
      <c r="H2836" s="588"/>
      <c r="I2836" s="588"/>
      <c r="J2836" s="588"/>
    </row>
    <row r="2837" spans="1:10" x14ac:dyDescent="0.3">
      <c r="A2837" s="588"/>
      <c r="B2837" s="588"/>
      <c r="C2837" s="588"/>
      <c r="D2837" s="588"/>
      <c r="E2837" s="588"/>
      <c r="F2837" s="588"/>
      <c r="G2837" s="600"/>
      <c r="H2837" s="588"/>
      <c r="I2837" s="588"/>
      <c r="J2837" s="588"/>
    </row>
    <row r="2838" spans="1:10" x14ac:dyDescent="0.3">
      <c r="A2838" s="588"/>
      <c r="B2838" s="588"/>
      <c r="C2838" s="588"/>
      <c r="D2838" s="588"/>
      <c r="E2838" s="588"/>
      <c r="F2838" s="588"/>
      <c r="G2838" s="600"/>
      <c r="H2838" s="588"/>
      <c r="I2838" s="588"/>
      <c r="J2838" s="588"/>
    </row>
    <row r="2839" spans="1:10" x14ac:dyDescent="0.3">
      <c r="A2839" s="588"/>
      <c r="B2839" s="588"/>
      <c r="C2839" s="588"/>
      <c r="D2839" s="588"/>
      <c r="E2839" s="588"/>
      <c r="F2839" s="588"/>
      <c r="G2839" s="600"/>
      <c r="H2839" s="588"/>
      <c r="I2839" s="588"/>
      <c r="J2839" s="588"/>
    </row>
    <row r="2840" spans="1:10" x14ac:dyDescent="0.3">
      <c r="A2840" s="588"/>
      <c r="B2840" s="588"/>
      <c r="C2840" s="588"/>
      <c r="D2840" s="588"/>
      <c r="E2840" s="588"/>
      <c r="F2840" s="588"/>
      <c r="G2840" s="600"/>
      <c r="H2840" s="588"/>
      <c r="I2840" s="588"/>
      <c r="J2840" s="588"/>
    </row>
    <row r="2841" spans="1:10" x14ac:dyDescent="0.3">
      <c r="A2841" s="588"/>
      <c r="B2841" s="588"/>
      <c r="C2841" s="588"/>
      <c r="D2841" s="588"/>
      <c r="E2841" s="588"/>
      <c r="F2841" s="588"/>
      <c r="G2841" s="600"/>
      <c r="H2841" s="588"/>
      <c r="I2841" s="588"/>
      <c r="J2841" s="588"/>
    </row>
    <row r="2842" spans="1:10" x14ac:dyDescent="0.3">
      <c r="A2842" s="588"/>
      <c r="B2842" s="588"/>
      <c r="C2842" s="588"/>
      <c r="D2842" s="588"/>
      <c r="E2842" s="588"/>
      <c r="F2842" s="588"/>
      <c r="G2842" s="600"/>
      <c r="H2842" s="588"/>
      <c r="I2842" s="588"/>
      <c r="J2842" s="588"/>
    </row>
    <row r="2843" spans="1:10" x14ac:dyDescent="0.3">
      <c r="A2843" s="588"/>
      <c r="B2843" s="588"/>
      <c r="C2843" s="588"/>
      <c r="D2843" s="588"/>
      <c r="E2843" s="588"/>
      <c r="F2843" s="588"/>
      <c r="G2843" s="600"/>
      <c r="H2843" s="588"/>
      <c r="I2843" s="588"/>
      <c r="J2843" s="588"/>
    </row>
    <row r="2844" spans="1:10" x14ac:dyDescent="0.3">
      <c r="A2844" s="588"/>
      <c r="B2844" s="588"/>
      <c r="C2844" s="588"/>
      <c r="D2844" s="588"/>
      <c r="E2844" s="588"/>
      <c r="F2844" s="588"/>
      <c r="G2844" s="600"/>
      <c r="H2844" s="588"/>
      <c r="I2844" s="588"/>
      <c r="J2844" s="588"/>
    </row>
    <row r="2845" spans="1:10" x14ac:dyDescent="0.3">
      <c r="A2845" s="588"/>
      <c r="B2845" s="588"/>
      <c r="C2845" s="588"/>
      <c r="D2845" s="588"/>
      <c r="E2845" s="588"/>
      <c r="F2845" s="588"/>
      <c r="G2845" s="600"/>
      <c r="H2845" s="588"/>
      <c r="I2845" s="588"/>
      <c r="J2845" s="588"/>
    </row>
    <row r="2846" spans="1:10" x14ac:dyDescent="0.3">
      <c r="A2846" s="588"/>
      <c r="B2846" s="588"/>
      <c r="C2846" s="588"/>
      <c r="D2846" s="588"/>
      <c r="E2846" s="588"/>
      <c r="F2846" s="588"/>
      <c r="G2846" s="600"/>
      <c r="H2846" s="588"/>
      <c r="I2846" s="588"/>
      <c r="J2846" s="588"/>
    </row>
    <row r="2847" spans="1:10" x14ac:dyDescent="0.3">
      <c r="A2847" s="588"/>
      <c r="B2847" s="588"/>
      <c r="C2847" s="588"/>
      <c r="D2847" s="588"/>
      <c r="E2847" s="588"/>
      <c r="F2847" s="588"/>
      <c r="G2847" s="600"/>
      <c r="H2847" s="588"/>
      <c r="I2847" s="588"/>
      <c r="J2847" s="588"/>
    </row>
    <row r="2848" spans="1:10" x14ac:dyDescent="0.3">
      <c r="A2848" s="588"/>
      <c r="B2848" s="588"/>
      <c r="C2848" s="588"/>
      <c r="D2848" s="588"/>
      <c r="E2848" s="588"/>
      <c r="F2848" s="588"/>
      <c r="G2848" s="600"/>
      <c r="H2848" s="588"/>
      <c r="I2848" s="588"/>
      <c r="J2848" s="588"/>
    </row>
    <row r="2849" spans="1:10" x14ac:dyDescent="0.3">
      <c r="A2849" s="588"/>
      <c r="B2849" s="588"/>
      <c r="C2849" s="588"/>
      <c r="D2849" s="588"/>
      <c r="E2849" s="588"/>
      <c r="F2849" s="588"/>
      <c r="G2849" s="600"/>
      <c r="H2849" s="588"/>
      <c r="I2849" s="588"/>
      <c r="J2849" s="588"/>
    </row>
    <row r="2850" spans="1:10" x14ac:dyDescent="0.3">
      <c r="A2850" s="588"/>
      <c r="B2850" s="588"/>
      <c r="C2850" s="588"/>
      <c r="D2850" s="588"/>
      <c r="E2850" s="588"/>
      <c r="F2850" s="588"/>
      <c r="G2850" s="600"/>
      <c r="H2850" s="588"/>
      <c r="I2850" s="588"/>
      <c r="J2850" s="588"/>
    </row>
    <row r="2851" spans="1:10" x14ac:dyDescent="0.3">
      <c r="A2851" s="588"/>
      <c r="B2851" s="588"/>
      <c r="C2851" s="588"/>
      <c r="D2851" s="588"/>
      <c r="E2851" s="588"/>
      <c r="F2851" s="588"/>
      <c r="G2851" s="600"/>
      <c r="H2851" s="588"/>
      <c r="I2851" s="588"/>
      <c r="J2851" s="588"/>
    </row>
    <row r="2852" spans="1:10" x14ac:dyDescent="0.3">
      <c r="A2852" s="588"/>
      <c r="B2852" s="588"/>
      <c r="C2852" s="588"/>
      <c r="D2852" s="588"/>
      <c r="E2852" s="588"/>
      <c r="F2852" s="588"/>
      <c r="G2852" s="600"/>
      <c r="H2852" s="588"/>
      <c r="I2852" s="588"/>
      <c r="J2852" s="588"/>
    </row>
    <row r="2853" spans="1:10" x14ac:dyDescent="0.3">
      <c r="A2853" s="588"/>
      <c r="B2853" s="588"/>
      <c r="C2853" s="588"/>
      <c r="D2853" s="588"/>
      <c r="E2853" s="588"/>
      <c r="F2853" s="588"/>
      <c r="G2853" s="600"/>
      <c r="H2853" s="588"/>
      <c r="I2853" s="588"/>
      <c r="J2853" s="588"/>
    </row>
    <row r="2854" spans="1:10" x14ac:dyDescent="0.3">
      <c r="A2854" s="588"/>
      <c r="B2854" s="588"/>
      <c r="C2854" s="588"/>
      <c r="D2854" s="588"/>
      <c r="E2854" s="588"/>
      <c r="F2854" s="588"/>
      <c r="G2854" s="600"/>
      <c r="H2854" s="588"/>
      <c r="I2854" s="588"/>
      <c r="J2854" s="588"/>
    </row>
    <row r="2855" spans="1:10" x14ac:dyDescent="0.3">
      <c r="A2855" s="588"/>
      <c r="B2855" s="588"/>
      <c r="C2855" s="588"/>
      <c r="D2855" s="588"/>
      <c r="E2855" s="588"/>
      <c r="F2855" s="588"/>
      <c r="G2855" s="600"/>
      <c r="H2855" s="588"/>
      <c r="I2855" s="588"/>
      <c r="J2855" s="588"/>
    </row>
    <row r="2856" spans="1:10" x14ac:dyDescent="0.3">
      <c r="A2856" s="588"/>
      <c r="B2856" s="588"/>
      <c r="C2856" s="588"/>
      <c r="D2856" s="588"/>
      <c r="E2856" s="588"/>
      <c r="F2856" s="588"/>
      <c r="G2856" s="600"/>
      <c r="H2856" s="588"/>
      <c r="I2856" s="588"/>
      <c r="J2856" s="588"/>
    </row>
    <row r="2857" spans="1:10" x14ac:dyDescent="0.3">
      <c r="A2857" s="588"/>
      <c r="B2857" s="588"/>
      <c r="C2857" s="588"/>
      <c r="D2857" s="588"/>
      <c r="E2857" s="588"/>
      <c r="F2857" s="588"/>
      <c r="G2857" s="600"/>
      <c r="H2857" s="588"/>
      <c r="I2857" s="588"/>
      <c r="J2857" s="588"/>
    </row>
    <row r="2858" spans="1:10" x14ac:dyDescent="0.3">
      <c r="A2858" s="588"/>
      <c r="B2858" s="588"/>
      <c r="C2858" s="588"/>
      <c r="D2858" s="588"/>
      <c r="E2858" s="588"/>
      <c r="F2858" s="588"/>
      <c r="G2858" s="600"/>
      <c r="H2858" s="588"/>
      <c r="I2858" s="588"/>
      <c r="J2858" s="588"/>
    </row>
    <row r="2859" spans="1:10" x14ac:dyDescent="0.3">
      <c r="A2859" s="588"/>
      <c r="B2859" s="588"/>
      <c r="C2859" s="588"/>
      <c r="D2859" s="588"/>
      <c r="E2859" s="588"/>
      <c r="F2859" s="588"/>
      <c r="G2859" s="600"/>
      <c r="H2859" s="588"/>
      <c r="I2859" s="588"/>
      <c r="J2859" s="588"/>
    </row>
    <row r="2860" spans="1:10" x14ac:dyDescent="0.3">
      <c r="A2860" s="588"/>
      <c r="B2860" s="588"/>
      <c r="C2860" s="588"/>
      <c r="D2860" s="588"/>
      <c r="E2860" s="588"/>
      <c r="F2860" s="588"/>
      <c r="G2860" s="600"/>
      <c r="H2860" s="588"/>
      <c r="I2860" s="588"/>
      <c r="J2860" s="588"/>
    </row>
    <row r="2861" spans="1:10" x14ac:dyDescent="0.3">
      <c r="A2861" s="588"/>
      <c r="B2861" s="588"/>
      <c r="C2861" s="588"/>
      <c r="D2861" s="588"/>
      <c r="E2861" s="588"/>
      <c r="F2861" s="588"/>
      <c r="G2861" s="600"/>
      <c r="H2861" s="588"/>
      <c r="I2861" s="588"/>
      <c r="J2861" s="588"/>
    </row>
    <row r="2862" spans="1:10" x14ac:dyDescent="0.3">
      <c r="A2862" s="588"/>
      <c r="B2862" s="588"/>
      <c r="C2862" s="588"/>
      <c r="D2862" s="588"/>
      <c r="E2862" s="588"/>
      <c r="F2862" s="588"/>
      <c r="G2862" s="600"/>
      <c r="H2862" s="588"/>
      <c r="I2862" s="588"/>
      <c r="J2862" s="588"/>
    </row>
    <row r="2863" spans="1:10" x14ac:dyDescent="0.3">
      <c r="A2863" s="588"/>
      <c r="B2863" s="588"/>
      <c r="C2863" s="588"/>
      <c r="D2863" s="588"/>
      <c r="E2863" s="588"/>
      <c r="F2863" s="588"/>
      <c r="G2863" s="600"/>
      <c r="H2863" s="588"/>
      <c r="I2863" s="588"/>
      <c r="J2863" s="588"/>
    </row>
    <row r="2864" spans="1:10" x14ac:dyDescent="0.3">
      <c r="A2864" s="588"/>
      <c r="B2864" s="588"/>
      <c r="C2864" s="588"/>
      <c r="D2864" s="588"/>
      <c r="E2864" s="588"/>
      <c r="F2864" s="588"/>
      <c r="G2864" s="600"/>
      <c r="H2864" s="588"/>
      <c r="I2864" s="588"/>
      <c r="J2864" s="588"/>
    </row>
    <row r="2865" spans="1:10" x14ac:dyDescent="0.3">
      <c r="A2865" s="588"/>
      <c r="B2865" s="588"/>
      <c r="C2865" s="588"/>
      <c r="D2865" s="588"/>
      <c r="E2865" s="588"/>
      <c r="F2865" s="588"/>
      <c r="G2865" s="600"/>
      <c r="H2865" s="588"/>
      <c r="I2865" s="588"/>
      <c r="J2865" s="588"/>
    </row>
    <row r="2866" spans="1:10" x14ac:dyDescent="0.3">
      <c r="A2866" s="588"/>
      <c r="B2866" s="588"/>
      <c r="C2866" s="588"/>
      <c r="D2866" s="588"/>
      <c r="E2866" s="588"/>
      <c r="F2866" s="588"/>
      <c r="G2866" s="600"/>
      <c r="H2866" s="588"/>
      <c r="I2866" s="588"/>
      <c r="J2866" s="588"/>
    </row>
    <row r="2867" spans="1:10" x14ac:dyDescent="0.3">
      <c r="A2867" s="588"/>
      <c r="B2867" s="588"/>
      <c r="C2867" s="588"/>
      <c r="D2867" s="588"/>
      <c r="E2867" s="588"/>
      <c r="F2867" s="588"/>
      <c r="G2867" s="600"/>
      <c r="H2867" s="588"/>
      <c r="I2867" s="588"/>
      <c r="J2867" s="588"/>
    </row>
    <row r="2868" spans="1:10" x14ac:dyDescent="0.3">
      <c r="A2868" s="588"/>
      <c r="B2868" s="588"/>
      <c r="C2868" s="588"/>
      <c r="D2868" s="588"/>
      <c r="E2868" s="588"/>
      <c r="F2868" s="588"/>
      <c r="G2868" s="600"/>
      <c r="H2868" s="588"/>
      <c r="I2868" s="588"/>
      <c r="J2868" s="588"/>
    </row>
    <row r="2869" spans="1:10" x14ac:dyDescent="0.3">
      <c r="A2869" s="588"/>
      <c r="B2869" s="588"/>
      <c r="C2869" s="588"/>
      <c r="D2869" s="588"/>
      <c r="E2869" s="588"/>
      <c r="F2869" s="588"/>
      <c r="G2869" s="600"/>
      <c r="H2869" s="588"/>
      <c r="I2869" s="588"/>
      <c r="J2869" s="588"/>
    </row>
    <row r="2870" spans="1:10" x14ac:dyDescent="0.3">
      <c r="A2870" s="588"/>
      <c r="B2870" s="588"/>
      <c r="C2870" s="588"/>
      <c r="D2870" s="588"/>
      <c r="E2870" s="588"/>
      <c r="F2870" s="588"/>
      <c r="G2870" s="600"/>
      <c r="H2870" s="588"/>
      <c r="I2870" s="588"/>
      <c r="J2870" s="588"/>
    </row>
    <row r="2871" spans="1:10" x14ac:dyDescent="0.3">
      <c r="A2871" s="588"/>
      <c r="B2871" s="588"/>
      <c r="C2871" s="588"/>
      <c r="D2871" s="588"/>
      <c r="E2871" s="588"/>
      <c r="F2871" s="588"/>
      <c r="G2871" s="600"/>
      <c r="H2871" s="588"/>
      <c r="I2871" s="588"/>
      <c r="J2871" s="588"/>
    </row>
    <row r="2872" spans="1:10" x14ac:dyDescent="0.3">
      <c r="A2872" s="588"/>
      <c r="B2872" s="588"/>
      <c r="C2872" s="588"/>
      <c r="D2872" s="588"/>
      <c r="E2872" s="588"/>
      <c r="F2872" s="588"/>
      <c r="G2872" s="600"/>
      <c r="H2872" s="588"/>
      <c r="I2872" s="588"/>
      <c r="J2872" s="588"/>
    </row>
    <row r="2873" spans="1:10" x14ac:dyDescent="0.3">
      <c r="A2873" s="588"/>
      <c r="B2873" s="588"/>
      <c r="C2873" s="588"/>
      <c r="D2873" s="588"/>
      <c r="E2873" s="588"/>
      <c r="F2873" s="588"/>
      <c r="G2873" s="600"/>
      <c r="H2873" s="588"/>
      <c r="I2873" s="588"/>
      <c r="J2873" s="588"/>
    </row>
    <row r="2874" spans="1:10" x14ac:dyDescent="0.3">
      <c r="A2874" s="588"/>
      <c r="B2874" s="588"/>
      <c r="C2874" s="588"/>
      <c r="D2874" s="588"/>
      <c r="E2874" s="588"/>
      <c r="F2874" s="588"/>
      <c r="G2874" s="600"/>
      <c r="H2874" s="588"/>
      <c r="I2874" s="588"/>
      <c r="J2874" s="588"/>
    </row>
    <row r="2875" spans="1:10" x14ac:dyDescent="0.3">
      <c r="A2875" s="588"/>
      <c r="B2875" s="588"/>
      <c r="C2875" s="588"/>
      <c r="D2875" s="588"/>
      <c r="E2875" s="588"/>
      <c r="F2875" s="588"/>
      <c r="G2875" s="600"/>
      <c r="H2875" s="588"/>
      <c r="I2875" s="588"/>
      <c r="J2875" s="588"/>
    </row>
    <row r="2876" spans="1:10" x14ac:dyDescent="0.3">
      <c r="A2876" s="588"/>
      <c r="B2876" s="588"/>
      <c r="C2876" s="588"/>
      <c r="D2876" s="588"/>
      <c r="E2876" s="588"/>
      <c r="F2876" s="588"/>
      <c r="G2876" s="600"/>
      <c r="H2876" s="588"/>
      <c r="I2876" s="588"/>
      <c r="J2876" s="588"/>
    </row>
    <row r="2877" spans="1:10" x14ac:dyDescent="0.3">
      <c r="A2877" s="588"/>
      <c r="B2877" s="588"/>
      <c r="C2877" s="588"/>
      <c r="D2877" s="588"/>
      <c r="E2877" s="588"/>
      <c r="F2877" s="588"/>
      <c r="G2877" s="600"/>
      <c r="H2877" s="588"/>
      <c r="I2877" s="588"/>
      <c r="J2877" s="588"/>
    </row>
    <row r="2878" spans="1:10" x14ac:dyDescent="0.3">
      <c r="A2878" s="588"/>
      <c r="B2878" s="588"/>
      <c r="C2878" s="588"/>
      <c r="D2878" s="588"/>
      <c r="E2878" s="588"/>
      <c r="F2878" s="588"/>
      <c r="G2878" s="600"/>
      <c r="H2878" s="588"/>
      <c r="I2878" s="588"/>
      <c r="J2878" s="588"/>
    </row>
    <row r="2879" spans="1:10" x14ac:dyDescent="0.3">
      <c r="A2879" s="588"/>
      <c r="B2879" s="588"/>
      <c r="C2879" s="588"/>
      <c r="D2879" s="588"/>
      <c r="E2879" s="588"/>
      <c r="F2879" s="588"/>
      <c r="G2879" s="600"/>
      <c r="H2879" s="588"/>
      <c r="I2879" s="588"/>
      <c r="J2879" s="588"/>
    </row>
    <row r="2880" spans="1:10" x14ac:dyDescent="0.3">
      <c r="A2880" s="588"/>
      <c r="B2880" s="588"/>
      <c r="C2880" s="588"/>
      <c r="D2880" s="588"/>
      <c r="E2880" s="588"/>
      <c r="F2880" s="588"/>
      <c r="G2880" s="600"/>
      <c r="H2880" s="588"/>
      <c r="I2880" s="588"/>
      <c r="J2880" s="588"/>
    </row>
    <row r="2881" spans="1:10" x14ac:dyDescent="0.3">
      <c r="A2881" s="588"/>
      <c r="B2881" s="588"/>
      <c r="C2881" s="588"/>
      <c r="D2881" s="588"/>
      <c r="E2881" s="588"/>
      <c r="F2881" s="588"/>
      <c r="G2881" s="600"/>
      <c r="H2881" s="588"/>
      <c r="I2881" s="588"/>
      <c r="J2881" s="588"/>
    </row>
    <row r="2882" spans="1:10" x14ac:dyDescent="0.3">
      <c r="A2882" s="588"/>
      <c r="B2882" s="588"/>
      <c r="C2882" s="588"/>
      <c r="D2882" s="588"/>
      <c r="E2882" s="588"/>
      <c r="F2882" s="588"/>
      <c r="G2882" s="600"/>
      <c r="H2882" s="588"/>
      <c r="I2882" s="588"/>
      <c r="J2882" s="588"/>
    </row>
    <row r="2883" spans="1:10" x14ac:dyDescent="0.3">
      <c r="A2883" s="588"/>
      <c r="B2883" s="588"/>
      <c r="C2883" s="588"/>
      <c r="D2883" s="588"/>
      <c r="E2883" s="588"/>
      <c r="F2883" s="588"/>
      <c r="G2883" s="600"/>
      <c r="H2883" s="588"/>
      <c r="I2883" s="588"/>
      <c r="J2883" s="588"/>
    </row>
    <row r="2884" spans="1:10" x14ac:dyDescent="0.3">
      <c r="A2884" s="588"/>
      <c r="B2884" s="588"/>
      <c r="C2884" s="588"/>
      <c r="D2884" s="588"/>
      <c r="E2884" s="588"/>
      <c r="F2884" s="588"/>
      <c r="G2884" s="600"/>
      <c r="H2884" s="588"/>
      <c r="I2884" s="588"/>
      <c r="J2884" s="588"/>
    </row>
    <row r="2885" spans="1:10" x14ac:dyDescent="0.3">
      <c r="A2885" s="588"/>
      <c r="B2885" s="588"/>
      <c r="C2885" s="588"/>
      <c r="D2885" s="588"/>
      <c r="E2885" s="588"/>
      <c r="F2885" s="588"/>
      <c r="G2885" s="600"/>
      <c r="H2885" s="588"/>
      <c r="I2885" s="588"/>
      <c r="J2885" s="588"/>
    </row>
    <row r="2886" spans="1:10" x14ac:dyDescent="0.3">
      <c r="A2886" s="588"/>
      <c r="B2886" s="588"/>
      <c r="C2886" s="588"/>
      <c r="D2886" s="588"/>
      <c r="E2886" s="588"/>
      <c r="F2886" s="588"/>
      <c r="G2886" s="600"/>
      <c r="H2886" s="588"/>
      <c r="I2886" s="588"/>
      <c r="J2886" s="588"/>
    </row>
    <row r="2887" spans="1:10" x14ac:dyDescent="0.3">
      <c r="A2887" s="588"/>
      <c r="B2887" s="588"/>
      <c r="C2887" s="588"/>
      <c r="D2887" s="588"/>
      <c r="E2887" s="588"/>
      <c r="F2887" s="588"/>
      <c r="G2887" s="600"/>
      <c r="H2887" s="588"/>
      <c r="I2887" s="588"/>
      <c r="J2887" s="588"/>
    </row>
    <row r="2888" spans="1:10" x14ac:dyDescent="0.3">
      <c r="A2888" s="588"/>
      <c r="B2888" s="588"/>
      <c r="C2888" s="588"/>
      <c r="D2888" s="588"/>
      <c r="E2888" s="588"/>
      <c r="F2888" s="588"/>
      <c r="G2888" s="600"/>
      <c r="H2888" s="588"/>
      <c r="I2888" s="588"/>
      <c r="J2888" s="588"/>
    </row>
    <row r="2889" spans="1:10" x14ac:dyDescent="0.3">
      <c r="A2889" s="588"/>
      <c r="B2889" s="588"/>
      <c r="C2889" s="588"/>
      <c r="D2889" s="588"/>
      <c r="E2889" s="588"/>
      <c r="F2889" s="588"/>
      <c r="G2889" s="600"/>
      <c r="H2889" s="588"/>
      <c r="I2889" s="588"/>
      <c r="J2889" s="588"/>
    </row>
    <row r="2890" spans="1:10" x14ac:dyDescent="0.3">
      <c r="A2890" s="588"/>
      <c r="B2890" s="588"/>
      <c r="C2890" s="588"/>
      <c r="D2890" s="588"/>
      <c r="E2890" s="588"/>
      <c r="F2890" s="588"/>
      <c r="G2890" s="600"/>
      <c r="H2890" s="588"/>
      <c r="I2890" s="588"/>
      <c r="J2890" s="588"/>
    </row>
    <row r="2891" spans="1:10" x14ac:dyDescent="0.3">
      <c r="A2891" s="588"/>
      <c r="B2891" s="588"/>
      <c r="C2891" s="588"/>
      <c r="D2891" s="588"/>
      <c r="E2891" s="588"/>
      <c r="F2891" s="588"/>
      <c r="G2891" s="600"/>
      <c r="H2891" s="588"/>
      <c r="I2891" s="588"/>
      <c r="J2891" s="588"/>
    </row>
    <row r="2892" spans="1:10" x14ac:dyDescent="0.3">
      <c r="A2892" s="588"/>
      <c r="B2892" s="588"/>
      <c r="C2892" s="588"/>
      <c r="D2892" s="588"/>
      <c r="E2892" s="588"/>
      <c r="F2892" s="588"/>
      <c r="G2892" s="600"/>
      <c r="H2892" s="588"/>
      <c r="I2892" s="588"/>
      <c r="J2892" s="588"/>
    </row>
    <row r="2893" spans="1:10" x14ac:dyDescent="0.3">
      <c r="A2893" s="588"/>
      <c r="B2893" s="588"/>
      <c r="C2893" s="588"/>
      <c r="D2893" s="588"/>
      <c r="E2893" s="588"/>
      <c r="F2893" s="588"/>
      <c r="G2893" s="600"/>
      <c r="H2893" s="588"/>
      <c r="I2893" s="588"/>
      <c r="J2893" s="588"/>
    </row>
    <row r="2894" spans="1:10" x14ac:dyDescent="0.3">
      <c r="A2894" s="588"/>
      <c r="B2894" s="588"/>
      <c r="C2894" s="588"/>
      <c r="D2894" s="588"/>
      <c r="E2894" s="588"/>
      <c r="F2894" s="588"/>
      <c r="G2894" s="600"/>
      <c r="H2894" s="588"/>
      <c r="I2894" s="588"/>
      <c r="J2894" s="588"/>
    </row>
    <row r="2895" spans="1:10" x14ac:dyDescent="0.3">
      <c r="A2895" s="588"/>
      <c r="B2895" s="588"/>
      <c r="C2895" s="588"/>
      <c r="D2895" s="588"/>
      <c r="E2895" s="588"/>
      <c r="F2895" s="588"/>
      <c r="G2895" s="600"/>
      <c r="H2895" s="588"/>
      <c r="I2895" s="588"/>
      <c r="J2895" s="588"/>
    </row>
    <row r="2896" spans="1:10" x14ac:dyDescent="0.3">
      <c r="A2896" s="588"/>
      <c r="B2896" s="588"/>
      <c r="C2896" s="588"/>
      <c r="D2896" s="588"/>
      <c r="E2896" s="588"/>
      <c r="F2896" s="588"/>
      <c r="G2896" s="600"/>
      <c r="H2896" s="588"/>
      <c r="I2896" s="588"/>
      <c r="J2896" s="588"/>
    </row>
    <row r="2897" spans="1:10" x14ac:dyDescent="0.3">
      <c r="A2897" s="588"/>
      <c r="B2897" s="588"/>
      <c r="C2897" s="588"/>
      <c r="D2897" s="588"/>
      <c r="E2897" s="588"/>
      <c r="F2897" s="588"/>
      <c r="G2897" s="600"/>
      <c r="H2897" s="588"/>
      <c r="I2897" s="588"/>
      <c r="J2897" s="588"/>
    </row>
    <row r="2898" spans="1:10" x14ac:dyDescent="0.3">
      <c r="A2898" s="588"/>
      <c r="B2898" s="588"/>
      <c r="C2898" s="588"/>
      <c r="D2898" s="588"/>
      <c r="E2898" s="588"/>
      <c r="F2898" s="588"/>
      <c r="G2898" s="600"/>
      <c r="H2898" s="588"/>
      <c r="I2898" s="588"/>
      <c r="J2898" s="588"/>
    </row>
    <row r="2899" spans="1:10" x14ac:dyDescent="0.3">
      <c r="A2899" s="588"/>
      <c r="B2899" s="588"/>
      <c r="C2899" s="588"/>
      <c r="D2899" s="588"/>
      <c r="E2899" s="588"/>
      <c r="F2899" s="588"/>
      <c r="G2899" s="600"/>
      <c r="H2899" s="588"/>
      <c r="I2899" s="588"/>
      <c r="J2899" s="588"/>
    </row>
    <row r="2900" spans="1:10" x14ac:dyDescent="0.3">
      <c r="A2900" s="588"/>
      <c r="B2900" s="588"/>
      <c r="C2900" s="588"/>
      <c r="D2900" s="588"/>
      <c r="E2900" s="588"/>
      <c r="F2900" s="588"/>
      <c r="G2900" s="600"/>
      <c r="H2900" s="588"/>
      <c r="I2900" s="588"/>
      <c r="J2900" s="588"/>
    </row>
    <row r="2901" spans="1:10" x14ac:dyDescent="0.3">
      <c r="A2901" s="588"/>
      <c r="B2901" s="588"/>
      <c r="C2901" s="588"/>
      <c r="D2901" s="588"/>
      <c r="E2901" s="588"/>
      <c r="F2901" s="588"/>
      <c r="G2901" s="600"/>
      <c r="H2901" s="588"/>
      <c r="I2901" s="588"/>
      <c r="J2901" s="588"/>
    </row>
    <row r="2902" spans="1:10" x14ac:dyDescent="0.3">
      <c r="A2902" s="588"/>
      <c r="B2902" s="588"/>
      <c r="C2902" s="588"/>
      <c r="D2902" s="588"/>
      <c r="E2902" s="588"/>
      <c r="F2902" s="588"/>
      <c r="G2902" s="600"/>
      <c r="H2902" s="588"/>
      <c r="I2902" s="588"/>
      <c r="J2902" s="588"/>
    </row>
    <row r="2903" spans="1:10" x14ac:dyDescent="0.3">
      <c r="A2903" s="588"/>
      <c r="B2903" s="588"/>
      <c r="C2903" s="588"/>
      <c r="D2903" s="588"/>
      <c r="E2903" s="588"/>
      <c r="F2903" s="588"/>
      <c r="G2903" s="600"/>
      <c r="H2903" s="588"/>
      <c r="I2903" s="588"/>
      <c r="J2903" s="588"/>
    </row>
    <row r="2904" spans="1:10" x14ac:dyDescent="0.3">
      <c r="A2904" s="588"/>
      <c r="B2904" s="588"/>
      <c r="C2904" s="588"/>
      <c r="D2904" s="588"/>
      <c r="E2904" s="588"/>
      <c r="F2904" s="588"/>
      <c r="G2904" s="600"/>
      <c r="H2904" s="588"/>
      <c r="I2904" s="588"/>
      <c r="J2904" s="588"/>
    </row>
    <row r="2905" spans="1:10" x14ac:dyDescent="0.3">
      <c r="A2905" s="588"/>
      <c r="B2905" s="588"/>
      <c r="C2905" s="588"/>
      <c r="D2905" s="588"/>
      <c r="E2905" s="588"/>
      <c r="F2905" s="588"/>
      <c r="G2905" s="600"/>
      <c r="H2905" s="588"/>
      <c r="I2905" s="588"/>
      <c r="J2905" s="588"/>
    </row>
    <row r="2906" spans="1:10" x14ac:dyDescent="0.3">
      <c r="A2906" s="588"/>
      <c r="B2906" s="588"/>
      <c r="C2906" s="588"/>
      <c r="D2906" s="588"/>
      <c r="E2906" s="588"/>
      <c r="F2906" s="588"/>
      <c r="G2906" s="600"/>
      <c r="H2906" s="588"/>
      <c r="I2906" s="588"/>
      <c r="J2906" s="588"/>
    </row>
    <row r="2907" spans="1:10" x14ac:dyDescent="0.3">
      <c r="A2907" s="588"/>
      <c r="B2907" s="588"/>
      <c r="C2907" s="588"/>
      <c r="D2907" s="588"/>
      <c r="E2907" s="588"/>
      <c r="F2907" s="588"/>
      <c r="G2907" s="600"/>
      <c r="H2907" s="588"/>
      <c r="I2907" s="588"/>
      <c r="J2907" s="588"/>
    </row>
    <row r="2908" spans="1:10" x14ac:dyDescent="0.3">
      <c r="A2908" s="588"/>
      <c r="B2908" s="588"/>
      <c r="C2908" s="588"/>
      <c r="D2908" s="588"/>
      <c r="E2908" s="588"/>
      <c r="F2908" s="588"/>
      <c r="G2908" s="600"/>
      <c r="H2908" s="588"/>
      <c r="I2908" s="588"/>
      <c r="J2908" s="588"/>
    </row>
    <row r="2909" spans="1:10" x14ac:dyDescent="0.3">
      <c r="A2909" s="588"/>
      <c r="B2909" s="588"/>
      <c r="C2909" s="588"/>
      <c r="D2909" s="588"/>
      <c r="E2909" s="588"/>
      <c r="F2909" s="588"/>
      <c r="G2909" s="600"/>
      <c r="H2909" s="588"/>
      <c r="I2909" s="588"/>
      <c r="J2909" s="588"/>
    </row>
    <row r="2910" spans="1:10" x14ac:dyDescent="0.3">
      <c r="A2910" s="588"/>
      <c r="B2910" s="588"/>
      <c r="C2910" s="588"/>
      <c r="D2910" s="588"/>
      <c r="E2910" s="588"/>
      <c r="F2910" s="588"/>
      <c r="G2910" s="600"/>
      <c r="H2910" s="588"/>
      <c r="I2910" s="588"/>
      <c r="J2910" s="588"/>
    </row>
    <row r="2911" spans="1:10" x14ac:dyDescent="0.3">
      <c r="A2911" s="588"/>
      <c r="B2911" s="588"/>
      <c r="C2911" s="588"/>
      <c r="D2911" s="588"/>
      <c r="E2911" s="588"/>
      <c r="F2911" s="588"/>
      <c r="G2911" s="600"/>
      <c r="H2911" s="588"/>
      <c r="I2911" s="588"/>
      <c r="J2911" s="588"/>
    </row>
    <row r="2912" spans="1:10" x14ac:dyDescent="0.3">
      <c r="A2912" s="588"/>
      <c r="B2912" s="588"/>
      <c r="C2912" s="588"/>
      <c r="D2912" s="588"/>
      <c r="E2912" s="588"/>
      <c r="F2912" s="588"/>
      <c r="G2912" s="600"/>
      <c r="H2912" s="588"/>
      <c r="I2912" s="588"/>
      <c r="J2912" s="588"/>
    </row>
    <row r="2913" spans="1:10" x14ac:dyDescent="0.3">
      <c r="A2913" s="588"/>
      <c r="B2913" s="588"/>
      <c r="C2913" s="588"/>
      <c r="D2913" s="588"/>
      <c r="E2913" s="588"/>
      <c r="F2913" s="588"/>
      <c r="G2913" s="600"/>
      <c r="H2913" s="588"/>
      <c r="I2913" s="588"/>
      <c r="J2913" s="588"/>
    </row>
    <row r="2914" spans="1:10" x14ac:dyDescent="0.3">
      <c r="A2914" s="588"/>
      <c r="B2914" s="588"/>
      <c r="C2914" s="588"/>
      <c r="D2914" s="588"/>
      <c r="E2914" s="588"/>
      <c r="F2914" s="588"/>
      <c r="G2914" s="600"/>
      <c r="H2914" s="588"/>
      <c r="I2914" s="588"/>
      <c r="J2914" s="588"/>
    </row>
    <row r="2915" spans="1:10" x14ac:dyDescent="0.3">
      <c r="A2915" s="588"/>
      <c r="B2915" s="588"/>
      <c r="C2915" s="588"/>
      <c r="D2915" s="588"/>
      <c r="E2915" s="588"/>
      <c r="F2915" s="588"/>
      <c r="G2915" s="600"/>
      <c r="H2915" s="588"/>
      <c r="I2915" s="588"/>
      <c r="J2915" s="588"/>
    </row>
    <row r="2916" spans="1:10" x14ac:dyDescent="0.3">
      <c r="A2916" s="588"/>
      <c r="B2916" s="588"/>
      <c r="C2916" s="588"/>
      <c r="D2916" s="588"/>
      <c r="E2916" s="588"/>
      <c r="F2916" s="588"/>
      <c r="G2916" s="600"/>
      <c r="H2916" s="588"/>
      <c r="I2916" s="588"/>
      <c r="J2916" s="588"/>
    </row>
    <row r="2917" spans="1:10" x14ac:dyDescent="0.3">
      <c r="A2917" s="588"/>
      <c r="B2917" s="588"/>
      <c r="C2917" s="588"/>
      <c r="D2917" s="588"/>
      <c r="E2917" s="588"/>
      <c r="F2917" s="588"/>
      <c r="G2917" s="600"/>
      <c r="H2917" s="588"/>
      <c r="I2917" s="588"/>
      <c r="J2917" s="588"/>
    </row>
    <row r="2918" spans="1:10" x14ac:dyDescent="0.3">
      <c r="A2918" s="588"/>
      <c r="B2918" s="588"/>
      <c r="C2918" s="588"/>
      <c r="D2918" s="588"/>
      <c r="E2918" s="588"/>
      <c r="F2918" s="588"/>
      <c r="G2918" s="600"/>
      <c r="H2918" s="588"/>
      <c r="I2918" s="588"/>
      <c r="J2918" s="588"/>
    </row>
    <row r="2919" spans="1:10" x14ac:dyDescent="0.3">
      <c r="A2919" s="588"/>
      <c r="B2919" s="588"/>
      <c r="C2919" s="588"/>
      <c r="D2919" s="588"/>
      <c r="E2919" s="588"/>
      <c r="F2919" s="588"/>
      <c r="G2919" s="600"/>
      <c r="H2919" s="588"/>
      <c r="I2919" s="588"/>
      <c r="J2919" s="588"/>
    </row>
    <row r="2920" spans="1:10" x14ac:dyDescent="0.3">
      <c r="A2920" s="588"/>
      <c r="B2920" s="588"/>
      <c r="C2920" s="588"/>
      <c r="D2920" s="588"/>
      <c r="E2920" s="588"/>
      <c r="F2920" s="588"/>
      <c r="G2920" s="600"/>
      <c r="H2920" s="588"/>
      <c r="I2920" s="588"/>
      <c r="J2920" s="588"/>
    </row>
    <row r="2921" spans="1:10" x14ac:dyDescent="0.3">
      <c r="A2921" s="588"/>
      <c r="B2921" s="588"/>
      <c r="C2921" s="588"/>
      <c r="D2921" s="588"/>
      <c r="E2921" s="588"/>
      <c r="F2921" s="588"/>
      <c r="G2921" s="600"/>
      <c r="H2921" s="588"/>
      <c r="I2921" s="588"/>
      <c r="J2921" s="588"/>
    </row>
    <row r="2922" spans="1:10" x14ac:dyDescent="0.3">
      <c r="A2922" s="588"/>
      <c r="B2922" s="588"/>
      <c r="C2922" s="588"/>
      <c r="D2922" s="588"/>
      <c r="E2922" s="588"/>
      <c r="F2922" s="588"/>
      <c r="G2922" s="600"/>
      <c r="H2922" s="588"/>
      <c r="I2922" s="588"/>
      <c r="J2922" s="588"/>
    </row>
    <row r="2923" spans="1:10" x14ac:dyDescent="0.3">
      <c r="A2923" s="588"/>
      <c r="B2923" s="588"/>
      <c r="C2923" s="588"/>
      <c r="D2923" s="588"/>
      <c r="E2923" s="588"/>
      <c r="F2923" s="588"/>
      <c r="G2923" s="600"/>
      <c r="H2923" s="588"/>
      <c r="I2923" s="588"/>
      <c r="J2923" s="588"/>
    </row>
    <row r="2924" spans="1:10" x14ac:dyDescent="0.3">
      <c r="A2924" s="588"/>
      <c r="B2924" s="588"/>
      <c r="C2924" s="588"/>
      <c r="D2924" s="588"/>
      <c r="E2924" s="588"/>
      <c r="F2924" s="588"/>
      <c r="G2924" s="600"/>
      <c r="H2924" s="588"/>
      <c r="I2924" s="588"/>
      <c r="J2924" s="588"/>
    </row>
    <row r="2925" spans="1:10" x14ac:dyDescent="0.3">
      <c r="A2925" s="588"/>
      <c r="B2925" s="588"/>
      <c r="C2925" s="588"/>
      <c r="D2925" s="588"/>
      <c r="E2925" s="588"/>
      <c r="F2925" s="588"/>
      <c r="G2925" s="600"/>
      <c r="H2925" s="588"/>
      <c r="I2925" s="588"/>
      <c r="J2925" s="588"/>
    </row>
    <row r="2926" spans="1:10" x14ac:dyDescent="0.3">
      <c r="A2926" s="588"/>
      <c r="B2926" s="588"/>
      <c r="C2926" s="588"/>
      <c r="D2926" s="588"/>
      <c r="E2926" s="588"/>
      <c r="F2926" s="588"/>
      <c r="G2926" s="600"/>
      <c r="H2926" s="588"/>
      <c r="I2926" s="588"/>
      <c r="J2926" s="588"/>
    </row>
    <row r="2927" spans="1:10" x14ac:dyDescent="0.3">
      <c r="A2927" s="588"/>
      <c r="B2927" s="588"/>
      <c r="C2927" s="588"/>
      <c r="D2927" s="588"/>
      <c r="E2927" s="588"/>
      <c r="F2927" s="588"/>
      <c r="G2927" s="600"/>
      <c r="H2927" s="588"/>
      <c r="I2927" s="588"/>
      <c r="J2927" s="588"/>
    </row>
    <row r="2928" spans="1:10" x14ac:dyDescent="0.3">
      <c r="A2928" s="588"/>
      <c r="B2928" s="588"/>
      <c r="C2928" s="588"/>
      <c r="D2928" s="588"/>
      <c r="E2928" s="588"/>
      <c r="F2928" s="588"/>
      <c r="G2928" s="600"/>
      <c r="H2928" s="588"/>
      <c r="I2928" s="588"/>
      <c r="J2928" s="588"/>
    </row>
    <row r="2929" spans="1:10" x14ac:dyDescent="0.3">
      <c r="A2929" s="588"/>
      <c r="B2929" s="588"/>
      <c r="C2929" s="588"/>
      <c r="D2929" s="588"/>
      <c r="E2929" s="588"/>
      <c r="F2929" s="588"/>
      <c r="G2929" s="600"/>
      <c r="H2929" s="588"/>
      <c r="I2929" s="588"/>
      <c r="J2929" s="588"/>
    </row>
    <row r="2930" spans="1:10" x14ac:dyDescent="0.3">
      <c r="A2930" s="588"/>
      <c r="B2930" s="588"/>
      <c r="C2930" s="588"/>
      <c r="D2930" s="588"/>
      <c r="E2930" s="588"/>
      <c r="F2930" s="588"/>
      <c r="G2930" s="600"/>
      <c r="H2930" s="588"/>
      <c r="I2930" s="588"/>
      <c r="J2930" s="588"/>
    </row>
    <row r="2931" spans="1:10" x14ac:dyDescent="0.3">
      <c r="A2931" s="588"/>
      <c r="B2931" s="588"/>
      <c r="C2931" s="588"/>
      <c r="D2931" s="588"/>
      <c r="E2931" s="588"/>
      <c r="F2931" s="588"/>
      <c r="G2931" s="600"/>
      <c r="H2931" s="588"/>
      <c r="I2931" s="588"/>
      <c r="J2931" s="588"/>
    </row>
    <row r="2932" spans="1:10" x14ac:dyDescent="0.3">
      <c r="A2932" s="588"/>
      <c r="B2932" s="588"/>
      <c r="C2932" s="588"/>
      <c r="D2932" s="588"/>
      <c r="E2932" s="588"/>
      <c r="F2932" s="588"/>
      <c r="G2932" s="600"/>
      <c r="H2932" s="588"/>
      <c r="I2932" s="588"/>
      <c r="J2932" s="588"/>
    </row>
    <row r="2933" spans="1:10" x14ac:dyDescent="0.3">
      <c r="A2933" s="588"/>
      <c r="B2933" s="588"/>
      <c r="C2933" s="588"/>
      <c r="D2933" s="588"/>
      <c r="E2933" s="588"/>
      <c r="F2933" s="588"/>
      <c r="G2933" s="600"/>
      <c r="H2933" s="588"/>
      <c r="I2933" s="588"/>
      <c r="J2933" s="588"/>
    </row>
    <row r="2934" spans="1:10" x14ac:dyDescent="0.3">
      <c r="A2934" s="588"/>
      <c r="B2934" s="588"/>
      <c r="C2934" s="588"/>
      <c r="D2934" s="588"/>
      <c r="E2934" s="588"/>
      <c r="F2934" s="588"/>
      <c r="G2934" s="600"/>
      <c r="H2934" s="588"/>
      <c r="I2934" s="588"/>
      <c r="J2934" s="588"/>
    </row>
    <row r="2935" spans="1:10" x14ac:dyDescent="0.3">
      <c r="A2935" s="588"/>
      <c r="B2935" s="588"/>
      <c r="C2935" s="588"/>
      <c r="D2935" s="588"/>
      <c r="E2935" s="588"/>
      <c r="F2935" s="588"/>
      <c r="G2935" s="600"/>
      <c r="H2935" s="588"/>
      <c r="I2935" s="588"/>
      <c r="J2935" s="588"/>
    </row>
    <row r="2936" spans="1:10" x14ac:dyDescent="0.3">
      <c r="A2936" s="588"/>
      <c r="B2936" s="588"/>
      <c r="C2936" s="588"/>
      <c r="D2936" s="588"/>
      <c r="E2936" s="588"/>
      <c r="F2936" s="588"/>
      <c r="G2936" s="600"/>
      <c r="H2936" s="588"/>
      <c r="I2936" s="588"/>
      <c r="J2936" s="588"/>
    </row>
    <row r="2937" spans="1:10" x14ac:dyDescent="0.3">
      <c r="A2937" s="588"/>
      <c r="B2937" s="588"/>
      <c r="C2937" s="588"/>
      <c r="D2937" s="588"/>
      <c r="E2937" s="588"/>
      <c r="F2937" s="588"/>
      <c r="G2937" s="600"/>
      <c r="H2937" s="588"/>
      <c r="I2937" s="588"/>
      <c r="J2937" s="588"/>
    </row>
    <row r="2938" spans="1:10" x14ac:dyDescent="0.3">
      <c r="A2938" s="588"/>
      <c r="B2938" s="588"/>
      <c r="C2938" s="588"/>
      <c r="D2938" s="588"/>
      <c r="E2938" s="588"/>
      <c r="F2938" s="588"/>
      <c r="G2938" s="600"/>
      <c r="H2938" s="588"/>
      <c r="I2938" s="588"/>
      <c r="J2938" s="588"/>
    </row>
    <row r="2939" spans="1:10" x14ac:dyDescent="0.3">
      <c r="A2939" s="588"/>
      <c r="B2939" s="588"/>
      <c r="C2939" s="588"/>
      <c r="D2939" s="588"/>
      <c r="E2939" s="588"/>
      <c r="F2939" s="588"/>
      <c r="G2939" s="600"/>
      <c r="H2939" s="588"/>
      <c r="I2939" s="588"/>
      <c r="J2939" s="588"/>
    </row>
    <row r="2940" spans="1:10" x14ac:dyDescent="0.3">
      <c r="A2940" s="588"/>
      <c r="B2940" s="588"/>
      <c r="C2940" s="588"/>
      <c r="D2940" s="588"/>
      <c r="E2940" s="588"/>
      <c r="F2940" s="588"/>
      <c r="G2940" s="600"/>
      <c r="H2940" s="588"/>
      <c r="I2940" s="588"/>
      <c r="J2940" s="588"/>
    </row>
    <row r="2941" spans="1:10" x14ac:dyDescent="0.3">
      <c r="A2941" s="588"/>
      <c r="B2941" s="588"/>
      <c r="C2941" s="588"/>
      <c r="D2941" s="588"/>
      <c r="E2941" s="588"/>
      <c r="F2941" s="588"/>
      <c r="G2941" s="600"/>
      <c r="H2941" s="588"/>
      <c r="I2941" s="588"/>
      <c r="J2941" s="588"/>
    </row>
    <row r="2942" spans="1:10" x14ac:dyDescent="0.3">
      <c r="A2942" s="588"/>
      <c r="B2942" s="588"/>
      <c r="C2942" s="588"/>
      <c r="D2942" s="588"/>
      <c r="E2942" s="588"/>
      <c r="F2942" s="588"/>
      <c r="G2942" s="600"/>
      <c r="H2942" s="588"/>
      <c r="I2942" s="588"/>
      <c r="J2942" s="588"/>
    </row>
    <row r="2943" spans="1:10" x14ac:dyDescent="0.3">
      <c r="A2943" s="588"/>
      <c r="B2943" s="588"/>
      <c r="C2943" s="588"/>
      <c r="D2943" s="588"/>
      <c r="E2943" s="588"/>
      <c r="F2943" s="588"/>
      <c r="G2943" s="600"/>
      <c r="H2943" s="588"/>
      <c r="I2943" s="588"/>
      <c r="J2943" s="588"/>
    </row>
    <row r="2944" spans="1:10" x14ac:dyDescent="0.3">
      <c r="A2944" s="588"/>
      <c r="B2944" s="588"/>
      <c r="C2944" s="588"/>
      <c r="D2944" s="588"/>
      <c r="E2944" s="588"/>
      <c r="F2944" s="588"/>
      <c r="G2944" s="600"/>
      <c r="H2944" s="588"/>
      <c r="I2944" s="588"/>
      <c r="J2944" s="588"/>
    </row>
    <row r="2945" spans="1:10" x14ac:dyDescent="0.3">
      <c r="A2945" s="588"/>
      <c r="B2945" s="588"/>
      <c r="C2945" s="588"/>
      <c r="D2945" s="588"/>
      <c r="E2945" s="588"/>
      <c r="F2945" s="588"/>
      <c r="G2945" s="600"/>
      <c r="H2945" s="588"/>
      <c r="I2945" s="588"/>
      <c r="J2945" s="588"/>
    </row>
    <row r="2946" spans="1:10" x14ac:dyDescent="0.3">
      <c r="A2946" s="588"/>
      <c r="B2946" s="588"/>
      <c r="C2946" s="588"/>
      <c r="D2946" s="588"/>
      <c r="E2946" s="588"/>
      <c r="F2946" s="588"/>
      <c r="G2946" s="600"/>
      <c r="H2946" s="588"/>
      <c r="I2946" s="588"/>
      <c r="J2946" s="588"/>
    </row>
    <row r="2947" spans="1:10" x14ac:dyDescent="0.3">
      <c r="A2947" s="588"/>
      <c r="B2947" s="588"/>
      <c r="C2947" s="588"/>
      <c r="D2947" s="588"/>
      <c r="E2947" s="588"/>
      <c r="F2947" s="588"/>
      <c r="G2947" s="600"/>
      <c r="H2947" s="588"/>
      <c r="I2947" s="588"/>
      <c r="J2947" s="588"/>
    </row>
    <row r="2948" spans="1:10" x14ac:dyDescent="0.3">
      <c r="A2948" s="588"/>
      <c r="B2948" s="588"/>
      <c r="C2948" s="588"/>
      <c r="D2948" s="588"/>
      <c r="E2948" s="588"/>
      <c r="F2948" s="588"/>
      <c r="G2948" s="600"/>
      <c r="H2948" s="588"/>
      <c r="I2948" s="588"/>
      <c r="J2948" s="588"/>
    </row>
    <row r="2949" spans="1:10" x14ac:dyDescent="0.3">
      <c r="A2949" s="588"/>
      <c r="B2949" s="588"/>
      <c r="C2949" s="588"/>
      <c r="D2949" s="588"/>
      <c r="E2949" s="588"/>
      <c r="F2949" s="588"/>
      <c r="G2949" s="600"/>
      <c r="H2949" s="588"/>
      <c r="I2949" s="588"/>
      <c r="J2949" s="588"/>
    </row>
    <row r="2950" spans="1:10" x14ac:dyDescent="0.3">
      <c r="A2950" s="588"/>
      <c r="B2950" s="588"/>
      <c r="C2950" s="588"/>
      <c r="D2950" s="588"/>
      <c r="E2950" s="588"/>
      <c r="F2950" s="588"/>
      <c r="G2950" s="600"/>
      <c r="H2950" s="588"/>
      <c r="I2950" s="588"/>
      <c r="J2950" s="588"/>
    </row>
    <row r="2951" spans="1:10" x14ac:dyDescent="0.3">
      <c r="A2951" s="588"/>
      <c r="B2951" s="588"/>
      <c r="C2951" s="588"/>
      <c r="D2951" s="588"/>
      <c r="E2951" s="588"/>
      <c r="F2951" s="588"/>
      <c r="G2951" s="600"/>
      <c r="H2951" s="588"/>
      <c r="I2951" s="588"/>
      <c r="J2951" s="588"/>
    </row>
    <row r="2952" spans="1:10" x14ac:dyDescent="0.3">
      <c r="A2952" s="588"/>
      <c r="B2952" s="588"/>
      <c r="C2952" s="588"/>
      <c r="D2952" s="588"/>
      <c r="E2952" s="588"/>
      <c r="F2952" s="588"/>
      <c r="G2952" s="600"/>
      <c r="H2952" s="588"/>
      <c r="I2952" s="588"/>
      <c r="J2952" s="588"/>
    </row>
    <row r="2953" spans="1:10" x14ac:dyDescent="0.3">
      <c r="A2953" s="588"/>
      <c r="B2953" s="588"/>
      <c r="C2953" s="588"/>
      <c r="D2953" s="588"/>
      <c r="E2953" s="588"/>
      <c r="F2953" s="588"/>
      <c r="G2953" s="600"/>
      <c r="H2953" s="588"/>
      <c r="I2953" s="588"/>
      <c r="J2953" s="588"/>
    </row>
    <row r="2954" spans="1:10" x14ac:dyDescent="0.3">
      <c r="A2954" s="588"/>
      <c r="B2954" s="588"/>
      <c r="C2954" s="588"/>
      <c r="D2954" s="588"/>
      <c r="E2954" s="588"/>
      <c r="F2954" s="588"/>
      <c r="G2954" s="600"/>
      <c r="H2954" s="588"/>
      <c r="I2954" s="588"/>
      <c r="J2954" s="588"/>
    </row>
    <row r="2955" spans="1:10" x14ac:dyDescent="0.3">
      <c r="A2955" s="588"/>
      <c r="B2955" s="588"/>
      <c r="C2955" s="588"/>
      <c r="D2955" s="588"/>
      <c r="E2955" s="588"/>
      <c r="F2955" s="588"/>
      <c r="G2955" s="600"/>
      <c r="H2955" s="588"/>
      <c r="I2955" s="588"/>
      <c r="J2955" s="588"/>
    </row>
    <row r="2956" spans="1:10" x14ac:dyDescent="0.3">
      <c r="A2956" s="588"/>
      <c r="B2956" s="588"/>
      <c r="C2956" s="588"/>
      <c r="D2956" s="588"/>
      <c r="E2956" s="588"/>
      <c r="F2956" s="588"/>
      <c r="G2956" s="600"/>
      <c r="H2956" s="588"/>
      <c r="I2956" s="588"/>
      <c r="J2956" s="588"/>
    </row>
    <row r="2957" spans="1:10" x14ac:dyDescent="0.3">
      <c r="A2957" s="588"/>
      <c r="B2957" s="588"/>
      <c r="C2957" s="588"/>
      <c r="D2957" s="588"/>
      <c r="E2957" s="588"/>
      <c r="F2957" s="588"/>
      <c r="G2957" s="600"/>
      <c r="H2957" s="588"/>
      <c r="I2957" s="588"/>
      <c r="J2957" s="588"/>
    </row>
    <row r="2958" spans="1:10" x14ac:dyDescent="0.3">
      <c r="A2958" s="588"/>
      <c r="B2958" s="588"/>
      <c r="C2958" s="588"/>
      <c r="D2958" s="588"/>
      <c r="E2958" s="588"/>
      <c r="F2958" s="588"/>
      <c r="G2958" s="600"/>
      <c r="H2958" s="588"/>
      <c r="I2958" s="588"/>
      <c r="J2958" s="588"/>
    </row>
    <row r="2959" spans="1:10" x14ac:dyDescent="0.3">
      <c r="A2959" s="588"/>
      <c r="B2959" s="588"/>
      <c r="C2959" s="588"/>
      <c r="D2959" s="588"/>
      <c r="E2959" s="588"/>
      <c r="F2959" s="588"/>
      <c r="G2959" s="600"/>
      <c r="H2959" s="588"/>
      <c r="I2959" s="588"/>
      <c r="J2959" s="588"/>
    </row>
    <row r="2960" spans="1:10" x14ac:dyDescent="0.3">
      <c r="A2960" s="588"/>
      <c r="B2960" s="588"/>
      <c r="C2960" s="588"/>
      <c r="D2960" s="588"/>
      <c r="E2960" s="588"/>
      <c r="F2960" s="588"/>
      <c r="G2960" s="600"/>
      <c r="H2960" s="588"/>
      <c r="I2960" s="588"/>
      <c r="J2960" s="588"/>
    </row>
    <row r="2961" spans="1:10" x14ac:dyDescent="0.3">
      <c r="A2961" s="588"/>
      <c r="B2961" s="588"/>
      <c r="C2961" s="588"/>
      <c r="D2961" s="588"/>
      <c r="E2961" s="588"/>
      <c r="F2961" s="588"/>
      <c r="G2961" s="600"/>
      <c r="H2961" s="588"/>
      <c r="I2961" s="588"/>
      <c r="J2961" s="588"/>
    </row>
    <row r="2962" spans="1:10" x14ac:dyDescent="0.3">
      <c r="A2962" s="588"/>
      <c r="B2962" s="588"/>
      <c r="C2962" s="588"/>
      <c r="D2962" s="588"/>
      <c r="E2962" s="588"/>
      <c r="F2962" s="588"/>
      <c r="G2962" s="600"/>
      <c r="H2962" s="588"/>
      <c r="I2962" s="588"/>
      <c r="J2962" s="588"/>
    </row>
    <row r="2963" spans="1:10" x14ac:dyDescent="0.3">
      <c r="A2963" s="588"/>
      <c r="B2963" s="588"/>
      <c r="C2963" s="588"/>
      <c r="D2963" s="588"/>
      <c r="E2963" s="588"/>
      <c r="F2963" s="588"/>
      <c r="G2963" s="600"/>
      <c r="H2963" s="588"/>
      <c r="I2963" s="588"/>
      <c r="J2963" s="588"/>
    </row>
    <row r="2964" spans="1:10" x14ac:dyDescent="0.3">
      <c r="A2964" s="588"/>
      <c r="B2964" s="588"/>
      <c r="C2964" s="588"/>
      <c r="D2964" s="588"/>
      <c r="E2964" s="588"/>
      <c r="F2964" s="588"/>
      <c r="G2964" s="600"/>
      <c r="H2964" s="588"/>
      <c r="I2964" s="588"/>
      <c r="J2964" s="588"/>
    </row>
    <row r="2965" spans="1:10" x14ac:dyDescent="0.3">
      <c r="A2965" s="588"/>
      <c r="B2965" s="588"/>
      <c r="C2965" s="588"/>
      <c r="D2965" s="588"/>
      <c r="E2965" s="588"/>
      <c r="F2965" s="588"/>
      <c r="G2965" s="600"/>
      <c r="H2965" s="588"/>
      <c r="I2965" s="588"/>
      <c r="J2965" s="588"/>
    </row>
    <row r="2966" spans="1:10" x14ac:dyDescent="0.3">
      <c r="A2966" s="588"/>
      <c r="B2966" s="588"/>
      <c r="C2966" s="588"/>
      <c r="D2966" s="588"/>
      <c r="E2966" s="588"/>
      <c r="F2966" s="588"/>
      <c r="G2966" s="600"/>
      <c r="H2966" s="588"/>
      <c r="I2966" s="588"/>
      <c r="J2966" s="588"/>
    </row>
    <row r="2967" spans="1:10" x14ac:dyDescent="0.3">
      <c r="A2967" s="588"/>
      <c r="B2967" s="588"/>
      <c r="C2967" s="588"/>
      <c r="D2967" s="588"/>
      <c r="E2967" s="588"/>
      <c r="F2967" s="588"/>
      <c r="G2967" s="600"/>
      <c r="H2967" s="588"/>
      <c r="I2967" s="588"/>
      <c r="J2967" s="588"/>
    </row>
    <row r="2968" spans="1:10" x14ac:dyDescent="0.3">
      <c r="A2968" s="588"/>
      <c r="B2968" s="588"/>
      <c r="C2968" s="588"/>
      <c r="D2968" s="588"/>
      <c r="E2968" s="588"/>
      <c r="F2968" s="588"/>
      <c r="G2968" s="600"/>
      <c r="H2968" s="588"/>
      <c r="I2968" s="588"/>
      <c r="J2968" s="588"/>
    </row>
    <row r="2969" spans="1:10" x14ac:dyDescent="0.3">
      <c r="A2969" s="588"/>
      <c r="B2969" s="588"/>
      <c r="C2969" s="588"/>
      <c r="D2969" s="588"/>
      <c r="E2969" s="588"/>
      <c r="F2969" s="588"/>
      <c r="G2969" s="600"/>
      <c r="H2969" s="588"/>
      <c r="I2969" s="588"/>
      <c r="J2969" s="588"/>
    </row>
    <row r="2970" spans="1:10" x14ac:dyDescent="0.3">
      <c r="A2970" s="588"/>
      <c r="B2970" s="588"/>
      <c r="C2970" s="588"/>
      <c r="D2970" s="588"/>
      <c r="E2970" s="588"/>
      <c r="F2970" s="588"/>
      <c r="G2970" s="600"/>
      <c r="H2970" s="588"/>
      <c r="I2970" s="588"/>
      <c r="J2970" s="588"/>
    </row>
    <row r="2971" spans="1:10" x14ac:dyDescent="0.3">
      <c r="A2971" s="588"/>
      <c r="B2971" s="588"/>
      <c r="C2971" s="588"/>
      <c r="D2971" s="588"/>
      <c r="E2971" s="588"/>
      <c r="F2971" s="588"/>
      <c r="G2971" s="600"/>
      <c r="H2971" s="588"/>
      <c r="I2971" s="588"/>
      <c r="J2971" s="588"/>
    </row>
    <row r="2972" spans="1:10" x14ac:dyDescent="0.3">
      <c r="A2972" s="588"/>
      <c r="B2972" s="588"/>
      <c r="C2972" s="588"/>
      <c r="D2972" s="588"/>
      <c r="E2972" s="588"/>
      <c r="F2972" s="588"/>
      <c r="G2972" s="600"/>
      <c r="H2972" s="588"/>
      <c r="I2972" s="588"/>
      <c r="J2972" s="588"/>
    </row>
    <row r="2973" spans="1:10" x14ac:dyDescent="0.3">
      <c r="A2973" s="588"/>
      <c r="B2973" s="588"/>
      <c r="C2973" s="588"/>
      <c r="D2973" s="588"/>
      <c r="E2973" s="588"/>
      <c r="F2973" s="588"/>
      <c r="G2973" s="600"/>
      <c r="H2973" s="588"/>
      <c r="I2973" s="588"/>
      <c r="J2973" s="588"/>
    </row>
    <row r="2974" spans="1:10" x14ac:dyDescent="0.3">
      <c r="A2974" s="588"/>
      <c r="B2974" s="588"/>
      <c r="C2974" s="588"/>
      <c r="D2974" s="588"/>
      <c r="E2974" s="588"/>
      <c r="F2974" s="588"/>
      <c r="G2974" s="600"/>
      <c r="H2974" s="588"/>
      <c r="I2974" s="588"/>
      <c r="J2974" s="588"/>
    </row>
    <row r="2975" spans="1:10" x14ac:dyDescent="0.3">
      <c r="A2975" s="588"/>
      <c r="B2975" s="588"/>
      <c r="C2975" s="588"/>
      <c r="D2975" s="588"/>
      <c r="E2975" s="588"/>
      <c r="F2975" s="588"/>
      <c r="G2975" s="600"/>
      <c r="H2975" s="588"/>
      <c r="I2975" s="588"/>
      <c r="J2975" s="588"/>
    </row>
    <row r="2976" spans="1:10" x14ac:dyDescent="0.3">
      <c r="A2976" s="588"/>
      <c r="B2976" s="588"/>
      <c r="C2976" s="588"/>
      <c r="D2976" s="588"/>
      <c r="E2976" s="588"/>
      <c r="F2976" s="588"/>
      <c r="G2976" s="600"/>
      <c r="H2976" s="588"/>
      <c r="I2976" s="588"/>
      <c r="J2976" s="588"/>
    </row>
    <row r="2977" spans="1:10" x14ac:dyDescent="0.3">
      <c r="A2977" s="588"/>
      <c r="B2977" s="588"/>
      <c r="C2977" s="588"/>
      <c r="D2977" s="588"/>
      <c r="E2977" s="588"/>
      <c r="F2977" s="588"/>
      <c r="G2977" s="600"/>
      <c r="H2977" s="588"/>
      <c r="I2977" s="588"/>
      <c r="J2977" s="588"/>
    </row>
    <row r="2978" spans="1:10" x14ac:dyDescent="0.3">
      <c r="A2978" s="588"/>
      <c r="B2978" s="588"/>
      <c r="C2978" s="588"/>
      <c r="D2978" s="588"/>
      <c r="E2978" s="588"/>
      <c r="F2978" s="588"/>
      <c r="G2978" s="600"/>
      <c r="H2978" s="588"/>
      <c r="I2978" s="588"/>
      <c r="J2978" s="588"/>
    </row>
    <row r="2979" spans="1:10" x14ac:dyDescent="0.3">
      <c r="A2979" s="588"/>
      <c r="B2979" s="588"/>
      <c r="C2979" s="588"/>
      <c r="D2979" s="588"/>
      <c r="E2979" s="588"/>
      <c r="F2979" s="588"/>
      <c r="G2979" s="600"/>
      <c r="H2979" s="588"/>
      <c r="I2979" s="588"/>
      <c r="J2979" s="588"/>
    </row>
    <row r="2980" spans="1:10" x14ac:dyDescent="0.3">
      <c r="A2980" s="588"/>
      <c r="B2980" s="588"/>
      <c r="C2980" s="588"/>
      <c r="D2980" s="588"/>
      <c r="E2980" s="588"/>
      <c r="F2980" s="588"/>
      <c r="G2980" s="600"/>
      <c r="H2980" s="588"/>
      <c r="I2980" s="588"/>
      <c r="J2980" s="588"/>
    </row>
    <row r="2981" spans="1:10" x14ac:dyDescent="0.3">
      <c r="A2981" s="588"/>
      <c r="B2981" s="588"/>
      <c r="C2981" s="588"/>
      <c r="D2981" s="588"/>
      <c r="E2981" s="588"/>
      <c r="F2981" s="588"/>
      <c r="G2981" s="600"/>
      <c r="H2981" s="588"/>
      <c r="I2981" s="588"/>
      <c r="J2981" s="588"/>
    </row>
    <row r="2982" spans="1:10" x14ac:dyDescent="0.3">
      <c r="A2982" s="588"/>
      <c r="B2982" s="588"/>
      <c r="C2982" s="588"/>
      <c r="D2982" s="588"/>
      <c r="E2982" s="588"/>
      <c r="F2982" s="588"/>
      <c r="G2982" s="600"/>
      <c r="H2982" s="588"/>
      <c r="I2982" s="588"/>
      <c r="J2982" s="588"/>
    </row>
    <row r="2983" spans="1:10" x14ac:dyDescent="0.3">
      <c r="A2983" s="588"/>
      <c r="B2983" s="588"/>
      <c r="C2983" s="588"/>
      <c r="D2983" s="588"/>
      <c r="E2983" s="588"/>
      <c r="F2983" s="588"/>
      <c r="G2983" s="600"/>
      <c r="H2983" s="588"/>
      <c r="I2983" s="588"/>
      <c r="J2983" s="588"/>
    </row>
    <row r="2984" spans="1:10" x14ac:dyDescent="0.3">
      <c r="A2984" s="588"/>
      <c r="B2984" s="588"/>
      <c r="C2984" s="588"/>
      <c r="D2984" s="588"/>
      <c r="E2984" s="588"/>
      <c r="F2984" s="588"/>
      <c r="G2984" s="600"/>
      <c r="H2984" s="588"/>
      <c r="I2984" s="588"/>
      <c r="J2984" s="588"/>
    </row>
    <row r="2985" spans="1:10" x14ac:dyDescent="0.3">
      <c r="A2985" s="588"/>
      <c r="B2985" s="588"/>
      <c r="C2985" s="588"/>
      <c r="D2985" s="588"/>
      <c r="E2985" s="588"/>
      <c r="F2985" s="588"/>
      <c r="G2985" s="600"/>
      <c r="H2985" s="588"/>
      <c r="I2985" s="588"/>
      <c r="J2985" s="588"/>
    </row>
    <row r="2986" spans="1:10" x14ac:dyDescent="0.3">
      <c r="A2986" s="588"/>
      <c r="B2986" s="588"/>
      <c r="C2986" s="588"/>
      <c r="D2986" s="588"/>
      <c r="E2986" s="588"/>
      <c r="F2986" s="588"/>
      <c r="G2986" s="600"/>
      <c r="H2986" s="588"/>
      <c r="I2986" s="588"/>
      <c r="J2986" s="588"/>
    </row>
    <row r="2987" spans="1:10" x14ac:dyDescent="0.3">
      <c r="A2987" s="588"/>
      <c r="B2987" s="588"/>
      <c r="C2987" s="588"/>
      <c r="D2987" s="588"/>
      <c r="E2987" s="588"/>
      <c r="F2987" s="588"/>
      <c r="G2987" s="600"/>
      <c r="H2987" s="588"/>
      <c r="I2987" s="588"/>
      <c r="J2987" s="588"/>
    </row>
    <row r="2988" spans="1:10" x14ac:dyDescent="0.3">
      <c r="A2988" s="588"/>
      <c r="B2988" s="588"/>
      <c r="C2988" s="588"/>
      <c r="D2988" s="588"/>
      <c r="E2988" s="588"/>
      <c r="F2988" s="588"/>
      <c r="G2988" s="600"/>
      <c r="H2988" s="588"/>
      <c r="I2988" s="588"/>
      <c r="J2988" s="588"/>
    </row>
    <row r="2989" spans="1:10" x14ac:dyDescent="0.3">
      <c r="A2989" s="588"/>
      <c r="B2989" s="588"/>
      <c r="C2989" s="588"/>
      <c r="D2989" s="588"/>
      <c r="E2989" s="588"/>
      <c r="F2989" s="588"/>
      <c r="G2989" s="600"/>
      <c r="H2989" s="588"/>
      <c r="I2989" s="588"/>
      <c r="J2989" s="588"/>
    </row>
    <row r="2990" spans="1:10" x14ac:dyDescent="0.3">
      <c r="A2990" s="588"/>
      <c r="B2990" s="588"/>
      <c r="C2990" s="588"/>
      <c r="D2990" s="588"/>
      <c r="E2990" s="588"/>
      <c r="F2990" s="588"/>
      <c r="G2990" s="600"/>
      <c r="H2990" s="588"/>
      <c r="I2990" s="588"/>
      <c r="J2990" s="588"/>
    </row>
    <row r="2991" spans="1:10" x14ac:dyDescent="0.3">
      <c r="A2991" s="588"/>
      <c r="B2991" s="588"/>
      <c r="C2991" s="588"/>
      <c r="D2991" s="588"/>
      <c r="E2991" s="588"/>
      <c r="F2991" s="588"/>
      <c r="G2991" s="600"/>
      <c r="H2991" s="588"/>
      <c r="I2991" s="588"/>
      <c r="J2991" s="588"/>
    </row>
    <row r="2992" spans="1:10" x14ac:dyDescent="0.3">
      <c r="A2992" s="588"/>
      <c r="B2992" s="588"/>
      <c r="C2992" s="588"/>
      <c r="D2992" s="588"/>
      <c r="E2992" s="588"/>
      <c r="F2992" s="588"/>
      <c r="G2992" s="600"/>
      <c r="H2992" s="588"/>
      <c r="I2992" s="588"/>
      <c r="J2992" s="588"/>
    </row>
    <row r="2993" spans="1:10" x14ac:dyDescent="0.3">
      <c r="A2993" s="588"/>
      <c r="B2993" s="588"/>
      <c r="C2993" s="588"/>
      <c r="D2993" s="588"/>
      <c r="E2993" s="588"/>
      <c r="F2993" s="588"/>
      <c r="G2993" s="600"/>
      <c r="H2993" s="588"/>
      <c r="I2993" s="588"/>
      <c r="J2993" s="588"/>
    </row>
    <row r="2994" spans="1:10" x14ac:dyDescent="0.3">
      <c r="A2994" s="588"/>
      <c r="B2994" s="588"/>
      <c r="C2994" s="588"/>
      <c r="D2994" s="588"/>
      <c r="E2994" s="588"/>
      <c r="F2994" s="588"/>
      <c r="G2994" s="600"/>
      <c r="H2994" s="588"/>
      <c r="I2994" s="588"/>
      <c r="J2994" s="588"/>
    </row>
    <row r="2995" spans="1:10" x14ac:dyDescent="0.3">
      <c r="A2995" s="588"/>
      <c r="B2995" s="588"/>
      <c r="C2995" s="588"/>
      <c r="D2995" s="588"/>
      <c r="E2995" s="588"/>
      <c r="F2995" s="588"/>
      <c r="G2995" s="600"/>
      <c r="H2995" s="588"/>
      <c r="I2995" s="588"/>
      <c r="J2995" s="588"/>
    </row>
    <row r="2996" spans="1:10" x14ac:dyDescent="0.3">
      <c r="A2996" s="588"/>
      <c r="B2996" s="588"/>
      <c r="C2996" s="588"/>
      <c r="D2996" s="588"/>
      <c r="E2996" s="588"/>
      <c r="F2996" s="588"/>
      <c r="G2996" s="600"/>
      <c r="H2996" s="588"/>
      <c r="I2996" s="588"/>
      <c r="J2996" s="588"/>
    </row>
    <row r="2997" spans="1:10" x14ac:dyDescent="0.3">
      <c r="A2997" s="588"/>
      <c r="B2997" s="588"/>
      <c r="C2997" s="588"/>
      <c r="D2997" s="588"/>
      <c r="E2997" s="588"/>
      <c r="F2997" s="588"/>
      <c r="G2997" s="600"/>
      <c r="H2997" s="588"/>
      <c r="I2997" s="588"/>
      <c r="J2997" s="588"/>
    </row>
    <row r="2998" spans="1:10" x14ac:dyDescent="0.3">
      <c r="A2998" s="588"/>
      <c r="B2998" s="588"/>
      <c r="C2998" s="588"/>
      <c r="D2998" s="588"/>
      <c r="E2998" s="588"/>
      <c r="F2998" s="588"/>
      <c r="G2998" s="600"/>
      <c r="H2998" s="588"/>
      <c r="I2998" s="588"/>
      <c r="J2998" s="588"/>
    </row>
    <row r="2999" spans="1:10" x14ac:dyDescent="0.3">
      <c r="A2999" s="588"/>
      <c r="B2999" s="588"/>
      <c r="C2999" s="588"/>
      <c r="D2999" s="588"/>
      <c r="E2999" s="588"/>
      <c r="F2999" s="588"/>
      <c r="G2999" s="600"/>
      <c r="H2999" s="588"/>
      <c r="I2999" s="588"/>
      <c r="J2999" s="588"/>
    </row>
    <row r="3000" spans="1:10" x14ac:dyDescent="0.3">
      <c r="A3000" s="588"/>
      <c r="B3000" s="588"/>
      <c r="C3000" s="588"/>
      <c r="D3000" s="588"/>
      <c r="E3000" s="588"/>
      <c r="F3000" s="588"/>
      <c r="G3000" s="600"/>
      <c r="H3000" s="588"/>
      <c r="I3000" s="588"/>
      <c r="J3000" s="588"/>
    </row>
    <row r="3001" spans="1:10" x14ac:dyDescent="0.3">
      <c r="A3001" s="588"/>
      <c r="B3001" s="588"/>
      <c r="C3001" s="588"/>
      <c r="D3001" s="588"/>
      <c r="E3001" s="588"/>
      <c r="F3001" s="588"/>
      <c r="G3001" s="600"/>
      <c r="H3001" s="588"/>
      <c r="I3001" s="588"/>
      <c r="J3001" s="588"/>
    </row>
    <row r="3002" spans="1:10" x14ac:dyDescent="0.3">
      <c r="A3002" s="588"/>
      <c r="B3002" s="588"/>
      <c r="C3002" s="588"/>
      <c r="D3002" s="588"/>
      <c r="E3002" s="588"/>
      <c r="F3002" s="588"/>
      <c r="G3002" s="600"/>
      <c r="H3002" s="588"/>
      <c r="I3002" s="588"/>
      <c r="J3002" s="588"/>
    </row>
    <row r="3003" spans="1:10" x14ac:dyDescent="0.3">
      <c r="A3003" s="588"/>
      <c r="B3003" s="588"/>
      <c r="C3003" s="588"/>
      <c r="D3003" s="588"/>
      <c r="E3003" s="588"/>
      <c r="F3003" s="588"/>
      <c r="G3003" s="600"/>
      <c r="H3003" s="588"/>
      <c r="I3003" s="588"/>
      <c r="J3003" s="588"/>
    </row>
    <row r="3004" spans="1:10" x14ac:dyDescent="0.3">
      <c r="A3004" s="588"/>
      <c r="B3004" s="588"/>
      <c r="C3004" s="588"/>
      <c r="D3004" s="588"/>
      <c r="E3004" s="588"/>
      <c r="F3004" s="588"/>
      <c r="G3004" s="600"/>
      <c r="H3004" s="588"/>
      <c r="I3004" s="588"/>
      <c r="J3004" s="588"/>
    </row>
    <row r="3005" spans="1:10" x14ac:dyDescent="0.3">
      <c r="A3005" s="588"/>
      <c r="B3005" s="588"/>
      <c r="C3005" s="588"/>
      <c r="D3005" s="588"/>
      <c r="E3005" s="588"/>
      <c r="F3005" s="588"/>
      <c r="G3005" s="600"/>
      <c r="H3005" s="588"/>
      <c r="I3005" s="588"/>
      <c r="J3005" s="588"/>
    </row>
    <row r="3006" spans="1:10" x14ac:dyDescent="0.3">
      <c r="A3006" s="588"/>
      <c r="B3006" s="588"/>
      <c r="C3006" s="588"/>
      <c r="D3006" s="588"/>
      <c r="E3006" s="588"/>
      <c r="F3006" s="588"/>
      <c r="G3006" s="600"/>
      <c r="H3006" s="588"/>
      <c r="I3006" s="588"/>
      <c r="J3006" s="588"/>
    </row>
    <row r="3007" spans="1:10" x14ac:dyDescent="0.3">
      <c r="A3007" s="588"/>
      <c r="B3007" s="588"/>
      <c r="C3007" s="588"/>
      <c r="D3007" s="588"/>
      <c r="E3007" s="588"/>
      <c r="F3007" s="588"/>
      <c r="G3007" s="600"/>
      <c r="H3007" s="588"/>
      <c r="I3007" s="588"/>
      <c r="J3007" s="588"/>
    </row>
    <row r="3008" spans="1:10" x14ac:dyDescent="0.3">
      <c r="A3008" s="588"/>
      <c r="B3008" s="588"/>
      <c r="C3008" s="588"/>
      <c r="D3008" s="588"/>
      <c r="E3008" s="588"/>
      <c r="F3008" s="588"/>
      <c r="G3008" s="600"/>
      <c r="H3008" s="588"/>
      <c r="I3008" s="588"/>
      <c r="J3008" s="588"/>
    </row>
    <row r="3009" spans="1:10" x14ac:dyDescent="0.3">
      <c r="A3009" s="588"/>
      <c r="B3009" s="588"/>
      <c r="C3009" s="588"/>
      <c r="D3009" s="588"/>
      <c r="E3009" s="588"/>
      <c r="F3009" s="588"/>
      <c r="G3009" s="600"/>
      <c r="H3009" s="588"/>
      <c r="I3009" s="588"/>
      <c r="J3009" s="588"/>
    </row>
    <row r="3010" spans="1:10" x14ac:dyDescent="0.3">
      <c r="A3010" s="588"/>
      <c r="B3010" s="588"/>
      <c r="C3010" s="588"/>
      <c r="D3010" s="588"/>
      <c r="E3010" s="588"/>
      <c r="F3010" s="588"/>
      <c r="G3010" s="600"/>
      <c r="H3010" s="588"/>
      <c r="I3010" s="588"/>
      <c r="J3010" s="588"/>
    </row>
    <row r="3011" spans="1:10" x14ac:dyDescent="0.3">
      <c r="A3011" s="588"/>
      <c r="B3011" s="588"/>
      <c r="C3011" s="588"/>
      <c r="D3011" s="588"/>
      <c r="E3011" s="588"/>
      <c r="F3011" s="588"/>
      <c r="G3011" s="600"/>
      <c r="H3011" s="588"/>
      <c r="I3011" s="588"/>
      <c r="J3011" s="588"/>
    </row>
    <row r="3012" spans="1:10" x14ac:dyDescent="0.3">
      <c r="A3012" s="588"/>
      <c r="B3012" s="588"/>
      <c r="C3012" s="588"/>
      <c r="D3012" s="588"/>
      <c r="E3012" s="588"/>
      <c r="F3012" s="588"/>
      <c r="G3012" s="600"/>
      <c r="H3012" s="588"/>
      <c r="I3012" s="588"/>
      <c r="J3012" s="588"/>
    </row>
    <row r="3013" spans="1:10" x14ac:dyDescent="0.3">
      <c r="A3013" s="588"/>
      <c r="B3013" s="588"/>
      <c r="C3013" s="588"/>
      <c r="D3013" s="588"/>
      <c r="E3013" s="588"/>
      <c r="F3013" s="588"/>
      <c r="G3013" s="600"/>
      <c r="H3013" s="588"/>
      <c r="I3013" s="588"/>
      <c r="J3013" s="588"/>
    </row>
    <row r="3014" spans="1:10" x14ac:dyDescent="0.3">
      <c r="A3014" s="588"/>
      <c r="B3014" s="588"/>
      <c r="C3014" s="588"/>
      <c r="D3014" s="588"/>
      <c r="E3014" s="588"/>
      <c r="F3014" s="588"/>
      <c r="G3014" s="600"/>
      <c r="H3014" s="588"/>
      <c r="I3014" s="588"/>
      <c r="J3014" s="588"/>
    </row>
    <row r="3015" spans="1:10" x14ac:dyDescent="0.3">
      <c r="A3015" s="588"/>
      <c r="B3015" s="588"/>
      <c r="C3015" s="588"/>
      <c r="D3015" s="588"/>
      <c r="E3015" s="588"/>
      <c r="F3015" s="588"/>
      <c r="G3015" s="600"/>
      <c r="H3015" s="588"/>
      <c r="I3015" s="588"/>
      <c r="J3015" s="588"/>
    </row>
    <row r="3016" spans="1:10" x14ac:dyDescent="0.3">
      <c r="A3016" s="588"/>
      <c r="B3016" s="588"/>
      <c r="C3016" s="588"/>
      <c r="D3016" s="588"/>
      <c r="E3016" s="588"/>
      <c r="F3016" s="588"/>
      <c r="G3016" s="600"/>
      <c r="H3016" s="588"/>
      <c r="I3016" s="588"/>
      <c r="J3016" s="588"/>
    </row>
    <row r="3017" spans="1:10" x14ac:dyDescent="0.3">
      <c r="A3017" s="588"/>
      <c r="B3017" s="588"/>
      <c r="C3017" s="588"/>
      <c r="D3017" s="588"/>
      <c r="E3017" s="588"/>
      <c r="F3017" s="588"/>
      <c r="G3017" s="600"/>
      <c r="H3017" s="588"/>
      <c r="I3017" s="588"/>
      <c r="J3017" s="588"/>
    </row>
    <row r="3018" spans="1:10" x14ac:dyDescent="0.3">
      <c r="A3018" s="588"/>
      <c r="B3018" s="588"/>
      <c r="C3018" s="588"/>
      <c r="D3018" s="588"/>
      <c r="E3018" s="588"/>
      <c r="F3018" s="588"/>
      <c r="G3018" s="600"/>
      <c r="H3018" s="588"/>
      <c r="I3018" s="588"/>
      <c r="J3018" s="588"/>
    </row>
    <row r="3019" spans="1:10" x14ac:dyDescent="0.3">
      <c r="A3019" s="588"/>
      <c r="B3019" s="588"/>
      <c r="C3019" s="588"/>
      <c r="D3019" s="588"/>
      <c r="E3019" s="588"/>
      <c r="F3019" s="588"/>
      <c r="G3019" s="600"/>
      <c r="H3019" s="588"/>
      <c r="I3019" s="588"/>
      <c r="J3019" s="588"/>
    </row>
    <row r="3020" spans="1:10" x14ac:dyDescent="0.3">
      <c r="A3020" s="588"/>
      <c r="B3020" s="588"/>
      <c r="C3020" s="588"/>
      <c r="D3020" s="588"/>
      <c r="E3020" s="588"/>
      <c r="F3020" s="588"/>
      <c r="G3020" s="600"/>
      <c r="H3020" s="588"/>
      <c r="I3020" s="588"/>
      <c r="J3020" s="588"/>
    </row>
    <row r="3021" spans="1:10" x14ac:dyDescent="0.3">
      <c r="A3021" s="588"/>
      <c r="B3021" s="588"/>
      <c r="C3021" s="588"/>
      <c r="D3021" s="588"/>
      <c r="E3021" s="588"/>
      <c r="F3021" s="588"/>
      <c r="G3021" s="600"/>
      <c r="H3021" s="588"/>
      <c r="I3021" s="588"/>
      <c r="J3021" s="588"/>
    </row>
    <row r="3022" spans="1:10" x14ac:dyDescent="0.3">
      <c r="A3022" s="588"/>
      <c r="B3022" s="588"/>
      <c r="C3022" s="588"/>
      <c r="D3022" s="588"/>
      <c r="E3022" s="588"/>
      <c r="F3022" s="588"/>
      <c r="G3022" s="600"/>
      <c r="H3022" s="588"/>
      <c r="I3022" s="588"/>
      <c r="J3022" s="588"/>
    </row>
    <row r="3023" spans="1:10" x14ac:dyDescent="0.3">
      <c r="A3023" s="588"/>
      <c r="B3023" s="588"/>
      <c r="C3023" s="588"/>
      <c r="D3023" s="588"/>
      <c r="E3023" s="588"/>
      <c r="F3023" s="588"/>
      <c r="G3023" s="600"/>
      <c r="H3023" s="588"/>
      <c r="I3023" s="588"/>
      <c r="J3023" s="588"/>
    </row>
    <row r="3024" spans="1:10" x14ac:dyDescent="0.3">
      <c r="A3024" s="588"/>
      <c r="B3024" s="588"/>
      <c r="C3024" s="588"/>
      <c r="D3024" s="588"/>
      <c r="E3024" s="588"/>
      <c r="F3024" s="588"/>
      <c r="G3024" s="600"/>
      <c r="H3024" s="588"/>
      <c r="I3024" s="588"/>
      <c r="J3024" s="588"/>
    </row>
    <row r="3025" spans="1:10" x14ac:dyDescent="0.3">
      <c r="A3025" s="588"/>
      <c r="B3025" s="588"/>
      <c r="C3025" s="588"/>
      <c r="D3025" s="588"/>
      <c r="E3025" s="588"/>
      <c r="F3025" s="588"/>
      <c r="G3025" s="600"/>
      <c r="H3025" s="588"/>
      <c r="I3025" s="588"/>
      <c r="J3025" s="588"/>
    </row>
    <row r="3026" spans="1:10" x14ac:dyDescent="0.3">
      <c r="A3026" s="588"/>
      <c r="B3026" s="588"/>
      <c r="C3026" s="588"/>
      <c r="D3026" s="588"/>
      <c r="E3026" s="588"/>
      <c r="F3026" s="588"/>
      <c r="G3026" s="600"/>
      <c r="H3026" s="588"/>
      <c r="I3026" s="588"/>
      <c r="J3026" s="588"/>
    </row>
    <row r="3027" spans="1:10" x14ac:dyDescent="0.3">
      <c r="A3027" s="588"/>
      <c r="B3027" s="588"/>
      <c r="C3027" s="588"/>
      <c r="D3027" s="588"/>
      <c r="E3027" s="588"/>
      <c r="F3027" s="588"/>
      <c r="G3027" s="600"/>
      <c r="H3027" s="588"/>
      <c r="I3027" s="588"/>
      <c r="J3027" s="588"/>
    </row>
    <row r="3028" spans="1:10" x14ac:dyDescent="0.3">
      <c r="A3028" s="588"/>
      <c r="B3028" s="588"/>
      <c r="C3028" s="588"/>
      <c r="D3028" s="588"/>
      <c r="E3028" s="588"/>
      <c r="F3028" s="588"/>
      <c r="G3028" s="600"/>
      <c r="H3028" s="588"/>
      <c r="I3028" s="588"/>
      <c r="J3028" s="588"/>
    </row>
    <row r="3029" spans="1:10" x14ac:dyDescent="0.3">
      <c r="A3029" s="588"/>
      <c r="B3029" s="588"/>
      <c r="C3029" s="588"/>
      <c r="D3029" s="588"/>
      <c r="E3029" s="588"/>
      <c r="F3029" s="588"/>
      <c r="G3029" s="600"/>
      <c r="H3029" s="588"/>
      <c r="I3029" s="588"/>
      <c r="J3029" s="588"/>
    </row>
    <row r="3030" spans="1:10" x14ac:dyDescent="0.3">
      <c r="A3030" s="588"/>
      <c r="B3030" s="588"/>
      <c r="C3030" s="588"/>
      <c r="D3030" s="588"/>
      <c r="E3030" s="588"/>
      <c r="F3030" s="588"/>
      <c r="G3030" s="600"/>
      <c r="H3030" s="588"/>
      <c r="I3030" s="588"/>
      <c r="J3030" s="588"/>
    </row>
    <row r="3031" spans="1:10" x14ac:dyDescent="0.3">
      <c r="A3031" s="588"/>
      <c r="B3031" s="588"/>
      <c r="C3031" s="588"/>
      <c r="D3031" s="588"/>
      <c r="E3031" s="588"/>
      <c r="F3031" s="588"/>
      <c r="G3031" s="600"/>
      <c r="H3031" s="588"/>
      <c r="I3031" s="588"/>
      <c r="J3031" s="588"/>
    </row>
    <row r="3032" spans="1:10" x14ac:dyDescent="0.3">
      <c r="A3032" s="588"/>
      <c r="B3032" s="588"/>
      <c r="C3032" s="588"/>
      <c r="D3032" s="588"/>
      <c r="E3032" s="588"/>
      <c r="F3032" s="588"/>
      <c r="G3032" s="600"/>
      <c r="H3032" s="588"/>
      <c r="I3032" s="588"/>
      <c r="J3032" s="588"/>
    </row>
    <row r="3033" spans="1:10" x14ac:dyDescent="0.3">
      <c r="A3033" s="588"/>
      <c r="B3033" s="588"/>
      <c r="C3033" s="588"/>
      <c r="D3033" s="588"/>
      <c r="E3033" s="588"/>
      <c r="F3033" s="588"/>
      <c r="G3033" s="600"/>
      <c r="H3033" s="588"/>
      <c r="I3033" s="588"/>
      <c r="J3033" s="588"/>
    </row>
    <row r="3034" spans="1:10" x14ac:dyDescent="0.3">
      <c r="A3034" s="588"/>
      <c r="B3034" s="588"/>
      <c r="C3034" s="588"/>
      <c r="D3034" s="588"/>
      <c r="E3034" s="588"/>
      <c r="F3034" s="588"/>
      <c r="G3034" s="600"/>
      <c r="H3034" s="588"/>
      <c r="I3034" s="588"/>
      <c r="J3034" s="588"/>
    </row>
    <row r="3035" spans="1:10" x14ac:dyDescent="0.3">
      <c r="A3035" s="588"/>
      <c r="B3035" s="588"/>
      <c r="C3035" s="588"/>
      <c r="D3035" s="588"/>
      <c r="E3035" s="588"/>
      <c r="F3035" s="588"/>
      <c r="G3035" s="600"/>
      <c r="H3035" s="588"/>
      <c r="I3035" s="588"/>
      <c r="J3035" s="588"/>
    </row>
    <row r="3036" spans="1:10" x14ac:dyDescent="0.3">
      <c r="A3036" s="588"/>
      <c r="B3036" s="588"/>
      <c r="C3036" s="588"/>
      <c r="D3036" s="588"/>
      <c r="E3036" s="588"/>
      <c r="F3036" s="588"/>
      <c r="G3036" s="600"/>
      <c r="H3036" s="588"/>
      <c r="I3036" s="588"/>
      <c r="J3036" s="588"/>
    </row>
    <row r="3037" spans="1:10" x14ac:dyDescent="0.3">
      <c r="A3037" s="588"/>
      <c r="B3037" s="588"/>
      <c r="C3037" s="588"/>
      <c r="D3037" s="588"/>
      <c r="E3037" s="588"/>
      <c r="F3037" s="588"/>
      <c r="G3037" s="600"/>
      <c r="H3037" s="588"/>
      <c r="I3037" s="588"/>
      <c r="J3037" s="588"/>
    </row>
    <row r="3038" spans="1:10" x14ac:dyDescent="0.3">
      <c r="A3038" s="588"/>
      <c r="B3038" s="588"/>
      <c r="C3038" s="588"/>
      <c r="D3038" s="588"/>
      <c r="E3038" s="588"/>
      <c r="F3038" s="588"/>
      <c r="G3038" s="600"/>
      <c r="H3038" s="588"/>
      <c r="I3038" s="588"/>
      <c r="J3038" s="588"/>
    </row>
    <row r="3039" spans="1:10" x14ac:dyDescent="0.3">
      <c r="A3039" s="588"/>
      <c r="B3039" s="588"/>
      <c r="C3039" s="588"/>
      <c r="D3039" s="588"/>
      <c r="E3039" s="588"/>
      <c r="F3039" s="588"/>
      <c r="G3039" s="600"/>
      <c r="H3039" s="588"/>
      <c r="I3039" s="588"/>
      <c r="J3039" s="588"/>
    </row>
    <row r="3040" spans="1:10" x14ac:dyDescent="0.3">
      <c r="A3040" s="588"/>
      <c r="B3040" s="588"/>
      <c r="C3040" s="588"/>
      <c r="D3040" s="588"/>
      <c r="E3040" s="588"/>
      <c r="F3040" s="588"/>
      <c r="G3040" s="600"/>
      <c r="H3040" s="588"/>
      <c r="I3040" s="588"/>
      <c r="J3040" s="588"/>
    </row>
    <row r="3041" spans="1:10" x14ac:dyDescent="0.3">
      <c r="A3041" s="588"/>
      <c r="B3041" s="588"/>
      <c r="C3041" s="588"/>
      <c r="D3041" s="588"/>
      <c r="E3041" s="588"/>
      <c r="F3041" s="588"/>
      <c r="G3041" s="600"/>
      <c r="H3041" s="588"/>
      <c r="I3041" s="588"/>
      <c r="J3041" s="588"/>
    </row>
    <row r="3042" spans="1:10" x14ac:dyDescent="0.3">
      <c r="A3042" s="588"/>
      <c r="B3042" s="588"/>
      <c r="C3042" s="588"/>
      <c r="D3042" s="588"/>
      <c r="E3042" s="588"/>
      <c r="F3042" s="588"/>
      <c r="G3042" s="600"/>
      <c r="H3042" s="588"/>
      <c r="I3042" s="588"/>
      <c r="J3042" s="588"/>
    </row>
    <row r="3043" spans="1:10" x14ac:dyDescent="0.3">
      <c r="A3043" s="588"/>
      <c r="B3043" s="588"/>
      <c r="C3043" s="588"/>
      <c r="D3043" s="588"/>
      <c r="E3043" s="588"/>
      <c r="F3043" s="588"/>
      <c r="G3043" s="600"/>
      <c r="H3043" s="588"/>
      <c r="I3043" s="588"/>
      <c r="J3043" s="588"/>
    </row>
    <row r="3044" spans="1:10" x14ac:dyDescent="0.3">
      <c r="A3044" s="588"/>
      <c r="B3044" s="588"/>
      <c r="C3044" s="588"/>
      <c r="D3044" s="588"/>
      <c r="E3044" s="588"/>
      <c r="F3044" s="588"/>
      <c r="G3044" s="600"/>
      <c r="H3044" s="588"/>
      <c r="I3044" s="588"/>
      <c r="J3044" s="588"/>
    </row>
    <row r="3045" spans="1:10" x14ac:dyDescent="0.3">
      <c r="A3045" s="588"/>
      <c r="B3045" s="588"/>
      <c r="C3045" s="588"/>
      <c r="D3045" s="588"/>
      <c r="E3045" s="588"/>
      <c r="F3045" s="588"/>
      <c r="G3045" s="600"/>
      <c r="H3045" s="588"/>
      <c r="I3045" s="588"/>
      <c r="J3045" s="588"/>
    </row>
    <row r="3046" spans="1:10" x14ac:dyDescent="0.3">
      <c r="A3046" s="588"/>
      <c r="B3046" s="588"/>
      <c r="C3046" s="588"/>
      <c r="D3046" s="588"/>
      <c r="E3046" s="588"/>
      <c r="F3046" s="588"/>
      <c r="G3046" s="600"/>
      <c r="H3046" s="588"/>
      <c r="I3046" s="588"/>
      <c r="J3046" s="588"/>
    </row>
    <row r="3047" spans="1:10" x14ac:dyDescent="0.3">
      <c r="A3047" s="588"/>
      <c r="B3047" s="588"/>
      <c r="C3047" s="588"/>
      <c r="D3047" s="588"/>
      <c r="E3047" s="588"/>
      <c r="F3047" s="588"/>
      <c r="G3047" s="600"/>
      <c r="H3047" s="588"/>
      <c r="I3047" s="588"/>
      <c r="J3047" s="588"/>
    </row>
    <row r="3048" spans="1:10" x14ac:dyDescent="0.3">
      <c r="A3048" s="588"/>
      <c r="B3048" s="588"/>
      <c r="C3048" s="588"/>
      <c r="D3048" s="588"/>
      <c r="E3048" s="588"/>
      <c r="F3048" s="588"/>
      <c r="G3048" s="600"/>
      <c r="H3048" s="588"/>
      <c r="I3048" s="588"/>
      <c r="J3048" s="588"/>
    </row>
    <row r="3049" spans="1:10" x14ac:dyDescent="0.3">
      <c r="A3049" s="588"/>
      <c r="B3049" s="588"/>
      <c r="C3049" s="588"/>
      <c r="D3049" s="588"/>
      <c r="E3049" s="588"/>
      <c r="F3049" s="588"/>
      <c r="G3049" s="600"/>
      <c r="H3049" s="588"/>
      <c r="I3049" s="588"/>
      <c r="J3049" s="588"/>
    </row>
    <row r="3050" spans="1:10" x14ac:dyDescent="0.3">
      <c r="A3050" s="588"/>
      <c r="B3050" s="588"/>
      <c r="C3050" s="588"/>
      <c r="D3050" s="588"/>
      <c r="E3050" s="588"/>
      <c r="F3050" s="588"/>
      <c r="G3050" s="600"/>
      <c r="H3050" s="588"/>
      <c r="I3050" s="588"/>
      <c r="J3050" s="588"/>
    </row>
    <row r="3051" spans="1:10" x14ac:dyDescent="0.3">
      <c r="A3051" s="588"/>
      <c r="B3051" s="588"/>
      <c r="C3051" s="588"/>
      <c r="D3051" s="588"/>
      <c r="E3051" s="588"/>
      <c r="F3051" s="588"/>
      <c r="G3051" s="600"/>
      <c r="H3051" s="588"/>
      <c r="I3051" s="588"/>
      <c r="J3051" s="588"/>
    </row>
    <row r="3052" spans="1:10" x14ac:dyDescent="0.3">
      <c r="A3052" s="588"/>
      <c r="B3052" s="588"/>
      <c r="C3052" s="588"/>
      <c r="D3052" s="588"/>
      <c r="E3052" s="588"/>
      <c r="F3052" s="588"/>
      <c r="G3052" s="600"/>
      <c r="H3052" s="588"/>
      <c r="I3052" s="588"/>
      <c r="J3052" s="588"/>
    </row>
    <row r="3053" spans="1:10" x14ac:dyDescent="0.3">
      <c r="A3053" s="588"/>
      <c r="B3053" s="588"/>
      <c r="C3053" s="588"/>
      <c r="D3053" s="588"/>
      <c r="E3053" s="588"/>
      <c r="F3053" s="588"/>
      <c r="G3053" s="600"/>
      <c r="H3053" s="588"/>
      <c r="I3053" s="588"/>
      <c r="J3053" s="588"/>
    </row>
    <row r="3054" spans="1:10" x14ac:dyDescent="0.3">
      <c r="A3054" s="588"/>
      <c r="B3054" s="588"/>
      <c r="C3054" s="588"/>
      <c r="D3054" s="588"/>
      <c r="E3054" s="588"/>
      <c r="F3054" s="588"/>
      <c r="G3054" s="600"/>
      <c r="H3054" s="588"/>
      <c r="I3054" s="588"/>
      <c r="J3054" s="588"/>
    </row>
    <row r="3055" spans="1:10" x14ac:dyDescent="0.3">
      <c r="A3055" s="588"/>
      <c r="B3055" s="588"/>
      <c r="C3055" s="588"/>
      <c r="D3055" s="588"/>
      <c r="E3055" s="588"/>
      <c r="F3055" s="588"/>
      <c r="G3055" s="600"/>
      <c r="H3055" s="588"/>
      <c r="I3055" s="588"/>
      <c r="J3055" s="588"/>
    </row>
    <row r="3056" spans="1:10" x14ac:dyDescent="0.3">
      <c r="A3056" s="588"/>
      <c r="B3056" s="588"/>
      <c r="C3056" s="588"/>
      <c r="D3056" s="588"/>
      <c r="E3056" s="588"/>
      <c r="F3056" s="588"/>
      <c r="G3056" s="600"/>
      <c r="H3056" s="588"/>
      <c r="I3056" s="588"/>
      <c r="J3056" s="588"/>
    </row>
    <row r="3057" spans="1:10" x14ac:dyDescent="0.3">
      <c r="A3057" s="588"/>
      <c r="B3057" s="588"/>
      <c r="C3057" s="588"/>
      <c r="D3057" s="588"/>
      <c r="E3057" s="588"/>
      <c r="F3057" s="588"/>
      <c r="G3057" s="600"/>
      <c r="H3057" s="588"/>
      <c r="I3057" s="588"/>
      <c r="J3057" s="588"/>
    </row>
    <row r="3058" spans="1:10" x14ac:dyDescent="0.3">
      <c r="A3058" s="588"/>
      <c r="B3058" s="588"/>
      <c r="C3058" s="588"/>
      <c r="D3058" s="588"/>
      <c r="E3058" s="588"/>
      <c r="F3058" s="588"/>
      <c r="G3058" s="600"/>
      <c r="H3058" s="588"/>
      <c r="I3058" s="588"/>
      <c r="J3058" s="588"/>
    </row>
    <row r="3059" spans="1:10" x14ac:dyDescent="0.3">
      <c r="A3059" s="588"/>
      <c r="B3059" s="588"/>
      <c r="C3059" s="588"/>
      <c r="D3059" s="588"/>
      <c r="E3059" s="588"/>
      <c r="F3059" s="588"/>
      <c r="G3059" s="600"/>
      <c r="H3059" s="588"/>
      <c r="I3059" s="588"/>
      <c r="J3059" s="588"/>
    </row>
    <row r="3060" spans="1:10" x14ac:dyDescent="0.3">
      <c r="A3060" s="588"/>
      <c r="B3060" s="588"/>
      <c r="C3060" s="588"/>
      <c r="D3060" s="588"/>
      <c r="E3060" s="588"/>
      <c r="F3060" s="588"/>
      <c r="G3060" s="600"/>
      <c r="H3060" s="588"/>
      <c r="I3060" s="588"/>
      <c r="J3060" s="588"/>
    </row>
    <row r="3061" spans="1:10" x14ac:dyDescent="0.3">
      <c r="A3061" s="588"/>
      <c r="B3061" s="588"/>
      <c r="C3061" s="588"/>
      <c r="D3061" s="588"/>
      <c r="E3061" s="588"/>
      <c r="F3061" s="588"/>
      <c r="G3061" s="600"/>
      <c r="H3061" s="588"/>
      <c r="I3061" s="588"/>
      <c r="J3061" s="588"/>
    </row>
    <row r="3062" spans="1:10" x14ac:dyDescent="0.3">
      <c r="A3062" s="588"/>
      <c r="B3062" s="588"/>
      <c r="C3062" s="588"/>
      <c r="D3062" s="588"/>
      <c r="E3062" s="588"/>
      <c r="F3062" s="588"/>
      <c r="G3062" s="600"/>
      <c r="H3062" s="588"/>
      <c r="I3062" s="588"/>
      <c r="J3062" s="588"/>
    </row>
    <row r="3063" spans="1:10" x14ac:dyDescent="0.3">
      <c r="A3063" s="588"/>
      <c r="B3063" s="588"/>
      <c r="C3063" s="588"/>
      <c r="D3063" s="588"/>
      <c r="E3063" s="588"/>
      <c r="F3063" s="588"/>
      <c r="G3063" s="600"/>
      <c r="H3063" s="588"/>
      <c r="I3063" s="588"/>
      <c r="J3063" s="588"/>
    </row>
    <row r="3064" spans="1:10" x14ac:dyDescent="0.3">
      <c r="A3064" s="588"/>
      <c r="B3064" s="588"/>
      <c r="C3064" s="588"/>
      <c r="D3064" s="588"/>
      <c r="E3064" s="588"/>
      <c r="F3064" s="588"/>
      <c r="G3064" s="600"/>
      <c r="H3064" s="588"/>
      <c r="I3064" s="588"/>
      <c r="J3064" s="588"/>
    </row>
    <row r="3065" spans="1:10" x14ac:dyDescent="0.3">
      <c r="A3065" s="588"/>
      <c r="B3065" s="588"/>
      <c r="C3065" s="588"/>
      <c r="D3065" s="588"/>
      <c r="E3065" s="588"/>
      <c r="F3065" s="588"/>
      <c r="G3065" s="600"/>
      <c r="H3065" s="588"/>
      <c r="I3065" s="588"/>
      <c r="J3065" s="588"/>
    </row>
    <row r="3066" spans="1:10" x14ac:dyDescent="0.3">
      <c r="A3066" s="588"/>
      <c r="B3066" s="588"/>
      <c r="C3066" s="588"/>
      <c r="D3066" s="588"/>
      <c r="E3066" s="588"/>
      <c r="F3066" s="588"/>
      <c r="G3066" s="600"/>
      <c r="H3066" s="588"/>
      <c r="I3066" s="588"/>
      <c r="J3066" s="588"/>
    </row>
    <row r="3067" spans="1:10" x14ac:dyDescent="0.3">
      <c r="A3067" s="588"/>
      <c r="B3067" s="588"/>
      <c r="C3067" s="588"/>
      <c r="D3067" s="588"/>
      <c r="E3067" s="588"/>
      <c r="F3067" s="588"/>
      <c r="G3067" s="600"/>
      <c r="H3067" s="588"/>
      <c r="I3067" s="588"/>
      <c r="J3067" s="588"/>
    </row>
    <row r="3068" spans="1:10" x14ac:dyDescent="0.3">
      <c r="A3068" s="588"/>
      <c r="B3068" s="588"/>
      <c r="C3068" s="588"/>
      <c r="D3068" s="588"/>
      <c r="E3068" s="588"/>
      <c r="F3068" s="588"/>
      <c r="G3068" s="600"/>
      <c r="H3068" s="588"/>
      <c r="I3068" s="588"/>
      <c r="J3068" s="588"/>
    </row>
    <row r="3069" spans="1:10" x14ac:dyDescent="0.3">
      <c r="A3069" s="588"/>
      <c r="B3069" s="588"/>
      <c r="C3069" s="588"/>
      <c r="D3069" s="588"/>
      <c r="E3069" s="588"/>
      <c r="F3069" s="588"/>
      <c r="G3069" s="600"/>
      <c r="H3069" s="588"/>
      <c r="I3069" s="588"/>
      <c r="J3069" s="588"/>
    </row>
    <row r="3070" spans="1:10" x14ac:dyDescent="0.3">
      <c r="A3070" s="588"/>
      <c r="B3070" s="588"/>
      <c r="C3070" s="588"/>
      <c r="D3070" s="588"/>
      <c r="E3070" s="588"/>
      <c r="F3070" s="588"/>
      <c r="G3070" s="600"/>
      <c r="H3070" s="588"/>
      <c r="I3070" s="588"/>
      <c r="J3070" s="588"/>
    </row>
    <row r="3071" spans="1:10" x14ac:dyDescent="0.3">
      <c r="A3071" s="588"/>
      <c r="B3071" s="588"/>
      <c r="C3071" s="588"/>
      <c r="D3071" s="588"/>
      <c r="E3071" s="588"/>
      <c r="F3071" s="588"/>
      <c r="G3071" s="600"/>
      <c r="H3071" s="588"/>
      <c r="I3071" s="588"/>
      <c r="J3071" s="588"/>
    </row>
    <row r="3072" spans="1:10" x14ac:dyDescent="0.3">
      <c r="A3072" s="588"/>
      <c r="B3072" s="588"/>
      <c r="C3072" s="588"/>
      <c r="D3072" s="588"/>
      <c r="E3072" s="588"/>
      <c r="F3072" s="588"/>
      <c r="G3072" s="600"/>
      <c r="H3072" s="588"/>
      <c r="I3072" s="588"/>
      <c r="J3072" s="588"/>
    </row>
    <row r="3073" spans="1:10" x14ac:dyDescent="0.3">
      <c r="A3073" s="588"/>
      <c r="B3073" s="588"/>
      <c r="C3073" s="588"/>
      <c r="D3073" s="588"/>
      <c r="E3073" s="588"/>
      <c r="F3073" s="588"/>
      <c r="G3073" s="600"/>
      <c r="H3073" s="588"/>
      <c r="I3073" s="588"/>
      <c r="J3073" s="588"/>
    </row>
    <row r="3074" spans="1:10" x14ac:dyDescent="0.3">
      <c r="A3074" s="588"/>
      <c r="B3074" s="588"/>
      <c r="C3074" s="588"/>
      <c r="D3074" s="588"/>
      <c r="E3074" s="588"/>
      <c r="F3074" s="588"/>
      <c r="G3074" s="600"/>
      <c r="H3074" s="588"/>
      <c r="I3074" s="588"/>
      <c r="J3074" s="588"/>
    </row>
    <row r="3075" spans="1:10" x14ac:dyDescent="0.3">
      <c r="A3075" s="588"/>
      <c r="B3075" s="588"/>
      <c r="C3075" s="588"/>
      <c r="D3075" s="588"/>
      <c r="E3075" s="588"/>
      <c r="F3075" s="588"/>
      <c r="G3075" s="600"/>
      <c r="H3075" s="588"/>
      <c r="I3075" s="588"/>
      <c r="J3075" s="588"/>
    </row>
    <row r="3076" spans="1:10" x14ac:dyDescent="0.3">
      <c r="A3076" s="588"/>
      <c r="B3076" s="588"/>
      <c r="C3076" s="588"/>
      <c r="D3076" s="588"/>
      <c r="E3076" s="588"/>
      <c r="F3076" s="588"/>
      <c r="G3076" s="600"/>
      <c r="H3076" s="588"/>
      <c r="I3076" s="588"/>
      <c r="J3076" s="588"/>
    </row>
    <row r="3077" spans="1:10" x14ac:dyDescent="0.3">
      <c r="A3077" s="588"/>
      <c r="B3077" s="588"/>
      <c r="C3077" s="588"/>
      <c r="D3077" s="588"/>
      <c r="E3077" s="588"/>
      <c r="F3077" s="588"/>
      <c r="G3077" s="600"/>
      <c r="H3077" s="588"/>
      <c r="I3077" s="588"/>
      <c r="J3077" s="588"/>
    </row>
    <row r="3078" spans="1:10" x14ac:dyDescent="0.3">
      <c r="A3078" s="588"/>
      <c r="B3078" s="588"/>
      <c r="C3078" s="588"/>
      <c r="D3078" s="588"/>
      <c r="E3078" s="588"/>
      <c r="F3078" s="588"/>
      <c r="G3078" s="600"/>
      <c r="H3078" s="588"/>
      <c r="I3078" s="588"/>
      <c r="J3078" s="588"/>
    </row>
    <row r="3079" spans="1:10" x14ac:dyDescent="0.3">
      <c r="A3079" s="588"/>
      <c r="B3079" s="588"/>
      <c r="C3079" s="588"/>
      <c r="D3079" s="588"/>
      <c r="E3079" s="588"/>
      <c r="F3079" s="588"/>
      <c r="G3079" s="600"/>
      <c r="H3079" s="588"/>
      <c r="I3079" s="588"/>
      <c r="J3079" s="588"/>
    </row>
    <row r="3080" spans="1:10" x14ac:dyDescent="0.3">
      <c r="A3080" s="588"/>
      <c r="B3080" s="588"/>
      <c r="C3080" s="588"/>
      <c r="D3080" s="588"/>
      <c r="E3080" s="588"/>
      <c r="F3080" s="588"/>
      <c r="G3080" s="600"/>
      <c r="H3080" s="588"/>
      <c r="I3080" s="588"/>
      <c r="J3080" s="588"/>
    </row>
    <row r="3081" spans="1:10" x14ac:dyDescent="0.3">
      <c r="A3081" s="588"/>
      <c r="B3081" s="588"/>
      <c r="C3081" s="588"/>
      <c r="D3081" s="588"/>
      <c r="E3081" s="588"/>
      <c r="F3081" s="588"/>
      <c r="G3081" s="600"/>
      <c r="H3081" s="588"/>
      <c r="I3081" s="588"/>
      <c r="J3081" s="588"/>
    </row>
    <row r="3082" spans="1:10" x14ac:dyDescent="0.3">
      <c r="A3082" s="588"/>
      <c r="B3082" s="588"/>
      <c r="C3082" s="588"/>
      <c r="D3082" s="588"/>
      <c r="E3082" s="588"/>
      <c r="F3082" s="588"/>
      <c r="G3082" s="600"/>
      <c r="H3082" s="588"/>
      <c r="I3082" s="588"/>
      <c r="J3082" s="588"/>
    </row>
    <row r="3083" spans="1:10" x14ac:dyDescent="0.3">
      <c r="A3083" s="588"/>
      <c r="B3083" s="588"/>
      <c r="C3083" s="588"/>
      <c r="D3083" s="588"/>
      <c r="E3083" s="588"/>
      <c r="F3083" s="588"/>
      <c r="G3083" s="600"/>
      <c r="H3083" s="588"/>
      <c r="I3083" s="588"/>
      <c r="J3083" s="588"/>
    </row>
    <row r="3084" spans="1:10" x14ac:dyDescent="0.3">
      <c r="A3084" s="588"/>
      <c r="B3084" s="588"/>
      <c r="C3084" s="588"/>
      <c r="D3084" s="588"/>
      <c r="E3084" s="588"/>
      <c r="F3084" s="588"/>
      <c r="G3084" s="600"/>
      <c r="H3084" s="588"/>
      <c r="I3084" s="588"/>
      <c r="J3084" s="588"/>
    </row>
    <row r="3085" spans="1:10" x14ac:dyDescent="0.3">
      <c r="A3085" s="588"/>
      <c r="B3085" s="588"/>
      <c r="C3085" s="588"/>
      <c r="D3085" s="588"/>
      <c r="E3085" s="588"/>
      <c r="F3085" s="588"/>
      <c r="G3085" s="600"/>
      <c r="H3085" s="588"/>
      <c r="I3085" s="588"/>
      <c r="J3085" s="588"/>
    </row>
    <row r="3086" spans="1:10" x14ac:dyDescent="0.3">
      <c r="A3086" s="588"/>
      <c r="B3086" s="588"/>
      <c r="C3086" s="588"/>
      <c r="D3086" s="588"/>
      <c r="E3086" s="588"/>
      <c r="F3086" s="588"/>
      <c r="G3086" s="600"/>
      <c r="H3086" s="588"/>
      <c r="I3086" s="588"/>
      <c r="J3086" s="588"/>
    </row>
    <row r="3087" spans="1:10" x14ac:dyDescent="0.3">
      <c r="A3087" s="588"/>
      <c r="B3087" s="588"/>
      <c r="C3087" s="588"/>
      <c r="D3087" s="588"/>
      <c r="E3087" s="588"/>
      <c r="F3087" s="588"/>
      <c r="G3087" s="600"/>
      <c r="H3087" s="588"/>
      <c r="I3087" s="588"/>
      <c r="J3087" s="588"/>
    </row>
    <row r="3088" spans="1:10" x14ac:dyDescent="0.3">
      <c r="A3088" s="588"/>
      <c r="B3088" s="588"/>
      <c r="C3088" s="588"/>
      <c r="D3088" s="588"/>
      <c r="E3088" s="588"/>
      <c r="F3088" s="588"/>
      <c r="G3088" s="600"/>
      <c r="H3088" s="588"/>
      <c r="I3088" s="588"/>
      <c r="J3088" s="588"/>
    </row>
    <row r="3089" spans="1:10" x14ac:dyDescent="0.3">
      <c r="A3089" s="588"/>
      <c r="B3089" s="588"/>
      <c r="C3089" s="588"/>
      <c r="D3089" s="588"/>
      <c r="E3089" s="588"/>
      <c r="F3089" s="588"/>
      <c r="G3089" s="600"/>
      <c r="H3089" s="588"/>
      <c r="I3089" s="588"/>
      <c r="J3089" s="588"/>
    </row>
    <row r="3090" spans="1:10" x14ac:dyDescent="0.3">
      <c r="A3090" s="588"/>
      <c r="B3090" s="588"/>
      <c r="C3090" s="588"/>
      <c r="D3090" s="588"/>
      <c r="E3090" s="588"/>
      <c r="F3090" s="588"/>
      <c r="G3090" s="600"/>
      <c r="H3090" s="588"/>
      <c r="I3090" s="588"/>
      <c r="J3090" s="588"/>
    </row>
    <row r="3091" spans="1:10" x14ac:dyDescent="0.3">
      <c r="A3091" s="588"/>
      <c r="B3091" s="588"/>
      <c r="C3091" s="588"/>
      <c r="D3091" s="588"/>
      <c r="E3091" s="588"/>
      <c r="F3091" s="588"/>
      <c r="G3091" s="600"/>
      <c r="H3091" s="588"/>
      <c r="I3091" s="588"/>
      <c r="J3091" s="588"/>
    </row>
    <row r="3092" spans="1:10" x14ac:dyDescent="0.3">
      <c r="A3092" s="588"/>
      <c r="B3092" s="588"/>
      <c r="C3092" s="588"/>
      <c r="D3092" s="588"/>
      <c r="E3092" s="588"/>
      <c r="F3092" s="588"/>
      <c r="G3092" s="600"/>
      <c r="H3092" s="588"/>
      <c r="I3092" s="588"/>
      <c r="J3092" s="588"/>
    </row>
    <row r="3093" spans="1:10" x14ac:dyDescent="0.3">
      <c r="A3093" s="588"/>
      <c r="B3093" s="588"/>
      <c r="C3093" s="588"/>
      <c r="D3093" s="588"/>
      <c r="E3093" s="588"/>
      <c r="F3093" s="588"/>
      <c r="G3093" s="600"/>
      <c r="H3093" s="588"/>
      <c r="I3093" s="588"/>
      <c r="J3093" s="588"/>
    </row>
    <row r="3094" spans="1:10" x14ac:dyDescent="0.3">
      <c r="A3094" s="588"/>
      <c r="B3094" s="588"/>
      <c r="C3094" s="588"/>
      <c r="D3094" s="588"/>
      <c r="E3094" s="588"/>
      <c r="F3094" s="588"/>
      <c r="G3094" s="600"/>
      <c r="H3094" s="588"/>
      <c r="I3094" s="588"/>
      <c r="J3094" s="588"/>
    </row>
    <row r="3095" spans="1:10" x14ac:dyDescent="0.3">
      <c r="A3095" s="588"/>
      <c r="B3095" s="588"/>
      <c r="C3095" s="588"/>
      <c r="D3095" s="588"/>
      <c r="E3095" s="588"/>
      <c r="F3095" s="588"/>
      <c r="G3095" s="600"/>
      <c r="H3095" s="588"/>
      <c r="I3095" s="588"/>
      <c r="J3095" s="588"/>
    </row>
    <row r="3096" spans="1:10" x14ac:dyDescent="0.3">
      <c r="A3096" s="588"/>
      <c r="B3096" s="588"/>
      <c r="C3096" s="588"/>
      <c r="D3096" s="588"/>
      <c r="E3096" s="588"/>
      <c r="F3096" s="588"/>
      <c r="G3096" s="600"/>
      <c r="H3096" s="588"/>
      <c r="I3096" s="588"/>
      <c r="J3096" s="588"/>
    </row>
    <row r="3097" spans="1:10" x14ac:dyDescent="0.3">
      <c r="A3097" s="588"/>
      <c r="B3097" s="588"/>
      <c r="C3097" s="588"/>
      <c r="D3097" s="588"/>
      <c r="E3097" s="588"/>
      <c r="F3097" s="588"/>
      <c r="G3097" s="600"/>
      <c r="H3097" s="588"/>
      <c r="I3097" s="588"/>
      <c r="J3097" s="588"/>
    </row>
    <row r="3098" spans="1:10" x14ac:dyDescent="0.3">
      <c r="A3098" s="588"/>
      <c r="B3098" s="588"/>
      <c r="C3098" s="588"/>
      <c r="D3098" s="588"/>
      <c r="E3098" s="588"/>
      <c r="F3098" s="588"/>
      <c r="G3098" s="600"/>
      <c r="H3098" s="588"/>
      <c r="I3098" s="588"/>
      <c r="J3098" s="588"/>
    </row>
    <row r="3099" spans="1:10" x14ac:dyDescent="0.3">
      <c r="A3099" s="588"/>
      <c r="B3099" s="588"/>
      <c r="C3099" s="588"/>
      <c r="D3099" s="588"/>
      <c r="E3099" s="588"/>
      <c r="F3099" s="588"/>
      <c r="G3099" s="600"/>
      <c r="H3099" s="588"/>
      <c r="I3099" s="588"/>
      <c r="J3099" s="588"/>
    </row>
    <row r="3100" spans="1:10" x14ac:dyDescent="0.3">
      <c r="A3100" s="588"/>
      <c r="B3100" s="588"/>
      <c r="C3100" s="588"/>
      <c r="D3100" s="588"/>
      <c r="E3100" s="588"/>
      <c r="F3100" s="588"/>
      <c r="G3100" s="600"/>
      <c r="H3100" s="588"/>
      <c r="I3100" s="588"/>
      <c r="J3100" s="588"/>
    </row>
    <row r="3101" spans="1:10" x14ac:dyDescent="0.3">
      <c r="A3101" s="588"/>
      <c r="B3101" s="588"/>
      <c r="C3101" s="588"/>
      <c r="D3101" s="588"/>
      <c r="E3101" s="588"/>
      <c r="F3101" s="588"/>
      <c r="G3101" s="600"/>
      <c r="H3101" s="588"/>
      <c r="I3101" s="588"/>
      <c r="J3101" s="588"/>
    </row>
    <row r="3102" spans="1:10" x14ac:dyDescent="0.3">
      <c r="A3102" s="588"/>
      <c r="B3102" s="588"/>
      <c r="C3102" s="588"/>
      <c r="D3102" s="588"/>
      <c r="E3102" s="588"/>
      <c r="F3102" s="588"/>
      <c r="G3102" s="600"/>
      <c r="H3102" s="588"/>
      <c r="I3102" s="588"/>
      <c r="J3102" s="588"/>
    </row>
    <row r="3103" spans="1:10" x14ac:dyDescent="0.3">
      <c r="A3103" s="588"/>
      <c r="B3103" s="588"/>
      <c r="C3103" s="588"/>
      <c r="D3103" s="588"/>
      <c r="E3103" s="588"/>
      <c r="F3103" s="588"/>
      <c r="G3103" s="600"/>
      <c r="H3103" s="588"/>
      <c r="I3103" s="588"/>
      <c r="J3103" s="588"/>
    </row>
    <row r="3104" spans="1:10" x14ac:dyDescent="0.3">
      <c r="A3104" s="588"/>
      <c r="B3104" s="588"/>
      <c r="C3104" s="588"/>
      <c r="D3104" s="588"/>
      <c r="E3104" s="588"/>
      <c r="F3104" s="588"/>
      <c r="G3104" s="600"/>
      <c r="H3104" s="588"/>
      <c r="I3104" s="588"/>
      <c r="J3104" s="588"/>
    </row>
    <row r="3105" spans="1:10" x14ac:dyDescent="0.3">
      <c r="A3105" s="588"/>
      <c r="B3105" s="588"/>
      <c r="C3105" s="588"/>
      <c r="D3105" s="588"/>
      <c r="E3105" s="588"/>
      <c r="F3105" s="588"/>
      <c r="G3105" s="600"/>
      <c r="H3105" s="588"/>
      <c r="I3105" s="588"/>
      <c r="J3105" s="588"/>
    </row>
    <row r="3106" spans="1:10" x14ac:dyDescent="0.3">
      <c r="A3106" s="588"/>
      <c r="B3106" s="588"/>
      <c r="C3106" s="588"/>
      <c r="D3106" s="588"/>
      <c r="E3106" s="588"/>
      <c r="F3106" s="588"/>
      <c r="G3106" s="600"/>
      <c r="H3106" s="588"/>
      <c r="I3106" s="588"/>
      <c r="J3106" s="588"/>
    </row>
    <row r="3107" spans="1:10" x14ac:dyDescent="0.3">
      <c r="A3107" s="588"/>
      <c r="B3107" s="588"/>
      <c r="C3107" s="588"/>
      <c r="D3107" s="588"/>
      <c r="E3107" s="588"/>
      <c r="F3107" s="588"/>
      <c r="G3107" s="600"/>
      <c r="H3107" s="588"/>
      <c r="I3107" s="588"/>
      <c r="J3107" s="588"/>
    </row>
    <row r="3108" spans="1:10" x14ac:dyDescent="0.3">
      <c r="A3108" s="588"/>
      <c r="B3108" s="588"/>
      <c r="C3108" s="588"/>
      <c r="D3108" s="588"/>
      <c r="E3108" s="588"/>
      <c r="F3108" s="588"/>
      <c r="G3108" s="600"/>
      <c r="H3108" s="588"/>
      <c r="I3108" s="588"/>
      <c r="J3108" s="588"/>
    </row>
    <row r="3109" spans="1:10" x14ac:dyDescent="0.3">
      <c r="A3109" s="588"/>
      <c r="B3109" s="588"/>
      <c r="C3109" s="588"/>
      <c r="D3109" s="588"/>
      <c r="E3109" s="588"/>
      <c r="F3109" s="588"/>
      <c r="G3109" s="600"/>
      <c r="H3109" s="588"/>
      <c r="I3109" s="588"/>
      <c r="J3109" s="588"/>
    </row>
    <row r="3110" spans="1:10" x14ac:dyDescent="0.3">
      <c r="A3110" s="588"/>
      <c r="B3110" s="588"/>
      <c r="C3110" s="588"/>
      <c r="D3110" s="588"/>
      <c r="E3110" s="588"/>
      <c r="F3110" s="588"/>
      <c r="G3110" s="600"/>
      <c r="H3110" s="588"/>
      <c r="I3110" s="588"/>
      <c r="J3110" s="588"/>
    </row>
    <row r="3111" spans="1:10" x14ac:dyDescent="0.3">
      <c r="A3111" s="588"/>
      <c r="B3111" s="588"/>
      <c r="C3111" s="588"/>
      <c r="D3111" s="588"/>
      <c r="E3111" s="588"/>
      <c r="F3111" s="588"/>
      <c r="G3111" s="600"/>
      <c r="H3111" s="588"/>
      <c r="I3111" s="588"/>
      <c r="J3111" s="588"/>
    </row>
    <row r="3112" spans="1:10" x14ac:dyDescent="0.3">
      <c r="A3112" s="588"/>
      <c r="B3112" s="588"/>
      <c r="C3112" s="588"/>
      <c r="D3112" s="588"/>
      <c r="E3112" s="588"/>
      <c r="F3112" s="588"/>
      <c r="G3112" s="600"/>
      <c r="H3112" s="588"/>
      <c r="I3112" s="588"/>
      <c r="J3112" s="588"/>
    </row>
    <row r="3113" spans="1:10" x14ac:dyDescent="0.3">
      <c r="A3113" s="588"/>
      <c r="B3113" s="588"/>
      <c r="C3113" s="588"/>
      <c r="D3113" s="588"/>
      <c r="E3113" s="588"/>
      <c r="F3113" s="588"/>
      <c r="G3113" s="600"/>
      <c r="H3113" s="588"/>
      <c r="I3113" s="588"/>
      <c r="J3113" s="588"/>
    </row>
    <row r="3114" spans="1:10" x14ac:dyDescent="0.3">
      <c r="A3114" s="588"/>
      <c r="B3114" s="588"/>
      <c r="C3114" s="588"/>
      <c r="D3114" s="588"/>
      <c r="E3114" s="588"/>
      <c r="F3114" s="588"/>
      <c r="G3114" s="600"/>
      <c r="H3114" s="588"/>
      <c r="I3114" s="588"/>
      <c r="J3114" s="588"/>
    </row>
    <row r="3115" spans="1:10" x14ac:dyDescent="0.3">
      <c r="A3115" s="588"/>
      <c r="B3115" s="588"/>
      <c r="C3115" s="588"/>
      <c r="D3115" s="588"/>
      <c r="E3115" s="588"/>
      <c r="F3115" s="588"/>
      <c r="G3115" s="600"/>
      <c r="H3115" s="588"/>
      <c r="I3115" s="588"/>
      <c r="J3115" s="588"/>
    </row>
    <row r="3116" spans="1:10" x14ac:dyDescent="0.3">
      <c r="A3116" s="588"/>
      <c r="B3116" s="588"/>
      <c r="C3116" s="588"/>
      <c r="D3116" s="588"/>
      <c r="E3116" s="588"/>
      <c r="F3116" s="588"/>
      <c r="G3116" s="600"/>
      <c r="H3116" s="588"/>
      <c r="I3116" s="588"/>
      <c r="J3116" s="588"/>
    </row>
    <row r="3117" spans="1:10" x14ac:dyDescent="0.3">
      <c r="A3117" s="588"/>
      <c r="B3117" s="588"/>
      <c r="C3117" s="588"/>
      <c r="D3117" s="588"/>
      <c r="E3117" s="588"/>
      <c r="F3117" s="588"/>
      <c r="G3117" s="600"/>
      <c r="H3117" s="588"/>
      <c r="I3117" s="588"/>
      <c r="J3117" s="588"/>
    </row>
    <row r="3118" spans="1:10" x14ac:dyDescent="0.3">
      <c r="A3118" s="588"/>
      <c r="B3118" s="588"/>
      <c r="C3118" s="588"/>
      <c r="D3118" s="588"/>
      <c r="E3118" s="588"/>
      <c r="F3118" s="588"/>
      <c r="G3118" s="600"/>
      <c r="H3118" s="588"/>
      <c r="I3118" s="588"/>
      <c r="J3118" s="588"/>
    </row>
    <row r="3119" spans="1:10" x14ac:dyDescent="0.3">
      <c r="A3119" s="588"/>
      <c r="B3119" s="588"/>
      <c r="C3119" s="588"/>
      <c r="D3119" s="588"/>
      <c r="E3119" s="588"/>
      <c r="F3119" s="588"/>
      <c r="G3119" s="600"/>
      <c r="H3119" s="588"/>
      <c r="I3119" s="588"/>
      <c r="J3119" s="588"/>
    </row>
    <row r="3120" spans="1:10" x14ac:dyDescent="0.3">
      <c r="A3120" s="588"/>
      <c r="B3120" s="588"/>
      <c r="C3120" s="588"/>
      <c r="D3120" s="588"/>
      <c r="E3120" s="588"/>
      <c r="F3120" s="588"/>
      <c r="G3120" s="600"/>
      <c r="H3120" s="588"/>
      <c r="I3120" s="588"/>
      <c r="J3120" s="588"/>
    </row>
    <row r="3121" spans="1:10" x14ac:dyDescent="0.3">
      <c r="A3121" s="588"/>
      <c r="B3121" s="588"/>
      <c r="C3121" s="588"/>
      <c r="D3121" s="588"/>
      <c r="E3121" s="588"/>
      <c r="F3121" s="588"/>
      <c r="G3121" s="600"/>
      <c r="H3121" s="588"/>
      <c r="I3121" s="588"/>
      <c r="J3121" s="588"/>
    </row>
    <row r="3122" spans="1:10" x14ac:dyDescent="0.3">
      <c r="A3122" s="588"/>
      <c r="B3122" s="588"/>
      <c r="C3122" s="588"/>
      <c r="D3122" s="588"/>
      <c r="E3122" s="588"/>
      <c r="F3122" s="588"/>
      <c r="G3122" s="600"/>
      <c r="H3122" s="588"/>
      <c r="I3122" s="588"/>
      <c r="J3122" s="588"/>
    </row>
    <row r="3123" spans="1:10" x14ac:dyDescent="0.3">
      <c r="A3123" s="588"/>
      <c r="B3123" s="588"/>
      <c r="C3123" s="588"/>
      <c r="D3123" s="588"/>
      <c r="E3123" s="588"/>
      <c r="F3123" s="588"/>
      <c r="G3123" s="600"/>
      <c r="H3123" s="588"/>
      <c r="I3123" s="588"/>
      <c r="J3123" s="588"/>
    </row>
    <row r="3124" spans="1:10" x14ac:dyDescent="0.3">
      <c r="A3124" s="588"/>
      <c r="B3124" s="588"/>
      <c r="C3124" s="588"/>
      <c r="D3124" s="588"/>
      <c r="E3124" s="588"/>
      <c r="F3124" s="588"/>
      <c r="G3124" s="600"/>
      <c r="H3124" s="588"/>
      <c r="I3124" s="588"/>
      <c r="J3124" s="588"/>
    </row>
    <row r="3125" spans="1:10" x14ac:dyDescent="0.3">
      <c r="A3125" s="588"/>
      <c r="B3125" s="588"/>
      <c r="C3125" s="588"/>
      <c r="D3125" s="588"/>
      <c r="E3125" s="588"/>
      <c r="F3125" s="588"/>
      <c r="G3125" s="600"/>
      <c r="H3125" s="588"/>
      <c r="I3125" s="588"/>
      <c r="J3125" s="588"/>
    </row>
    <row r="3126" spans="1:10" x14ac:dyDescent="0.3">
      <c r="A3126" s="588"/>
      <c r="B3126" s="588"/>
      <c r="C3126" s="588"/>
      <c r="D3126" s="588"/>
      <c r="E3126" s="588"/>
      <c r="F3126" s="588"/>
      <c r="G3126" s="600"/>
      <c r="H3126" s="588"/>
      <c r="I3126" s="588"/>
      <c r="J3126" s="588"/>
    </row>
    <row r="3127" spans="1:10" x14ac:dyDescent="0.3">
      <c r="A3127" s="588"/>
      <c r="B3127" s="588"/>
      <c r="C3127" s="588"/>
      <c r="D3127" s="588"/>
      <c r="E3127" s="588"/>
      <c r="F3127" s="588"/>
      <c r="G3127" s="600"/>
      <c r="H3127" s="588"/>
      <c r="I3127" s="588"/>
      <c r="J3127" s="588"/>
    </row>
    <row r="3128" spans="1:10" x14ac:dyDescent="0.3">
      <c r="A3128" s="588"/>
      <c r="B3128" s="588"/>
      <c r="C3128" s="588"/>
      <c r="D3128" s="588"/>
      <c r="E3128" s="588"/>
      <c r="F3128" s="588"/>
      <c r="G3128" s="600"/>
      <c r="H3128" s="588"/>
      <c r="I3128" s="588"/>
      <c r="J3128" s="588"/>
    </row>
    <row r="3129" spans="1:10" x14ac:dyDescent="0.3">
      <c r="A3129" s="588"/>
      <c r="B3129" s="588"/>
      <c r="C3129" s="588"/>
      <c r="D3129" s="588"/>
      <c r="E3129" s="588"/>
      <c r="F3129" s="588"/>
      <c r="G3129" s="600"/>
      <c r="H3129" s="588"/>
      <c r="I3129" s="588"/>
      <c r="J3129" s="588"/>
    </row>
    <row r="3130" spans="1:10" x14ac:dyDescent="0.3">
      <c r="A3130" s="588"/>
      <c r="B3130" s="588"/>
      <c r="C3130" s="588"/>
      <c r="D3130" s="588"/>
      <c r="E3130" s="588"/>
      <c r="F3130" s="588"/>
      <c r="G3130" s="600"/>
      <c r="H3130" s="588"/>
      <c r="I3130" s="588"/>
      <c r="J3130" s="588"/>
    </row>
    <row r="3131" spans="1:10" x14ac:dyDescent="0.3">
      <c r="A3131" s="588"/>
      <c r="B3131" s="588"/>
      <c r="C3131" s="588"/>
      <c r="D3131" s="588"/>
      <c r="E3131" s="588"/>
      <c r="F3131" s="588"/>
      <c r="G3131" s="600"/>
      <c r="H3131" s="588"/>
      <c r="I3131" s="588"/>
      <c r="J3131" s="588"/>
    </row>
    <row r="3132" spans="1:10" x14ac:dyDescent="0.3">
      <c r="A3132" s="588"/>
      <c r="B3132" s="588"/>
      <c r="C3132" s="588"/>
      <c r="D3132" s="588"/>
      <c r="E3132" s="588"/>
      <c r="F3132" s="588"/>
      <c r="G3132" s="600"/>
      <c r="H3132" s="588"/>
      <c r="I3132" s="588"/>
      <c r="J3132" s="588"/>
    </row>
    <row r="3133" spans="1:10" x14ac:dyDescent="0.3">
      <c r="A3133" s="588"/>
      <c r="B3133" s="588"/>
      <c r="C3133" s="588"/>
      <c r="D3133" s="588"/>
      <c r="E3133" s="588"/>
      <c r="F3133" s="588"/>
      <c r="G3133" s="600"/>
      <c r="H3133" s="588"/>
      <c r="I3133" s="588"/>
      <c r="J3133" s="588"/>
    </row>
    <row r="3134" spans="1:10" x14ac:dyDescent="0.3">
      <c r="A3134" s="588"/>
      <c r="B3134" s="588"/>
      <c r="C3134" s="588"/>
      <c r="D3134" s="588"/>
      <c r="E3134" s="588"/>
      <c r="F3134" s="588"/>
      <c r="G3134" s="600"/>
      <c r="H3134" s="588"/>
      <c r="I3134" s="588"/>
      <c r="J3134" s="588"/>
    </row>
    <row r="3135" spans="1:10" x14ac:dyDescent="0.3">
      <c r="A3135" s="588"/>
      <c r="B3135" s="588"/>
      <c r="C3135" s="588"/>
      <c r="D3135" s="588"/>
      <c r="E3135" s="588"/>
      <c r="F3135" s="588"/>
      <c r="G3135" s="600"/>
      <c r="H3135" s="588"/>
      <c r="I3135" s="588"/>
      <c r="J3135" s="588"/>
    </row>
    <row r="3136" spans="1:10" x14ac:dyDescent="0.3">
      <c r="A3136" s="588"/>
      <c r="B3136" s="588"/>
      <c r="C3136" s="588"/>
      <c r="D3136" s="588"/>
      <c r="E3136" s="588"/>
      <c r="F3136" s="588"/>
      <c r="G3136" s="600"/>
      <c r="H3136" s="588"/>
      <c r="I3136" s="588"/>
      <c r="J3136" s="588"/>
    </row>
    <row r="3137" spans="1:10" x14ac:dyDescent="0.3">
      <c r="A3137" s="588"/>
      <c r="B3137" s="588"/>
      <c r="C3137" s="588"/>
      <c r="D3137" s="588"/>
      <c r="E3137" s="588"/>
      <c r="F3137" s="588"/>
      <c r="G3137" s="600"/>
      <c r="H3137" s="588"/>
      <c r="I3137" s="588"/>
      <c r="J3137" s="588"/>
    </row>
    <row r="3138" spans="1:10" x14ac:dyDescent="0.3">
      <c r="A3138" s="588"/>
      <c r="B3138" s="588"/>
      <c r="C3138" s="588"/>
      <c r="D3138" s="588"/>
      <c r="E3138" s="588"/>
      <c r="F3138" s="588"/>
      <c r="G3138" s="600"/>
      <c r="H3138" s="588"/>
      <c r="I3138" s="588"/>
      <c r="J3138" s="588"/>
    </row>
    <row r="3139" spans="1:10" x14ac:dyDescent="0.3">
      <c r="A3139" s="588"/>
      <c r="B3139" s="588"/>
      <c r="C3139" s="588"/>
      <c r="D3139" s="588"/>
      <c r="E3139" s="588"/>
      <c r="F3139" s="588"/>
      <c r="G3139" s="600"/>
      <c r="H3139" s="588"/>
      <c r="I3139" s="588"/>
      <c r="J3139" s="588"/>
    </row>
    <row r="3140" spans="1:10" x14ac:dyDescent="0.3">
      <c r="A3140" s="588"/>
      <c r="B3140" s="588"/>
      <c r="C3140" s="588"/>
      <c r="D3140" s="588"/>
      <c r="E3140" s="588"/>
      <c r="F3140" s="588"/>
      <c r="G3140" s="600"/>
      <c r="H3140" s="588"/>
      <c r="I3140" s="588"/>
      <c r="J3140" s="588"/>
    </row>
    <row r="3141" spans="1:10" x14ac:dyDescent="0.3">
      <c r="A3141" s="588"/>
      <c r="B3141" s="588"/>
      <c r="C3141" s="588"/>
      <c r="D3141" s="588"/>
      <c r="E3141" s="588"/>
      <c r="F3141" s="588"/>
      <c r="G3141" s="600"/>
      <c r="H3141" s="588"/>
      <c r="I3141" s="588"/>
      <c r="J3141" s="588"/>
    </row>
    <row r="3142" spans="1:10" x14ac:dyDescent="0.3">
      <c r="A3142" s="588"/>
      <c r="B3142" s="588"/>
      <c r="C3142" s="588"/>
      <c r="D3142" s="588"/>
      <c r="E3142" s="588"/>
      <c r="F3142" s="588"/>
      <c r="G3142" s="600"/>
      <c r="H3142" s="588"/>
      <c r="I3142" s="588"/>
      <c r="J3142" s="588"/>
    </row>
    <row r="3143" spans="1:10" x14ac:dyDescent="0.3">
      <c r="A3143" s="588"/>
      <c r="B3143" s="588"/>
      <c r="C3143" s="588"/>
      <c r="D3143" s="588"/>
      <c r="E3143" s="588"/>
      <c r="F3143" s="588"/>
      <c r="G3143" s="600"/>
      <c r="H3143" s="588"/>
      <c r="I3143" s="588"/>
      <c r="J3143" s="588"/>
    </row>
    <row r="3144" spans="1:10" x14ac:dyDescent="0.3">
      <c r="A3144" s="588"/>
      <c r="B3144" s="588"/>
      <c r="C3144" s="588"/>
      <c r="D3144" s="588"/>
      <c r="E3144" s="588"/>
      <c r="F3144" s="588"/>
      <c r="G3144" s="600"/>
      <c r="H3144" s="588"/>
      <c r="I3144" s="588"/>
      <c r="J3144" s="588"/>
    </row>
    <row r="3145" spans="1:10" x14ac:dyDescent="0.3">
      <c r="A3145" s="588"/>
      <c r="B3145" s="588"/>
      <c r="C3145" s="588"/>
      <c r="D3145" s="588"/>
      <c r="E3145" s="588"/>
      <c r="F3145" s="588"/>
      <c r="G3145" s="600"/>
      <c r="H3145" s="588"/>
      <c r="I3145" s="588"/>
      <c r="J3145" s="588"/>
    </row>
    <row r="3146" spans="1:10" x14ac:dyDescent="0.3">
      <c r="A3146" s="588"/>
      <c r="B3146" s="588"/>
      <c r="C3146" s="588"/>
      <c r="D3146" s="588"/>
      <c r="E3146" s="588"/>
      <c r="F3146" s="588"/>
      <c r="G3146" s="600"/>
      <c r="H3146" s="588"/>
      <c r="I3146" s="588"/>
      <c r="J3146" s="588"/>
    </row>
    <row r="3147" spans="1:10" x14ac:dyDescent="0.3">
      <c r="A3147" s="588"/>
      <c r="B3147" s="588"/>
      <c r="C3147" s="588"/>
      <c r="D3147" s="588"/>
      <c r="E3147" s="588"/>
      <c r="F3147" s="588"/>
      <c r="G3147" s="600"/>
      <c r="H3147" s="588"/>
      <c r="I3147" s="588"/>
      <c r="J3147" s="588"/>
    </row>
    <row r="3148" spans="1:10" x14ac:dyDescent="0.3">
      <c r="A3148" s="588"/>
      <c r="B3148" s="588"/>
      <c r="C3148" s="588"/>
      <c r="D3148" s="588"/>
      <c r="E3148" s="588"/>
      <c r="F3148" s="588"/>
      <c r="G3148" s="600"/>
      <c r="H3148" s="588"/>
      <c r="I3148" s="588"/>
      <c r="J3148" s="588"/>
    </row>
    <row r="3149" spans="1:10" x14ac:dyDescent="0.3">
      <c r="A3149" s="588"/>
      <c r="B3149" s="588"/>
      <c r="C3149" s="588"/>
      <c r="D3149" s="588"/>
      <c r="E3149" s="588"/>
      <c r="F3149" s="588"/>
      <c r="G3149" s="600"/>
      <c r="H3149" s="588"/>
      <c r="I3149" s="588"/>
      <c r="J3149" s="588"/>
    </row>
    <row r="3150" spans="1:10" x14ac:dyDescent="0.3">
      <c r="A3150" s="588"/>
      <c r="B3150" s="588"/>
      <c r="C3150" s="588"/>
      <c r="D3150" s="588"/>
      <c r="E3150" s="588"/>
      <c r="F3150" s="588"/>
      <c r="G3150" s="600"/>
      <c r="H3150" s="588"/>
      <c r="I3150" s="588"/>
      <c r="J3150" s="588"/>
    </row>
    <row r="3151" spans="1:10" x14ac:dyDescent="0.3">
      <c r="A3151" s="588"/>
      <c r="B3151" s="588"/>
      <c r="C3151" s="588"/>
      <c r="D3151" s="588"/>
      <c r="E3151" s="588"/>
      <c r="F3151" s="588"/>
      <c r="G3151" s="600"/>
      <c r="H3151" s="588"/>
      <c r="I3151" s="588"/>
      <c r="J3151" s="588"/>
    </row>
    <row r="3152" spans="1:10" x14ac:dyDescent="0.3">
      <c r="A3152" s="588"/>
      <c r="B3152" s="588"/>
      <c r="C3152" s="588"/>
      <c r="D3152" s="588"/>
      <c r="E3152" s="588"/>
      <c r="F3152" s="588"/>
      <c r="G3152" s="600"/>
      <c r="H3152" s="588"/>
      <c r="I3152" s="588"/>
      <c r="J3152" s="588"/>
    </row>
    <row r="3153" spans="1:10" x14ac:dyDescent="0.3">
      <c r="A3153" s="588"/>
      <c r="B3153" s="588"/>
      <c r="C3153" s="588"/>
      <c r="D3153" s="588"/>
      <c r="E3153" s="588"/>
      <c r="F3153" s="588"/>
      <c r="G3153" s="600"/>
      <c r="H3153" s="588"/>
      <c r="I3153" s="588"/>
      <c r="J3153" s="588"/>
    </row>
    <row r="3154" spans="1:10" x14ac:dyDescent="0.3">
      <c r="A3154" s="588"/>
      <c r="B3154" s="588"/>
      <c r="C3154" s="588"/>
      <c r="D3154" s="588"/>
      <c r="E3154" s="588"/>
      <c r="F3154" s="588"/>
      <c r="G3154" s="600"/>
      <c r="H3154" s="588"/>
      <c r="I3154" s="588"/>
      <c r="J3154" s="588"/>
    </row>
    <row r="3155" spans="1:10" x14ac:dyDescent="0.3">
      <c r="A3155" s="588"/>
      <c r="B3155" s="588"/>
      <c r="C3155" s="588"/>
      <c r="D3155" s="588"/>
      <c r="E3155" s="588"/>
      <c r="F3155" s="588"/>
      <c r="G3155" s="600"/>
      <c r="H3155" s="588"/>
      <c r="I3155" s="588"/>
      <c r="J3155" s="588"/>
    </row>
    <row r="3156" spans="1:10" x14ac:dyDescent="0.3">
      <c r="A3156" s="588"/>
      <c r="B3156" s="588"/>
      <c r="C3156" s="588"/>
      <c r="D3156" s="588"/>
      <c r="E3156" s="588"/>
      <c r="F3156" s="588"/>
      <c r="G3156" s="600"/>
      <c r="H3156" s="588"/>
      <c r="I3156" s="588"/>
      <c r="J3156" s="588"/>
    </row>
    <row r="3157" spans="1:10" x14ac:dyDescent="0.3">
      <c r="A3157" s="588"/>
      <c r="B3157" s="588"/>
      <c r="C3157" s="588"/>
      <c r="D3157" s="588"/>
      <c r="E3157" s="588"/>
      <c r="F3157" s="588"/>
      <c r="G3157" s="600"/>
      <c r="H3157" s="588"/>
      <c r="I3157" s="588"/>
      <c r="J3157" s="588"/>
    </row>
    <row r="3158" spans="1:10" x14ac:dyDescent="0.3">
      <c r="A3158" s="588"/>
      <c r="B3158" s="588"/>
      <c r="C3158" s="588"/>
      <c r="D3158" s="588"/>
      <c r="E3158" s="588"/>
      <c r="F3158" s="588"/>
      <c r="G3158" s="600"/>
      <c r="H3158" s="588"/>
      <c r="I3158" s="588"/>
      <c r="J3158" s="588"/>
    </row>
    <row r="3159" spans="1:10" x14ac:dyDescent="0.3">
      <c r="A3159" s="588"/>
      <c r="B3159" s="588"/>
      <c r="C3159" s="588"/>
      <c r="D3159" s="588"/>
      <c r="E3159" s="588"/>
      <c r="F3159" s="588"/>
      <c r="G3159" s="600"/>
      <c r="H3159" s="588"/>
      <c r="I3159" s="588"/>
      <c r="J3159" s="588"/>
    </row>
    <row r="3160" spans="1:10" x14ac:dyDescent="0.3">
      <c r="A3160" s="588"/>
      <c r="B3160" s="588"/>
      <c r="C3160" s="588"/>
      <c r="D3160" s="588"/>
      <c r="E3160" s="588"/>
      <c r="F3160" s="588"/>
      <c r="G3160" s="600"/>
      <c r="H3160" s="588"/>
      <c r="I3160" s="588"/>
      <c r="J3160" s="588"/>
    </row>
    <row r="3161" spans="1:10" x14ac:dyDescent="0.3">
      <c r="A3161" s="588"/>
      <c r="B3161" s="588"/>
      <c r="C3161" s="588"/>
      <c r="D3161" s="588"/>
      <c r="E3161" s="588"/>
      <c r="F3161" s="588"/>
      <c r="G3161" s="600"/>
      <c r="H3161" s="588"/>
      <c r="I3161" s="588"/>
      <c r="J3161" s="588"/>
    </row>
    <row r="3162" spans="1:10" x14ac:dyDescent="0.3">
      <c r="A3162" s="588"/>
      <c r="B3162" s="588"/>
      <c r="C3162" s="588"/>
      <c r="D3162" s="588"/>
      <c r="E3162" s="588"/>
      <c r="F3162" s="588"/>
      <c r="G3162" s="600"/>
      <c r="H3162" s="588"/>
      <c r="I3162" s="588"/>
      <c r="J3162" s="588"/>
    </row>
    <row r="3163" spans="1:10" x14ac:dyDescent="0.3">
      <c r="A3163" s="588"/>
      <c r="B3163" s="588"/>
      <c r="C3163" s="588"/>
      <c r="D3163" s="588"/>
      <c r="E3163" s="588"/>
      <c r="F3163" s="588"/>
      <c r="G3163" s="600"/>
      <c r="H3163" s="588"/>
      <c r="I3163" s="588"/>
      <c r="J3163" s="588"/>
    </row>
    <row r="3164" spans="1:10" x14ac:dyDescent="0.3">
      <c r="A3164" s="588"/>
      <c r="B3164" s="588"/>
      <c r="C3164" s="588"/>
      <c r="D3164" s="588"/>
      <c r="E3164" s="588"/>
      <c r="F3164" s="588"/>
      <c r="G3164" s="600"/>
      <c r="H3164" s="588"/>
      <c r="I3164" s="588"/>
      <c r="J3164" s="588"/>
    </row>
    <row r="3165" spans="1:10" x14ac:dyDescent="0.3">
      <c r="A3165" s="588"/>
      <c r="B3165" s="588"/>
      <c r="C3165" s="588"/>
      <c r="D3165" s="588"/>
      <c r="E3165" s="588"/>
      <c r="F3165" s="588"/>
      <c r="G3165" s="600"/>
      <c r="H3165" s="588"/>
      <c r="I3165" s="588"/>
      <c r="J3165" s="588"/>
    </row>
    <row r="3166" spans="1:10" x14ac:dyDescent="0.3">
      <c r="A3166" s="588"/>
      <c r="B3166" s="588"/>
      <c r="C3166" s="588"/>
      <c r="D3166" s="588"/>
      <c r="E3166" s="588"/>
      <c r="F3166" s="588"/>
      <c r="G3166" s="600"/>
      <c r="H3166" s="588"/>
      <c r="I3166" s="588"/>
      <c r="J3166" s="588"/>
    </row>
    <row r="3167" spans="1:10" x14ac:dyDescent="0.3">
      <c r="A3167" s="588"/>
      <c r="B3167" s="588"/>
      <c r="C3167" s="588"/>
      <c r="D3167" s="588"/>
      <c r="E3167" s="588"/>
      <c r="F3167" s="588"/>
      <c r="G3167" s="600"/>
      <c r="H3167" s="588"/>
      <c r="I3167" s="588"/>
      <c r="J3167" s="588"/>
    </row>
    <row r="3168" spans="1:10" x14ac:dyDescent="0.3">
      <c r="A3168" s="588"/>
      <c r="B3168" s="588"/>
      <c r="C3168" s="588"/>
      <c r="D3168" s="588"/>
      <c r="E3168" s="588"/>
      <c r="F3168" s="588"/>
      <c r="G3168" s="600"/>
      <c r="H3168" s="588"/>
      <c r="I3168" s="588"/>
      <c r="J3168" s="588"/>
    </row>
    <row r="3169" spans="1:10" x14ac:dyDescent="0.3">
      <c r="A3169" s="588"/>
      <c r="B3169" s="588"/>
      <c r="C3169" s="588"/>
      <c r="D3169" s="588"/>
      <c r="E3169" s="588"/>
      <c r="F3169" s="588"/>
      <c r="G3169" s="600"/>
      <c r="H3169" s="588"/>
      <c r="I3169" s="588"/>
      <c r="J3169" s="588"/>
    </row>
    <row r="3170" spans="1:10" x14ac:dyDescent="0.3">
      <c r="A3170" s="588"/>
      <c r="B3170" s="588"/>
      <c r="C3170" s="588"/>
      <c r="D3170" s="588"/>
      <c r="E3170" s="588"/>
      <c r="F3170" s="588"/>
      <c r="G3170" s="600"/>
      <c r="H3170" s="588"/>
      <c r="I3170" s="588"/>
      <c r="J3170" s="588"/>
    </row>
    <row r="3171" spans="1:10" x14ac:dyDescent="0.3">
      <c r="A3171" s="588"/>
      <c r="B3171" s="588"/>
      <c r="C3171" s="588"/>
      <c r="D3171" s="588"/>
      <c r="E3171" s="588"/>
      <c r="F3171" s="588"/>
      <c r="G3171" s="600"/>
      <c r="H3171" s="588"/>
      <c r="I3171" s="588"/>
      <c r="J3171" s="588"/>
    </row>
    <row r="3172" spans="1:10" x14ac:dyDescent="0.3">
      <c r="A3172" s="588"/>
      <c r="B3172" s="588"/>
      <c r="C3172" s="588"/>
      <c r="D3172" s="588"/>
      <c r="E3172" s="588"/>
      <c r="F3172" s="588"/>
      <c r="G3172" s="600"/>
      <c r="H3172" s="588"/>
      <c r="I3172" s="588"/>
      <c r="J3172" s="588"/>
    </row>
    <row r="3173" spans="1:10" x14ac:dyDescent="0.3">
      <c r="A3173" s="588"/>
      <c r="B3173" s="588"/>
      <c r="C3173" s="588"/>
      <c r="D3173" s="588"/>
      <c r="E3173" s="588"/>
      <c r="F3173" s="588"/>
      <c r="G3173" s="600"/>
      <c r="H3173" s="588"/>
      <c r="I3173" s="588"/>
      <c r="J3173" s="588"/>
    </row>
    <row r="3174" spans="1:10" x14ac:dyDescent="0.3">
      <c r="A3174" s="588"/>
      <c r="B3174" s="588"/>
      <c r="C3174" s="588"/>
      <c r="D3174" s="588"/>
      <c r="E3174" s="588"/>
      <c r="F3174" s="588"/>
      <c r="G3174" s="600"/>
      <c r="H3174" s="588"/>
      <c r="I3174" s="588"/>
      <c r="J3174" s="588"/>
    </row>
    <row r="3175" spans="1:10" x14ac:dyDescent="0.3">
      <c r="A3175" s="588"/>
      <c r="B3175" s="588"/>
      <c r="C3175" s="588"/>
      <c r="D3175" s="588"/>
      <c r="E3175" s="588"/>
      <c r="F3175" s="588"/>
      <c r="G3175" s="600"/>
      <c r="H3175" s="588"/>
      <c r="I3175" s="588"/>
      <c r="J3175" s="588"/>
    </row>
    <row r="3176" spans="1:10" x14ac:dyDescent="0.3">
      <c r="A3176" s="588"/>
      <c r="B3176" s="588"/>
      <c r="C3176" s="588"/>
      <c r="D3176" s="588"/>
      <c r="E3176" s="588"/>
      <c r="F3176" s="588"/>
      <c r="G3176" s="600"/>
      <c r="H3176" s="588"/>
      <c r="I3176" s="588"/>
      <c r="J3176" s="588"/>
    </row>
    <row r="3177" spans="1:10" x14ac:dyDescent="0.3">
      <c r="A3177" s="588"/>
      <c r="B3177" s="588"/>
      <c r="C3177" s="588"/>
      <c r="D3177" s="588"/>
      <c r="E3177" s="588"/>
      <c r="F3177" s="588"/>
      <c r="G3177" s="600"/>
      <c r="H3177" s="588"/>
      <c r="I3177" s="588"/>
      <c r="J3177" s="588"/>
    </row>
    <row r="3178" spans="1:10" x14ac:dyDescent="0.3">
      <c r="A3178" s="588"/>
      <c r="B3178" s="588"/>
      <c r="C3178" s="588"/>
      <c r="D3178" s="588"/>
      <c r="E3178" s="588"/>
      <c r="F3178" s="588"/>
      <c r="G3178" s="600"/>
      <c r="H3178" s="588"/>
      <c r="I3178" s="588"/>
      <c r="J3178" s="588"/>
    </row>
    <row r="3179" spans="1:10" x14ac:dyDescent="0.3">
      <c r="A3179" s="588"/>
      <c r="B3179" s="588"/>
      <c r="C3179" s="588"/>
      <c r="D3179" s="588"/>
      <c r="E3179" s="588"/>
      <c r="F3179" s="588"/>
      <c r="G3179" s="600"/>
      <c r="H3179" s="588"/>
      <c r="I3179" s="588"/>
      <c r="J3179" s="588"/>
    </row>
    <row r="3180" spans="1:10" x14ac:dyDescent="0.3">
      <c r="A3180" s="588"/>
      <c r="B3180" s="588"/>
      <c r="C3180" s="588"/>
      <c r="D3180" s="588"/>
      <c r="E3180" s="588"/>
      <c r="F3180" s="588"/>
      <c r="G3180" s="600"/>
      <c r="H3180" s="588"/>
      <c r="I3180" s="588"/>
      <c r="J3180" s="588"/>
    </row>
    <row r="3181" spans="1:10" x14ac:dyDescent="0.3">
      <c r="A3181" s="588"/>
      <c r="B3181" s="588"/>
      <c r="C3181" s="588"/>
      <c r="D3181" s="588"/>
      <c r="E3181" s="588"/>
      <c r="F3181" s="588"/>
      <c r="G3181" s="600"/>
      <c r="H3181" s="588"/>
      <c r="I3181" s="588"/>
      <c r="J3181" s="588"/>
    </row>
    <row r="3182" spans="1:10" x14ac:dyDescent="0.3">
      <c r="A3182" s="588"/>
      <c r="B3182" s="588"/>
      <c r="C3182" s="588"/>
      <c r="D3182" s="588"/>
      <c r="E3182" s="588"/>
      <c r="F3182" s="588"/>
      <c r="G3182" s="600"/>
      <c r="H3182" s="588"/>
      <c r="I3182" s="588"/>
      <c r="J3182" s="588"/>
    </row>
    <row r="3183" spans="1:10" x14ac:dyDescent="0.3">
      <c r="A3183" s="588"/>
      <c r="B3183" s="588"/>
      <c r="C3183" s="588"/>
      <c r="D3183" s="588"/>
      <c r="E3183" s="588"/>
      <c r="F3183" s="588"/>
      <c r="G3183" s="600"/>
      <c r="H3183" s="588"/>
      <c r="I3183" s="588"/>
      <c r="J3183" s="588"/>
    </row>
    <row r="3184" spans="1:10" x14ac:dyDescent="0.3">
      <c r="A3184" s="588"/>
      <c r="B3184" s="588"/>
      <c r="C3184" s="588"/>
      <c r="D3184" s="588"/>
      <c r="E3184" s="588"/>
      <c r="F3184" s="588"/>
      <c r="G3184" s="600"/>
      <c r="H3184" s="588"/>
      <c r="I3184" s="588"/>
      <c r="J3184" s="588"/>
    </row>
    <row r="3185" spans="1:10" x14ac:dyDescent="0.3">
      <c r="A3185" s="588"/>
      <c r="B3185" s="588"/>
      <c r="C3185" s="588"/>
      <c r="D3185" s="588"/>
      <c r="E3185" s="588"/>
      <c r="F3185" s="588"/>
      <c r="G3185" s="600"/>
      <c r="H3185" s="588"/>
      <c r="I3185" s="588"/>
      <c r="J3185" s="588"/>
    </row>
    <row r="3186" spans="1:10" x14ac:dyDescent="0.3">
      <c r="A3186" s="588"/>
      <c r="B3186" s="588"/>
      <c r="C3186" s="588"/>
      <c r="D3186" s="588"/>
      <c r="E3186" s="588"/>
      <c r="F3186" s="588"/>
      <c r="G3186" s="600"/>
      <c r="H3186" s="588"/>
      <c r="I3186" s="588"/>
      <c r="J3186" s="588"/>
    </row>
    <row r="3187" spans="1:10" x14ac:dyDescent="0.3">
      <c r="A3187" s="588"/>
      <c r="B3187" s="588"/>
      <c r="C3187" s="588"/>
      <c r="D3187" s="588"/>
      <c r="E3187" s="588"/>
      <c r="F3187" s="588"/>
      <c r="G3187" s="600"/>
      <c r="H3187" s="588"/>
      <c r="I3187" s="588"/>
      <c r="J3187" s="588"/>
    </row>
    <row r="3188" spans="1:10" x14ac:dyDescent="0.3">
      <c r="A3188" s="588"/>
      <c r="B3188" s="588"/>
      <c r="C3188" s="588"/>
      <c r="D3188" s="588"/>
      <c r="E3188" s="588"/>
      <c r="F3188" s="588"/>
      <c r="G3188" s="600"/>
      <c r="H3188" s="588"/>
      <c r="I3188" s="588"/>
      <c r="J3188" s="588"/>
    </row>
    <row r="3189" spans="1:10" x14ac:dyDescent="0.3">
      <c r="A3189" s="588"/>
      <c r="B3189" s="588"/>
      <c r="C3189" s="588"/>
      <c r="D3189" s="588"/>
      <c r="E3189" s="588"/>
      <c r="F3189" s="588"/>
      <c r="G3189" s="600"/>
      <c r="H3189" s="588"/>
      <c r="I3189" s="588"/>
      <c r="J3189" s="588"/>
    </row>
    <row r="3190" spans="1:10" x14ac:dyDescent="0.3">
      <c r="A3190" s="588"/>
      <c r="B3190" s="588"/>
      <c r="C3190" s="588"/>
      <c r="D3190" s="588"/>
      <c r="E3190" s="588"/>
      <c r="F3190" s="588"/>
      <c r="G3190" s="600"/>
      <c r="H3190" s="588"/>
      <c r="I3190" s="588"/>
      <c r="J3190" s="588"/>
    </row>
    <row r="3191" spans="1:10" x14ac:dyDescent="0.3">
      <c r="A3191" s="588"/>
      <c r="B3191" s="588"/>
      <c r="C3191" s="588"/>
      <c r="D3191" s="588"/>
      <c r="E3191" s="588"/>
      <c r="F3191" s="588"/>
      <c r="G3191" s="600"/>
      <c r="H3191" s="588"/>
      <c r="I3191" s="588"/>
      <c r="J3191" s="588"/>
    </row>
    <row r="3192" spans="1:10" x14ac:dyDescent="0.3">
      <c r="A3192" s="588"/>
      <c r="B3192" s="588"/>
      <c r="C3192" s="588"/>
      <c r="D3192" s="588"/>
      <c r="E3192" s="588"/>
      <c r="F3192" s="588"/>
      <c r="G3192" s="600"/>
      <c r="H3192" s="588"/>
      <c r="I3192" s="588"/>
      <c r="J3192" s="588"/>
    </row>
    <row r="3193" spans="1:10" x14ac:dyDescent="0.3">
      <c r="A3193" s="588"/>
      <c r="B3193" s="588"/>
      <c r="C3193" s="588"/>
      <c r="D3193" s="588"/>
      <c r="E3193" s="588"/>
      <c r="F3193" s="588"/>
      <c r="G3193" s="600"/>
      <c r="H3193" s="588"/>
      <c r="I3193" s="588"/>
      <c r="J3193" s="588"/>
    </row>
    <row r="3194" spans="1:10" x14ac:dyDescent="0.3">
      <c r="A3194" s="588"/>
      <c r="B3194" s="588"/>
      <c r="C3194" s="588"/>
      <c r="D3194" s="588"/>
      <c r="E3194" s="588"/>
      <c r="F3194" s="588"/>
      <c r="G3194" s="600"/>
      <c r="H3194" s="588"/>
      <c r="I3194" s="588"/>
      <c r="J3194" s="588"/>
    </row>
    <row r="3195" spans="1:10" x14ac:dyDescent="0.3">
      <c r="A3195" s="588"/>
      <c r="B3195" s="588"/>
      <c r="C3195" s="588"/>
      <c r="D3195" s="588"/>
      <c r="E3195" s="588"/>
      <c r="F3195" s="588"/>
      <c r="G3195" s="600"/>
      <c r="H3195" s="588"/>
      <c r="I3195" s="588"/>
      <c r="J3195" s="588"/>
    </row>
    <row r="3196" spans="1:10" x14ac:dyDescent="0.3">
      <c r="A3196" s="588"/>
      <c r="B3196" s="588"/>
      <c r="C3196" s="588"/>
      <c r="D3196" s="588"/>
      <c r="E3196" s="588"/>
      <c r="F3196" s="588"/>
      <c r="G3196" s="600"/>
      <c r="H3196" s="588"/>
      <c r="I3196" s="588"/>
      <c r="J3196" s="588"/>
    </row>
    <row r="3197" spans="1:10" x14ac:dyDescent="0.3">
      <c r="A3197" s="588"/>
      <c r="B3197" s="588"/>
      <c r="C3197" s="588"/>
      <c r="D3197" s="588"/>
      <c r="E3197" s="588"/>
      <c r="F3197" s="588"/>
      <c r="G3197" s="600"/>
      <c r="H3197" s="588"/>
      <c r="I3197" s="588"/>
      <c r="J3197" s="588"/>
    </row>
    <row r="3198" spans="1:10" x14ac:dyDescent="0.3">
      <c r="A3198" s="588"/>
      <c r="B3198" s="588"/>
      <c r="C3198" s="588"/>
      <c r="D3198" s="588"/>
      <c r="E3198" s="588"/>
      <c r="F3198" s="588"/>
      <c r="G3198" s="600"/>
      <c r="H3198" s="588"/>
      <c r="I3198" s="588"/>
      <c r="J3198" s="588"/>
    </row>
    <row r="3199" spans="1:10" x14ac:dyDescent="0.3">
      <c r="A3199" s="588"/>
      <c r="B3199" s="588"/>
      <c r="C3199" s="588"/>
      <c r="D3199" s="588"/>
      <c r="E3199" s="588"/>
      <c r="F3199" s="588"/>
      <c r="G3199" s="600"/>
      <c r="H3199" s="588"/>
      <c r="I3199" s="588"/>
      <c r="J3199" s="588"/>
    </row>
    <row r="3200" spans="1:10" x14ac:dyDescent="0.3">
      <c r="A3200" s="588"/>
      <c r="B3200" s="588"/>
      <c r="C3200" s="588"/>
      <c r="D3200" s="588"/>
      <c r="E3200" s="588"/>
      <c r="F3200" s="588"/>
      <c r="G3200" s="600"/>
      <c r="H3200" s="588"/>
      <c r="I3200" s="588"/>
      <c r="J3200" s="588"/>
    </row>
    <row r="3201" spans="1:10" x14ac:dyDescent="0.3">
      <c r="A3201" s="588"/>
      <c r="B3201" s="588"/>
      <c r="C3201" s="588"/>
      <c r="D3201" s="588"/>
      <c r="E3201" s="588"/>
      <c r="F3201" s="588"/>
      <c r="G3201" s="600"/>
      <c r="H3201" s="588"/>
      <c r="I3201" s="588"/>
      <c r="J3201" s="588"/>
    </row>
    <row r="3202" spans="1:10" x14ac:dyDescent="0.3">
      <c r="A3202" s="588"/>
      <c r="B3202" s="588"/>
      <c r="C3202" s="588"/>
      <c r="D3202" s="588"/>
      <c r="E3202" s="588"/>
      <c r="F3202" s="588"/>
      <c r="G3202" s="600"/>
      <c r="H3202" s="588"/>
      <c r="I3202" s="588"/>
      <c r="J3202" s="588"/>
    </row>
    <row r="3203" spans="1:10" x14ac:dyDescent="0.3">
      <c r="A3203" s="588"/>
      <c r="B3203" s="588"/>
      <c r="C3203" s="588"/>
      <c r="D3203" s="588"/>
      <c r="E3203" s="588"/>
      <c r="F3203" s="588"/>
      <c r="G3203" s="600"/>
      <c r="H3203" s="588"/>
      <c r="I3203" s="588"/>
      <c r="J3203" s="588"/>
    </row>
    <row r="3204" spans="1:10" x14ac:dyDescent="0.3">
      <c r="A3204" s="588"/>
      <c r="B3204" s="588"/>
      <c r="C3204" s="588"/>
      <c r="D3204" s="588"/>
      <c r="E3204" s="588"/>
      <c r="F3204" s="588"/>
      <c r="G3204" s="600"/>
      <c r="H3204" s="588"/>
      <c r="I3204" s="588"/>
      <c r="J3204" s="588"/>
    </row>
    <row r="3205" spans="1:10" x14ac:dyDescent="0.3">
      <c r="A3205" s="588"/>
      <c r="B3205" s="588"/>
      <c r="C3205" s="588"/>
      <c r="D3205" s="588"/>
      <c r="E3205" s="588"/>
      <c r="F3205" s="588"/>
      <c r="G3205" s="600"/>
      <c r="H3205" s="588"/>
      <c r="I3205" s="588"/>
      <c r="J3205" s="588"/>
    </row>
    <row r="3206" spans="1:10" x14ac:dyDescent="0.3">
      <c r="A3206" s="588"/>
      <c r="B3206" s="588"/>
      <c r="C3206" s="588"/>
      <c r="D3206" s="588"/>
      <c r="E3206" s="588"/>
      <c r="F3206" s="588"/>
      <c r="G3206" s="600"/>
      <c r="H3206" s="588"/>
      <c r="I3206" s="588"/>
      <c r="J3206" s="588"/>
    </row>
    <row r="3207" spans="1:10" x14ac:dyDescent="0.3">
      <c r="A3207" s="588"/>
      <c r="B3207" s="588"/>
      <c r="C3207" s="588"/>
      <c r="D3207" s="588"/>
      <c r="E3207" s="588"/>
      <c r="F3207" s="588"/>
      <c r="G3207" s="600"/>
      <c r="H3207" s="588"/>
      <c r="I3207" s="588"/>
      <c r="J3207" s="588"/>
    </row>
    <row r="3208" spans="1:10" x14ac:dyDescent="0.3">
      <c r="A3208" s="588"/>
      <c r="B3208" s="588"/>
      <c r="C3208" s="588"/>
      <c r="D3208" s="588"/>
      <c r="E3208" s="588"/>
      <c r="F3208" s="588"/>
      <c r="G3208" s="600"/>
      <c r="H3208" s="588"/>
      <c r="I3208" s="588"/>
      <c r="J3208" s="588"/>
    </row>
    <row r="3209" spans="1:10" x14ac:dyDescent="0.3">
      <c r="A3209" s="588"/>
      <c r="B3209" s="588"/>
      <c r="C3209" s="588"/>
      <c r="D3209" s="588"/>
      <c r="E3209" s="588"/>
      <c r="F3209" s="588"/>
      <c r="G3209" s="600"/>
      <c r="H3209" s="588"/>
      <c r="I3209" s="588"/>
      <c r="J3209" s="588"/>
    </row>
    <row r="3210" spans="1:10" x14ac:dyDescent="0.3">
      <c r="A3210" s="588"/>
      <c r="B3210" s="588"/>
      <c r="C3210" s="588"/>
      <c r="D3210" s="588"/>
      <c r="E3210" s="588"/>
      <c r="F3210" s="588"/>
      <c r="G3210" s="600"/>
      <c r="H3210" s="588"/>
      <c r="I3210" s="588"/>
      <c r="J3210" s="588"/>
    </row>
    <row r="3211" spans="1:10" x14ac:dyDescent="0.3">
      <c r="A3211" s="588"/>
      <c r="B3211" s="588"/>
      <c r="C3211" s="588"/>
      <c r="D3211" s="588"/>
      <c r="E3211" s="588"/>
      <c r="F3211" s="588"/>
      <c r="G3211" s="600"/>
      <c r="H3211" s="588"/>
      <c r="I3211" s="588"/>
      <c r="J3211" s="588"/>
    </row>
    <row r="3212" spans="1:10" x14ac:dyDescent="0.3">
      <c r="A3212" s="588"/>
      <c r="B3212" s="588"/>
      <c r="C3212" s="588"/>
      <c r="D3212" s="588"/>
      <c r="E3212" s="588"/>
      <c r="F3212" s="588"/>
      <c r="G3212" s="600"/>
      <c r="H3212" s="588"/>
      <c r="I3212" s="588"/>
      <c r="J3212" s="588"/>
    </row>
    <row r="3213" spans="1:10" x14ac:dyDescent="0.3">
      <c r="A3213" s="588"/>
      <c r="B3213" s="588"/>
      <c r="C3213" s="588"/>
      <c r="D3213" s="588"/>
      <c r="E3213" s="588"/>
      <c r="F3213" s="588"/>
      <c r="G3213" s="600"/>
      <c r="H3213" s="588"/>
      <c r="I3213" s="588"/>
      <c r="J3213" s="588"/>
    </row>
    <row r="3214" spans="1:10" x14ac:dyDescent="0.3">
      <c r="A3214" s="588"/>
      <c r="B3214" s="588"/>
      <c r="C3214" s="588"/>
      <c r="D3214" s="588"/>
      <c r="E3214" s="588"/>
      <c r="F3214" s="588"/>
      <c r="G3214" s="600"/>
      <c r="H3214" s="588"/>
      <c r="I3214" s="588"/>
      <c r="J3214" s="588"/>
    </row>
    <row r="3215" spans="1:10" x14ac:dyDescent="0.3">
      <c r="A3215" s="588"/>
      <c r="B3215" s="588"/>
      <c r="C3215" s="588"/>
      <c r="D3215" s="588"/>
      <c r="E3215" s="588"/>
      <c r="F3215" s="588"/>
      <c r="G3215" s="600"/>
      <c r="H3215" s="588"/>
      <c r="I3215" s="588"/>
      <c r="J3215" s="588"/>
    </row>
    <row r="3216" spans="1:10" x14ac:dyDescent="0.3">
      <c r="A3216" s="588"/>
      <c r="B3216" s="588"/>
      <c r="C3216" s="588"/>
      <c r="D3216" s="588"/>
      <c r="E3216" s="588"/>
      <c r="F3216" s="588"/>
      <c r="G3216" s="600"/>
      <c r="H3216" s="588"/>
      <c r="I3216" s="588"/>
      <c r="J3216" s="588"/>
    </row>
    <row r="3217" spans="1:10" x14ac:dyDescent="0.3">
      <c r="A3217" s="588"/>
      <c r="B3217" s="588"/>
      <c r="C3217" s="588"/>
      <c r="D3217" s="588"/>
      <c r="E3217" s="588"/>
      <c r="F3217" s="588"/>
      <c r="G3217" s="600"/>
      <c r="H3217" s="588"/>
      <c r="I3217" s="588"/>
      <c r="J3217" s="588"/>
    </row>
    <row r="3218" spans="1:10" x14ac:dyDescent="0.3">
      <c r="A3218" s="588"/>
      <c r="B3218" s="588"/>
      <c r="C3218" s="588"/>
      <c r="D3218" s="588"/>
      <c r="E3218" s="588"/>
      <c r="F3218" s="588"/>
      <c r="G3218" s="600"/>
      <c r="H3218" s="588"/>
      <c r="I3218" s="588"/>
      <c r="J3218" s="588"/>
    </row>
    <row r="3219" spans="1:10" x14ac:dyDescent="0.3">
      <c r="A3219" s="588"/>
      <c r="B3219" s="588"/>
      <c r="C3219" s="588"/>
      <c r="D3219" s="588"/>
      <c r="E3219" s="588"/>
      <c r="F3219" s="588"/>
      <c r="G3219" s="600"/>
      <c r="H3219" s="588"/>
      <c r="I3219" s="588"/>
      <c r="J3219" s="588"/>
    </row>
    <row r="3220" spans="1:10" x14ac:dyDescent="0.3">
      <c r="A3220" s="588"/>
      <c r="B3220" s="588"/>
      <c r="C3220" s="588"/>
      <c r="D3220" s="588"/>
      <c r="E3220" s="588"/>
      <c r="F3220" s="588"/>
      <c r="G3220" s="600"/>
      <c r="H3220" s="588"/>
      <c r="I3220" s="588"/>
      <c r="J3220" s="588"/>
    </row>
    <row r="3221" spans="1:10" x14ac:dyDescent="0.3">
      <c r="A3221" s="588"/>
      <c r="B3221" s="588"/>
      <c r="C3221" s="588"/>
      <c r="D3221" s="588"/>
      <c r="E3221" s="588"/>
      <c r="F3221" s="588"/>
      <c r="G3221" s="600"/>
      <c r="H3221" s="588"/>
      <c r="I3221" s="588"/>
      <c r="J3221" s="588"/>
    </row>
    <row r="3222" spans="1:10" x14ac:dyDescent="0.3">
      <c r="A3222" s="588"/>
      <c r="B3222" s="588"/>
      <c r="C3222" s="588"/>
      <c r="D3222" s="588"/>
      <c r="E3222" s="588"/>
      <c r="F3222" s="588"/>
      <c r="G3222" s="600"/>
      <c r="H3222" s="588"/>
      <c r="I3222" s="588"/>
      <c r="J3222" s="588"/>
    </row>
    <row r="3223" spans="1:10" x14ac:dyDescent="0.3">
      <c r="A3223" s="588"/>
      <c r="B3223" s="588"/>
      <c r="C3223" s="588"/>
      <c r="D3223" s="588"/>
      <c r="E3223" s="588"/>
      <c r="F3223" s="588"/>
      <c r="G3223" s="600"/>
      <c r="H3223" s="588"/>
      <c r="I3223" s="588"/>
      <c r="J3223" s="588"/>
    </row>
    <row r="3224" spans="1:10" x14ac:dyDescent="0.3">
      <c r="A3224" s="588"/>
      <c r="B3224" s="588"/>
      <c r="C3224" s="588"/>
      <c r="D3224" s="588"/>
      <c r="E3224" s="588"/>
      <c r="F3224" s="588"/>
      <c r="G3224" s="600"/>
      <c r="H3224" s="588"/>
      <c r="I3224" s="588"/>
      <c r="J3224" s="588"/>
    </row>
    <row r="3225" spans="1:10" x14ac:dyDescent="0.3">
      <c r="A3225" s="588"/>
      <c r="B3225" s="588"/>
      <c r="C3225" s="588"/>
      <c r="D3225" s="588"/>
      <c r="E3225" s="588"/>
      <c r="F3225" s="588"/>
      <c r="G3225" s="600"/>
      <c r="H3225" s="588"/>
      <c r="I3225" s="588"/>
      <c r="J3225" s="588"/>
    </row>
    <row r="3226" spans="1:10" x14ac:dyDescent="0.3">
      <c r="A3226" s="588"/>
      <c r="B3226" s="588"/>
      <c r="C3226" s="588"/>
      <c r="D3226" s="588"/>
      <c r="E3226" s="588"/>
      <c r="F3226" s="588"/>
      <c r="G3226" s="600"/>
      <c r="H3226" s="588"/>
      <c r="I3226" s="588"/>
      <c r="J3226" s="588"/>
    </row>
    <row r="3227" spans="1:10" x14ac:dyDescent="0.3">
      <c r="A3227" s="588"/>
      <c r="B3227" s="588"/>
      <c r="C3227" s="588"/>
      <c r="D3227" s="588"/>
      <c r="E3227" s="588"/>
      <c r="F3227" s="588"/>
      <c r="G3227" s="600"/>
      <c r="H3227" s="588"/>
      <c r="I3227" s="588"/>
      <c r="J3227" s="588"/>
    </row>
    <row r="3228" spans="1:10" x14ac:dyDescent="0.3">
      <c r="A3228" s="588"/>
      <c r="B3228" s="588"/>
      <c r="C3228" s="588"/>
      <c r="D3228" s="588"/>
      <c r="E3228" s="588"/>
      <c r="F3228" s="588"/>
      <c r="G3228" s="600"/>
      <c r="H3228" s="588"/>
      <c r="I3228" s="588"/>
      <c r="J3228" s="588"/>
    </row>
    <row r="3229" spans="1:10" x14ac:dyDescent="0.3">
      <c r="A3229" s="588"/>
      <c r="B3229" s="588"/>
      <c r="C3229" s="588"/>
      <c r="D3229" s="588"/>
      <c r="E3229" s="588"/>
      <c r="F3229" s="588"/>
      <c r="G3229" s="600"/>
      <c r="H3229" s="588"/>
      <c r="I3229" s="588"/>
      <c r="J3229" s="588"/>
    </row>
    <row r="3230" spans="1:10" x14ac:dyDescent="0.3">
      <c r="A3230" s="588"/>
      <c r="B3230" s="588"/>
      <c r="C3230" s="588"/>
      <c r="D3230" s="588"/>
      <c r="E3230" s="588"/>
      <c r="F3230" s="588"/>
      <c r="G3230" s="600"/>
      <c r="H3230" s="588"/>
      <c r="I3230" s="588"/>
      <c r="J3230" s="588"/>
    </row>
    <row r="3231" spans="1:10" x14ac:dyDescent="0.3">
      <c r="A3231" s="588"/>
      <c r="B3231" s="588"/>
      <c r="C3231" s="588"/>
      <c r="D3231" s="588"/>
      <c r="E3231" s="588"/>
      <c r="F3231" s="588"/>
      <c r="G3231" s="600"/>
      <c r="H3231" s="588"/>
      <c r="I3231" s="588"/>
      <c r="J3231" s="588"/>
    </row>
    <row r="3232" spans="1:10" x14ac:dyDescent="0.3">
      <c r="A3232" s="588"/>
      <c r="B3232" s="588"/>
      <c r="C3232" s="588"/>
      <c r="D3232" s="588"/>
      <c r="E3232" s="588"/>
      <c r="F3232" s="588"/>
      <c r="G3232" s="600"/>
      <c r="H3232" s="588"/>
      <c r="I3232" s="588"/>
      <c r="J3232" s="588"/>
    </row>
    <row r="3233" spans="1:10" x14ac:dyDescent="0.3">
      <c r="A3233" s="588"/>
      <c r="B3233" s="588"/>
      <c r="C3233" s="588"/>
      <c r="D3233" s="588"/>
      <c r="E3233" s="588"/>
      <c r="F3233" s="588"/>
      <c r="G3233" s="600"/>
      <c r="H3233" s="588"/>
      <c r="I3233" s="588"/>
      <c r="J3233" s="588"/>
    </row>
    <row r="3234" spans="1:10" x14ac:dyDescent="0.3">
      <c r="A3234" s="588"/>
      <c r="B3234" s="588"/>
      <c r="C3234" s="588"/>
      <c r="D3234" s="588"/>
      <c r="E3234" s="588"/>
      <c r="F3234" s="588"/>
      <c r="G3234" s="600"/>
      <c r="H3234" s="588"/>
      <c r="I3234" s="588"/>
      <c r="J3234" s="588"/>
    </row>
    <row r="3235" spans="1:10" x14ac:dyDescent="0.3">
      <c r="A3235" s="588"/>
      <c r="B3235" s="588"/>
      <c r="C3235" s="588"/>
      <c r="D3235" s="588"/>
      <c r="E3235" s="588"/>
      <c r="F3235" s="588"/>
      <c r="G3235" s="600"/>
      <c r="H3235" s="588"/>
      <c r="I3235" s="588"/>
      <c r="J3235" s="588"/>
    </row>
    <row r="3236" spans="1:10" x14ac:dyDescent="0.3">
      <c r="A3236" s="588"/>
      <c r="B3236" s="588"/>
      <c r="C3236" s="588"/>
      <c r="D3236" s="588"/>
      <c r="E3236" s="588"/>
      <c r="F3236" s="588"/>
      <c r="G3236" s="600"/>
      <c r="H3236" s="588"/>
      <c r="I3236" s="588"/>
      <c r="J3236" s="588"/>
    </row>
    <row r="3237" spans="1:10" x14ac:dyDescent="0.3">
      <c r="A3237" s="588"/>
      <c r="B3237" s="588"/>
      <c r="C3237" s="588"/>
      <c r="D3237" s="588"/>
      <c r="E3237" s="588"/>
      <c r="F3237" s="588"/>
      <c r="G3237" s="600"/>
      <c r="H3237" s="588"/>
      <c r="I3237" s="588"/>
      <c r="J3237" s="588"/>
    </row>
    <row r="3238" spans="1:10" x14ac:dyDescent="0.3">
      <c r="A3238" s="588"/>
      <c r="B3238" s="588"/>
      <c r="C3238" s="588"/>
      <c r="D3238" s="588"/>
      <c r="E3238" s="588"/>
      <c r="F3238" s="588"/>
      <c r="G3238" s="600"/>
      <c r="H3238" s="588"/>
      <c r="I3238" s="588"/>
      <c r="J3238" s="588"/>
    </row>
    <row r="3239" spans="1:10" x14ac:dyDescent="0.3">
      <c r="A3239" s="588"/>
      <c r="B3239" s="588"/>
      <c r="C3239" s="588"/>
      <c r="D3239" s="588"/>
      <c r="E3239" s="588"/>
      <c r="F3239" s="588"/>
      <c r="G3239" s="600"/>
      <c r="H3239" s="588"/>
      <c r="I3239" s="588"/>
      <c r="J3239" s="588"/>
    </row>
    <row r="3240" spans="1:10" x14ac:dyDescent="0.3">
      <c r="A3240" s="588"/>
      <c r="B3240" s="588"/>
      <c r="C3240" s="588"/>
      <c r="D3240" s="588"/>
      <c r="E3240" s="588"/>
      <c r="F3240" s="588"/>
      <c r="G3240" s="600"/>
      <c r="H3240" s="588"/>
      <c r="I3240" s="588"/>
      <c r="J3240" s="588"/>
    </row>
    <row r="3241" spans="1:10" x14ac:dyDescent="0.3">
      <c r="A3241" s="588"/>
      <c r="B3241" s="588"/>
      <c r="C3241" s="588"/>
      <c r="D3241" s="588"/>
      <c r="E3241" s="588"/>
      <c r="F3241" s="588"/>
      <c r="G3241" s="600"/>
      <c r="H3241" s="588"/>
      <c r="I3241" s="588"/>
      <c r="J3241" s="588"/>
    </row>
    <row r="3242" spans="1:10" x14ac:dyDescent="0.3">
      <c r="A3242" s="588"/>
      <c r="B3242" s="588"/>
      <c r="C3242" s="588"/>
      <c r="D3242" s="588"/>
      <c r="E3242" s="588"/>
      <c r="F3242" s="588"/>
      <c r="G3242" s="600"/>
      <c r="H3242" s="588"/>
      <c r="I3242" s="588"/>
      <c r="J3242" s="588"/>
    </row>
    <row r="3243" spans="1:10" x14ac:dyDescent="0.3">
      <c r="A3243" s="588"/>
      <c r="B3243" s="588"/>
      <c r="C3243" s="588"/>
      <c r="D3243" s="588"/>
      <c r="E3243" s="588"/>
      <c r="F3243" s="588"/>
      <c r="G3243" s="600"/>
      <c r="H3243" s="588"/>
      <c r="I3243" s="588"/>
      <c r="J3243" s="588"/>
    </row>
    <row r="3244" spans="1:10" x14ac:dyDescent="0.3">
      <c r="A3244" s="588"/>
      <c r="B3244" s="588"/>
      <c r="C3244" s="588"/>
      <c r="D3244" s="588"/>
      <c r="E3244" s="588"/>
      <c r="F3244" s="588"/>
      <c r="G3244" s="600"/>
      <c r="H3244" s="588"/>
      <c r="I3244" s="588"/>
      <c r="J3244" s="588"/>
    </row>
    <row r="3245" spans="1:10" x14ac:dyDescent="0.3">
      <c r="A3245" s="588"/>
      <c r="B3245" s="588"/>
      <c r="C3245" s="588"/>
      <c r="D3245" s="588"/>
      <c r="E3245" s="588"/>
      <c r="F3245" s="588"/>
      <c r="G3245" s="600"/>
      <c r="H3245" s="588"/>
      <c r="I3245" s="588"/>
      <c r="J3245" s="588"/>
    </row>
    <row r="3246" spans="1:10" x14ac:dyDescent="0.3">
      <c r="A3246" s="588"/>
      <c r="B3246" s="588"/>
      <c r="C3246" s="588"/>
      <c r="D3246" s="588"/>
      <c r="E3246" s="588"/>
      <c r="F3246" s="588"/>
      <c r="G3246" s="600"/>
      <c r="H3246" s="588"/>
      <c r="I3246" s="588"/>
      <c r="J3246" s="588"/>
    </row>
    <row r="3247" spans="1:10" x14ac:dyDescent="0.3">
      <c r="A3247" s="588"/>
      <c r="B3247" s="588"/>
      <c r="C3247" s="588"/>
      <c r="D3247" s="588"/>
      <c r="E3247" s="588"/>
      <c r="F3247" s="588"/>
      <c r="G3247" s="600"/>
      <c r="H3247" s="588"/>
      <c r="I3247" s="588"/>
      <c r="J3247" s="588"/>
    </row>
    <row r="3248" spans="1:10" x14ac:dyDescent="0.3">
      <c r="A3248" s="588"/>
      <c r="B3248" s="588"/>
      <c r="C3248" s="588"/>
      <c r="D3248" s="588"/>
      <c r="E3248" s="588"/>
      <c r="F3248" s="588"/>
      <c r="G3248" s="600"/>
      <c r="H3248" s="588"/>
      <c r="I3248" s="588"/>
      <c r="J3248" s="588"/>
    </row>
    <row r="3249" spans="1:10" x14ac:dyDescent="0.3">
      <c r="A3249" s="588"/>
      <c r="B3249" s="588"/>
      <c r="C3249" s="588"/>
      <c r="D3249" s="588"/>
      <c r="E3249" s="588"/>
      <c r="F3249" s="588"/>
      <c r="G3249" s="600"/>
      <c r="H3249" s="588"/>
      <c r="I3249" s="588"/>
      <c r="J3249" s="588"/>
    </row>
    <row r="3250" spans="1:10" x14ac:dyDescent="0.3">
      <c r="A3250" s="588"/>
      <c r="B3250" s="588"/>
      <c r="C3250" s="588"/>
      <c r="D3250" s="588"/>
      <c r="E3250" s="588"/>
      <c r="F3250" s="588"/>
      <c r="G3250" s="600"/>
      <c r="H3250" s="588"/>
      <c r="I3250" s="588"/>
      <c r="J3250" s="588"/>
    </row>
    <row r="3251" spans="1:10" x14ac:dyDescent="0.3">
      <c r="A3251" s="588"/>
      <c r="B3251" s="588"/>
      <c r="C3251" s="588"/>
      <c r="D3251" s="588"/>
      <c r="E3251" s="588"/>
      <c r="F3251" s="588"/>
      <c r="G3251" s="600"/>
      <c r="H3251" s="588"/>
      <c r="I3251" s="588"/>
      <c r="J3251" s="588"/>
    </row>
    <row r="3252" spans="1:10" x14ac:dyDescent="0.3">
      <c r="A3252" s="588"/>
      <c r="B3252" s="588"/>
      <c r="C3252" s="588"/>
      <c r="D3252" s="588"/>
      <c r="E3252" s="588"/>
      <c r="F3252" s="588"/>
      <c r="G3252" s="600"/>
      <c r="H3252" s="588"/>
      <c r="I3252" s="588"/>
      <c r="J3252" s="588"/>
    </row>
    <row r="3253" spans="1:10" x14ac:dyDescent="0.3">
      <c r="A3253" s="588"/>
      <c r="B3253" s="588"/>
      <c r="C3253" s="588"/>
      <c r="D3253" s="588"/>
      <c r="E3253" s="588"/>
      <c r="F3253" s="588"/>
      <c r="G3253" s="600"/>
      <c r="H3253" s="588"/>
      <c r="I3253" s="588"/>
      <c r="J3253" s="588"/>
    </row>
    <row r="3254" spans="1:10" x14ac:dyDescent="0.3">
      <c r="A3254" s="588"/>
      <c r="B3254" s="588"/>
      <c r="C3254" s="588"/>
      <c r="D3254" s="588"/>
      <c r="E3254" s="588"/>
      <c r="F3254" s="588"/>
      <c r="G3254" s="600"/>
      <c r="H3254" s="588"/>
      <c r="I3254" s="588"/>
      <c r="J3254" s="588"/>
    </row>
    <row r="3255" spans="1:10" x14ac:dyDescent="0.3">
      <c r="A3255" s="588"/>
      <c r="B3255" s="588"/>
      <c r="C3255" s="588"/>
      <c r="D3255" s="588"/>
      <c r="E3255" s="588"/>
      <c r="F3255" s="588"/>
      <c r="G3255" s="600"/>
      <c r="H3255" s="588"/>
      <c r="I3255" s="588"/>
      <c r="J3255" s="588"/>
    </row>
    <row r="3256" spans="1:10" x14ac:dyDescent="0.3">
      <c r="A3256" s="588"/>
      <c r="B3256" s="588"/>
      <c r="C3256" s="588"/>
      <c r="D3256" s="588"/>
      <c r="E3256" s="588"/>
      <c r="F3256" s="588"/>
      <c r="G3256" s="600"/>
      <c r="H3256" s="588"/>
      <c r="I3256" s="588"/>
      <c r="J3256" s="588"/>
    </row>
    <row r="3257" spans="1:10" x14ac:dyDescent="0.3">
      <c r="A3257" s="588"/>
      <c r="B3257" s="588"/>
      <c r="C3257" s="588"/>
      <c r="D3257" s="588"/>
      <c r="E3257" s="588"/>
      <c r="F3257" s="588"/>
      <c r="G3257" s="600"/>
      <c r="H3257" s="588"/>
      <c r="I3257" s="588"/>
      <c r="J3257" s="588"/>
    </row>
    <row r="3258" spans="1:10" x14ac:dyDescent="0.3">
      <c r="A3258" s="588"/>
      <c r="B3258" s="588"/>
      <c r="C3258" s="588"/>
      <c r="D3258" s="588"/>
      <c r="E3258" s="588"/>
      <c r="F3258" s="588"/>
      <c r="G3258" s="600"/>
      <c r="H3258" s="588"/>
      <c r="I3258" s="588"/>
      <c r="J3258" s="588"/>
    </row>
    <row r="3259" spans="1:10" x14ac:dyDescent="0.3">
      <c r="A3259" s="588"/>
      <c r="B3259" s="588"/>
      <c r="C3259" s="588"/>
      <c r="D3259" s="588"/>
      <c r="E3259" s="588"/>
      <c r="F3259" s="588"/>
      <c r="G3259" s="600"/>
      <c r="H3259" s="588"/>
      <c r="I3259" s="588"/>
      <c r="J3259" s="588"/>
    </row>
    <row r="3260" spans="1:10" x14ac:dyDescent="0.3">
      <c r="A3260" s="588"/>
      <c r="B3260" s="588"/>
      <c r="C3260" s="588"/>
      <c r="D3260" s="588"/>
      <c r="E3260" s="588"/>
      <c r="F3260" s="588"/>
      <c r="G3260" s="600"/>
      <c r="H3260" s="588"/>
      <c r="I3260" s="588"/>
      <c r="J3260" s="588"/>
    </row>
    <row r="3261" spans="1:10" x14ac:dyDescent="0.3">
      <c r="A3261" s="588"/>
      <c r="B3261" s="588"/>
      <c r="C3261" s="588"/>
      <c r="D3261" s="588"/>
      <c r="E3261" s="588"/>
      <c r="F3261" s="588"/>
      <c r="G3261" s="600"/>
      <c r="H3261" s="588"/>
      <c r="I3261" s="588"/>
      <c r="J3261" s="588"/>
    </row>
    <row r="3262" spans="1:10" x14ac:dyDescent="0.3">
      <c r="A3262" s="588"/>
      <c r="B3262" s="588"/>
      <c r="C3262" s="588"/>
      <c r="D3262" s="588"/>
      <c r="E3262" s="588"/>
      <c r="F3262" s="588"/>
      <c r="G3262" s="600"/>
      <c r="H3262" s="588"/>
      <c r="I3262" s="588"/>
      <c r="J3262" s="588"/>
    </row>
    <row r="3263" spans="1:10" x14ac:dyDescent="0.3">
      <c r="A3263" s="588"/>
      <c r="B3263" s="588"/>
      <c r="C3263" s="588"/>
      <c r="D3263" s="588"/>
      <c r="E3263" s="588"/>
      <c r="F3263" s="588"/>
      <c r="G3263" s="600"/>
      <c r="H3263" s="588"/>
      <c r="I3263" s="588"/>
      <c r="J3263" s="588"/>
    </row>
    <row r="3264" spans="1:10" x14ac:dyDescent="0.3">
      <c r="A3264" s="588"/>
      <c r="B3264" s="588"/>
      <c r="C3264" s="588"/>
      <c r="D3264" s="588"/>
      <c r="E3264" s="588"/>
      <c r="F3264" s="588"/>
      <c r="G3264" s="600"/>
      <c r="H3264" s="588"/>
      <c r="I3264" s="588"/>
      <c r="J3264" s="588"/>
    </row>
    <row r="3265" spans="1:10" x14ac:dyDescent="0.3">
      <c r="A3265" s="588"/>
      <c r="B3265" s="588"/>
      <c r="C3265" s="588"/>
      <c r="D3265" s="588"/>
      <c r="E3265" s="588"/>
      <c r="F3265" s="588"/>
      <c r="G3265" s="600"/>
      <c r="H3265" s="588"/>
      <c r="I3265" s="588"/>
      <c r="J3265" s="588"/>
    </row>
    <row r="3266" spans="1:10" x14ac:dyDescent="0.3">
      <c r="A3266" s="588"/>
      <c r="B3266" s="588"/>
      <c r="C3266" s="588"/>
      <c r="D3266" s="588"/>
      <c r="E3266" s="588"/>
      <c r="F3266" s="588"/>
      <c r="G3266" s="600"/>
      <c r="H3266" s="588"/>
      <c r="I3266" s="588"/>
      <c r="J3266" s="588"/>
    </row>
    <row r="3267" spans="1:10" x14ac:dyDescent="0.3">
      <c r="A3267" s="588"/>
      <c r="B3267" s="588"/>
      <c r="C3267" s="588"/>
      <c r="D3267" s="588"/>
      <c r="E3267" s="588"/>
      <c r="F3267" s="588"/>
      <c r="G3267" s="600"/>
      <c r="H3267" s="588"/>
      <c r="I3267" s="588"/>
      <c r="J3267" s="588"/>
    </row>
    <row r="3268" spans="1:10" x14ac:dyDescent="0.3">
      <c r="A3268" s="588"/>
      <c r="B3268" s="588"/>
      <c r="C3268" s="588"/>
      <c r="D3268" s="588"/>
      <c r="E3268" s="588"/>
      <c r="F3268" s="588"/>
      <c r="G3268" s="600"/>
      <c r="H3268" s="588"/>
      <c r="I3268" s="588"/>
      <c r="J3268" s="588"/>
    </row>
    <row r="3269" spans="1:10" x14ac:dyDescent="0.3">
      <c r="A3269" s="588"/>
      <c r="B3269" s="588"/>
      <c r="C3269" s="588"/>
      <c r="D3269" s="588"/>
      <c r="E3269" s="588"/>
      <c r="F3269" s="588"/>
      <c r="G3269" s="600"/>
      <c r="H3269" s="588"/>
      <c r="I3269" s="588"/>
      <c r="J3269" s="588"/>
    </row>
    <row r="3270" spans="1:10" x14ac:dyDescent="0.3">
      <c r="A3270" s="588"/>
      <c r="B3270" s="588"/>
      <c r="C3270" s="588"/>
      <c r="D3270" s="588"/>
      <c r="E3270" s="588"/>
      <c r="F3270" s="588"/>
      <c r="G3270" s="600"/>
      <c r="H3270" s="588"/>
      <c r="I3270" s="588"/>
      <c r="J3270" s="588"/>
    </row>
    <row r="3271" spans="1:10" x14ac:dyDescent="0.3">
      <c r="A3271" s="588"/>
      <c r="B3271" s="588"/>
      <c r="C3271" s="588"/>
      <c r="D3271" s="588"/>
      <c r="E3271" s="588"/>
      <c r="F3271" s="588"/>
      <c r="G3271" s="600"/>
      <c r="H3271" s="588"/>
      <c r="I3271" s="588"/>
      <c r="J3271" s="588"/>
    </row>
    <row r="3272" spans="1:10" x14ac:dyDescent="0.3">
      <c r="A3272" s="588"/>
      <c r="B3272" s="588"/>
      <c r="C3272" s="588"/>
      <c r="D3272" s="588"/>
      <c r="E3272" s="588"/>
      <c r="F3272" s="588"/>
      <c r="G3272" s="600"/>
      <c r="H3272" s="588"/>
      <c r="I3272" s="588"/>
      <c r="J3272" s="588"/>
    </row>
    <row r="3273" spans="1:10" x14ac:dyDescent="0.3">
      <c r="A3273" s="588"/>
      <c r="B3273" s="588"/>
      <c r="C3273" s="588"/>
      <c r="D3273" s="588"/>
      <c r="E3273" s="588"/>
      <c r="F3273" s="588"/>
      <c r="G3273" s="600"/>
      <c r="H3273" s="588"/>
      <c r="I3273" s="588"/>
      <c r="J3273" s="588"/>
    </row>
    <row r="3274" spans="1:10" x14ac:dyDescent="0.3">
      <c r="A3274" s="588"/>
      <c r="B3274" s="588"/>
      <c r="C3274" s="588"/>
      <c r="D3274" s="588"/>
      <c r="E3274" s="588"/>
      <c r="F3274" s="588"/>
      <c r="G3274" s="600"/>
      <c r="H3274" s="588"/>
      <c r="I3274" s="588"/>
      <c r="J3274" s="588"/>
    </row>
    <row r="3275" spans="1:10" x14ac:dyDescent="0.3">
      <c r="A3275" s="588"/>
      <c r="B3275" s="588"/>
      <c r="C3275" s="588"/>
      <c r="D3275" s="588"/>
      <c r="E3275" s="588"/>
      <c r="F3275" s="588"/>
      <c r="G3275" s="600"/>
      <c r="H3275" s="588"/>
      <c r="I3275" s="588"/>
      <c r="J3275" s="588"/>
    </row>
    <row r="3276" spans="1:10" x14ac:dyDescent="0.3">
      <c r="A3276" s="588"/>
      <c r="B3276" s="588"/>
      <c r="C3276" s="588"/>
      <c r="D3276" s="588"/>
      <c r="E3276" s="588"/>
      <c r="F3276" s="588"/>
      <c r="G3276" s="600"/>
      <c r="H3276" s="588"/>
      <c r="I3276" s="588"/>
      <c r="J3276" s="588"/>
    </row>
    <row r="3277" spans="1:10" x14ac:dyDescent="0.3">
      <c r="A3277" s="588"/>
      <c r="B3277" s="588"/>
      <c r="C3277" s="588"/>
      <c r="D3277" s="588"/>
      <c r="E3277" s="588"/>
      <c r="F3277" s="588"/>
      <c r="G3277" s="600"/>
      <c r="H3277" s="588"/>
      <c r="I3277" s="588"/>
      <c r="J3277" s="588"/>
    </row>
    <row r="3278" spans="1:10" x14ac:dyDescent="0.3">
      <c r="A3278" s="588"/>
      <c r="B3278" s="588"/>
      <c r="C3278" s="588"/>
      <c r="D3278" s="588"/>
      <c r="E3278" s="588"/>
      <c r="F3278" s="588"/>
      <c r="G3278" s="600"/>
      <c r="H3278" s="588"/>
      <c r="I3278" s="588"/>
      <c r="J3278" s="588"/>
    </row>
    <row r="3279" spans="1:10" x14ac:dyDescent="0.3">
      <c r="A3279" s="588"/>
      <c r="B3279" s="588"/>
      <c r="C3279" s="588"/>
      <c r="D3279" s="588"/>
      <c r="E3279" s="588"/>
      <c r="F3279" s="588"/>
      <c r="G3279" s="600"/>
      <c r="H3279" s="588"/>
      <c r="I3279" s="588"/>
      <c r="J3279" s="588"/>
    </row>
    <row r="3280" spans="1:10" x14ac:dyDescent="0.3">
      <c r="A3280" s="588"/>
      <c r="B3280" s="588"/>
      <c r="C3280" s="588"/>
      <c r="D3280" s="588"/>
      <c r="E3280" s="588"/>
      <c r="F3280" s="588"/>
      <c r="G3280" s="600"/>
      <c r="H3280" s="588"/>
      <c r="I3280" s="588"/>
      <c r="J3280" s="588"/>
    </row>
    <row r="3281" spans="1:10" x14ac:dyDescent="0.3">
      <c r="A3281" s="588"/>
      <c r="B3281" s="588"/>
      <c r="C3281" s="588"/>
      <c r="D3281" s="588"/>
      <c r="E3281" s="588"/>
      <c r="F3281" s="588"/>
      <c r="G3281" s="600"/>
      <c r="H3281" s="588"/>
      <c r="I3281" s="588"/>
      <c r="J3281" s="588"/>
    </row>
    <row r="3282" spans="1:10" x14ac:dyDescent="0.3">
      <c r="A3282" s="588"/>
      <c r="B3282" s="588"/>
      <c r="C3282" s="588"/>
      <c r="D3282" s="588"/>
      <c r="E3282" s="588"/>
      <c r="F3282" s="588"/>
      <c r="G3282" s="600"/>
      <c r="H3282" s="588"/>
      <c r="I3282" s="588"/>
      <c r="J3282" s="588"/>
    </row>
    <row r="3283" spans="1:10" x14ac:dyDescent="0.3">
      <c r="A3283" s="588"/>
      <c r="B3283" s="588"/>
      <c r="C3283" s="588"/>
      <c r="D3283" s="588"/>
      <c r="E3283" s="588"/>
      <c r="F3283" s="588"/>
      <c r="G3283" s="600"/>
      <c r="H3283" s="588"/>
      <c r="I3283" s="588"/>
      <c r="J3283" s="588"/>
    </row>
    <row r="3284" spans="1:10" x14ac:dyDescent="0.3">
      <c r="A3284" s="588"/>
      <c r="B3284" s="588"/>
      <c r="C3284" s="588"/>
      <c r="D3284" s="588"/>
      <c r="E3284" s="588"/>
      <c r="F3284" s="588"/>
      <c r="G3284" s="600"/>
      <c r="H3284" s="588"/>
      <c r="I3284" s="588"/>
      <c r="J3284" s="588"/>
    </row>
    <row r="3285" spans="1:10" x14ac:dyDescent="0.3">
      <c r="A3285" s="588"/>
      <c r="B3285" s="588"/>
      <c r="C3285" s="588"/>
      <c r="D3285" s="588"/>
      <c r="E3285" s="588"/>
      <c r="F3285" s="588"/>
      <c r="G3285" s="600"/>
      <c r="H3285" s="588"/>
      <c r="I3285" s="588"/>
      <c r="J3285" s="588"/>
    </row>
    <row r="3286" spans="1:10" x14ac:dyDescent="0.3">
      <c r="A3286" s="588"/>
      <c r="B3286" s="588"/>
      <c r="C3286" s="588"/>
      <c r="D3286" s="588"/>
      <c r="E3286" s="588"/>
      <c r="F3286" s="588"/>
      <c r="G3286" s="600"/>
      <c r="H3286" s="588"/>
      <c r="I3286" s="588"/>
      <c r="J3286" s="588"/>
    </row>
    <row r="3287" spans="1:10" x14ac:dyDescent="0.3">
      <c r="A3287" s="588"/>
      <c r="B3287" s="588"/>
      <c r="C3287" s="588"/>
      <c r="D3287" s="588"/>
      <c r="E3287" s="588"/>
      <c r="F3287" s="588"/>
      <c r="G3287" s="600"/>
      <c r="H3287" s="588"/>
      <c r="I3287" s="588"/>
      <c r="J3287" s="588"/>
    </row>
    <row r="3288" spans="1:10" x14ac:dyDescent="0.3">
      <c r="A3288" s="588"/>
      <c r="B3288" s="588"/>
      <c r="C3288" s="588"/>
      <c r="D3288" s="588"/>
      <c r="E3288" s="588"/>
      <c r="F3288" s="588"/>
      <c r="G3288" s="600"/>
      <c r="H3288" s="588"/>
      <c r="I3288" s="588"/>
      <c r="J3288" s="588"/>
    </row>
    <row r="3289" spans="1:10" x14ac:dyDescent="0.3">
      <c r="A3289" s="588"/>
      <c r="B3289" s="588"/>
      <c r="C3289" s="588"/>
      <c r="D3289" s="588"/>
      <c r="E3289" s="588"/>
      <c r="F3289" s="588"/>
      <c r="G3289" s="600"/>
      <c r="H3289" s="588"/>
      <c r="I3289" s="588"/>
      <c r="J3289" s="588"/>
    </row>
    <row r="3290" spans="1:10" x14ac:dyDescent="0.3">
      <c r="A3290" s="588"/>
      <c r="B3290" s="588"/>
      <c r="C3290" s="588"/>
      <c r="D3290" s="588"/>
      <c r="E3290" s="588"/>
      <c r="F3290" s="588"/>
      <c r="G3290" s="600"/>
      <c r="H3290" s="588"/>
      <c r="I3290" s="588"/>
      <c r="J3290" s="588"/>
    </row>
    <row r="3291" spans="1:10" x14ac:dyDescent="0.3">
      <c r="A3291" s="588"/>
      <c r="B3291" s="588"/>
      <c r="C3291" s="588"/>
      <c r="D3291" s="588"/>
      <c r="E3291" s="588"/>
      <c r="F3291" s="588"/>
      <c r="G3291" s="600"/>
      <c r="H3291" s="588"/>
      <c r="I3291" s="588"/>
      <c r="J3291" s="588"/>
    </row>
    <row r="3292" spans="1:10" x14ac:dyDescent="0.3">
      <c r="A3292" s="588"/>
      <c r="B3292" s="588"/>
      <c r="C3292" s="588"/>
      <c r="D3292" s="588"/>
      <c r="E3292" s="588"/>
      <c r="F3292" s="588"/>
      <c r="G3292" s="600"/>
      <c r="H3292" s="588"/>
      <c r="I3292" s="588"/>
      <c r="J3292" s="588"/>
    </row>
    <row r="3293" spans="1:10" x14ac:dyDescent="0.3">
      <c r="A3293" s="588"/>
      <c r="B3293" s="588"/>
      <c r="C3293" s="588"/>
      <c r="D3293" s="588"/>
      <c r="E3293" s="588"/>
      <c r="F3293" s="588"/>
      <c r="G3293" s="600"/>
      <c r="H3293" s="588"/>
      <c r="I3293" s="588"/>
      <c r="J3293" s="588"/>
    </row>
    <row r="3294" spans="1:10" x14ac:dyDescent="0.3">
      <c r="A3294" s="588"/>
      <c r="B3294" s="588"/>
      <c r="C3294" s="588"/>
      <c r="D3294" s="588"/>
      <c r="E3294" s="588"/>
      <c r="F3294" s="588"/>
      <c r="G3294" s="600"/>
      <c r="H3294" s="588"/>
      <c r="I3294" s="588"/>
      <c r="J3294" s="588"/>
    </row>
    <row r="3295" spans="1:10" x14ac:dyDescent="0.3">
      <c r="A3295" s="588"/>
      <c r="B3295" s="588"/>
      <c r="C3295" s="588"/>
      <c r="D3295" s="588"/>
      <c r="E3295" s="588"/>
      <c r="F3295" s="588"/>
      <c r="G3295" s="600"/>
      <c r="H3295" s="588"/>
      <c r="I3295" s="588"/>
      <c r="J3295" s="588"/>
    </row>
    <row r="3296" spans="1:10" x14ac:dyDescent="0.3">
      <c r="A3296" s="588"/>
      <c r="B3296" s="588"/>
      <c r="C3296" s="588"/>
      <c r="D3296" s="588"/>
      <c r="E3296" s="588"/>
      <c r="F3296" s="588"/>
      <c r="G3296" s="600"/>
      <c r="H3296" s="588"/>
      <c r="I3296" s="588"/>
      <c r="J3296" s="588"/>
    </row>
    <row r="3297" spans="1:10" x14ac:dyDescent="0.3">
      <c r="A3297" s="588"/>
      <c r="B3297" s="588"/>
      <c r="C3297" s="588"/>
      <c r="D3297" s="588"/>
      <c r="E3297" s="588"/>
      <c r="F3297" s="588"/>
      <c r="G3297" s="600"/>
      <c r="H3297" s="588"/>
      <c r="I3297" s="588"/>
      <c r="J3297" s="588"/>
    </row>
    <row r="3298" spans="1:10" x14ac:dyDescent="0.3">
      <c r="A3298" s="588"/>
      <c r="B3298" s="588"/>
      <c r="C3298" s="588"/>
      <c r="D3298" s="588"/>
      <c r="E3298" s="588"/>
      <c r="F3298" s="588"/>
      <c r="G3298" s="600"/>
      <c r="H3298" s="588"/>
      <c r="I3298" s="588"/>
      <c r="J3298" s="588"/>
    </row>
    <row r="3299" spans="1:10" x14ac:dyDescent="0.3">
      <c r="A3299" s="588"/>
      <c r="B3299" s="588"/>
      <c r="C3299" s="588"/>
      <c r="D3299" s="588"/>
      <c r="E3299" s="588"/>
      <c r="F3299" s="588"/>
      <c r="G3299" s="600"/>
      <c r="H3299" s="588"/>
      <c r="I3299" s="588"/>
      <c r="J3299" s="588"/>
    </row>
    <row r="3300" spans="1:10" x14ac:dyDescent="0.3">
      <c r="A3300" s="588"/>
      <c r="B3300" s="588"/>
      <c r="C3300" s="588"/>
      <c r="D3300" s="588"/>
      <c r="E3300" s="588"/>
      <c r="F3300" s="588"/>
      <c r="G3300" s="600"/>
      <c r="H3300" s="588"/>
      <c r="I3300" s="588"/>
      <c r="J3300" s="588"/>
    </row>
    <row r="3301" spans="1:10" x14ac:dyDescent="0.3">
      <c r="A3301" s="588"/>
      <c r="B3301" s="588"/>
      <c r="C3301" s="588"/>
      <c r="D3301" s="588"/>
      <c r="E3301" s="588"/>
      <c r="F3301" s="588"/>
      <c r="G3301" s="600"/>
      <c r="H3301" s="588"/>
      <c r="I3301" s="588"/>
      <c r="J3301" s="588"/>
    </row>
    <row r="3302" spans="1:10" x14ac:dyDescent="0.3">
      <c r="A3302" s="588"/>
      <c r="B3302" s="588"/>
      <c r="C3302" s="588"/>
      <c r="D3302" s="588"/>
      <c r="E3302" s="588"/>
      <c r="F3302" s="588"/>
      <c r="G3302" s="600"/>
      <c r="H3302" s="588"/>
      <c r="I3302" s="588"/>
      <c r="J3302" s="588"/>
    </row>
    <row r="3303" spans="1:10" x14ac:dyDescent="0.3">
      <c r="A3303" s="588"/>
      <c r="B3303" s="588"/>
      <c r="C3303" s="588"/>
      <c r="D3303" s="588"/>
      <c r="E3303" s="588"/>
      <c r="F3303" s="588"/>
      <c r="G3303" s="600"/>
      <c r="H3303" s="588"/>
      <c r="I3303" s="588"/>
      <c r="J3303" s="588"/>
    </row>
    <row r="3304" spans="1:10" x14ac:dyDescent="0.3">
      <c r="A3304" s="588"/>
      <c r="B3304" s="588"/>
      <c r="C3304" s="588"/>
      <c r="D3304" s="588"/>
      <c r="E3304" s="588"/>
      <c r="F3304" s="588"/>
      <c r="G3304" s="600"/>
      <c r="H3304" s="588"/>
      <c r="I3304" s="588"/>
      <c r="J3304" s="588"/>
    </row>
    <row r="3305" spans="1:10" x14ac:dyDescent="0.3">
      <c r="A3305" s="588"/>
      <c r="B3305" s="588"/>
      <c r="C3305" s="588"/>
      <c r="D3305" s="588"/>
      <c r="E3305" s="588"/>
      <c r="F3305" s="588"/>
      <c r="G3305" s="600"/>
      <c r="H3305" s="588"/>
      <c r="I3305" s="588"/>
      <c r="J3305" s="588"/>
    </row>
    <row r="3306" spans="1:10" x14ac:dyDescent="0.3">
      <c r="A3306" s="588"/>
      <c r="B3306" s="588"/>
      <c r="C3306" s="588"/>
      <c r="D3306" s="588"/>
      <c r="E3306" s="588"/>
      <c r="F3306" s="588"/>
      <c r="G3306" s="600"/>
      <c r="H3306" s="588"/>
      <c r="I3306" s="588"/>
      <c r="J3306" s="588"/>
    </row>
    <row r="3307" spans="1:10" x14ac:dyDescent="0.3">
      <c r="A3307" s="588"/>
      <c r="B3307" s="588"/>
      <c r="C3307" s="588"/>
      <c r="D3307" s="588"/>
      <c r="E3307" s="588"/>
      <c r="F3307" s="588"/>
      <c r="G3307" s="600"/>
      <c r="H3307" s="588"/>
      <c r="I3307" s="588"/>
      <c r="J3307" s="588"/>
    </row>
    <row r="3308" spans="1:10" x14ac:dyDescent="0.3">
      <c r="A3308" s="588"/>
      <c r="B3308" s="588"/>
      <c r="C3308" s="588"/>
      <c r="D3308" s="588"/>
      <c r="E3308" s="588"/>
      <c r="F3308" s="588"/>
      <c r="G3308" s="600"/>
      <c r="H3308" s="588"/>
      <c r="I3308" s="588"/>
      <c r="J3308" s="588"/>
    </row>
    <row r="3309" spans="1:10" x14ac:dyDescent="0.3">
      <c r="A3309" s="588"/>
      <c r="B3309" s="588"/>
      <c r="C3309" s="588"/>
      <c r="D3309" s="588"/>
      <c r="E3309" s="588"/>
      <c r="F3309" s="588"/>
      <c r="G3309" s="600"/>
      <c r="H3309" s="588"/>
      <c r="I3309" s="588"/>
      <c r="J3309" s="588"/>
    </row>
    <row r="3310" spans="1:10" x14ac:dyDescent="0.3">
      <c r="A3310" s="588"/>
      <c r="B3310" s="588"/>
      <c r="C3310" s="588"/>
      <c r="D3310" s="588"/>
      <c r="E3310" s="588"/>
      <c r="F3310" s="588"/>
      <c r="G3310" s="600"/>
      <c r="H3310" s="588"/>
      <c r="I3310" s="588"/>
      <c r="J3310" s="588"/>
    </row>
    <row r="3311" spans="1:10" x14ac:dyDescent="0.3">
      <c r="A3311" s="588"/>
      <c r="B3311" s="588"/>
      <c r="C3311" s="588"/>
      <c r="D3311" s="588"/>
      <c r="E3311" s="588"/>
      <c r="F3311" s="588"/>
      <c r="G3311" s="600"/>
      <c r="H3311" s="588"/>
      <c r="I3311" s="588"/>
      <c r="J3311" s="588"/>
    </row>
    <row r="3312" spans="1:10" x14ac:dyDescent="0.3">
      <c r="A3312" s="588"/>
      <c r="B3312" s="588"/>
      <c r="C3312" s="588"/>
      <c r="D3312" s="588"/>
      <c r="E3312" s="588"/>
      <c r="F3312" s="588"/>
      <c r="G3312" s="600"/>
      <c r="H3312" s="588"/>
      <c r="I3312" s="588"/>
      <c r="J3312" s="588"/>
    </row>
    <row r="3313" spans="1:10" x14ac:dyDescent="0.3">
      <c r="A3313" s="588"/>
      <c r="B3313" s="588"/>
      <c r="C3313" s="588"/>
      <c r="D3313" s="588"/>
      <c r="E3313" s="588"/>
      <c r="F3313" s="588"/>
      <c r="G3313" s="600"/>
      <c r="H3313" s="588"/>
      <c r="I3313" s="588"/>
      <c r="J3313" s="588"/>
    </row>
    <row r="3314" spans="1:10" x14ac:dyDescent="0.3">
      <c r="A3314" s="588"/>
      <c r="B3314" s="588"/>
      <c r="C3314" s="588"/>
      <c r="D3314" s="588"/>
      <c r="E3314" s="588"/>
      <c r="F3314" s="588"/>
      <c r="G3314" s="600"/>
      <c r="H3314" s="588"/>
      <c r="I3314" s="588"/>
      <c r="J3314" s="588"/>
    </row>
    <row r="3315" spans="1:10" x14ac:dyDescent="0.3">
      <c r="A3315" s="588"/>
      <c r="B3315" s="588"/>
      <c r="C3315" s="588"/>
      <c r="D3315" s="588"/>
      <c r="E3315" s="588"/>
      <c r="F3315" s="588"/>
      <c r="G3315" s="600"/>
      <c r="H3315" s="588"/>
      <c r="I3315" s="588"/>
      <c r="J3315" s="588"/>
    </row>
    <row r="3316" spans="1:10" x14ac:dyDescent="0.3">
      <c r="A3316" s="588"/>
      <c r="B3316" s="588"/>
      <c r="C3316" s="588"/>
      <c r="D3316" s="588"/>
      <c r="E3316" s="588"/>
      <c r="F3316" s="588"/>
      <c r="G3316" s="600"/>
      <c r="H3316" s="588"/>
      <c r="I3316" s="588"/>
      <c r="J3316" s="588"/>
    </row>
    <row r="3317" spans="1:10" x14ac:dyDescent="0.3">
      <c r="A3317" s="588"/>
      <c r="B3317" s="588"/>
      <c r="C3317" s="588"/>
      <c r="D3317" s="588"/>
      <c r="E3317" s="588"/>
      <c r="F3317" s="588"/>
      <c r="G3317" s="600"/>
      <c r="H3317" s="588"/>
      <c r="I3317" s="588"/>
      <c r="J3317" s="588"/>
    </row>
    <row r="3318" spans="1:10" x14ac:dyDescent="0.3">
      <c r="A3318" s="588"/>
      <c r="B3318" s="588"/>
      <c r="C3318" s="588"/>
      <c r="D3318" s="588"/>
      <c r="E3318" s="588"/>
      <c r="F3318" s="588"/>
      <c r="G3318" s="600"/>
      <c r="H3318" s="588"/>
      <c r="I3318" s="588"/>
      <c r="J3318" s="588"/>
    </row>
    <row r="3319" spans="1:10" x14ac:dyDescent="0.3">
      <c r="A3319" s="588"/>
      <c r="B3319" s="588"/>
      <c r="C3319" s="588"/>
      <c r="D3319" s="588"/>
      <c r="E3319" s="588"/>
      <c r="F3319" s="588"/>
      <c r="G3319" s="600"/>
      <c r="H3319" s="588"/>
      <c r="I3319" s="588"/>
      <c r="J3319" s="588"/>
    </row>
    <row r="3320" spans="1:10" x14ac:dyDescent="0.3">
      <c r="A3320" s="588"/>
      <c r="B3320" s="588"/>
      <c r="C3320" s="588"/>
      <c r="D3320" s="588"/>
      <c r="E3320" s="588"/>
      <c r="F3320" s="588"/>
      <c r="G3320" s="600"/>
      <c r="H3320" s="588"/>
      <c r="I3320" s="588"/>
      <c r="J3320" s="588"/>
    </row>
    <row r="3321" spans="1:10" x14ac:dyDescent="0.3">
      <c r="A3321" s="588"/>
      <c r="B3321" s="588"/>
      <c r="C3321" s="588"/>
      <c r="D3321" s="588"/>
      <c r="E3321" s="588"/>
      <c r="F3321" s="588"/>
      <c r="G3321" s="600"/>
      <c r="H3321" s="588"/>
      <c r="I3321" s="588"/>
      <c r="J3321" s="588"/>
    </row>
    <row r="3322" spans="1:10" x14ac:dyDescent="0.3">
      <c r="A3322" s="588"/>
      <c r="B3322" s="588"/>
      <c r="C3322" s="588"/>
      <c r="D3322" s="588"/>
      <c r="E3322" s="588"/>
      <c r="F3322" s="588"/>
      <c r="G3322" s="600"/>
      <c r="H3322" s="588"/>
      <c r="I3322" s="588"/>
      <c r="J3322" s="588"/>
    </row>
    <row r="3323" spans="1:10" x14ac:dyDescent="0.3">
      <c r="A3323" s="588"/>
      <c r="B3323" s="588"/>
      <c r="C3323" s="588"/>
      <c r="D3323" s="588"/>
      <c r="E3323" s="588"/>
      <c r="F3323" s="588"/>
      <c r="G3323" s="600"/>
      <c r="H3323" s="588"/>
      <c r="I3323" s="588"/>
      <c r="J3323" s="588"/>
    </row>
    <row r="3324" spans="1:10" x14ac:dyDescent="0.3">
      <c r="A3324" s="588"/>
      <c r="B3324" s="588"/>
      <c r="C3324" s="588"/>
      <c r="D3324" s="588"/>
      <c r="E3324" s="588"/>
      <c r="F3324" s="588"/>
      <c r="G3324" s="600"/>
      <c r="H3324" s="588"/>
      <c r="I3324" s="588"/>
      <c r="J3324" s="588"/>
    </row>
    <row r="3325" spans="1:10" x14ac:dyDescent="0.3">
      <c r="A3325" s="588"/>
      <c r="B3325" s="588"/>
      <c r="C3325" s="588"/>
      <c r="D3325" s="588"/>
      <c r="E3325" s="588"/>
      <c r="F3325" s="588"/>
      <c r="G3325" s="600"/>
      <c r="H3325" s="588"/>
      <c r="I3325" s="588"/>
      <c r="J3325" s="588"/>
    </row>
    <row r="3326" spans="1:10" x14ac:dyDescent="0.3">
      <c r="A3326" s="588"/>
      <c r="B3326" s="588"/>
      <c r="C3326" s="588"/>
      <c r="D3326" s="588"/>
      <c r="E3326" s="588"/>
      <c r="F3326" s="588"/>
      <c r="G3326" s="600"/>
      <c r="H3326" s="588"/>
      <c r="I3326" s="588"/>
      <c r="J3326" s="588"/>
    </row>
    <row r="3327" spans="1:10" x14ac:dyDescent="0.3">
      <c r="A3327" s="588"/>
      <c r="B3327" s="588"/>
      <c r="C3327" s="588"/>
      <c r="D3327" s="588"/>
      <c r="E3327" s="588"/>
      <c r="F3327" s="588"/>
      <c r="G3327" s="600"/>
      <c r="H3327" s="588"/>
      <c r="I3327" s="588"/>
      <c r="J3327" s="588"/>
    </row>
    <row r="3328" spans="1:10" x14ac:dyDescent="0.3">
      <c r="A3328" s="588"/>
      <c r="B3328" s="588"/>
      <c r="C3328" s="588"/>
      <c r="D3328" s="588"/>
      <c r="E3328" s="588"/>
      <c r="F3328" s="588"/>
      <c r="G3328" s="600"/>
      <c r="H3328" s="588"/>
      <c r="I3328" s="588"/>
      <c r="J3328" s="588"/>
    </row>
    <row r="3329" spans="1:10" x14ac:dyDescent="0.3">
      <c r="A3329" s="588"/>
      <c r="B3329" s="588"/>
      <c r="C3329" s="588"/>
      <c r="D3329" s="588"/>
      <c r="E3329" s="588"/>
      <c r="F3329" s="588"/>
      <c r="G3329" s="600"/>
      <c r="H3329" s="588"/>
      <c r="I3329" s="588"/>
      <c r="J3329" s="588"/>
    </row>
    <row r="3330" spans="1:10" x14ac:dyDescent="0.3">
      <c r="A3330" s="588"/>
      <c r="B3330" s="588"/>
      <c r="C3330" s="588"/>
      <c r="D3330" s="588"/>
      <c r="E3330" s="588"/>
      <c r="F3330" s="588"/>
      <c r="G3330" s="600"/>
      <c r="H3330" s="588"/>
      <c r="I3330" s="588"/>
      <c r="J3330" s="588"/>
    </row>
    <row r="3331" spans="1:10" x14ac:dyDescent="0.3">
      <c r="A3331" s="588"/>
      <c r="B3331" s="588"/>
      <c r="C3331" s="588"/>
      <c r="D3331" s="588"/>
      <c r="E3331" s="588"/>
      <c r="F3331" s="588"/>
      <c r="G3331" s="600"/>
      <c r="H3331" s="588"/>
      <c r="I3331" s="588"/>
      <c r="J3331" s="588"/>
    </row>
    <row r="3332" spans="1:10" x14ac:dyDescent="0.3">
      <c r="A3332" s="588"/>
      <c r="B3332" s="588"/>
      <c r="C3332" s="588"/>
      <c r="D3332" s="588"/>
      <c r="E3332" s="588"/>
      <c r="F3332" s="588"/>
      <c r="G3332" s="600"/>
      <c r="H3332" s="588"/>
      <c r="I3332" s="588"/>
      <c r="J3332" s="588"/>
    </row>
    <row r="3333" spans="1:10" x14ac:dyDescent="0.3">
      <c r="A3333" s="588"/>
      <c r="B3333" s="588"/>
      <c r="C3333" s="588"/>
      <c r="D3333" s="588"/>
      <c r="E3333" s="588"/>
      <c r="F3333" s="588"/>
      <c r="G3333" s="600"/>
      <c r="H3333" s="588"/>
      <c r="I3333" s="588"/>
      <c r="J3333" s="588"/>
    </row>
    <row r="3334" spans="1:10" x14ac:dyDescent="0.3">
      <c r="A3334" s="588"/>
      <c r="B3334" s="588"/>
      <c r="C3334" s="588"/>
      <c r="D3334" s="588"/>
      <c r="E3334" s="588"/>
      <c r="F3334" s="588"/>
      <c r="G3334" s="600"/>
      <c r="H3334" s="588"/>
      <c r="I3334" s="588"/>
      <c r="J3334" s="588"/>
    </row>
    <row r="3335" spans="1:10" x14ac:dyDescent="0.3">
      <c r="A3335" s="588"/>
      <c r="B3335" s="588"/>
      <c r="C3335" s="588"/>
      <c r="D3335" s="588"/>
      <c r="E3335" s="588"/>
      <c r="F3335" s="588"/>
      <c r="G3335" s="600"/>
      <c r="H3335" s="588"/>
      <c r="I3335" s="588"/>
      <c r="J3335" s="588"/>
    </row>
    <row r="3336" spans="1:10" x14ac:dyDescent="0.3">
      <c r="A3336" s="588"/>
      <c r="B3336" s="588"/>
      <c r="C3336" s="588"/>
      <c r="D3336" s="588"/>
      <c r="E3336" s="588"/>
      <c r="F3336" s="588"/>
      <c r="G3336" s="600"/>
      <c r="H3336" s="588"/>
      <c r="I3336" s="588"/>
      <c r="J3336" s="588"/>
    </row>
    <row r="3337" spans="1:10" x14ac:dyDescent="0.3">
      <c r="A3337" s="588"/>
      <c r="B3337" s="588"/>
      <c r="C3337" s="588"/>
      <c r="D3337" s="588"/>
      <c r="E3337" s="588"/>
      <c r="F3337" s="588"/>
      <c r="G3337" s="600"/>
      <c r="H3337" s="588"/>
      <c r="I3337" s="588"/>
      <c r="J3337" s="588"/>
    </row>
    <row r="3338" spans="1:10" x14ac:dyDescent="0.3">
      <c r="A3338" s="588"/>
      <c r="B3338" s="588"/>
      <c r="C3338" s="588"/>
      <c r="D3338" s="588"/>
      <c r="E3338" s="588"/>
      <c r="F3338" s="588"/>
      <c r="G3338" s="600"/>
      <c r="H3338" s="588"/>
      <c r="I3338" s="588"/>
      <c r="J3338" s="588"/>
    </row>
    <row r="3339" spans="1:10" x14ac:dyDescent="0.3">
      <c r="A3339" s="588"/>
      <c r="B3339" s="588"/>
      <c r="C3339" s="588"/>
      <c r="D3339" s="588"/>
      <c r="E3339" s="588"/>
      <c r="F3339" s="588"/>
      <c r="G3339" s="600"/>
      <c r="H3339" s="588"/>
      <c r="I3339" s="588"/>
      <c r="J3339" s="588"/>
    </row>
    <row r="3340" spans="1:10" x14ac:dyDescent="0.3">
      <c r="A3340" s="588"/>
      <c r="B3340" s="588"/>
      <c r="C3340" s="588"/>
      <c r="D3340" s="588"/>
      <c r="E3340" s="588"/>
      <c r="F3340" s="588"/>
      <c r="G3340" s="600"/>
      <c r="H3340" s="588"/>
      <c r="I3340" s="588"/>
      <c r="J3340" s="588"/>
    </row>
    <row r="3341" spans="1:10" x14ac:dyDescent="0.3">
      <c r="A3341" s="588"/>
      <c r="B3341" s="588"/>
      <c r="C3341" s="588"/>
      <c r="D3341" s="588"/>
      <c r="E3341" s="588"/>
      <c r="F3341" s="588"/>
      <c r="G3341" s="600"/>
      <c r="H3341" s="588"/>
      <c r="I3341" s="588"/>
      <c r="J3341" s="588"/>
    </row>
    <row r="3342" spans="1:10" x14ac:dyDescent="0.3">
      <c r="A3342" s="588"/>
      <c r="B3342" s="588"/>
      <c r="C3342" s="588"/>
      <c r="D3342" s="588"/>
      <c r="E3342" s="588"/>
      <c r="F3342" s="588"/>
      <c r="G3342" s="600"/>
      <c r="H3342" s="588"/>
      <c r="I3342" s="588"/>
      <c r="J3342" s="588"/>
    </row>
    <row r="3343" spans="1:10" x14ac:dyDescent="0.3">
      <c r="A3343" s="588"/>
      <c r="B3343" s="588"/>
      <c r="C3343" s="588"/>
      <c r="D3343" s="588"/>
      <c r="E3343" s="588"/>
      <c r="F3343" s="588"/>
      <c r="G3343" s="600"/>
      <c r="H3343" s="588"/>
      <c r="I3343" s="588"/>
      <c r="J3343" s="588"/>
    </row>
    <row r="3344" spans="1:10" x14ac:dyDescent="0.3">
      <c r="A3344" s="588"/>
      <c r="B3344" s="588"/>
      <c r="C3344" s="588"/>
      <c r="D3344" s="588"/>
      <c r="E3344" s="588"/>
      <c r="F3344" s="588"/>
      <c r="G3344" s="600"/>
      <c r="H3344" s="588"/>
      <c r="I3344" s="588"/>
      <c r="J3344" s="588"/>
    </row>
    <row r="3345" spans="1:10" x14ac:dyDescent="0.3">
      <c r="A3345" s="588"/>
      <c r="B3345" s="588"/>
      <c r="C3345" s="588"/>
      <c r="D3345" s="588"/>
      <c r="E3345" s="588"/>
      <c r="F3345" s="588"/>
      <c r="G3345" s="600"/>
      <c r="H3345" s="588"/>
      <c r="I3345" s="588"/>
      <c r="J3345" s="588"/>
    </row>
    <row r="3346" spans="1:10" x14ac:dyDescent="0.3">
      <c r="A3346" s="588"/>
      <c r="B3346" s="588"/>
      <c r="C3346" s="588"/>
      <c r="D3346" s="588"/>
      <c r="E3346" s="588"/>
      <c r="F3346" s="588"/>
      <c r="G3346" s="600"/>
      <c r="H3346" s="588"/>
      <c r="I3346" s="588"/>
      <c r="J3346" s="588"/>
    </row>
    <row r="3347" spans="1:10" x14ac:dyDescent="0.3">
      <c r="A3347" s="588"/>
      <c r="B3347" s="588"/>
      <c r="C3347" s="588"/>
      <c r="D3347" s="588"/>
      <c r="E3347" s="588"/>
      <c r="F3347" s="588"/>
      <c r="G3347" s="600"/>
      <c r="H3347" s="588"/>
      <c r="I3347" s="588"/>
      <c r="J3347" s="588"/>
    </row>
    <row r="3348" spans="1:10" x14ac:dyDescent="0.3">
      <c r="A3348" s="588"/>
      <c r="B3348" s="588"/>
      <c r="C3348" s="588"/>
      <c r="D3348" s="588"/>
      <c r="E3348" s="588"/>
      <c r="F3348" s="588"/>
      <c r="G3348" s="600"/>
      <c r="H3348" s="588"/>
      <c r="I3348" s="588"/>
      <c r="J3348" s="588"/>
    </row>
    <row r="3349" spans="1:10" x14ac:dyDescent="0.3">
      <c r="A3349" s="588"/>
      <c r="B3349" s="588"/>
      <c r="C3349" s="588"/>
      <c r="D3349" s="588"/>
      <c r="E3349" s="588"/>
      <c r="F3349" s="588"/>
      <c r="G3349" s="600"/>
      <c r="H3349" s="588"/>
      <c r="I3349" s="588"/>
      <c r="J3349" s="588"/>
    </row>
    <row r="3350" spans="1:10" x14ac:dyDescent="0.3">
      <c r="A3350" s="588"/>
      <c r="B3350" s="588"/>
      <c r="C3350" s="588"/>
      <c r="D3350" s="588"/>
      <c r="E3350" s="588"/>
      <c r="F3350" s="588"/>
      <c r="G3350" s="600"/>
      <c r="H3350" s="588"/>
      <c r="I3350" s="588"/>
      <c r="J3350" s="588"/>
    </row>
    <row r="3351" spans="1:10" x14ac:dyDescent="0.3">
      <c r="A3351" s="588"/>
      <c r="B3351" s="588"/>
      <c r="C3351" s="588"/>
      <c r="D3351" s="588"/>
      <c r="E3351" s="588"/>
      <c r="F3351" s="588"/>
      <c r="G3351" s="600"/>
      <c r="H3351" s="588"/>
      <c r="I3351" s="588"/>
      <c r="J3351" s="588"/>
    </row>
    <row r="3352" spans="1:10" x14ac:dyDescent="0.3">
      <c r="A3352" s="588"/>
      <c r="B3352" s="588"/>
      <c r="C3352" s="588"/>
      <c r="D3352" s="588"/>
      <c r="E3352" s="588"/>
      <c r="F3352" s="588"/>
      <c r="G3352" s="600"/>
      <c r="H3352" s="588"/>
      <c r="I3352" s="588"/>
      <c r="J3352" s="588"/>
    </row>
    <row r="3353" spans="1:10" x14ac:dyDescent="0.3">
      <c r="A3353" s="588"/>
      <c r="B3353" s="588"/>
      <c r="C3353" s="588"/>
      <c r="D3353" s="588"/>
      <c r="E3353" s="588"/>
      <c r="F3353" s="588"/>
      <c r="G3353" s="600"/>
      <c r="H3353" s="588"/>
      <c r="I3353" s="588"/>
      <c r="J3353" s="588"/>
    </row>
    <row r="3354" spans="1:10" x14ac:dyDescent="0.3">
      <c r="A3354" s="588"/>
      <c r="B3354" s="588"/>
      <c r="C3354" s="588"/>
      <c r="D3354" s="588"/>
      <c r="E3354" s="588"/>
      <c r="F3354" s="588"/>
      <c r="G3354" s="600"/>
      <c r="H3354" s="588"/>
      <c r="I3354" s="588"/>
      <c r="J3354" s="588"/>
    </row>
    <row r="3355" spans="1:10" x14ac:dyDescent="0.3">
      <c r="A3355" s="588"/>
      <c r="B3355" s="588"/>
      <c r="C3355" s="588"/>
      <c r="D3355" s="588"/>
      <c r="E3355" s="588"/>
      <c r="F3355" s="588"/>
      <c r="G3355" s="600"/>
      <c r="H3355" s="588"/>
      <c r="I3355" s="588"/>
      <c r="J3355" s="588"/>
    </row>
    <row r="3356" spans="1:10" x14ac:dyDescent="0.3">
      <c r="A3356" s="588"/>
      <c r="B3356" s="588"/>
      <c r="C3356" s="588"/>
      <c r="D3356" s="588"/>
      <c r="E3356" s="588"/>
      <c r="F3356" s="588"/>
      <c r="G3356" s="600"/>
      <c r="H3356" s="588"/>
      <c r="I3356" s="588"/>
      <c r="J3356" s="588"/>
    </row>
    <row r="3357" spans="1:10" x14ac:dyDescent="0.3">
      <c r="A3357" s="588"/>
      <c r="B3357" s="588"/>
      <c r="C3357" s="588"/>
      <c r="D3357" s="588"/>
      <c r="E3357" s="588"/>
      <c r="F3357" s="588"/>
      <c r="G3357" s="600"/>
      <c r="H3357" s="588"/>
      <c r="I3357" s="588"/>
      <c r="J3357" s="588"/>
    </row>
    <row r="3358" spans="1:10" x14ac:dyDescent="0.3">
      <c r="A3358" s="588"/>
      <c r="B3358" s="588"/>
      <c r="C3358" s="588"/>
      <c r="D3358" s="588"/>
      <c r="E3358" s="588"/>
      <c r="F3358" s="588"/>
      <c r="G3358" s="600"/>
      <c r="H3358" s="588"/>
      <c r="I3358" s="588"/>
      <c r="J3358" s="588"/>
    </row>
    <row r="3359" spans="1:10" x14ac:dyDescent="0.3">
      <c r="A3359" s="588"/>
      <c r="B3359" s="588"/>
      <c r="C3359" s="588"/>
      <c r="D3359" s="588"/>
      <c r="E3359" s="588"/>
      <c r="F3359" s="588"/>
      <c r="G3359" s="600"/>
      <c r="H3359" s="588"/>
      <c r="I3359" s="588"/>
      <c r="J3359" s="588"/>
    </row>
    <row r="3360" spans="1:10" x14ac:dyDescent="0.3">
      <c r="A3360" s="588"/>
      <c r="B3360" s="588"/>
      <c r="C3360" s="588"/>
      <c r="D3360" s="588"/>
      <c r="E3360" s="588"/>
      <c r="F3360" s="588"/>
      <c r="G3360" s="600"/>
      <c r="H3360" s="588"/>
      <c r="I3360" s="588"/>
      <c r="J3360" s="588"/>
    </row>
    <row r="3361" spans="1:10" x14ac:dyDescent="0.3">
      <c r="A3361" s="588"/>
      <c r="B3361" s="588"/>
      <c r="C3361" s="588"/>
      <c r="D3361" s="588"/>
      <c r="E3361" s="588"/>
      <c r="F3361" s="588"/>
      <c r="G3361" s="600"/>
      <c r="H3361" s="588"/>
      <c r="I3361" s="588"/>
      <c r="J3361" s="588"/>
    </row>
    <row r="3362" spans="1:10" x14ac:dyDescent="0.3">
      <c r="A3362" s="588"/>
      <c r="B3362" s="588"/>
      <c r="C3362" s="588"/>
      <c r="D3362" s="588"/>
      <c r="E3362" s="588"/>
      <c r="F3362" s="588"/>
      <c r="G3362" s="600"/>
      <c r="H3362" s="588"/>
      <c r="I3362" s="588"/>
      <c r="J3362" s="588"/>
    </row>
    <row r="3363" spans="1:10" x14ac:dyDescent="0.3">
      <c r="A3363" s="588"/>
      <c r="B3363" s="588"/>
      <c r="C3363" s="588"/>
      <c r="D3363" s="588"/>
      <c r="E3363" s="588"/>
      <c r="F3363" s="588"/>
      <c r="G3363" s="600"/>
      <c r="H3363" s="588"/>
      <c r="I3363" s="588"/>
      <c r="J3363" s="588"/>
    </row>
    <row r="3364" spans="1:10" x14ac:dyDescent="0.3">
      <c r="A3364" s="588"/>
      <c r="B3364" s="588"/>
      <c r="C3364" s="588"/>
      <c r="D3364" s="588"/>
      <c r="E3364" s="588"/>
      <c r="F3364" s="588"/>
      <c r="G3364" s="600"/>
      <c r="H3364" s="588"/>
      <c r="I3364" s="588"/>
      <c r="J3364" s="588"/>
    </row>
    <row r="3365" spans="1:10" x14ac:dyDescent="0.3">
      <c r="A3365" s="588"/>
      <c r="B3365" s="588"/>
      <c r="C3365" s="588"/>
      <c r="D3365" s="588"/>
      <c r="E3365" s="588"/>
      <c r="F3365" s="588"/>
      <c r="G3365" s="600"/>
      <c r="H3365" s="588"/>
      <c r="I3365" s="588"/>
      <c r="J3365" s="588"/>
    </row>
    <row r="3366" spans="1:10" x14ac:dyDescent="0.3">
      <c r="A3366" s="588"/>
      <c r="B3366" s="588"/>
      <c r="C3366" s="588"/>
      <c r="D3366" s="588"/>
      <c r="E3366" s="588"/>
      <c r="F3366" s="588"/>
      <c r="G3366" s="600"/>
      <c r="H3366" s="588"/>
      <c r="I3366" s="588"/>
      <c r="J3366" s="588"/>
    </row>
    <row r="3367" spans="1:10" x14ac:dyDescent="0.3">
      <c r="A3367" s="588"/>
      <c r="B3367" s="588"/>
      <c r="C3367" s="588"/>
      <c r="D3367" s="588"/>
      <c r="E3367" s="588"/>
      <c r="F3367" s="588"/>
      <c r="G3367" s="600"/>
      <c r="H3367" s="588"/>
      <c r="I3367" s="588"/>
      <c r="J3367" s="588"/>
    </row>
    <row r="3368" spans="1:10" x14ac:dyDescent="0.3">
      <c r="A3368" s="588"/>
      <c r="B3368" s="588"/>
      <c r="C3368" s="588"/>
      <c r="D3368" s="588"/>
      <c r="E3368" s="588"/>
      <c r="F3368" s="588"/>
      <c r="G3368" s="600"/>
      <c r="H3368" s="588"/>
      <c r="I3368" s="588"/>
      <c r="J3368" s="588"/>
    </row>
    <row r="3369" spans="1:10" x14ac:dyDescent="0.3">
      <c r="A3369" s="588"/>
      <c r="B3369" s="588"/>
      <c r="C3369" s="588"/>
      <c r="D3369" s="588"/>
      <c r="E3369" s="588"/>
      <c r="F3369" s="588"/>
      <c r="G3369" s="600"/>
      <c r="H3369" s="588"/>
      <c r="I3369" s="588"/>
      <c r="J3369" s="588"/>
    </row>
    <row r="3370" spans="1:10" x14ac:dyDescent="0.3">
      <c r="A3370" s="588"/>
      <c r="B3370" s="588"/>
      <c r="C3370" s="588"/>
      <c r="D3370" s="588"/>
      <c r="E3370" s="588"/>
      <c r="F3370" s="588"/>
      <c r="G3370" s="600"/>
      <c r="H3370" s="588"/>
      <c r="I3370" s="588"/>
      <c r="J3370" s="588"/>
    </row>
    <row r="3371" spans="1:10" x14ac:dyDescent="0.3">
      <c r="A3371" s="588"/>
      <c r="B3371" s="588"/>
      <c r="C3371" s="588"/>
      <c r="D3371" s="588"/>
      <c r="E3371" s="588"/>
      <c r="F3371" s="588"/>
      <c r="G3371" s="600"/>
      <c r="H3371" s="588"/>
      <c r="I3371" s="588"/>
      <c r="J3371" s="588"/>
    </row>
    <row r="3372" spans="1:10" x14ac:dyDescent="0.3">
      <c r="A3372" s="588"/>
      <c r="B3372" s="588"/>
      <c r="C3372" s="588"/>
      <c r="D3372" s="588"/>
      <c r="E3372" s="588"/>
      <c r="F3372" s="588"/>
      <c r="G3372" s="600"/>
      <c r="H3372" s="588"/>
      <c r="I3372" s="588"/>
      <c r="J3372" s="588"/>
    </row>
    <row r="3373" spans="1:10" x14ac:dyDescent="0.3">
      <c r="A3373" s="588"/>
      <c r="B3373" s="588"/>
      <c r="C3373" s="588"/>
      <c r="D3373" s="588"/>
      <c r="E3373" s="588"/>
      <c r="F3373" s="588"/>
      <c r="G3373" s="600"/>
      <c r="H3373" s="588"/>
      <c r="I3373" s="588"/>
      <c r="J3373" s="588"/>
    </row>
    <row r="3374" spans="1:10" x14ac:dyDescent="0.3">
      <c r="A3374" s="588"/>
      <c r="B3374" s="588"/>
      <c r="C3374" s="588"/>
      <c r="D3374" s="588"/>
      <c r="E3374" s="588"/>
      <c r="F3374" s="588"/>
      <c r="G3374" s="600"/>
      <c r="H3374" s="588"/>
      <c r="I3374" s="588"/>
      <c r="J3374" s="588"/>
    </row>
    <row r="3375" spans="1:10" x14ac:dyDescent="0.3">
      <c r="A3375" s="588"/>
      <c r="B3375" s="588"/>
      <c r="C3375" s="588"/>
      <c r="D3375" s="588"/>
      <c r="E3375" s="588"/>
      <c r="F3375" s="588"/>
      <c r="G3375" s="600"/>
      <c r="H3375" s="588"/>
      <c r="I3375" s="588"/>
      <c r="J3375" s="588"/>
    </row>
    <row r="3376" spans="1:10" x14ac:dyDescent="0.3">
      <c r="A3376" s="588"/>
      <c r="B3376" s="588"/>
      <c r="C3376" s="588"/>
      <c r="D3376" s="588"/>
      <c r="E3376" s="588"/>
      <c r="F3376" s="588"/>
      <c r="G3376" s="600"/>
      <c r="H3376" s="588"/>
      <c r="I3376" s="588"/>
      <c r="J3376" s="588"/>
    </row>
    <row r="3377" spans="1:10" x14ac:dyDescent="0.3">
      <c r="A3377" s="588"/>
      <c r="B3377" s="588"/>
      <c r="C3377" s="588"/>
      <c r="D3377" s="588"/>
      <c r="E3377" s="588"/>
      <c r="F3377" s="588"/>
      <c r="G3377" s="600"/>
      <c r="H3377" s="588"/>
      <c r="I3377" s="588"/>
      <c r="J3377" s="588"/>
    </row>
    <row r="3378" spans="1:10" x14ac:dyDescent="0.3">
      <c r="A3378" s="588"/>
      <c r="B3378" s="588"/>
      <c r="C3378" s="588"/>
      <c r="D3378" s="588"/>
      <c r="E3378" s="588"/>
      <c r="F3378" s="588"/>
      <c r="G3378" s="600"/>
      <c r="H3378" s="588"/>
      <c r="I3378" s="588"/>
      <c r="J3378" s="588"/>
    </row>
    <row r="3379" spans="1:10" x14ac:dyDescent="0.3">
      <c r="A3379" s="588"/>
      <c r="B3379" s="588"/>
      <c r="C3379" s="588"/>
      <c r="D3379" s="588"/>
      <c r="E3379" s="588"/>
      <c r="F3379" s="588"/>
      <c r="G3379" s="600"/>
      <c r="H3379" s="588"/>
      <c r="I3379" s="588"/>
      <c r="J3379" s="588"/>
    </row>
    <row r="3380" spans="1:10" x14ac:dyDescent="0.3">
      <c r="A3380" s="588"/>
      <c r="B3380" s="588"/>
      <c r="C3380" s="588"/>
      <c r="D3380" s="588"/>
      <c r="E3380" s="588"/>
      <c r="F3380" s="588"/>
      <c r="G3380" s="600"/>
      <c r="H3380" s="588"/>
      <c r="I3380" s="588"/>
      <c r="J3380" s="588"/>
    </row>
    <row r="3381" spans="1:10" x14ac:dyDescent="0.3">
      <c r="A3381" s="588"/>
      <c r="B3381" s="588"/>
      <c r="C3381" s="588"/>
      <c r="D3381" s="588"/>
      <c r="E3381" s="588"/>
      <c r="F3381" s="588"/>
      <c r="G3381" s="600"/>
      <c r="H3381" s="588"/>
      <c r="I3381" s="588"/>
      <c r="J3381" s="588"/>
    </row>
    <row r="3382" spans="1:10" x14ac:dyDescent="0.3">
      <c r="A3382" s="588"/>
      <c r="B3382" s="588"/>
      <c r="C3382" s="588"/>
      <c r="D3382" s="588"/>
      <c r="E3382" s="588"/>
      <c r="F3382" s="588"/>
      <c r="G3382" s="600"/>
      <c r="H3382" s="588"/>
      <c r="I3382" s="588"/>
      <c r="J3382" s="588"/>
    </row>
    <row r="3383" spans="1:10" x14ac:dyDescent="0.3">
      <c r="A3383" s="588"/>
      <c r="B3383" s="588"/>
      <c r="C3383" s="588"/>
      <c r="D3383" s="588"/>
      <c r="E3383" s="588"/>
      <c r="F3383" s="588"/>
      <c r="G3383" s="600"/>
      <c r="H3383" s="588"/>
      <c r="I3383" s="588"/>
      <c r="J3383" s="588"/>
    </row>
    <row r="3384" spans="1:10" x14ac:dyDescent="0.3">
      <c r="A3384" s="588"/>
      <c r="B3384" s="588"/>
      <c r="C3384" s="588"/>
      <c r="D3384" s="588"/>
      <c r="E3384" s="588"/>
      <c r="F3384" s="588"/>
      <c r="G3384" s="600"/>
      <c r="H3384" s="588"/>
      <c r="I3384" s="588"/>
      <c r="J3384" s="588"/>
    </row>
    <row r="3385" spans="1:10" x14ac:dyDescent="0.3">
      <c r="A3385" s="588"/>
      <c r="B3385" s="588"/>
      <c r="C3385" s="588"/>
      <c r="D3385" s="588"/>
      <c r="E3385" s="588"/>
      <c r="F3385" s="588"/>
      <c r="G3385" s="600"/>
      <c r="H3385" s="588"/>
      <c r="I3385" s="588"/>
      <c r="J3385" s="588"/>
    </row>
    <row r="3386" spans="1:10" x14ac:dyDescent="0.3">
      <c r="A3386" s="588"/>
      <c r="B3386" s="588"/>
      <c r="C3386" s="588"/>
      <c r="D3386" s="588"/>
      <c r="E3386" s="588"/>
      <c r="F3386" s="588"/>
      <c r="G3386" s="600"/>
      <c r="H3386" s="588"/>
      <c r="I3386" s="588"/>
      <c r="J3386" s="588"/>
    </row>
    <row r="3387" spans="1:10" x14ac:dyDescent="0.3">
      <c r="A3387" s="588"/>
      <c r="B3387" s="588"/>
      <c r="C3387" s="588"/>
      <c r="D3387" s="588"/>
      <c r="E3387" s="588"/>
      <c r="F3387" s="588"/>
      <c r="G3387" s="600"/>
      <c r="H3387" s="588"/>
      <c r="I3387" s="588"/>
      <c r="J3387" s="588"/>
    </row>
    <row r="3388" spans="1:10" x14ac:dyDescent="0.3">
      <c r="A3388" s="588"/>
      <c r="B3388" s="588"/>
      <c r="C3388" s="588"/>
      <c r="D3388" s="588"/>
      <c r="E3388" s="588"/>
      <c r="F3388" s="588"/>
      <c r="G3388" s="600"/>
      <c r="H3388" s="588"/>
      <c r="I3388" s="588"/>
      <c r="J3388" s="588"/>
    </row>
    <row r="3389" spans="1:10" x14ac:dyDescent="0.3">
      <c r="A3389" s="588"/>
      <c r="B3389" s="588"/>
      <c r="C3389" s="588"/>
      <c r="D3389" s="588"/>
      <c r="E3389" s="588"/>
      <c r="F3389" s="588"/>
      <c r="G3389" s="600"/>
      <c r="H3389" s="588"/>
      <c r="I3389" s="588"/>
      <c r="J3389" s="588"/>
    </row>
    <row r="3390" spans="1:10" x14ac:dyDescent="0.3">
      <c r="A3390" s="588"/>
      <c r="B3390" s="588"/>
      <c r="C3390" s="588"/>
      <c r="D3390" s="588"/>
      <c r="E3390" s="588"/>
      <c r="F3390" s="588"/>
      <c r="G3390" s="600"/>
      <c r="H3390" s="588"/>
      <c r="I3390" s="588"/>
      <c r="J3390" s="588"/>
    </row>
    <row r="3391" spans="1:10" x14ac:dyDescent="0.3">
      <c r="A3391" s="588"/>
      <c r="B3391" s="588"/>
      <c r="C3391" s="588"/>
      <c r="D3391" s="588"/>
      <c r="E3391" s="588"/>
      <c r="F3391" s="588"/>
      <c r="G3391" s="600"/>
      <c r="H3391" s="588"/>
      <c r="I3391" s="588"/>
      <c r="J3391" s="588"/>
    </row>
    <row r="3392" spans="1:10" x14ac:dyDescent="0.3">
      <c r="A3392" s="588"/>
      <c r="B3392" s="588"/>
      <c r="C3392" s="588"/>
      <c r="D3392" s="588"/>
      <c r="E3392" s="588"/>
      <c r="F3392" s="588"/>
      <c r="G3392" s="600"/>
      <c r="H3392" s="588"/>
      <c r="I3392" s="588"/>
      <c r="J3392" s="588"/>
    </row>
    <row r="3393" spans="1:10" x14ac:dyDescent="0.3">
      <c r="A3393" s="588"/>
      <c r="B3393" s="588"/>
      <c r="C3393" s="588"/>
      <c r="D3393" s="588"/>
      <c r="E3393" s="588"/>
      <c r="F3393" s="588"/>
      <c r="G3393" s="600"/>
      <c r="H3393" s="588"/>
      <c r="I3393" s="588"/>
      <c r="J3393" s="588"/>
    </row>
    <row r="3394" spans="1:10" x14ac:dyDescent="0.3">
      <c r="A3394" s="588"/>
      <c r="B3394" s="588"/>
      <c r="C3394" s="588"/>
      <c r="D3394" s="588"/>
      <c r="E3394" s="588"/>
      <c r="F3394" s="588"/>
      <c r="G3394" s="600"/>
      <c r="H3394" s="588"/>
      <c r="I3394" s="588"/>
      <c r="J3394" s="588"/>
    </row>
    <row r="3395" spans="1:10" x14ac:dyDescent="0.3">
      <c r="A3395" s="588"/>
      <c r="B3395" s="588"/>
      <c r="C3395" s="588"/>
      <c r="D3395" s="588"/>
      <c r="E3395" s="588"/>
      <c r="F3395" s="588"/>
      <c r="G3395" s="600"/>
      <c r="H3395" s="588"/>
      <c r="I3395" s="588"/>
      <c r="J3395" s="588"/>
    </row>
    <row r="3396" spans="1:10" x14ac:dyDescent="0.3">
      <c r="A3396" s="588"/>
      <c r="B3396" s="588"/>
      <c r="C3396" s="588"/>
      <c r="D3396" s="588"/>
      <c r="E3396" s="588"/>
      <c r="F3396" s="588"/>
      <c r="G3396" s="600"/>
      <c r="H3396" s="588"/>
      <c r="I3396" s="588"/>
      <c r="J3396" s="588"/>
    </row>
    <row r="3397" spans="1:10" x14ac:dyDescent="0.3">
      <c r="A3397" s="588"/>
      <c r="B3397" s="588"/>
      <c r="C3397" s="588"/>
      <c r="D3397" s="588"/>
      <c r="E3397" s="588"/>
      <c r="F3397" s="588"/>
      <c r="G3397" s="600"/>
      <c r="H3397" s="588"/>
      <c r="I3397" s="588"/>
      <c r="J3397" s="588"/>
    </row>
    <row r="3398" spans="1:10" x14ac:dyDescent="0.3">
      <c r="A3398" s="588"/>
      <c r="B3398" s="588"/>
      <c r="C3398" s="588"/>
      <c r="D3398" s="588"/>
      <c r="E3398" s="588"/>
      <c r="F3398" s="588"/>
      <c r="G3398" s="600"/>
      <c r="H3398" s="588"/>
      <c r="I3398" s="588"/>
      <c r="J3398" s="588"/>
    </row>
    <row r="3399" spans="1:10" x14ac:dyDescent="0.3">
      <c r="A3399" s="588"/>
      <c r="B3399" s="588"/>
      <c r="C3399" s="588"/>
      <c r="D3399" s="588"/>
      <c r="E3399" s="588"/>
      <c r="F3399" s="588"/>
      <c r="G3399" s="600"/>
      <c r="H3399" s="588"/>
      <c r="I3399" s="588"/>
      <c r="J3399" s="588"/>
    </row>
    <row r="3400" spans="1:10" x14ac:dyDescent="0.3">
      <c r="A3400" s="588"/>
      <c r="B3400" s="588"/>
      <c r="C3400" s="588"/>
      <c r="D3400" s="588"/>
      <c r="E3400" s="588"/>
      <c r="F3400" s="588"/>
      <c r="G3400" s="600"/>
      <c r="H3400" s="588"/>
      <c r="I3400" s="588"/>
      <c r="J3400" s="588"/>
    </row>
    <row r="3401" spans="1:10" x14ac:dyDescent="0.3">
      <c r="A3401" s="588"/>
      <c r="B3401" s="588"/>
      <c r="C3401" s="588"/>
      <c r="D3401" s="588"/>
      <c r="E3401" s="588"/>
      <c r="F3401" s="588"/>
      <c r="G3401" s="600"/>
      <c r="H3401" s="588"/>
      <c r="I3401" s="588"/>
      <c r="J3401" s="588"/>
    </row>
    <row r="3402" spans="1:10" x14ac:dyDescent="0.3">
      <c r="A3402" s="588"/>
      <c r="B3402" s="588"/>
      <c r="C3402" s="588"/>
      <c r="D3402" s="588"/>
      <c r="E3402" s="588"/>
      <c r="F3402" s="588"/>
      <c r="G3402" s="600"/>
      <c r="H3402" s="588"/>
      <c r="I3402" s="588"/>
      <c r="J3402" s="588"/>
    </row>
    <row r="3403" spans="1:10" x14ac:dyDescent="0.3">
      <c r="A3403" s="588"/>
      <c r="B3403" s="588"/>
      <c r="C3403" s="588"/>
      <c r="D3403" s="588"/>
      <c r="E3403" s="588"/>
      <c r="F3403" s="588"/>
      <c r="G3403" s="600"/>
      <c r="H3403" s="588"/>
      <c r="I3403" s="588"/>
      <c r="J3403" s="588"/>
    </row>
    <row r="3404" spans="1:10" x14ac:dyDescent="0.3">
      <c r="A3404" s="588"/>
      <c r="B3404" s="588"/>
      <c r="C3404" s="588"/>
      <c r="D3404" s="588"/>
      <c r="E3404" s="588"/>
      <c r="F3404" s="588"/>
      <c r="G3404" s="600"/>
      <c r="H3404" s="588"/>
      <c r="I3404" s="588"/>
      <c r="J3404" s="588"/>
    </row>
    <row r="3405" spans="1:10" x14ac:dyDescent="0.3">
      <c r="A3405" s="588"/>
      <c r="B3405" s="588"/>
      <c r="C3405" s="588"/>
      <c r="D3405" s="588"/>
      <c r="E3405" s="588"/>
      <c r="F3405" s="588"/>
      <c r="G3405" s="600"/>
      <c r="H3405" s="588"/>
      <c r="I3405" s="588"/>
      <c r="J3405" s="588"/>
    </row>
    <row r="3406" spans="1:10" x14ac:dyDescent="0.3">
      <c r="A3406" s="588"/>
      <c r="B3406" s="588"/>
      <c r="C3406" s="588"/>
      <c r="D3406" s="588"/>
      <c r="E3406" s="588"/>
      <c r="F3406" s="588"/>
      <c r="G3406" s="600"/>
      <c r="H3406" s="588"/>
      <c r="I3406" s="588"/>
      <c r="J3406" s="588"/>
    </row>
    <row r="3407" spans="1:10" x14ac:dyDescent="0.3">
      <c r="A3407" s="588"/>
      <c r="B3407" s="588"/>
      <c r="C3407" s="588"/>
      <c r="D3407" s="588"/>
      <c r="E3407" s="588"/>
      <c r="F3407" s="588"/>
      <c r="G3407" s="600"/>
      <c r="H3407" s="588"/>
      <c r="I3407" s="588"/>
      <c r="J3407" s="588"/>
    </row>
    <row r="3408" spans="1:10" x14ac:dyDescent="0.3">
      <c r="A3408" s="588"/>
      <c r="B3408" s="588"/>
      <c r="C3408" s="588"/>
      <c r="D3408" s="588"/>
      <c r="E3408" s="588"/>
      <c r="F3408" s="588"/>
      <c r="G3408" s="600"/>
      <c r="H3408" s="588"/>
      <c r="I3408" s="588"/>
      <c r="J3408" s="588"/>
    </row>
    <row r="3409" spans="1:10" x14ac:dyDescent="0.3">
      <c r="A3409" s="588"/>
      <c r="B3409" s="588"/>
      <c r="C3409" s="588"/>
      <c r="D3409" s="588"/>
      <c r="E3409" s="588"/>
      <c r="F3409" s="588"/>
      <c r="G3409" s="600"/>
      <c r="H3409" s="588"/>
      <c r="I3409" s="588"/>
      <c r="J3409" s="588"/>
    </row>
    <row r="3410" spans="1:10" x14ac:dyDescent="0.3">
      <c r="A3410" s="588"/>
      <c r="B3410" s="588"/>
      <c r="C3410" s="588"/>
      <c r="D3410" s="588"/>
      <c r="E3410" s="588"/>
      <c r="F3410" s="588"/>
      <c r="G3410" s="600"/>
      <c r="H3410" s="588"/>
      <c r="I3410" s="588"/>
      <c r="J3410" s="588"/>
    </row>
    <row r="3411" spans="1:10" x14ac:dyDescent="0.3">
      <c r="A3411" s="588"/>
      <c r="B3411" s="588"/>
      <c r="C3411" s="588"/>
      <c r="D3411" s="588"/>
      <c r="E3411" s="588"/>
      <c r="F3411" s="588"/>
      <c r="G3411" s="600"/>
      <c r="H3411" s="588"/>
      <c r="I3411" s="588"/>
      <c r="J3411" s="588"/>
    </row>
    <row r="3412" spans="1:10" x14ac:dyDescent="0.3">
      <c r="A3412" s="588"/>
      <c r="B3412" s="588"/>
      <c r="C3412" s="588"/>
      <c r="D3412" s="588"/>
      <c r="E3412" s="588"/>
      <c r="F3412" s="588"/>
      <c r="G3412" s="600"/>
      <c r="H3412" s="588"/>
      <c r="I3412" s="588"/>
      <c r="J3412" s="588"/>
    </row>
    <row r="3413" spans="1:10" x14ac:dyDescent="0.3">
      <c r="A3413" s="588"/>
      <c r="B3413" s="588"/>
      <c r="C3413" s="588"/>
      <c r="D3413" s="588"/>
      <c r="E3413" s="588"/>
      <c r="F3413" s="588"/>
      <c r="G3413" s="600"/>
      <c r="H3413" s="588"/>
      <c r="I3413" s="588"/>
      <c r="J3413" s="588"/>
    </row>
    <row r="3414" spans="1:10" x14ac:dyDescent="0.3">
      <c r="A3414" s="588"/>
      <c r="B3414" s="588"/>
      <c r="C3414" s="588"/>
      <c r="D3414" s="588"/>
      <c r="E3414" s="588"/>
      <c r="F3414" s="588"/>
      <c r="G3414" s="600"/>
      <c r="H3414" s="588"/>
      <c r="I3414" s="588"/>
      <c r="J3414" s="588"/>
    </row>
    <row r="3415" spans="1:10" x14ac:dyDescent="0.3">
      <c r="A3415" s="588"/>
      <c r="B3415" s="588"/>
      <c r="C3415" s="588"/>
      <c r="D3415" s="588"/>
      <c r="E3415" s="588"/>
      <c r="F3415" s="588"/>
      <c r="G3415" s="600"/>
      <c r="H3415" s="588"/>
      <c r="I3415" s="588"/>
      <c r="J3415" s="588"/>
    </row>
    <row r="3416" spans="1:10" x14ac:dyDescent="0.3">
      <c r="A3416" s="588"/>
      <c r="B3416" s="588"/>
      <c r="C3416" s="588"/>
      <c r="D3416" s="588"/>
      <c r="E3416" s="588"/>
      <c r="F3416" s="588"/>
      <c r="G3416" s="600"/>
      <c r="H3416" s="588"/>
      <c r="I3416" s="588"/>
      <c r="J3416" s="588"/>
    </row>
    <row r="3417" spans="1:10" x14ac:dyDescent="0.3">
      <c r="A3417" s="588"/>
      <c r="B3417" s="588"/>
      <c r="C3417" s="588"/>
      <c r="D3417" s="588"/>
      <c r="E3417" s="588"/>
      <c r="F3417" s="588"/>
      <c r="G3417" s="600"/>
      <c r="H3417" s="588"/>
      <c r="I3417" s="588"/>
      <c r="J3417" s="588"/>
    </row>
    <row r="3418" spans="1:10" x14ac:dyDescent="0.3">
      <c r="A3418" s="588"/>
      <c r="B3418" s="588"/>
      <c r="C3418" s="588"/>
      <c r="D3418" s="588"/>
      <c r="E3418" s="588"/>
      <c r="F3418" s="588"/>
      <c r="G3418" s="600"/>
      <c r="H3418" s="588"/>
      <c r="I3418" s="588"/>
      <c r="J3418" s="588"/>
    </row>
    <row r="3419" spans="1:10" x14ac:dyDescent="0.3">
      <c r="A3419" s="588"/>
      <c r="B3419" s="588"/>
      <c r="C3419" s="588"/>
      <c r="D3419" s="588"/>
      <c r="E3419" s="588"/>
      <c r="F3419" s="588"/>
      <c r="G3419" s="600"/>
      <c r="H3419" s="588"/>
      <c r="I3419" s="588"/>
      <c r="J3419" s="588"/>
    </row>
    <row r="3420" spans="1:10" x14ac:dyDescent="0.3">
      <c r="A3420" s="588"/>
      <c r="B3420" s="588"/>
      <c r="C3420" s="588"/>
      <c r="D3420" s="588"/>
      <c r="E3420" s="588"/>
      <c r="F3420" s="588"/>
      <c r="G3420" s="600"/>
      <c r="H3420" s="588"/>
      <c r="I3420" s="588"/>
      <c r="J3420" s="588"/>
    </row>
    <row r="3421" spans="1:10" x14ac:dyDescent="0.3">
      <c r="A3421" s="588"/>
      <c r="B3421" s="588"/>
      <c r="C3421" s="588"/>
      <c r="D3421" s="588"/>
      <c r="E3421" s="588"/>
      <c r="F3421" s="588"/>
      <c r="G3421" s="600"/>
      <c r="H3421" s="588"/>
      <c r="I3421" s="588"/>
      <c r="J3421" s="588"/>
    </row>
    <row r="3422" spans="1:10" x14ac:dyDescent="0.3">
      <c r="A3422" s="588"/>
      <c r="B3422" s="588"/>
      <c r="C3422" s="588"/>
      <c r="D3422" s="588"/>
      <c r="E3422" s="588"/>
      <c r="F3422" s="588"/>
      <c r="G3422" s="600"/>
      <c r="H3422" s="588"/>
      <c r="I3422" s="588"/>
      <c r="J3422" s="588"/>
    </row>
    <row r="3423" spans="1:10" x14ac:dyDescent="0.3">
      <c r="A3423" s="588"/>
      <c r="B3423" s="588"/>
      <c r="C3423" s="588"/>
      <c r="D3423" s="588"/>
      <c r="E3423" s="588"/>
      <c r="F3423" s="588"/>
      <c r="G3423" s="600"/>
      <c r="H3423" s="588"/>
      <c r="I3423" s="588"/>
      <c r="J3423" s="588"/>
    </row>
    <row r="3424" spans="1:10" x14ac:dyDescent="0.3">
      <c r="A3424" s="588"/>
      <c r="B3424" s="588"/>
      <c r="C3424" s="588"/>
      <c r="D3424" s="588"/>
      <c r="E3424" s="588"/>
      <c r="F3424" s="588"/>
      <c r="G3424" s="600"/>
      <c r="H3424" s="588"/>
      <c r="I3424" s="588"/>
      <c r="J3424" s="588"/>
    </row>
    <row r="3425" spans="1:10" x14ac:dyDescent="0.3">
      <c r="A3425" s="588"/>
      <c r="B3425" s="588"/>
      <c r="C3425" s="588"/>
      <c r="D3425" s="588"/>
      <c r="E3425" s="588"/>
      <c r="F3425" s="588"/>
      <c r="G3425" s="600"/>
      <c r="H3425" s="588"/>
      <c r="I3425" s="588"/>
      <c r="J3425" s="588"/>
    </row>
    <row r="3426" spans="1:10" x14ac:dyDescent="0.3">
      <c r="A3426" s="588"/>
      <c r="B3426" s="588"/>
      <c r="C3426" s="588"/>
      <c r="D3426" s="588"/>
      <c r="E3426" s="588"/>
      <c r="F3426" s="588"/>
      <c r="G3426" s="600"/>
      <c r="H3426" s="588"/>
      <c r="I3426" s="588"/>
      <c r="J3426" s="588"/>
    </row>
    <row r="3427" spans="1:10" x14ac:dyDescent="0.3">
      <c r="A3427" s="588"/>
      <c r="B3427" s="588"/>
      <c r="C3427" s="588"/>
      <c r="D3427" s="588"/>
      <c r="E3427" s="588"/>
      <c r="F3427" s="588"/>
      <c r="G3427" s="600"/>
      <c r="H3427" s="588"/>
      <c r="I3427" s="588"/>
      <c r="J3427" s="588"/>
    </row>
    <row r="3428" spans="1:10" x14ac:dyDescent="0.3">
      <c r="A3428" s="588"/>
      <c r="B3428" s="588"/>
      <c r="C3428" s="588"/>
      <c r="D3428" s="588"/>
      <c r="E3428" s="588"/>
      <c r="F3428" s="588"/>
      <c r="G3428" s="600"/>
      <c r="H3428" s="588"/>
      <c r="I3428" s="588"/>
      <c r="J3428" s="588"/>
    </row>
    <row r="3429" spans="1:10" x14ac:dyDescent="0.3">
      <c r="A3429" s="588"/>
      <c r="B3429" s="588"/>
      <c r="C3429" s="588"/>
      <c r="D3429" s="588"/>
      <c r="E3429" s="588"/>
      <c r="F3429" s="588"/>
      <c r="G3429" s="600"/>
      <c r="H3429" s="588"/>
      <c r="I3429" s="588"/>
      <c r="J3429" s="588"/>
    </row>
    <row r="3430" spans="1:10" x14ac:dyDescent="0.3">
      <c r="A3430" s="588"/>
      <c r="B3430" s="588"/>
      <c r="C3430" s="588"/>
      <c r="D3430" s="588"/>
      <c r="E3430" s="588"/>
      <c r="F3430" s="588"/>
      <c r="G3430" s="600"/>
      <c r="H3430" s="588"/>
      <c r="I3430" s="588"/>
      <c r="J3430" s="588"/>
    </row>
    <row r="3431" spans="1:10" x14ac:dyDescent="0.3">
      <c r="A3431" s="588"/>
      <c r="B3431" s="588"/>
      <c r="C3431" s="588"/>
      <c r="D3431" s="588"/>
      <c r="E3431" s="588"/>
      <c r="F3431" s="588"/>
      <c r="G3431" s="600"/>
      <c r="H3431" s="588"/>
      <c r="I3431" s="588"/>
      <c r="J3431" s="588"/>
    </row>
    <row r="3432" spans="1:10" x14ac:dyDescent="0.3">
      <c r="A3432" s="588"/>
      <c r="B3432" s="588"/>
      <c r="C3432" s="588"/>
      <c r="D3432" s="588"/>
      <c r="E3432" s="588"/>
      <c r="F3432" s="588"/>
      <c r="G3432" s="600"/>
      <c r="H3432" s="588"/>
      <c r="I3432" s="588"/>
      <c r="J3432" s="588"/>
    </row>
    <row r="3433" spans="1:10" x14ac:dyDescent="0.3">
      <c r="A3433" s="588"/>
      <c r="B3433" s="588"/>
      <c r="C3433" s="588"/>
      <c r="D3433" s="588"/>
      <c r="E3433" s="588"/>
      <c r="F3433" s="588"/>
      <c r="G3433" s="600"/>
      <c r="H3433" s="588"/>
      <c r="I3433" s="588"/>
      <c r="J3433" s="588"/>
    </row>
    <row r="3434" spans="1:10" x14ac:dyDescent="0.3">
      <c r="A3434" s="588"/>
      <c r="B3434" s="588"/>
      <c r="C3434" s="588"/>
      <c r="D3434" s="588"/>
      <c r="E3434" s="588"/>
      <c r="F3434" s="588"/>
      <c r="G3434" s="600"/>
      <c r="H3434" s="588"/>
      <c r="I3434" s="588"/>
      <c r="J3434" s="588"/>
    </row>
    <row r="3435" spans="1:10" x14ac:dyDescent="0.3">
      <c r="A3435" s="588"/>
      <c r="B3435" s="588"/>
      <c r="C3435" s="588"/>
      <c r="D3435" s="588"/>
      <c r="E3435" s="588"/>
      <c r="F3435" s="588"/>
      <c r="G3435" s="600"/>
      <c r="H3435" s="588"/>
      <c r="I3435" s="588"/>
      <c r="J3435" s="588"/>
    </row>
    <row r="3436" spans="1:10" x14ac:dyDescent="0.3">
      <c r="A3436" s="588"/>
      <c r="B3436" s="588"/>
      <c r="C3436" s="588"/>
      <c r="D3436" s="588"/>
      <c r="E3436" s="588"/>
      <c r="F3436" s="588"/>
      <c r="G3436" s="600"/>
      <c r="H3436" s="588"/>
      <c r="I3436" s="588"/>
      <c r="J3436" s="588"/>
    </row>
    <row r="3437" spans="1:10" x14ac:dyDescent="0.3">
      <c r="A3437" s="588"/>
      <c r="B3437" s="588"/>
      <c r="C3437" s="588"/>
      <c r="D3437" s="588"/>
      <c r="E3437" s="588"/>
      <c r="F3437" s="588"/>
      <c r="G3437" s="600"/>
      <c r="H3437" s="588"/>
      <c r="I3437" s="588"/>
      <c r="J3437" s="588"/>
    </row>
    <row r="3438" spans="1:10" x14ac:dyDescent="0.3">
      <c r="A3438" s="588"/>
      <c r="B3438" s="588"/>
      <c r="C3438" s="588"/>
      <c r="D3438" s="588"/>
      <c r="E3438" s="588"/>
      <c r="F3438" s="588"/>
      <c r="G3438" s="600"/>
      <c r="H3438" s="588"/>
      <c r="I3438" s="588"/>
      <c r="J3438" s="588"/>
    </row>
    <row r="3439" spans="1:10" x14ac:dyDescent="0.3">
      <c r="A3439" s="588"/>
      <c r="B3439" s="588"/>
      <c r="C3439" s="588"/>
      <c r="D3439" s="588"/>
      <c r="E3439" s="588"/>
      <c r="F3439" s="588"/>
      <c r="G3439" s="600"/>
      <c r="H3439" s="588"/>
      <c r="I3439" s="588"/>
      <c r="J3439" s="588"/>
    </row>
    <row r="3440" spans="1:10" x14ac:dyDescent="0.3">
      <c r="A3440" s="588"/>
      <c r="B3440" s="588"/>
      <c r="C3440" s="588"/>
      <c r="D3440" s="588"/>
      <c r="E3440" s="588"/>
      <c r="F3440" s="588"/>
      <c r="G3440" s="600"/>
      <c r="H3440" s="588"/>
      <c r="I3440" s="588"/>
      <c r="J3440" s="588"/>
    </row>
    <row r="3441" spans="1:10" x14ac:dyDescent="0.3">
      <c r="A3441" s="588"/>
      <c r="B3441" s="588"/>
      <c r="C3441" s="588"/>
      <c r="D3441" s="588"/>
      <c r="E3441" s="588"/>
      <c r="F3441" s="588"/>
      <c r="G3441" s="600"/>
      <c r="H3441" s="588"/>
      <c r="I3441" s="588"/>
      <c r="J3441" s="588"/>
    </row>
    <row r="3442" spans="1:10" x14ac:dyDescent="0.3">
      <c r="A3442" s="588"/>
      <c r="B3442" s="588"/>
      <c r="C3442" s="588"/>
      <c r="D3442" s="588"/>
      <c r="E3442" s="588"/>
      <c r="F3442" s="588"/>
      <c r="G3442" s="600"/>
      <c r="H3442" s="588"/>
      <c r="I3442" s="588"/>
      <c r="J3442" s="588"/>
    </row>
    <row r="3443" spans="1:10" x14ac:dyDescent="0.3">
      <c r="A3443" s="588"/>
      <c r="B3443" s="588"/>
      <c r="C3443" s="588"/>
      <c r="D3443" s="588"/>
      <c r="E3443" s="588"/>
      <c r="F3443" s="588"/>
      <c r="G3443" s="600"/>
      <c r="H3443" s="588"/>
      <c r="I3443" s="588"/>
      <c r="J3443" s="588"/>
    </row>
    <row r="3444" spans="1:10" x14ac:dyDescent="0.3">
      <c r="A3444" s="588"/>
      <c r="B3444" s="588"/>
      <c r="C3444" s="588"/>
      <c r="D3444" s="588"/>
      <c r="E3444" s="588"/>
      <c r="F3444" s="588"/>
      <c r="G3444" s="600"/>
      <c r="H3444" s="588"/>
      <c r="I3444" s="588"/>
      <c r="J3444" s="588"/>
    </row>
    <row r="3445" spans="1:10" x14ac:dyDescent="0.3">
      <c r="A3445" s="588"/>
      <c r="B3445" s="588"/>
      <c r="C3445" s="588"/>
      <c r="D3445" s="588"/>
      <c r="E3445" s="588"/>
      <c r="F3445" s="588"/>
      <c r="G3445" s="600"/>
      <c r="H3445" s="588"/>
      <c r="I3445" s="588"/>
      <c r="J3445" s="588"/>
    </row>
    <row r="3446" spans="1:10" x14ac:dyDescent="0.3">
      <c r="A3446" s="588"/>
      <c r="B3446" s="588"/>
      <c r="C3446" s="588"/>
      <c r="D3446" s="588"/>
      <c r="E3446" s="588"/>
      <c r="F3446" s="588"/>
      <c r="G3446" s="600"/>
      <c r="H3446" s="588"/>
      <c r="I3446" s="588"/>
      <c r="J3446" s="588"/>
    </row>
    <row r="3447" spans="1:10" x14ac:dyDescent="0.3">
      <c r="A3447" s="588"/>
      <c r="B3447" s="588"/>
      <c r="C3447" s="588"/>
      <c r="D3447" s="588"/>
      <c r="E3447" s="588"/>
      <c r="F3447" s="588"/>
      <c r="G3447" s="600"/>
      <c r="H3447" s="588"/>
      <c r="I3447" s="588"/>
      <c r="J3447" s="588"/>
    </row>
    <row r="3448" spans="1:10" x14ac:dyDescent="0.3">
      <c r="A3448" s="588"/>
      <c r="B3448" s="588"/>
      <c r="C3448" s="588"/>
      <c r="D3448" s="588"/>
      <c r="E3448" s="588"/>
      <c r="F3448" s="588"/>
      <c r="G3448" s="600"/>
      <c r="H3448" s="588"/>
      <c r="I3448" s="588"/>
      <c r="J3448" s="588"/>
    </row>
    <row r="3449" spans="1:10" x14ac:dyDescent="0.3">
      <c r="A3449" s="588"/>
      <c r="B3449" s="588"/>
      <c r="C3449" s="588"/>
      <c r="D3449" s="588"/>
      <c r="E3449" s="588"/>
      <c r="F3449" s="588"/>
      <c r="G3449" s="600"/>
      <c r="H3449" s="588"/>
      <c r="I3449" s="588"/>
      <c r="J3449" s="588"/>
    </row>
    <row r="3450" spans="1:10" x14ac:dyDescent="0.3">
      <c r="A3450" s="588"/>
      <c r="B3450" s="588"/>
      <c r="C3450" s="588"/>
      <c r="D3450" s="588"/>
      <c r="E3450" s="588"/>
      <c r="F3450" s="588"/>
      <c r="G3450" s="600"/>
      <c r="H3450" s="588"/>
      <c r="I3450" s="588"/>
      <c r="J3450" s="588"/>
    </row>
    <row r="3451" spans="1:10" x14ac:dyDescent="0.3">
      <c r="A3451" s="588"/>
      <c r="B3451" s="588"/>
      <c r="C3451" s="588"/>
      <c r="D3451" s="588"/>
      <c r="E3451" s="588"/>
      <c r="F3451" s="588"/>
      <c r="G3451" s="600"/>
      <c r="H3451" s="588"/>
      <c r="I3451" s="588"/>
      <c r="J3451" s="588"/>
    </row>
    <row r="3452" spans="1:10" x14ac:dyDescent="0.3">
      <c r="A3452" s="588"/>
      <c r="B3452" s="588"/>
      <c r="C3452" s="588"/>
      <c r="D3452" s="588"/>
      <c r="E3452" s="588"/>
      <c r="F3452" s="588"/>
      <c r="G3452" s="600"/>
      <c r="H3452" s="588"/>
      <c r="I3452" s="588"/>
      <c r="J3452" s="588"/>
    </row>
    <row r="3453" spans="1:10" x14ac:dyDescent="0.3">
      <c r="A3453" s="588"/>
      <c r="B3453" s="588"/>
      <c r="C3453" s="588"/>
      <c r="D3453" s="588"/>
      <c r="E3453" s="588"/>
      <c r="F3453" s="588"/>
      <c r="G3453" s="600"/>
      <c r="H3453" s="588"/>
      <c r="I3453" s="588"/>
      <c r="J3453" s="588"/>
    </row>
    <row r="3454" spans="1:10" x14ac:dyDescent="0.3">
      <c r="A3454" s="588"/>
      <c r="B3454" s="588"/>
      <c r="C3454" s="588"/>
      <c r="D3454" s="588"/>
      <c r="E3454" s="588"/>
      <c r="F3454" s="588"/>
      <c r="G3454" s="600"/>
      <c r="H3454" s="588"/>
      <c r="I3454" s="588"/>
      <c r="J3454" s="588"/>
    </row>
    <row r="3455" spans="1:10" x14ac:dyDescent="0.3">
      <c r="A3455" s="588"/>
      <c r="B3455" s="588"/>
      <c r="C3455" s="588"/>
      <c r="D3455" s="588"/>
      <c r="E3455" s="588"/>
      <c r="F3455" s="588"/>
      <c r="G3455" s="600"/>
      <c r="H3455" s="588"/>
      <c r="I3455" s="588"/>
      <c r="J3455" s="588"/>
    </row>
    <row r="3456" spans="1:10" x14ac:dyDescent="0.3">
      <c r="A3456" s="588"/>
      <c r="B3456" s="588"/>
      <c r="C3456" s="588"/>
      <c r="D3456" s="588"/>
      <c r="E3456" s="588"/>
      <c r="F3456" s="588"/>
      <c r="G3456" s="600"/>
      <c r="H3456" s="588"/>
      <c r="I3456" s="588"/>
      <c r="J3456" s="588"/>
    </row>
    <row r="3457" spans="1:10" x14ac:dyDescent="0.3">
      <c r="A3457" s="588"/>
      <c r="B3457" s="588"/>
      <c r="C3457" s="588"/>
      <c r="D3457" s="588"/>
      <c r="E3457" s="588"/>
      <c r="F3457" s="588"/>
      <c r="G3457" s="600"/>
      <c r="H3457" s="588"/>
      <c r="I3457" s="588"/>
      <c r="J3457" s="588"/>
    </row>
    <row r="3458" spans="1:10" x14ac:dyDescent="0.3">
      <c r="A3458" s="588"/>
      <c r="B3458" s="588"/>
      <c r="C3458" s="588"/>
      <c r="D3458" s="588"/>
      <c r="E3458" s="588"/>
      <c r="F3458" s="588"/>
      <c r="G3458" s="600"/>
      <c r="H3458" s="588"/>
      <c r="I3458" s="588"/>
      <c r="J3458" s="588"/>
    </row>
    <row r="3459" spans="1:10" x14ac:dyDescent="0.3">
      <c r="A3459" s="588"/>
      <c r="B3459" s="588"/>
      <c r="C3459" s="588"/>
      <c r="D3459" s="588"/>
      <c r="E3459" s="588"/>
      <c r="F3459" s="588"/>
      <c r="G3459" s="600"/>
      <c r="H3459" s="588"/>
      <c r="I3459" s="588"/>
      <c r="J3459" s="588"/>
    </row>
    <row r="3460" spans="1:10" x14ac:dyDescent="0.3">
      <c r="A3460" s="588"/>
      <c r="B3460" s="588"/>
      <c r="C3460" s="588"/>
      <c r="D3460" s="588"/>
      <c r="E3460" s="588"/>
      <c r="F3460" s="588"/>
      <c r="G3460" s="600"/>
      <c r="H3460" s="588"/>
      <c r="I3460" s="588"/>
      <c r="J3460" s="588"/>
    </row>
    <row r="3461" spans="1:10" x14ac:dyDescent="0.3">
      <c r="A3461" s="588"/>
      <c r="B3461" s="588"/>
      <c r="C3461" s="588"/>
      <c r="D3461" s="588"/>
      <c r="E3461" s="588"/>
      <c r="F3461" s="588"/>
      <c r="G3461" s="600"/>
      <c r="H3461" s="588"/>
      <c r="I3461" s="588"/>
      <c r="J3461" s="588"/>
    </row>
    <row r="3462" spans="1:10" x14ac:dyDescent="0.3">
      <c r="A3462" s="588"/>
      <c r="B3462" s="588"/>
      <c r="C3462" s="588"/>
      <c r="D3462" s="588"/>
      <c r="E3462" s="588"/>
      <c r="F3462" s="588"/>
      <c r="G3462" s="600"/>
      <c r="H3462" s="588"/>
      <c r="I3462" s="588"/>
      <c r="J3462" s="588"/>
    </row>
    <row r="3463" spans="1:10" x14ac:dyDescent="0.3">
      <c r="A3463" s="588"/>
      <c r="B3463" s="588"/>
      <c r="C3463" s="588"/>
      <c r="D3463" s="588"/>
      <c r="E3463" s="588"/>
      <c r="F3463" s="588"/>
      <c r="G3463" s="600"/>
      <c r="H3463" s="588"/>
      <c r="I3463" s="588"/>
      <c r="J3463" s="588"/>
    </row>
    <row r="3464" spans="1:10" x14ac:dyDescent="0.3">
      <c r="A3464" s="588"/>
      <c r="B3464" s="588"/>
      <c r="C3464" s="588"/>
      <c r="D3464" s="588"/>
      <c r="E3464" s="588"/>
      <c r="F3464" s="588"/>
      <c r="G3464" s="600"/>
      <c r="H3464" s="588"/>
      <c r="I3464" s="588"/>
      <c r="J3464" s="588"/>
    </row>
    <row r="3465" spans="1:10" x14ac:dyDescent="0.3">
      <c r="A3465" s="588"/>
      <c r="B3465" s="588"/>
      <c r="C3465" s="588"/>
      <c r="D3465" s="588"/>
      <c r="E3465" s="588"/>
      <c r="F3465" s="588"/>
      <c r="G3465" s="600"/>
      <c r="H3465" s="588"/>
      <c r="I3465" s="588"/>
      <c r="J3465" s="588"/>
    </row>
    <row r="3466" spans="1:10" x14ac:dyDescent="0.3">
      <c r="A3466" s="588"/>
      <c r="B3466" s="588"/>
      <c r="C3466" s="588"/>
      <c r="D3466" s="588"/>
      <c r="E3466" s="588"/>
      <c r="F3466" s="588"/>
      <c r="G3466" s="600"/>
      <c r="H3466" s="588"/>
      <c r="I3466" s="588"/>
      <c r="J3466" s="588"/>
    </row>
    <row r="3467" spans="1:10" x14ac:dyDescent="0.3">
      <c r="A3467" s="588"/>
      <c r="B3467" s="588"/>
      <c r="C3467" s="588"/>
      <c r="D3467" s="588"/>
      <c r="E3467" s="588"/>
      <c r="F3467" s="588"/>
      <c r="G3467" s="600"/>
      <c r="H3467" s="588"/>
      <c r="I3467" s="588"/>
      <c r="J3467" s="588"/>
    </row>
    <row r="3468" spans="1:10" x14ac:dyDescent="0.3">
      <c r="A3468" s="588"/>
      <c r="B3468" s="588"/>
      <c r="C3468" s="588"/>
      <c r="D3468" s="588"/>
      <c r="E3468" s="588"/>
      <c r="F3468" s="588"/>
      <c r="G3468" s="600"/>
      <c r="H3468" s="588"/>
      <c r="I3468" s="588"/>
      <c r="J3468" s="588"/>
    </row>
    <row r="3469" spans="1:10" x14ac:dyDescent="0.3">
      <c r="A3469" s="588"/>
      <c r="B3469" s="588"/>
      <c r="C3469" s="588"/>
      <c r="D3469" s="588"/>
      <c r="E3469" s="588"/>
      <c r="F3469" s="588"/>
      <c r="G3469" s="600"/>
      <c r="H3469" s="588"/>
      <c r="I3469" s="588"/>
      <c r="J3469" s="588"/>
    </row>
    <row r="3470" spans="1:10" x14ac:dyDescent="0.3">
      <c r="A3470" s="588"/>
      <c r="B3470" s="588"/>
      <c r="C3470" s="588"/>
      <c r="D3470" s="588"/>
      <c r="E3470" s="588"/>
      <c r="F3470" s="588"/>
      <c r="G3470" s="600"/>
      <c r="H3470" s="588"/>
      <c r="I3470" s="588"/>
      <c r="J3470" s="588"/>
    </row>
    <row r="3471" spans="1:10" x14ac:dyDescent="0.3">
      <c r="A3471" s="588"/>
      <c r="B3471" s="588"/>
      <c r="C3471" s="588"/>
      <c r="D3471" s="588"/>
      <c r="E3471" s="588"/>
      <c r="F3471" s="588"/>
      <c r="G3471" s="600"/>
      <c r="H3471" s="588"/>
      <c r="I3471" s="588"/>
      <c r="J3471" s="588"/>
    </row>
    <row r="3472" spans="1:10" x14ac:dyDescent="0.3">
      <c r="A3472" s="588"/>
      <c r="B3472" s="588"/>
      <c r="C3472" s="588"/>
      <c r="D3472" s="588"/>
      <c r="E3472" s="588"/>
      <c r="F3472" s="588"/>
      <c r="G3472" s="600"/>
      <c r="H3472" s="588"/>
      <c r="I3472" s="588"/>
      <c r="J3472" s="588"/>
    </row>
    <row r="3473" spans="1:10" x14ac:dyDescent="0.3">
      <c r="A3473" s="588"/>
      <c r="B3473" s="588"/>
      <c r="C3473" s="588"/>
      <c r="D3473" s="588"/>
      <c r="E3473" s="588"/>
      <c r="F3473" s="588"/>
      <c r="G3473" s="600"/>
      <c r="H3473" s="588"/>
      <c r="I3473" s="588"/>
      <c r="J3473" s="588"/>
    </row>
    <row r="3474" spans="1:10" x14ac:dyDescent="0.3">
      <c r="A3474" s="588"/>
      <c r="B3474" s="588"/>
      <c r="C3474" s="588"/>
      <c r="D3474" s="588"/>
      <c r="E3474" s="588"/>
      <c r="F3474" s="588"/>
      <c r="G3474" s="600"/>
      <c r="H3474" s="588"/>
      <c r="I3474" s="588"/>
      <c r="J3474" s="588"/>
    </row>
    <row r="3475" spans="1:10" x14ac:dyDescent="0.3">
      <c r="A3475" s="588"/>
      <c r="B3475" s="588"/>
      <c r="C3475" s="588"/>
      <c r="D3475" s="588"/>
      <c r="E3475" s="588"/>
      <c r="F3475" s="588"/>
      <c r="G3475" s="600"/>
      <c r="H3475" s="588"/>
      <c r="I3475" s="588"/>
      <c r="J3475" s="588"/>
    </row>
    <row r="3476" spans="1:10" x14ac:dyDescent="0.3">
      <c r="A3476" s="588"/>
      <c r="B3476" s="588"/>
      <c r="C3476" s="588"/>
      <c r="D3476" s="588"/>
      <c r="E3476" s="588"/>
      <c r="F3476" s="588"/>
      <c r="G3476" s="600"/>
      <c r="H3476" s="588"/>
      <c r="I3476" s="588"/>
      <c r="J3476" s="588"/>
    </row>
    <row r="3477" spans="1:10" x14ac:dyDescent="0.3">
      <c r="A3477" s="588"/>
      <c r="B3477" s="588"/>
      <c r="C3477" s="588"/>
      <c r="D3477" s="588"/>
      <c r="E3477" s="588"/>
      <c r="F3477" s="588"/>
      <c r="G3477" s="600"/>
      <c r="H3477" s="588"/>
      <c r="I3477" s="588"/>
      <c r="J3477" s="588"/>
    </row>
    <row r="3478" spans="1:10" x14ac:dyDescent="0.3">
      <c r="A3478" s="588"/>
      <c r="B3478" s="588"/>
      <c r="C3478" s="588"/>
      <c r="D3478" s="588"/>
      <c r="E3478" s="588"/>
      <c r="F3478" s="588"/>
      <c r="G3478" s="600"/>
      <c r="H3478" s="588"/>
      <c r="I3478" s="588"/>
      <c r="J3478" s="588"/>
    </row>
    <row r="3479" spans="1:10" x14ac:dyDescent="0.3">
      <c r="A3479" s="588"/>
      <c r="B3479" s="588"/>
      <c r="C3479" s="588"/>
      <c r="D3479" s="588"/>
      <c r="E3479" s="588"/>
      <c r="F3479" s="588"/>
      <c r="G3479" s="600"/>
      <c r="H3479" s="588"/>
      <c r="I3479" s="588"/>
      <c r="J3479" s="588"/>
    </row>
    <row r="3480" spans="1:10" x14ac:dyDescent="0.3">
      <c r="A3480" s="588"/>
      <c r="B3480" s="588"/>
      <c r="C3480" s="588"/>
      <c r="D3480" s="588"/>
      <c r="E3480" s="588"/>
      <c r="F3480" s="588"/>
      <c r="G3480" s="600"/>
      <c r="H3480" s="588"/>
      <c r="I3480" s="588"/>
      <c r="J3480" s="588"/>
    </row>
    <row r="3481" spans="1:10" x14ac:dyDescent="0.3">
      <c r="A3481" s="588"/>
      <c r="B3481" s="588"/>
      <c r="C3481" s="588"/>
      <c r="D3481" s="588"/>
      <c r="E3481" s="588"/>
      <c r="F3481" s="588"/>
      <c r="G3481" s="600"/>
      <c r="H3481" s="588"/>
      <c r="I3481" s="588"/>
      <c r="J3481" s="588"/>
    </row>
    <row r="3482" spans="1:10" x14ac:dyDescent="0.3">
      <c r="A3482" s="588"/>
      <c r="B3482" s="588"/>
      <c r="C3482" s="588"/>
      <c r="D3482" s="588"/>
      <c r="E3482" s="588"/>
      <c r="F3482" s="588"/>
      <c r="G3482" s="600"/>
      <c r="H3482" s="588"/>
      <c r="I3482" s="588"/>
      <c r="J3482" s="588"/>
    </row>
    <row r="3483" spans="1:10" x14ac:dyDescent="0.3">
      <c r="A3483" s="588"/>
      <c r="B3483" s="588"/>
      <c r="C3483" s="588"/>
      <c r="D3483" s="588"/>
      <c r="E3483" s="588"/>
      <c r="F3483" s="588"/>
      <c r="G3483" s="600"/>
      <c r="H3483" s="588"/>
      <c r="I3483" s="588"/>
      <c r="J3483" s="588"/>
    </row>
    <row r="3484" spans="1:10" x14ac:dyDescent="0.3">
      <c r="A3484" s="588"/>
      <c r="B3484" s="588"/>
      <c r="C3484" s="588"/>
      <c r="D3484" s="588"/>
      <c r="E3484" s="588"/>
      <c r="F3484" s="588"/>
      <c r="G3484" s="600"/>
      <c r="H3484" s="588"/>
      <c r="I3484" s="588"/>
      <c r="J3484" s="588"/>
    </row>
    <row r="3485" spans="1:10" x14ac:dyDescent="0.3">
      <c r="A3485" s="588"/>
      <c r="B3485" s="588"/>
      <c r="C3485" s="588"/>
      <c r="D3485" s="588"/>
      <c r="E3485" s="588"/>
      <c r="F3485" s="588"/>
      <c r="G3485" s="600"/>
      <c r="H3485" s="588"/>
      <c r="I3485" s="588"/>
      <c r="J3485" s="588"/>
    </row>
    <row r="3486" spans="1:10" x14ac:dyDescent="0.3">
      <c r="A3486" s="588"/>
      <c r="B3486" s="588"/>
      <c r="C3486" s="588"/>
      <c r="D3486" s="588"/>
      <c r="E3486" s="588"/>
      <c r="F3486" s="588"/>
      <c r="G3486" s="600"/>
      <c r="H3486" s="588"/>
      <c r="I3486" s="588"/>
      <c r="J3486" s="588"/>
    </row>
    <row r="3487" spans="1:10" x14ac:dyDescent="0.3">
      <c r="A3487" s="588"/>
      <c r="B3487" s="588"/>
      <c r="C3487" s="588"/>
      <c r="D3487" s="588"/>
      <c r="E3487" s="588"/>
      <c r="F3487" s="588"/>
      <c r="G3487" s="600"/>
      <c r="H3487" s="588"/>
      <c r="I3487" s="588"/>
      <c r="J3487" s="588"/>
    </row>
    <row r="3488" spans="1:10" x14ac:dyDescent="0.3">
      <c r="A3488" s="588"/>
      <c r="B3488" s="588"/>
      <c r="C3488" s="588"/>
      <c r="D3488" s="588"/>
      <c r="E3488" s="588"/>
      <c r="F3488" s="588"/>
      <c r="G3488" s="600"/>
      <c r="H3488" s="588"/>
      <c r="I3488" s="588"/>
      <c r="J3488" s="588"/>
    </row>
    <row r="3489" spans="1:10" x14ac:dyDescent="0.3">
      <c r="A3489" s="588"/>
      <c r="B3489" s="588"/>
      <c r="C3489" s="588"/>
      <c r="D3489" s="588"/>
      <c r="E3489" s="588"/>
      <c r="F3489" s="588"/>
      <c r="G3489" s="600"/>
      <c r="H3489" s="588"/>
      <c r="I3489" s="588"/>
      <c r="J3489" s="588"/>
    </row>
    <row r="3490" spans="1:10" x14ac:dyDescent="0.3">
      <c r="A3490" s="588"/>
      <c r="B3490" s="588"/>
      <c r="C3490" s="588"/>
      <c r="D3490" s="588"/>
      <c r="E3490" s="588"/>
      <c r="F3490" s="588"/>
      <c r="G3490" s="600"/>
      <c r="H3490" s="588"/>
      <c r="I3490" s="588"/>
      <c r="J3490" s="588"/>
    </row>
    <row r="3491" spans="1:10" x14ac:dyDescent="0.3">
      <c r="A3491" s="588"/>
      <c r="B3491" s="588"/>
      <c r="C3491" s="588"/>
      <c r="D3491" s="588"/>
      <c r="E3491" s="588"/>
      <c r="F3491" s="588"/>
      <c r="G3491" s="600"/>
      <c r="H3491" s="588"/>
      <c r="I3491" s="588"/>
      <c r="J3491" s="588"/>
    </row>
    <row r="3492" spans="1:10" x14ac:dyDescent="0.3">
      <c r="A3492" s="588"/>
      <c r="B3492" s="588"/>
      <c r="C3492" s="588"/>
      <c r="D3492" s="588"/>
      <c r="E3492" s="588"/>
      <c r="F3492" s="588"/>
      <c r="G3492" s="600"/>
      <c r="H3492" s="588"/>
      <c r="I3492" s="588"/>
      <c r="J3492" s="588"/>
    </row>
    <row r="3493" spans="1:10" x14ac:dyDescent="0.3">
      <c r="A3493" s="588"/>
      <c r="B3493" s="588"/>
      <c r="C3493" s="588"/>
      <c r="D3493" s="588"/>
      <c r="E3493" s="588"/>
      <c r="F3493" s="588"/>
      <c r="G3493" s="600"/>
      <c r="H3493" s="588"/>
      <c r="I3493" s="588"/>
      <c r="J3493" s="588"/>
    </row>
    <row r="3494" spans="1:10" x14ac:dyDescent="0.3">
      <c r="A3494" s="588"/>
      <c r="B3494" s="588"/>
      <c r="C3494" s="588"/>
      <c r="D3494" s="588"/>
      <c r="E3494" s="588"/>
      <c r="F3494" s="588"/>
      <c r="G3494" s="600"/>
      <c r="H3494" s="588"/>
      <c r="I3494" s="588"/>
      <c r="J3494" s="588"/>
    </row>
    <row r="3495" spans="1:10" x14ac:dyDescent="0.3">
      <c r="A3495" s="588"/>
      <c r="B3495" s="588"/>
      <c r="C3495" s="588"/>
      <c r="D3495" s="588"/>
      <c r="E3495" s="588"/>
      <c r="F3495" s="588"/>
      <c r="G3495" s="600"/>
      <c r="H3495" s="588"/>
      <c r="I3495" s="588"/>
      <c r="J3495" s="588"/>
    </row>
    <row r="3496" spans="1:10" x14ac:dyDescent="0.3">
      <c r="A3496" s="588"/>
      <c r="B3496" s="588"/>
      <c r="C3496" s="588"/>
      <c r="D3496" s="588"/>
      <c r="E3496" s="588"/>
      <c r="F3496" s="588"/>
      <c r="G3496" s="600"/>
      <c r="H3496" s="588"/>
      <c r="I3496" s="588"/>
      <c r="J3496" s="588"/>
    </row>
    <row r="3497" spans="1:10" x14ac:dyDescent="0.3">
      <c r="A3497" s="588"/>
      <c r="B3497" s="588"/>
      <c r="C3497" s="588"/>
      <c r="D3497" s="588"/>
      <c r="E3497" s="588"/>
      <c r="F3497" s="588"/>
      <c r="G3497" s="600"/>
      <c r="H3497" s="588"/>
      <c r="I3497" s="588"/>
      <c r="J3497" s="588"/>
    </row>
    <row r="3498" spans="1:10" x14ac:dyDescent="0.3">
      <c r="A3498" s="588"/>
      <c r="B3498" s="588"/>
      <c r="C3498" s="588"/>
      <c r="D3498" s="588"/>
      <c r="E3498" s="588"/>
      <c r="F3498" s="588"/>
      <c r="G3498" s="600"/>
      <c r="H3498" s="588"/>
      <c r="I3498" s="588"/>
      <c r="J3498" s="588"/>
    </row>
    <row r="3499" spans="1:10" x14ac:dyDescent="0.3">
      <c r="A3499" s="588"/>
      <c r="B3499" s="588"/>
      <c r="C3499" s="588"/>
      <c r="D3499" s="588"/>
      <c r="E3499" s="588"/>
      <c r="F3499" s="588"/>
      <c r="G3499" s="600"/>
      <c r="H3499" s="588"/>
      <c r="I3499" s="588"/>
      <c r="J3499" s="588"/>
    </row>
    <row r="3500" spans="1:10" x14ac:dyDescent="0.3">
      <c r="A3500" s="588"/>
      <c r="B3500" s="588"/>
      <c r="C3500" s="588"/>
      <c r="D3500" s="588"/>
      <c r="E3500" s="588"/>
      <c r="F3500" s="588"/>
      <c r="G3500" s="600"/>
      <c r="H3500" s="588"/>
      <c r="I3500" s="588"/>
      <c r="J3500" s="588"/>
    </row>
    <row r="3501" spans="1:10" x14ac:dyDescent="0.3">
      <c r="A3501" s="588"/>
      <c r="B3501" s="588"/>
      <c r="C3501" s="588"/>
      <c r="D3501" s="588"/>
      <c r="E3501" s="588"/>
      <c r="F3501" s="588"/>
      <c r="G3501" s="600"/>
      <c r="H3501" s="588"/>
      <c r="I3501" s="588"/>
      <c r="J3501" s="588"/>
    </row>
    <row r="3502" spans="1:10" x14ac:dyDescent="0.3">
      <c r="A3502" s="588"/>
      <c r="B3502" s="588"/>
      <c r="C3502" s="588"/>
      <c r="D3502" s="588"/>
      <c r="E3502" s="588"/>
      <c r="F3502" s="588"/>
      <c r="G3502" s="600"/>
      <c r="H3502" s="588"/>
      <c r="I3502" s="588"/>
      <c r="J3502" s="588"/>
    </row>
    <row r="3503" spans="1:10" x14ac:dyDescent="0.3">
      <c r="A3503" s="588"/>
      <c r="B3503" s="588"/>
      <c r="C3503" s="588"/>
      <c r="D3503" s="588"/>
      <c r="E3503" s="588"/>
      <c r="F3503" s="588"/>
      <c r="G3503" s="600"/>
      <c r="H3503" s="588"/>
      <c r="I3503" s="588"/>
      <c r="J3503" s="588"/>
    </row>
    <row r="3504" spans="1:10" x14ac:dyDescent="0.3">
      <c r="A3504" s="588"/>
      <c r="B3504" s="588"/>
      <c r="C3504" s="588"/>
      <c r="D3504" s="588"/>
      <c r="E3504" s="588"/>
      <c r="F3504" s="588"/>
      <c r="G3504" s="600"/>
      <c r="H3504" s="588"/>
      <c r="I3504" s="588"/>
      <c r="J3504" s="588"/>
    </row>
    <row r="3505" spans="1:10" x14ac:dyDescent="0.3">
      <c r="A3505" s="588"/>
      <c r="B3505" s="588"/>
      <c r="C3505" s="588"/>
      <c r="D3505" s="588"/>
      <c r="E3505" s="588"/>
      <c r="F3505" s="588"/>
      <c r="G3505" s="600"/>
      <c r="H3505" s="588"/>
      <c r="I3505" s="588"/>
      <c r="J3505" s="588"/>
    </row>
    <row r="3506" spans="1:10" x14ac:dyDescent="0.3">
      <c r="A3506" s="588"/>
      <c r="B3506" s="588"/>
      <c r="C3506" s="588"/>
      <c r="D3506" s="588"/>
      <c r="E3506" s="588"/>
      <c r="F3506" s="588"/>
      <c r="G3506" s="600"/>
      <c r="H3506" s="588"/>
      <c r="I3506" s="588"/>
      <c r="J3506" s="588"/>
    </row>
    <row r="3507" spans="1:10" x14ac:dyDescent="0.3">
      <c r="A3507" s="588"/>
      <c r="B3507" s="588"/>
      <c r="C3507" s="588"/>
      <c r="D3507" s="588"/>
      <c r="E3507" s="588"/>
      <c r="F3507" s="588"/>
      <c r="G3507" s="600"/>
      <c r="H3507" s="588"/>
      <c r="I3507" s="588"/>
      <c r="J3507" s="588"/>
    </row>
    <row r="3508" spans="1:10" x14ac:dyDescent="0.3">
      <c r="A3508" s="588"/>
      <c r="B3508" s="588"/>
      <c r="C3508" s="588"/>
      <c r="D3508" s="588"/>
      <c r="E3508" s="588"/>
      <c r="F3508" s="588"/>
      <c r="G3508" s="600"/>
      <c r="H3508" s="588"/>
      <c r="I3508" s="588"/>
      <c r="J3508" s="588"/>
    </row>
    <row r="3509" spans="1:10" x14ac:dyDescent="0.3">
      <c r="A3509" s="588"/>
      <c r="B3509" s="588"/>
      <c r="C3509" s="588"/>
      <c r="D3509" s="588"/>
      <c r="E3509" s="588"/>
      <c r="F3509" s="588"/>
      <c r="G3509" s="600"/>
      <c r="H3509" s="588"/>
      <c r="I3509" s="588"/>
      <c r="J3509" s="588"/>
    </row>
    <row r="3510" spans="1:10" x14ac:dyDescent="0.3">
      <c r="A3510" s="588"/>
      <c r="B3510" s="588"/>
      <c r="C3510" s="588"/>
      <c r="D3510" s="588"/>
      <c r="E3510" s="588"/>
      <c r="F3510" s="588"/>
      <c r="G3510" s="600"/>
      <c r="H3510" s="588"/>
      <c r="I3510" s="588"/>
      <c r="J3510" s="588"/>
    </row>
    <row r="3511" spans="1:10" x14ac:dyDescent="0.3">
      <c r="A3511" s="588"/>
      <c r="B3511" s="588"/>
      <c r="C3511" s="588"/>
      <c r="D3511" s="588"/>
      <c r="E3511" s="588"/>
      <c r="F3511" s="588"/>
      <c r="G3511" s="600"/>
      <c r="H3511" s="588"/>
      <c r="I3511" s="588"/>
      <c r="J3511" s="588"/>
    </row>
    <row r="3512" spans="1:10" x14ac:dyDescent="0.3">
      <c r="A3512" s="588"/>
      <c r="B3512" s="588"/>
      <c r="C3512" s="588"/>
      <c r="D3512" s="588"/>
      <c r="E3512" s="588"/>
      <c r="F3512" s="588"/>
      <c r="G3512" s="600"/>
      <c r="H3512" s="588"/>
      <c r="I3512" s="588"/>
      <c r="J3512" s="588"/>
    </row>
    <row r="3513" spans="1:10" x14ac:dyDescent="0.3">
      <c r="A3513" s="588"/>
      <c r="B3513" s="588"/>
      <c r="C3513" s="588"/>
      <c r="D3513" s="588"/>
      <c r="E3513" s="588"/>
      <c r="F3513" s="588"/>
      <c r="G3513" s="600"/>
      <c r="H3513" s="588"/>
      <c r="I3513" s="588"/>
      <c r="J3513" s="588"/>
    </row>
    <row r="3514" spans="1:10" x14ac:dyDescent="0.3">
      <c r="A3514" s="588"/>
      <c r="B3514" s="588"/>
      <c r="C3514" s="588"/>
      <c r="D3514" s="588"/>
      <c r="E3514" s="588"/>
      <c r="F3514" s="588"/>
      <c r="G3514" s="600"/>
      <c r="H3514" s="588"/>
      <c r="I3514" s="588"/>
      <c r="J3514" s="588"/>
    </row>
    <row r="3515" spans="1:10" x14ac:dyDescent="0.3">
      <c r="A3515" s="588"/>
      <c r="B3515" s="588"/>
      <c r="C3515" s="588"/>
      <c r="D3515" s="588"/>
      <c r="E3515" s="588"/>
      <c r="F3515" s="588"/>
      <c r="G3515" s="600"/>
      <c r="H3515" s="588"/>
      <c r="I3515" s="588"/>
      <c r="J3515" s="588"/>
    </row>
    <row r="3516" spans="1:10" x14ac:dyDescent="0.3">
      <c r="A3516" s="588"/>
      <c r="B3516" s="588"/>
      <c r="C3516" s="588"/>
      <c r="D3516" s="588"/>
      <c r="E3516" s="588"/>
      <c r="F3516" s="588"/>
      <c r="G3516" s="600"/>
      <c r="H3516" s="588"/>
      <c r="I3516" s="588"/>
      <c r="J3516" s="588"/>
    </row>
    <row r="3517" spans="1:10" x14ac:dyDescent="0.3">
      <c r="A3517" s="588"/>
      <c r="B3517" s="588"/>
      <c r="C3517" s="588"/>
      <c r="D3517" s="588"/>
      <c r="E3517" s="588"/>
      <c r="F3517" s="588"/>
      <c r="G3517" s="600"/>
      <c r="H3517" s="588"/>
      <c r="I3517" s="588"/>
      <c r="J3517" s="588"/>
    </row>
    <row r="3518" spans="1:10" x14ac:dyDescent="0.3">
      <c r="A3518" s="588"/>
      <c r="B3518" s="588"/>
      <c r="C3518" s="588"/>
      <c r="D3518" s="588"/>
      <c r="E3518" s="588"/>
      <c r="F3518" s="588"/>
      <c r="G3518" s="600"/>
      <c r="H3518" s="588"/>
      <c r="I3518" s="588"/>
      <c r="J3518" s="588"/>
    </row>
    <row r="3519" spans="1:10" x14ac:dyDescent="0.3">
      <c r="A3519" s="588"/>
      <c r="B3519" s="588"/>
      <c r="C3519" s="588"/>
      <c r="D3519" s="588"/>
      <c r="E3519" s="588"/>
      <c r="F3519" s="588"/>
      <c r="G3519" s="600"/>
      <c r="H3519" s="588"/>
      <c r="I3519" s="588"/>
      <c r="J3519" s="588"/>
    </row>
    <row r="3520" spans="1:10" x14ac:dyDescent="0.3">
      <c r="A3520" s="588"/>
      <c r="B3520" s="588"/>
      <c r="C3520" s="588"/>
      <c r="D3520" s="588"/>
      <c r="E3520" s="588"/>
      <c r="F3520" s="588"/>
      <c r="G3520" s="600"/>
      <c r="H3520" s="588"/>
      <c r="I3520" s="588"/>
      <c r="J3520" s="588"/>
    </row>
    <row r="3521" spans="1:10" x14ac:dyDescent="0.3">
      <c r="A3521" s="588"/>
      <c r="B3521" s="588"/>
      <c r="C3521" s="588"/>
      <c r="D3521" s="588"/>
      <c r="E3521" s="588"/>
      <c r="F3521" s="588"/>
      <c r="G3521" s="600"/>
      <c r="H3521" s="588"/>
      <c r="I3521" s="588"/>
      <c r="J3521" s="588"/>
    </row>
    <row r="3522" spans="1:10" x14ac:dyDescent="0.3">
      <c r="A3522" s="588"/>
      <c r="B3522" s="588"/>
      <c r="C3522" s="588"/>
      <c r="D3522" s="588"/>
      <c r="E3522" s="588"/>
      <c r="F3522" s="588"/>
      <c r="G3522" s="600"/>
      <c r="H3522" s="588"/>
      <c r="I3522" s="588"/>
      <c r="J3522" s="588"/>
    </row>
    <row r="3523" spans="1:10" x14ac:dyDescent="0.3">
      <c r="A3523" s="588"/>
      <c r="B3523" s="588"/>
      <c r="C3523" s="588"/>
      <c r="D3523" s="588"/>
      <c r="E3523" s="588"/>
      <c r="F3523" s="588"/>
      <c r="G3523" s="600"/>
      <c r="H3523" s="588"/>
      <c r="I3523" s="588"/>
      <c r="J3523" s="588"/>
    </row>
    <row r="3524" spans="1:10" x14ac:dyDescent="0.3">
      <c r="A3524" s="588"/>
      <c r="B3524" s="588"/>
      <c r="C3524" s="588"/>
      <c r="D3524" s="588"/>
      <c r="E3524" s="588"/>
      <c r="F3524" s="588"/>
      <c r="G3524" s="600"/>
      <c r="H3524" s="588"/>
      <c r="I3524" s="588"/>
      <c r="J3524" s="588"/>
    </row>
    <row r="3525" spans="1:10" x14ac:dyDescent="0.3">
      <c r="A3525" s="588"/>
      <c r="B3525" s="588"/>
      <c r="C3525" s="588"/>
      <c r="D3525" s="588"/>
      <c r="E3525" s="588"/>
      <c r="F3525" s="588"/>
      <c r="G3525" s="600"/>
      <c r="H3525" s="588"/>
      <c r="I3525" s="588"/>
      <c r="J3525" s="588"/>
    </row>
    <row r="3526" spans="1:10" x14ac:dyDescent="0.3">
      <c r="A3526" s="588"/>
      <c r="B3526" s="588"/>
      <c r="C3526" s="588"/>
      <c r="D3526" s="588"/>
      <c r="E3526" s="588"/>
      <c r="F3526" s="588"/>
      <c r="G3526" s="600"/>
      <c r="H3526" s="588"/>
      <c r="I3526" s="588"/>
      <c r="J3526" s="588"/>
    </row>
    <row r="3527" spans="1:10" x14ac:dyDescent="0.3">
      <c r="A3527" s="588"/>
      <c r="B3527" s="588"/>
      <c r="C3527" s="588"/>
      <c r="D3527" s="588"/>
      <c r="E3527" s="588"/>
      <c r="F3527" s="588"/>
      <c r="G3527" s="600"/>
      <c r="H3527" s="588"/>
      <c r="I3527" s="588"/>
      <c r="J3527" s="588"/>
    </row>
    <row r="3528" spans="1:10" x14ac:dyDescent="0.3">
      <c r="A3528" s="588"/>
      <c r="B3528" s="588"/>
      <c r="C3528" s="588"/>
      <c r="D3528" s="588"/>
      <c r="E3528" s="588"/>
      <c r="F3528" s="588"/>
      <c r="G3528" s="600"/>
      <c r="H3528" s="588"/>
      <c r="I3528" s="588"/>
      <c r="J3528" s="588"/>
    </row>
    <row r="3529" spans="1:10" x14ac:dyDescent="0.3">
      <c r="A3529" s="588"/>
      <c r="B3529" s="588"/>
      <c r="C3529" s="588"/>
      <c r="D3529" s="588"/>
      <c r="E3529" s="588"/>
      <c r="F3529" s="588"/>
      <c r="G3529" s="600"/>
      <c r="H3529" s="588"/>
      <c r="I3529" s="588"/>
      <c r="J3529" s="588"/>
    </row>
    <row r="3530" spans="1:10" x14ac:dyDescent="0.3">
      <c r="A3530" s="588"/>
      <c r="B3530" s="588"/>
      <c r="C3530" s="588"/>
      <c r="D3530" s="588"/>
      <c r="E3530" s="588"/>
      <c r="F3530" s="588"/>
      <c r="G3530" s="600"/>
      <c r="H3530" s="588"/>
      <c r="I3530" s="588"/>
      <c r="J3530" s="588"/>
    </row>
    <row r="3531" spans="1:10" x14ac:dyDescent="0.3">
      <c r="A3531" s="588"/>
      <c r="B3531" s="588"/>
      <c r="C3531" s="588"/>
      <c r="D3531" s="588"/>
      <c r="E3531" s="588"/>
      <c r="F3531" s="588"/>
      <c r="G3531" s="600"/>
      <c r="H3531" s="588"/>
      <c r="I3531" s="588"/>
      <c r="J3531" s="588"/>
    </row>
    <row r="3532" spans="1:10" x14ac:dyDescent="0.3">
      <c r="A3532" s="588"/>
      <c r="B3532" s="588"/>
      <c r="C3532" s="588"/>
      <c r="D3532" s="588"/>
      <c r="E3532" s="588"/>
      <c r="F3532" s="588"/>
      <c r="G3532" s="600"/>
      <c r="H3532" s="588"/>
      <c r="I3532" s="588"/>
      <c r="J3532" s="588"/>
    </row>
    <row r="3533" spans="1:10" x14ac:dyDescent="0.3">
      <c r="A3533" s="588"/>
      <c r="B3533" s="588"/>
      <c r="C3533" s="588"/>
      <c r="D3533" s="588"/>
      <c r="E3533" s="588"/>
      <c r="F3533" s="588"/>
      <c r="G3533" s="600"/>
      <c r="H3533" s="588"/>
      <c r="I3533" s="588"/>
      <c r="J3533" s="588"/>
    </row>
    <row r="3534" spans="1:10" x14ac:dyDescent="0.3">
      <c r="A3534" s="588"/>
      <c r="B3534" s="588"/>
      <c r="C3534" s="588"/>
      <c r="D3534" s="588"/>
      <c r="E3534" s="588"/>
      <c r="F3534" s="588"/>
      <c r="G3534" s="600"/>
      <c r="H3534" s="588"/>
      <c r="I3534" s="588"/>
      <c r="J3534" s="588"/>
    </row>
    <row r="3535" spans="1:10" x14ac:dyDescent="0.3">
      <c r="A3535" s="588"/>
      <c r="B3535" s="588"/>
      <c r="C3535" s="588"/>
      <c r="D3535" s="588"/>
      <c r="E3535" s="588"/>
      <c r="F3535" s="588"/>
      <c r="G3535" s="600"/>
      <c r="H3535" s="588"/>
      <c r="I3535" s="588"/>
      <c r="J3535" s="588"/>
    </row>
    <row r="3536" spans="1:10" x14ac:dyDescent="0.3">
      <c r="A3536" s="588"/>
      <c r="B3536" s="588"/>
      <c r="C3536" s="588"/>
      <c r="D3536" s="588"/>
      <c r="E3536" s="588"/>
      <c r="F3536" s="588"/>
      <c r="G3536" s="600"/>
      <c r="H3536" s="588"/>
      <c r="I3536" s="588"/>
      <c r="J3536" s="588"/>
    </row>
    <row r="3537" spans="1:10" x14ac:dyDescent="0.3">
      <c r="A3537" s="588"/>
      <c r="B3537" s="588"/>
      <c r="C3537" s="588"/>
      <c r="D3537" s="588"/>
      <c r="E3537" s="588"/>
      <c r="F3537" s="588"/>
      <c r="G3537" s="600"/>
      <c r="H3537" s="588"/>
      <c r="I3537" s="588"/>
      <c r="J3537" s="588"/>
    </row>
    <row r="3538" spans="1:10" x14ac:dyDescent="0.3">
      <c r="A3538" s="588"/>
      <c r="B3538" s="588"/>
      <c r="C3538" s="588"/>
      <c r="D3538" s="588"/>
      <c r="E3538" s="588"/>
      <c r="F3538" s="588"/>
      <c r="G3538" s="600"/>
      <c r="H3538" s="588"/>
      <c r="I3538" s="588"/>
      <c r="J3538" s="588"/>
    </row>
    <row r="3539" spans="1:10" x14ac:dyDescent="0.3">
      <c r="A3539" s="588"/>
      <c r="B3539" s="588"/>
      <c r="C3539" s="588"/>
      <c r="D3539" s="588"/>
      <c r="E3539" s="588"/>
      <c r="F3539" s="588"/>
      <c r="G3539" s="600"/>
      <c r="H3539" s="588"/>
      <c r="I3539" s="588"/>
      <c r="J3539" s="588"/>
    </row>
    <row r="3540" spans="1:10" x14ac:dyDescent="0.3">
      <c r="A3540" s="588"/>
      <c r="B3540" s="588"/>
      <c r="C3540" s="588"/>
      <c r="D3540" s="588"/>
      <c r="E3540" s="588"/>
      <c r="F3540" s="588"/>
      <c r="G3540" s="600"/>
      <c r="H3540" s="588"/>
      <c r="I3540" s="588"/>
      <c r="J3540" s="588"/>
    </row>
    <row r="3541" spans="1:10" x14ac:dyDescent="0.3">
      <c r="A3541" s="588"/>
      <c r="B3541" s="588"/>
      <c r="C3541" s="588"/>
      <c r="D3541" s="588"/>
      <c r="E3541" s="588"/>
      <c r="F3541" s="588"/>
      <c r="G3541" s="600"/>
      <c r="H3541" s="588"/>
      <c r="I3541" s="588"/>
      <c r="J3541" s="588"/>
    </row>
    <row r="3542" spans="1:10" x14ac:dyDescent="0.3">
      <c r="A3542" s="588"/>
      <c r="B3542" s="588"/>
      <c r="C3542" s="588"/>
      <c r="D3542" s="588"/>
      <c r="E3542" s="588"/>
      <c r="F3542" s="588"/>
      <c r="G3542" s="600"/>
      <c r="H3542" s="588"/>
      <c r="I3542" s="588"/>
      <c r="J3542" s="588"/>
    </row>
    <row r="3543" spans="1:10" x14ac:dyDescent="0.3">
      <c r="A3543" s="588"/>
      <c r="B3543" s="588"/>
      <c r="C3543" s="588"/>
      <c r="D3543" s="588"/>
      <c r="E3543" s="588"/>
      <c r="F3543" s="588"/>
      <c r="G3543" s="600"/>
      <c r="H3543" s="588"/>
      <c r="I3543" s="588"/>
      <c r="J3543" s="588"/>
    </row>
    <row r="3544" spans="1:10" x14ac:dyDescent="0.3">
      <c r="A3544" s="588"/>
      <c r="B3544" s="588"/>
      <c r="C3544" s="588"/>
      <c r="D3544" s="588"/>
      <c r="E3544" s="588"/>
      <c r="F3544" s="588"/>
      <c r="G3544" s="600"/>
      <c r="H3544" s="588"/>
      <c r="I3544" s="588"/>
      <c r="J3544" s="588"/>
    </row>
    <row r="3545" spans="1:10" x14ac:dyDescent="0.3">
      <c r="A3545" s="588"/>
      <c r="B3545" s="588"/>
      <c r="C3545" s="588"/>
      <c r="D3545" s="588"/>
      <c r="E3545" s="588"/>
      <c r="F3545" s="588"/>
      <c r="G3545" s="600"/>
      <c r="H3545" s="588"/>
      <c r="I3545" s="588"/>
      <c r="J3545" s="588"/>
    </row>
    <row r="3546" spans="1:10" x14ac:dyDescent="0.3">
      <c r="A3546" s="588"/>
      <c r="B3546" s="588"/>
      <c r="C3546" s="588"/>
      <c r="D3546" s="588"/>
      <c r="E3546" s="588"/>
      <c r="F3546" s="588"/>
      <c r="G3546" s="600"/>
      <c r="H3546" s="588"/>
      <c r="I3546" s="588"/>
      <c r="J3546" s="588"/>
    </row>
    <row r="3547" spans="1:10" x14ac:dyDescent="0.3">
      <c r="A3547" s="588"/>
      <c r="B3547" s="588"/>
      <c r="C3547" s="588"/>
      <c r="D3547" s="588"/>
      <c r="E3547" s="588"/>
      <c r="F3547" s="588"/>
      <c r="G3547" s="600"/>
      <c r="H3547" s="588"/>
      <c r="I3547" s="588"/>
      <c r="J3547" s="588"/>
    </row>
    <row r="3548" spans="1:10" x14ac:dyDescent="0.3">
      <c r="A3548" s="588"/>
      <c r="B3548" s="588"/>
      <c r="C3548" s="588"/>
      <c r="D3548" s="588"/>
      <c r="E3548" s="588"/>
      <c r="F3548" s="588"/>
      <c r="G3548" s="600"/>
      <c r="H3548" s="588"/>
      <c r="I3548" s="588"/>
      <c r="J3548" s="588"/>
    </row>
    <row r="3549" spans="1:10" x14ac:dyDescent="0.3">
      <c r="A3549" s="588"/>
      <c r="B3549" s="588"/>
      <c r="C3549" s="588"/>
      <c r="D3549" s="588"/>
      <c r="E3549" s="588"/>
      <c r="F3549" s="588"/>
      <c r="G3549" s="600"/>
      <c r="H3549" s="588"/>
      <c r="I3549" s="588"/>
      <c r="J3549" s="588"/>
    </row>
    <row r="3550" spans="1:10" x14ac:dyDescent="0.3">
      <c r="A3550" s="588"/>
      <c r="B3550" s="588"/>
      <c r="C3550" s="588"/>
      <c r="D3550" s="588"/>
      <c r="E3550" s="588"/>
      <c r="F3550" s="588"/>
      <c r="G3550" s="600"/>
      <c r="H3550" s="588"/>
      <c r="I3550" s="588"/>
      <c r="J3550" s="588"/>
    </row>
    <row r="3551" spans="1:10" x14ac:dyDescent="0.3">
      <c r="A3551" s="588"/>
      <c r="B3551" s="588"/>
      <c r="C3551" s="588"/>
      <c r="D3551" s="588"/>
      <c r="E3551" s="588"/>
      <c r="F3551" s="588"/>
      <c r="G3551" s="600"/>
      <c r="H3551" s="588"/>
      <c r="I3551" s="588"/>
      <c r="J3551" s="588"/>
    </row>
    <row r="3552" spans="1:10" x14ac:dyDescent="0.3">
      <c r="A3552" s="588"/>
      <c r="B3552" s="588"/>
      <c r="C3552" s="588"/>
      <c r="D3552" s="588"/>
      <c r="E3552" s="588"/>
      <c r="F3552" s="588"/>
      <c r="G3552" s="600"/>
      <c r="H3552" s="588"/>
      <c r="I3552" s="588"/>
      <c r="J3552" s="588"/>
    </row>
    <row r="3553" spans="1:10" x14ac:dyDescent="0.3">
      <c r="A3553" s="588"/>
      <c r="B3553" s="588"/>
      <c r="C3553" s="588"/>
      <c r="D3553" s="588"/>
      <c r="E3553" s="588"/>
      <c r="F3553" s="588"/>
      <c r="G3553" s="600"/>
      <c r="H3553" s="588"/>
      <c r="I3553" s="588"/>
      <c r="J3553" s="588"/>
    </row>
    <row r="3554" spans="1:10" x14ac:dyDescent="0.3">
      <c r="A3554" s="588"/>
      <c r="B3554" s="588"/>
      <c r="C3554" s="588"/>
      <c r="D3554" s="588"/>
      <c r="E3554" s="588"/>
      <c r="F3554" s="588"/>
      <c r="G3554" s="600"/>
      <c r="H3554" s="588"/>
      <c r="I3554" s="588"/>
      <c r="J3554" s="588"/>
    </row>
    <row r="3555" spans="1:10" x14ac:dyDescent="0.3">
      <c r="A3555" s="588"/>
      <c r="B3555" s="588"/>
      <c r="C3555" s="588"/>
      <c r="D3555" s="588"/>
      <c r="E3555" s="588"/>
      <c r="F3555" s="588"/>
      <c r="G3555" s="600"/>
      <c r="H3555" s="588"/>
      <c r="I3555" s="588"/>
      <c r="J3555" s="588"/>
    </row>
    <row r="3556" spans="1:10" x14ac:dyDescent="0.3">
      <c r="A3556" s="588"/>
      <c r="B3556" s="588"/>
      <c r="C3556" s="588"/>
      <c r="D3556" s="588"/>
      <c r="E3556" s="588"/>
      <c r="F3556" s="588"/>
      <c r="G3556" s="600"/>
      <c r="H3556" s="588"/>
      <c r="I3556" s="588"/>
      <c r="J3556" s="588"/>
    </row>
    <row r="3557" spans="1:10" x14ac:dyDescent="0.3">
      <c r="A3557" s="588"/>
      <c r="B3557" s="588"/>
      <c r="C3557" s="588"/>
      <c r="D3557" s="588"/>
      <c r="E3557" s="588"/>
      <c r="F3557" s="588"/>
      <c r="G3557" s="600"/>
      <c r="H3557" s="588"/>
      <c r="I3557" s="588"/>
      <c r="J3557" s="588"/>
    </row>
    <row r="3558" spans="1:10" x14ac:dyDescent="0.3">
      <c r="A3558" s="588"/>
      <c r="B3558" s="588"/>
      <c r="C3558" s="588"/>
      <c r="D3558" s="588"/>
      <c r="E3558" s="588"/>
      <c r="F3558" s="588"/>
      <c r="G3558" s="600"/>
      <c r="H3558" s="588"/>
      <c r="I3558" s="588"/>
      <c r="J3558" s="588"/>
    </row>
    <row r="3559" spans="1:10" x14ac:dyDescent="0.3">
      <c r="A3559" s="588"/>
      <c r="B3559" s="588"/>
      <c r="C3559" s="588"/>
      <c r="D3559" s="588"/>
      <c r="E3559" s="588"/>
      <c r="F3559" s="588"/>
      <c r="G3559" s="600"/>
      <c r="H3559" s="588"/>
      <c r="I3559" s="588"/>
      <c r="J3559" s="588"/>
    </row>
    <row r="3560" spans="1:10" x14ac:dyDescent="0.3">
      <c r="A3560" s="588"/>
      <c r="B3560" s="588"/>
      <c r="C3560" s="588"/>
      <c r="D3560" s="588"/>
      <c r="E3560" s="588"/>
      <c r="F3560" s="588"/>
      <c r="G3560" s="600"/>
      <c r="H3560" s="588"/>
      <c r="I3560" s="588"/>
      <c r="J3560" s="588"/>
    </row>
    <row r="3561" spans="1:10" x14ac:dyDescent="0.3">
      <c r="A3561" s="588"/>
      <c r="B3561" s="588"/>
      <c r="C3561" s="588"/>
      <c r="D3561" s="588"/>
      <c r="E3561" s="588"/>
      <c r="F3561" s="588"/>
      <c r="G3561" s="600"/>
      <c r="H3561" s="588"/>
      <c r="I3561" s="588"/>
      <c r="J3561" s="588"/>
    </row>
    <row r="3562" spans="1:10" x14ac:dyDescent="0.3">
      <c r="A3562" s="588"/>
      <c r="B3562" s="588"/>
      <c r="C3562" s="588"/>
      <c r="D3562" s="588"/>
      <c r="E3562" s="588"/>
      <c r="F3562" s="588"/>
      <c r="G3562" s="600"/>
      <c r="H3562" s="588"/>
      <c r="I3562" s="588"/>
      <c r="J3562" s="588"/>
    </row>
    <row r="3563" spans="1:10" x14ac:dyDescent="0.3">
      <c r="A3563" s="588"/>
      <c r="B3563" s="588"/>
      <c r="C3563" s="588"/>
      <c r="D3563" s="588"/>
      <c r="E3563" s="588"/>
      <c r="F3563" s="588"/>
      <c r="G3563" s="600"/>
      <c r="H3563" s="588"/>
      <c r="I3563" s="588"/>
      <c r="J3563" s="588"/>
    </row>
    <row r="3564" spans="1:10" x14ac:dyDescent="0.3">
      <c r="A3564" s="588"/>
      <c r="B3564" s="588"/>
      <c r="C3564" s="588"/>
      <c r="D3564" s="588"/>
      <c r="E3564" s="588"/>
      <c r="F3564" s="588"/>
      <c r="G3564" s="600"/>
      <c r="H3564" s="588"/>
      <c r="I3564" s="588"/>
      <c r="J3564" s="588"/>
    </row>
    <row r="3565" spans="1:10" x14ac:dyDescent="0.3">
      <c r="A3565" s="588"/>
      <c r="B3565" s="588"/>
      <c r="C3565" s="588"/>
      <c r="D3565" s="588"/>
      <c r="E3565" s="588"/>
      <c r="F3565" s="588"/>
      <c r="G3565" s="600"/>
      <c r="H3565" s="588"/>
      <c r="I3565" s="588"/>
      <c r="J3565" s="588"/>
    </row>
    <row r="3566" spans="1:10" x14ac:dyDescent="0.3">
      <c r="A3566" s="588"/>
      <c r="B3566" s="588"/>
      <c r="C3566" s="588"/>
      <c r="D3566" s="588"/>
      <c r="E3566" s="588"/>
      <c r="F3566" s="588"/>
      <c r="G3566" s="600"/>
      <c r="H3566" s="588"/>
      <c r="I3566" s="588"/>
      <c r="J3566" s="588"/>
    </row>
    <row r="3567" spans="1:10" x14ac:dyDescent="0.3">
      <c r="A3567" s="588"/>
      <c r="B3567" s="588"/>
      <c r="C3567" s="588"/>
      <c r="D3567" s="588"/>
      <c r="E3567" s="588"/>
      <c r="F3567" s="588"/>
      <c r="G3567" s="600"/>
      <c r="H3567" s="588"/>
      <c r="I3567" s="588"/>
      <c r="J3567" s="588"/>
    </row>
    <row r="3568" spans="1:10" x14ac:dyDescent="0.3">
      <c r="A3568" s="588"/>
      <c r="B3568" s="588"/>
      <c r="C3568" s="588"/>
      <c r="D3568" s="588"/>
      <c r="E3568" s="588"/>
      <c r="F3568" s="588"/>
      <c r="G3568" s="600"/>
      <c r="H3568" s="588"/>
      <c r="I3568" s="588"/>
      <c r="J3568" s="588"/>
    </row>
    <row r="3569" spans="1:10" x14ac:dyDescent="0.3">
      <c r="A3569" s="588"/>
      <c r="B3569" s="588"/>
      <c r="C3569" s="588"/>
      <c r="D3569" s="588"/>
      <c r="E3569" s="588"/>
      <c r="F3569" s="588"/>
      <c r="G3569" s="600"/>
      <c r="H3569" s="588"/>
      <c r="I3569" s="588"/>
      <c r="J3569" s="588"/>
    </row>
    <row r="3570" spans="1:10" x14ac:dyDescent="0.3">
      <c r="A3570" s="588"/>
      <c r="B3570" s="588"/>
      <c r="C3570" s="588"/>
      <c r="D3570" s="588"/>
      <c r="E3570" s="588"/>
      <c r="F3570" s="588"/>
      <c r="G3570" s="600"/>
      <c r="H3570" s="588"/>
      <c r="I3570" s="588"/>
      <c r="J3570" s="588"/>
    </row>
    <row r="3571" spans="1:10" x14ac:dyDescent="0.3">
      <c r="A3571" s="588"/>
      <c r="B3571" s="588"/>
      <c r="C3571" s="588"/>
      <c r="D3571" s="588"/>
      <c r="E3571" s="588"/>
      <c r="F3571" s="588"/>
      <c r="G3571" s="600"/>
      <c r="H3571" s="588"/>
      <c r="I3571" s="588"/>
      <c r="J3571" s="588"/>
    </row>
    <row r="3572" spans="1:10" x14ac:dyDescent="0.3">
      <c r="A3572" s="588"/>
      <c r="B3572" s="588"/>
      <c r="C3572" s="588"/>
      <c r="D3572" s="588"/>
      <c r="E3572" s="588"/>
      <c r="F3572" s="588"/>
      <c r="G3572" s="600"/>
      <c r="H3572" s="588"/>
      <c r="I3572" s="588"/>
      <c r="J3572" s="588"/>
    </row>
    <row r="3573" spans="1:10" x14ac:dyDescent="0.3">
      <c r="A3573" s="588"/>
      <c r="B3573" s="588"/>
      <c r="C3573" s="588"/>
      <c r="D3573" s="588"/>
      <c r="E3573" s="588"/>
      <c r="F3573" s="588"/>
      <c r="G3573" s="600"/>
      <c r="H3573" s="588"/>
      <c r="I3573" s="588"/>
      <c r="J3573" s="588"/>
    </row>
    <row r="3574" spans="1:10" x14ac:dyDescent="0.3">
      <c r="A3574" s="588"/>
      <c r="B3574" s="588"/>
      <c r="C3574" s="588"/>
      <c r="D3574" s="588"/>
      <c r="E3574" s="588"/>
      <c r="F3574" s="588"/>
      <c r="G3574" s="600"/>
      <c r="H3574" s="588"/>
      <c r="I3574" s="588"/>
      <c r="J3574" s="588"/>
    </row>
    <row r="3575" spans="1:10" x14ac:dyDescent="0.3">
      <c r="A3575" s="588"/>
      <c r="B3575" s="588"/>
      <c r="C3575" s="588"/>
      <c r="D3575" s="588"/>
      <c r="E3575" s="588"/>
      <c r="F3575" s="588"/>
      <c r="G3575" s="600"/>
      <c r="H3575" s="588"/>
      <c r="I3575" s="588"/>
      <c r="J3575" s="588"/>
    </row>
    <row r="3576" spans="1:10" x14ac:dyDescent="0.3">
      <c r="A3576" s="588"/>
      <c r="B3576" s="588"/>
      <c r="C3576" s="588"/>
      <c r="D3576" s="588"/>
      <c r="E3576" s="588"/>
      <c r="F3576" s="588"/>
      <c r="G3576" s="600"/>
      <c r="H3576" s="588"/>
      <c r="I3576" s="588"/>
      <c r="J3576" s="588"/>
    </row>
    <row r="3577" spans="1:10" x14ac:dyDescent="0.3">
      <c r="A3577" s="588"/>
      <c r="B3577" s="588"/>
      <c r="C3577" s="588"/>
      <c r="D3577" s="588"/>
      <c r="E3577" s="588"/>
      <c r="F3577" s="588"/>
      <c r="G3577" s="600"/>
      <c r="H3577" s="588"/>
      <c r="I3577" s="588"/>
      <c r="J3577" s="588"/>
    </row>
    <row r="3578" spans="1:10" x14ac:dyDescent="0.3">
      <c r="A3578" s="588"/>
      <c r="B3578" s="588"/>
      <c r="C3578" s="588"/>
      <c r="D3578" s="588"/>
      <c r="E3578" s="588"/>
      <c r="F3578" s="588"/>
      <c r="G3578" s="600"/>
      <c r="H3578" s="588"/>
      <c r="I3578" s="588"/>
      <c r="J3578" s="588"/>
    </row>
    <row r="3579" spans="1:10" x14ac:dyDescent="0.3">
      <c r="A3579" s="588"/>
      <c r="B3579" s="588"/>
      <c r="C3579" s="588"/>
      <c r="D3579" s="588"/>
      <c r="E3579" s="588"/>
      <c r="F3579" s="588"/>
      <c r="G3579" s="600"/>
      <c r="H3579" s="588"/>
      <c r="I3579" s="588"/>
      <c r="J3579" s="588"/>
    </row>
    <row r="3580" spans="1:10" x14ac:dyDescent="0.3">
      <c r="A3580" s="588"/>
      <c r="B3580" s="588"/>
      <c r="C3580" s="588"/>
      <c r="D3580" s="588"/>
      <c r="E3580" s="588"/>
      <c r="F3580" s="588"/>
      <c r="G3580" s="600"/>
      <c r="H3580" s="588"/>
      <c r="I3580" s="588"/>
      <c r="J3580" s="588"/>
    </row>
    <row r="3581" spans="1:10" x14ac:dyDescent="0.3">
      <c r="A3581" s="588"/>
      <c r="B3581" s="588"/>
      <c r="C3581" s="588"/>
      <c r="D3581" s="588"/>
      <c r="E3581" s="588"/>
      <c r="F3581" s="588"/>
      <c r="G3581" s="600"/>
      <c r="H3581" s="588"/>
      <c r="I3581" s="588"/>
      <c r="J3581" s="588"/>
    </row>
    <row r="3582" spans="1:10" x14ac:dyDescent="0.3">
      <c r="A3582" s="588"/>
      <c r="B3582" s="588"/>
      <c r="C3582" s="588"/>
      <c r="D3582" s="588"/>
      <c r="E3582" s="588"/>
      <c r="F3582" s="588"/>
      <c r="G3582" s="600"/>
      <c r="H3582" s="588"/>
      <c r="I3582" s="588"/>
      <c r="J3582" s="588"/>
    </row>
    <row r="3583" spans="1:10" x14ac:dyDescent="0.3">
      <c r="A3583" s="588"/>
      <c r="B3583" s="588"/>
      <c r="C3583" s="588"/>
      <c r="D3583" s="588"/>
      <c r="E3583" s="588"/>
      <c r="F3583" s="588"/>
      <c r="G3583" s="600"/>
      <c r="H3583" s="588"/>
      <c r="I3583" s="588"/>
      <c r="J3583" s="588"/>
    </row>
    <row r="3584" spans="1:10" x14ac:dyDescent="0.3">
      <c r="A3584" s="588"/>
      <c r="B3584" s="588"/>
      <c r="C3584" s="588"/>
      <c r="D3584" s="588"/>
      <c r="E3584" s="588"/>
      <c r="F3584" s="588"/>
      <c r="G3584" s="600"/>
      <c r="H3584" s="588"/>
      <c r="I3584" s="588"/>
      <c r="J3584" s="588"/>
    </row>
    <row r="3585" spans="1:10" x14ac:dyDescent="0.3">
      <c r="A3585" s="588"/>
      <c r="B3585" s="588"/>
      <c r="C3585" s="588"/>
      <c r="D3585" s="588"/>
      <c r="E3585" s="588"/>
      <c r="F3585" s="588"/>
      <c r="G3585" s="600"/>
      <c r="H3585" s="588"/>
      <c r="I3585" s="588"/>
      <c r="J3585" s="588"/>
    </row>
    <row r="3586" spans="1:10" x14ac:dyDescent="0.3">
      <c r="A3586" s="588"/>
      <c r="B3586" s="588"/>
      <c r="C3586" s="588"/>
      <c r="D3586" s="588"/>
      <c r="E3586" s="588"/>
      <c r="F3586" s="588"/>
      <c r="G3586" s="600"/>
      <c r="H3586" s="588"/>
      <c r="I3586" s="588"/>
      <c r="J3586" s="588"/>
    </row>
    <row r="3587" spans="1:10" x14ac:dyDescent="0.3">
      <c r="A3587" s="588"/>
      <c r="B3587" s="588"/>
      <c r="C3587" s="588"/>
      <c r="D3587" s="588"/>
      <c r="E3587" s="588"/>
      <c r="F3587" s="588"/>
      <c r="G3587" s="600"/>
      <c r="H3587" s="588"/>
      <c r="I3587" s="588"/>
      <c r="J3587" s="588"/>
    </row>
    <row r="3588" spans="1:10" x14ac:dyDescent="0.3">
      <c r="A3588" s="588"/>
      <c r="B3588" s="588"/>
      <c r="C3588" s="588"/>
      <c r="D3588" s="588"/>
      <c r="E3588" s="588"/>
      <c r="F3588" s="588"/>
      <c r="G3588" s="600"/>
      <c r="H3588" s="588"/>
      <c r="I3588" s="588"/>
      <c r="J3588" s="588"/>
    </row>
    <row r="3589" spans="1:10" x14ac:dyDescent="0.3">
      <c r="A3589" s="588"/>
      <c r="B3589" s="588"/>
      <c r="C3589" s="588"/>
      <c r="D3589" s="588"/>
      <c r="E3589" s="588"/>
      <c r="F3589" s="588"/>
      <c r="G3589" s="600"/>
      <c r="H3589" s="588"/>
      <c r="I3589" s="588"/>
      <c r="J3589" s="588"/>
    </row>
    <row r="3590" spans="1:10" x14ac:dyDescent="0.3">
      <c r="A3590" s="588"/>
      <c r="B3590" s="588"/>
      <c r="C3590" s="588"/>
      <c r="D3590" s="588"/>
      <c r="E3590" s="588"/>
      <c r="F3590" s="588"/>
      <c r="G3590" s="600"/>
      <c r="H3590" s="588"/>
      <c r="I3590" s="588"/>
      <c r="J3590" s="588"/>
    </row>
    <row r="3591" spans="1:10" x14ac:dyDescent="0.3">
      <c r="A3591" s="588"/>
      <c r="B3591" s="588"/>
      <c r="C3591" s="588"/>
      <c r="D3591" s="588"/>
      <c r="E3591" s="588"/>
      <c r="F3591" s="588"/>
      <c r="G3591" s="600"/>
      <c r="H3591" s="588"/>
      <c r="I3591" s="588"/>
      <c r="J3591" s="588"/>
    </row>
    <row r="3592" spans="1:10" x14ac:dyDescent="0.3">
      <c r="A3592" s="588"/>
      <c r="B3592" s="588"/>
      <c r="C3592" s="588"/>
      <c r="D3592" s="588"/>
      <c r="E3592" s="588"/>
      <c r="F3592" s="588"/>
      <c r="G3592" s="600"/>
      <c r="H3592" s="588"/>
      <c r="I3592" s="588"/>
      <c r="J3592" s="588"/>
    </row>
    <row r="3593" spans="1:10" x14ac:dyDescent="0.3">
      <c r="A3593" s="588"/>
      <c r="B3593" s="588"/>
      <c r="C3593" s="588"/>
      <c r="D3593" s="588"/>
      <c r="E3593" s="588"/>
      <c r="F3593" s="588"/>
      <c r="G3593" s="600"/>
      <c r="H3593" s="588"/>
      <c r="I3593" s="588"/>
      <c r="J3593" s="588"/>
    </row>
    <row r="3594" spans="1:10" x14ac:dyDescent="0.3">
      <c r="A3594" s="588"/>
      <c r="B3594" s="588"/>
      <c r="C3594" s="588"/>
      <c r="D3594" s="588"/>
      <c r="E3594" s="588"/>
      <c r="F3594" s="588"/>
      <c r="G3594" s="600"/>
      <c r="H3594" s="588"/>
      <c r="I3594" s="588"/>
      <c r="J3594" s="588"/>
    </row>
    <row r="3595" spans="1:10" x14ac:dyDescent="0.3">
      <c r="A3595" s="588"/>
      <c r="B3595" s="588"/>
      <c r="C3595" s="588"/>
      <c r="D3595" s="588"/>
      <c r="E3595" s="588"/>
      <c r="F3595" s="588"/>
      <c r="G3595" s="600"/>
      <c r="H3595" s="588"/>
      <c r="I3595" s="588"/>
      <c r="J3595" s="588"/>
    </row>
    <row r="3596" spans="1:10" x14ac:dyDescent="0.3">
      <c r="A3596" s="588"/>
      <c r="B3596" s="588"/>
      <c r="C3596" s="588"/>
      <c r="D3596" s="588"/>
      <c r="E3596" s="588"/>
      <c r="F3596" s="588"/>
      <c r="G3596" s="600"/>
      <c r="H3596" s="588"/>
      <c r="I3596" s="588"/>
      <c r="J3596" s="588"/>
    </row>
    <row r="3597" spans="1:10" x14ac:dyDescent="0.3">
      <c r="A3597" s="588"/>
      <c r="B3597" s="588"/>
      <c r="C3597" s="588"/>
      <c r="D3597" s="588"/>
      <c r="E3597" s="588"/>
      <c r="F3597" s="588"/>
      <c r="G3597" s="600"/>
      <c r="H3597" s="588"/>
      <c r="I3597" s="588"/>
      <c r="J3597" s="588"/>
    </row>
    <row r="3598" spans="1:10" x14ac:dyDescent="0.3">
      <c r="A3598" s="588"/>
      <c r="B3598" s="588"/>
      <c r="C3598" s="588"/>
      <c r="D3598" s="588"/>
      <c r="E3598" s="588"/>
      <c r="F3598" s="588"/>
      <c r="G3598" s="600"/>
      <c r="H3598" s="588"/>
      <c r="I3598" s="588"/>
      <c r="J3598" s="588"/>
    </row>
    <row r="3599" spans="1:10" x14ac:dyDescent="0.3">
      <c r="A3599" s="588"/>
      <c r="B3599" s="588"/>
      <c r="C3599" s="588"/>
      <c r="D3599" s="588"/>
      <c r="E3599" s="588"/>
      <c r="F3599" s="588"/>
      <c r="G3599" s="600"/>
      <c r="H3599" s="588"/>
      <c r="I3599" s="588"/>
      <c r="J3599" s="588"/>
    </row>
    <row r="3600" spans="1:10" x14ac:dyDescent="0.3">
      <c r="A3600" s="588"/>
      <c r="B3600" s="588"/>
      <c r="C3600" s="588"/>
      <c r="D3600" s="588"/>
      <c r="E3600" s="588"/>
      <c r="F3600" s="588"/>
      <c r="G3600" s="600"/>
      <c r="H3600" s="588"/>
      <c r="I3600" s="588"/>
      <c r="J3600" s="588"/>
    </row>
    <row r="3601" spans="1:10" x14ac:dyDescent="0.3">
      <c r="A3601" s="588"/>
      <c r="B3601" s="588"/>
      <c r="C3601" s="588"/>
      <c r="D3601" s="588"/>
      <c r="E3601" s="588"/>
      <c r="F3601" s="588"/>
      <c r="G3601" s="600"/>
      <c r="H3601" s="588"/>
      <c r="I3601" s="588"/>
      <c r="J3601" s="588"/>
    </row>
    <row r="3602" spans="1:10" x14ac:dyDescent="0.3">
      <c r="A3602" s="588"/>
      <c r="B3602" s="588"/>
      <c r="C3602" s="588"/>
      <c r="D3602" s="588"/>
      <c r="E3602" s="588"/>
      <c r="F3602" s="588"/>
      <c r="G3602" s="600"/>
      <c r="H3602" s="588"/>
      <c r="I3602" s="588"/>
      <c r="J3602" s="588"/>
    </row>
    <row r="3603" spans="1:10" x14ac:dyDescent="0.3">
      <c r="A3603" s="588"/>
      <c r="B3603" s="588"/>
      <c r="C3603" s="588"/>
      <c r="D3603" s="588"/>
      <c r="E3603" s="588"/>
      <c r="F3603" s="588"/>
      <c r="G3603" s="600"/>
      <c r="H3603" s="588"/>
      <c r="I3603" s="588"/>
      <c r="J3603" s="588"/>
    </row>
    <row r="3604" spans="1:10" x14ac:dyDescent="0.3">
      <c r="A3604" s="588"/>
      <c r="B3604" s="588"/>
      <c r="C3604" s="588"/>
      <c r="D3604" s="588"/>
      <c r="E3604" s="588"/>
      <c r="F3604" s="588"/>
      <c r="G3604" s="600"/>
      <c r="H3604" s="588"/>
      <c r="I3604" s="588"/>
      <c r="J3604" s="588"/>
    </row>
    <row r="3605" spans="1:10" x14ac:dyDescent="0.3">
      <c r="A3605" s="588"/>
      <c r="B3605" s="588"/>
      <c r="C3605" s="588"/>
      <c r="D3605" s="588"/>
      <c r="E3605" s="588"/>
      <c r="F3605" s="588"/>
      <c r="G3605" s="600"/>
      <c r="H3605" s="588"/>
      <c r="I3605" s="588"/>
      <c r="J3605" s="588"/>
    </row>
    <row r="3606" spans="1:10" x14ac:dyDescent="0.3">
      <c r="A3606" s="588"/>
      <c r="B3606" s="588"/>
      <c r="C3606" s="588"/>
      <c r="D3606" s="588"/>
      <c r="E3606" s="588"/>
      <c r="F3606" s="588"/>
      <c r="G3606" s="600"/>
      <c r="H3606" s="588"/>
      <c r="I3606" s="588"/>
      <c r="J3606" s="588"/>
    </row>
    <row r="3607" spans="1:10" x14ac:dyDescent="0.3">
      <c r="A3607" s="588"/>
      <c r="B3607" s="588"/>
      <c r="C3607" s="588"/>
      <c r="D3607" s="588"/>
      <c r="E3607" s="588"/>
      <c r="F3607" s="588"/>
      <c r="G3607" s="600"/>
      <c r="H3607" s="588"/>
      <c r="I3607" s="588"/>
      <c r="J3607" s="588"/>
    </row>
    <row r="3608" spans="1:10" x14ac:dyDescent="0.3">
      <c r="A3608" s="588"/>
      <c r="B3608" s="588"/>
      <c r="C3608" s="588"/>
      <c r="D3608" s="588"/>
      <c r="E3608" s="588"/>
      <c r="F3608" s="588"/>
      <c r="G3608" s="600"/>
      <c r="H3608" s="588"/>
      <c r="I3608" s="588"/>
      <c r="J3608" s="588"/>
    </row>
    <row r="3609" spans="1:10" x14ac:dyDescent="0.3">
      <c r="A3609" s="588"/>
      <c r="B3609" s="588"/>
      <c r="C3609" s="588"/>
      <c r="D3609" s="588"/>
      <c r="E3609" s="588"/>
      <c r="F3609" s="588"/>
      <c r="G3609" s="600"/>
      <c r="H3609" s="588"/>
      <c r="I3609" s="588"/>
      <c r="J3609" s="588"/>
    </row>
    <row r="3610" spans="1:10" x14ac:dyDescent="0.3">
      <c r="A3610" s="588"/>
      <c r="B3610" s="588"/>
      <c r="C3610" s="588"/>
      <c r="D3610" s="588"/>
      <c r="E3610" s="588"/>
      <c r="F3610" s="588"/>
      <c r="G3610" s="600"/>
      <c r="H3610" s="588"/>
      <c r="I3610" s="588"/>
      <c r="J3610" s="588"/>
    </row>
    <row r="3611" spans="1:10" x14ac:dyDescent="0.3">
      <c r="A3611" s="588"/>
      <c r="B3611" s="588"/>
      <c r="C3611" s="588"/>
      <c r="D3611" s="588"/>
      <c r="E3611" s="588"/>
      <c r="F3611" s="588"/>
      <c r="G3611" s="600"/>
      <c r="H3611" s="588"/>
      <c r="I3611" s="588"/>
      <c r="J3611" s="588"/>
    </row>
    <row r="3612" spans="1:10" x14ac:dyDescent="0.3">
      <c r="A3612" s="588"/>
      <c r="B3612" s="588"/>
      <c r="C3612" s="588"/>
      <c r="D3612" s="588"/>
      <c r="E3612" s="588"/>
      <c r="F3612" s="588"/>
      <c r="G3612" s="600"/>
      <c r="H3612" s="588"/>
      <c r="I3612" s="588"/>
      <c r="J3612" s="588"/>
    </row>
    <row r="3613" spans="1:10" x14ac:dyDescent="0.3">
      <c r="A3613" s="588"/>
      <c r="B3613" s="588"/>
      <c r="C3613" s="588"/>
      <c r="D3613" s="588"/>
      <c r="E3613" s="588"/>
      <c r="F3613" s="588"/>
      <c r="G3613" s="600"/>
      <c r="H3613" s="588"/>
      <c r="I3613" s="588"/>
      <c r="J3613" s="588"/>
    </row>
    <row r="3614" spans="1:10" x14ac:dyDescent="0.3">
      <c r="A3614" s="588"/>
      <c r="B3614" s="588"/>
      <c r="C3614" s="588"/>
      <c r="D3614" s="588"/>
      <c r="E3614" s="588"/>
      <c r="F3614" s="588"/>
      <c r="G3614" s="600"/>
      <c r="H3614" s="588"/>
      <c r="I3614" s="588"/>
      <c r="J3614" s="588"/>
    </row>
    <row r="3615" spans="1:10" x14ac:dyDescent="0.3">
      <c r="A3615" s="588"/>
      <c r="B3615" s="588"/>
      <c r="C3615" s="588"/>
      <c r="D3615" s="588"/>
      <c r="E3615" s="588"/>
      <c r="F3615" s="588"/>
      <c r="G3615" s="600"/>
      <c r="H3615" s="588"/>
      <c r="I3615" s="588"/>
      <c r="J3615" s="588"/>
    </row>
    <row r="3616" spans="1:10" x14ac:dyDescent="0.3">
      <c r="A3616" s="588"/>
      <c r="B3616" s="588"/>
      <c r="C3616" s="588"/>
      <c r="D3616" s="588"/>
      <c r="E3616" s="588"/>
      <c r="F3616" s="588"/>
      <c r="G3616" s="600"/>
      <c r="H3616" s="588"/>
      <c r="I3616" s="588"/>
      <c r="J3616" s="588"/>
    </row>
    <row r="3617" spans="1:10" x14ac:dyDescent="0.3">
      <c r="A3617" s="588"/>
      <c r="B3617" s="588"/>
      <c r="C3617" s="588"/>
      <c r="D3617" s="588"/>
      <c r="E3617" s="588"/>
      <c r="F3617" s="588"/>
      <c r="G3617" s="600"/>
      <c r="H3617" s="588"/>
      <c r="I3617" s="588"/>
      <c r="J3617" s="588"/>
    </row>
    <row r="3618" spans="1:10" x14ac:dyDescent="0.3">
      <c r="A3618" s="588"/>
      <c r="B3618" s="588"/>
      <c r="C3618" s="588"/>
      <c r="D3618" s="588"/>
      <c r="E3618" s="588"/>
      <c r="F3618" s="588"/>
      <c r="G3618" s="600"/>
      <c r="H3618" s="588"/>
      <c r="I3618" s="588"/>
      <c r="J3618" s="588"/>
    </row>
    <row r="3619" spans="1:10" x14ac:dyDescent="0.3">
      <c r="A3619" s="588"/>
      <c r="B3619" s="588"/>
      <c r="C3619" s="588"/>
      <c r="D3619" s="588"/>
      <c r="E3619" s="588"/>
      <c r="F3619" s="588"/>
      <c r="G3619" s="600"/>
      <c r="H3619" s="588"/>
      <c r="I3619" s="588"/>
      <c r="J3619" s="588"/>
    </row>
    <row r="3620" spans="1:10" x14ac:dyDescent="0.3">
      <c r="A3620" s="588"/>
      <c r="B3620" s="588"/>
      <c r="C3620" s="588"/>
      <c r="D3620" s="588"/>
      <c r="E3620" s="588"/>
      <c r="F3620" s="588"/>
      <c r="G3620" s="600"/>
      <c r="H3620" s="588"/>
      <c r="I3620" s="588"/>
      <c r="J3620" s="588"/>
    </row>
    <row r="3621" spans="1:10" x14ac:dyDescent="0.3">
      <c r="A3621" s="588"/>
      <c r="B3621" s="588"/>
      <c r="C3621" s="588"/>
      <c r="D3621" s="588"/>
      <c r="E3621" s="588"/>
      <c r="F3621" s="588"/>
      <c r="G3621" s="600"/>
      <c r="H3621" s="588"/>
      <c r="I3621" s="588"/>
      <c r="J3621" s="588"/>
    </row>
    <row r="3622" spans="1:10" x14ac:dyDescent="0.3">
      <c r="A3622" s="588"/>
      <c r="B3622" s="588"/>
      <c r="C3622" s="588"/>
      <c r="D3622" s="588"/>
      <c r="E3622" s="588"/>
      <c r="F3622" s="588"/>
      <c r="G3622" s="600"/>
      <c r="H3622" s="588"/>
      <c r="I3622" s="588"/>
      <c r="J3622" s="588"/>
    </row>
    <row r="3623" spans="1:10" x14ac:dyDescent="0.3">
      <c r="A3623" s="588"/>
      <c r="B3623" s="588"/>
      <c r="C3623" s="588"/>
      <c r="D3623" s="588"/>
      <c r="E3623" s="588"/>
      <c r="F3623" s="588"/>
      <c r="G3623" s="600"/>
      <c r="H3623" s="588"/>
      <c r="I3623" s="588"/>
      <c r="J3623" s="588"/>
    </row>
    <row r="3624" spans="1:10" x14ac:dyDescent="0.3">
      <c r="A3624" s="588"/>
      <c r="B3624" s="588"/>
      <c r="C3624" s="588"/>
      <c r="D3624" s="588"/>
      <c r="E3624" s="588"/>
      <c r="F3624" s="588"/>
      <c r="G3624" s="600"/>
      <c r="H3624" s="588"/>
      <c r="I3624" s="588"/>
      <c r="J3624" s="588"/>
    </row>
    <row r="3625" spans="1:10" x14ac:dyDescent="0.3">
      <c r="A3625" s="588"/>
      <c r="B3625" s="588"/>
      <c r="C3625" s="588"/>
      <c r="D3625" s="588"/>
      <c r="E3625" s="588"/>
      <c r="F3625" s="588"/>
      <c r="G3625" s="600"/>
      <c r="H3625" s="588"/>
      <c r="I3625" s="588"/>
      <c r="J3625" s="588"/>
    </row>
    <row r="3626" spans="1:10" x14ac:dyDescent="0.3">
      <c r="A3626" s="588"/>
      <c r="B3626" s="588"/>
      <c r="C3626" s="588"/>
      <c r="D3626" s="588"/>
      <c r="E3626" s="588"/>
      <c r="F3626" s="588"/>
      <c r="G3626" s="600"/>
      <c r="H3626" s="588"/>
      <c r="I3626" s="588"/>
      <c r="J3626" s="588"/>
    </row>
    <row r="3627" spans="1:10" x14ac:dyDescent="0.3">
      <c r="A3627" s="588"/>
      <c r="B3627" s="588"/>
      <c r="C3627" s="588"/>
      <c r="D3627" s="588"/>
      <c r="E3627" s="588"/>
      <c r="F3627" s="588"/>
      <c r="G3627" s="600"/>
      <c r="H3627" s="588"/>
      <c r="I3627" s="588"/>
      <c r="J3627" s="588"/>
    </row>
    <row r="3628" spans="1:10" x14ac:dyDescent="0.3">
      <c r="A3628" s="588"/>
      <c r="B3628" s="588"/>
      <c r="C3628" s="588"/>
      <c r="D3628" s="588"/>
      <c r="E3628" s="588"/>
      <c r="F3628" s="588"/>
      <c r="G3628" s="600"/>
      <c r="H3628" s="588"/>
      <c r="I3628" s="588"/>
      <c r="J3628" s="588"/>
    </row>
    <row r="3629" spans="1:10" x14ac:dyDescent="0.3">
      <c r="A3629" s="588"/>
      <c r="B3629" s="588"/>
      <c r="C3629" s="588"/>
      <c r="D3629" s="588"/>
      <c r="E3629" s="588"/>
      <c r="F3629" s="588"/>
      <c r="G3629" s="600"/>
      <c r="H3629" s="588"/>
      <c r="I3629" s="588"/>
      <c r="J3629" s="588"/>
    </row>
    <row r="3630" spans="1:10" x14ac:dyDescent="0.3">
      <c r="A3630" s="588"/>
      <c r="B3630" s="588"/>
      <c r="C3630" s="588"/>
      <c r="D3630" s="588"/>
      <c r="E3630" s="588"/>
      <c r="F3630" s="588"/>
      <c r="G3630" s="600"/>
      <c r="H3630" s="588"/>
      <c r="I3630" s="588"/>
      <c r="J3630" s="588"/>
    </row>
    <row r="3631" spans="1:10" x14ac:dyDescent="0.3">
      <c r="A3631" s="588"/>
      <c r="B3631" s="588"/>
      <c r="C3631" s="588"/>
      <c r="D3631" s="588"/>
      <c r="E3631" s="588"/>
      <c r="F3631" s="588"/>
      <c r="G3631" s="600"/>
      <c r="H3631" s="588"/>
      <c r="I3631" s="588"/>
      <c r="J3631" s="588"/>
    </row>
    <row r="3632" spans="1:10" x14ac:dyDescent="0.3">
      <c r="A3632" s="588"/>
      <c r="B3632" s="588"/>
      <c r="C3632" s="588"/>
      <c r="D3632" s="588"/>
      <c r="E3632" s="588"/>
      <c r="F3632" s="588"/>
      <c r="G3632" s="600"/>
      <c r="H3632" s="588"/>
      <c r="I3632" s="588"/>
      <c r="J3632" s="588"/>
    </row>
    <row r="3633" spans="1:10" x14ac:dyDescent="0.3">
      <c r="A3633" s="588"/>
      <c r="B3633" s="588"/>
      <c r="C3633" s="588"/>
      <c r="D3633" s="588"/>
      <c r="E3633" s="588"/>
      <c r="F3633" s="588"/>
      <c r="G3633" s="600"/>
      <c r="H3633" s="588"/>
      <c r="I3633" s="588"/>
      <c r="J3633" s="588"/>
    </row>
    <row r="3634" spans="1:10" x14ac:dyDescent="0.3">
      <c r="A3634" s="588"/>
      <c r="B3634" s="588"/>
      <c r="C3634" s="588"/>
      <c r="D3634" s="588"/>
      <c r="E3634" s="588"/>
      <c r="F3634" s="588"/>
      <c r="G3634" s="600"/>
      <c r="H3634" s="588"/>
      <c r="I3634" s="588"/>
      <c r="J3634" s="588"/>
    </row>
    <row r="3635" spans="1:10" x14ac:dyDescent="0.3">
      <c r="A3635" s="588"/>
      <c r="B3635" s="588"/>
      <c r="C3635" s="588"/>
      <c r="D3635" s="588"/>
      <c r="E3635" s="588"/>
      <c r="F3635" s="588"/>
      <c r="G3635" s="600"/>
      <c r="H3635" s="588"/>
      <c r="I3635" s="588"/>
      <c r="J3635" s="588"/>
    </row>
    <row r="3636" spans="1:10" x14ac:dyDescent="0.3">
      <c r="A3636" s="588"/>
      <c r="B3636" s="588"/>
      <c r="C3636" s="588"/>
      <c r="D3636" s="588"/>
      <c r="E3636" s="588"/>
      <c r="F3636" s="588"/>
      <c r="G3636" s="600"/>
      <c r="H3636" s="588"/>
      <c r="I3636" s="588"/>
      <c r="J3636" s="588"/>
    </row>
    <row r="3637" spans="1:10" x14ac:dyDescent="0.3">
      <c r="A3637" s="588"/>
      <c r="B3637" s="588"/>
      <c r="C3637" s="588"/>
      <c r="D3637" s="588"/>
      <c r="E3637" s="588"/>
      <c r="F3637" s="588"/>
      <c r="G3637" s="600"/>
      <c r="H3637" s="588"/>
      <c r="I3637" s="588"/>
      <c r="J3637" s="588"/>
    </row>
    <row r="3638" spans="1:10" x14ac:dyDescent="0.3">
      <c r="A3638" s="588"/>
      <c r="B3638" s="588"/>
      <c r="C3638" s="588"/>
      <c r="D3638" s="588"/>
      <c r="E3638" s="588"/>
      <c r="F3638" s="588"/>
      <c r="G3638" s="600"/>
      <c r="H3638" s="588"/>
      <c r="I3638" s="588"/>
      <c r="J3638" s="588"/>
    </row>
    <row r="3639" spans="1:10" x14ac:dyDescent="0.3">
      <c r="A3639" s="588"/>
      <c r="B3639" s="588"/>
      <c r="C3639" s="588"/>
      <c r="D3639" s="588"/>
      <c r="E3639" s="588"/>
      <c r="F3639" s="588"/>
      <c r="G3639" s="600"/>
      <c r="H3639" s="588"/>
      <c r="I3639" s="588"/>
      <c r="J3639" s="588"/>
    </row>
    <row r="3640" spans="1:10" x14ac:dyDescent="0.3">
      <c r="A3640" s="588"/>
      <c r="B3640" s="588"/>
      <c r="C3640" s="588"/>
      <c r="D3640" s="588"/>
      <c r="E3640" s="588"/>
      <c r="F3640" s="588"/>
      <c r="G3640" s="600"/>
      <c r="H3640" s="588"/>
      <c r="I3640" s="588"/>
      <c r="J3640" s="588"/>
    </row>
    <row r="3641" spans="1:10" x14ac:dyDescent="0.3">
      <c r="A3641" s="588"/>
      <c r="B3641" s="588"/>
      <c r="C3641" s="588"/>
      <c r="D3641" s="588"/>
      <c r="E3641" s="588"/>
      <c r="F3641" s="588"/>
      <c r="G3641" s="600"/>
      <c r="H3641" s="588"/>
      <c r="I3641" s="588"/>
      <c r="J3641" s="588"/>
    </row>
    <row r="3642" spans="1:10" x14ac:dyDescent="0.3">
      <c r="A3642" s="588"/>
      <c r="B3642" s="588"/>
      <c r="C3642" s="588"/>
      <c r="D3642" s="588"/>
      <c r="E3642" s="588"/>
      <c r="F3642" s="588"/>
      <c r="G3642" s="600"/>
      <c r="H3642" s="588"/>
      <c r="I3642" s="588"/>
      <c r="J3642" s="588"/>
    </row>
    <row r="3643" spans="1:10" x14ac:dyDescent="0.3">
      <c r="A3643" s="588"/>
      <c r="B3643" s="588"/>
      <c r="C3643" s="588"/>
      <c r="D3643" s="588"/>
      <c r="E3643" s="588"/>
      <c r="F3643" s="588"/>
      <c r="G3643" s="600"/>
      <c r="H3643" s="588"/>
      <c r="I3643" s="588"/>
      <c r="J3643" s="588"/>
    </row>
    <row r="3644" spans="1:10" x14ac:dyDescent="0.3">
      <c r="A3644" s="588"/>
      <c r="B3644" s="588"/>
      <c r="C3644" s="588"/>
      <c r="D3644" s="588"/>
      <c r="E3644" s="588"/>
      <c r="F3644" s="588"/>
      <c r="G3644" s="600"/>
      <c r="H3644" s="588"/>
      <c r="I3644" s="588"/>
      <c r="J3644" s="588"/>
    </row>
    <row r="3645" spans="1:10" x14ac:dyDescent="0.3">
      <c r="A3645" s="588"/>
      <c r="B3645" s="588"/>
      <c r="C3645" s="588"/>
      <c r="D3645" s="588"/>
      <c r="E3645" s="588"/>
      <c r="F3645" s="588"/>
      <c r="G3645" s="600"/>
      <c r="H3645" s="588"/>
      <c r="I3645" s="588"/>
      <c r="J3645" s="588"/>
    </row>
    <row r="3646" spans="1:10" x14ac:dyDescent="0.3">
      <c r="A3646" s="588"/>
      <c r="B3646" s="588"/>
      <c r="C3646" s="588"/>
      <c r="D3646" s="588"/>
      <c r="E3646" s="588"/>
      <c r="F3646" s="588"/>
      <c r="G3646" s="600"/>
      <c r="H3646" s="588"/>
      <c r="I3646" s="588"/>
      <c r="J3646" s="588"/>
    </row>
    <row r="3647" spans="1:10" x14ac:dyDescent="0.3">
      <c r="A3647" s="588"/>
      <c r="B3647" s="588"/>
      <c r="C3647" s="588"/>
      <c r="D3647" s="588"/>
      <c r="E3647" s="588"/>
      <c r="F3647" s="588"/>
      <c r="G3647" s="600"/>
      <c r="H3647" s="588"/>
      <c r="I3647" s="588"/>
      <c r="J3647" s="588"/>
    </row>
    <row r="3648" spans="1:10" x14ac:dyDescent="0.3">
      <c r="A3648" s="588"/>
      <c r="B3648" s="588"/>
      <c r="C3648" s="588"/>
      <c r="D3648" s="588"/>
      <c r="E3648" s="588"/>
      <c r="F3648" s="588"/>
      <c r="G3648" s="600"/>
      <c r="H3648" s="588"/>
      <c r="I3648" s="588"/>
      <c r="J3648" s="588"/>
    </row>
    <row r="3649" spans="1:10" x14ac:dyDescent="0.3">
      <c r="A3649" s="588"/>
      <c r="B3649" s="588"/>
      <c r="C3649" s="588"/>
      <c r="D3649" s="588"/>
      <c r="E3649" s="588"/>
      <c r="F3649" s="588"/>
      <c r="G3649" s="600"/>
      <c r="H3649" s="588"/>
      <c r="I3649" s="588"/>
      <c r="J3649" s="588"/>
    </row>
    <row r="3650" spans="1:10" x14ac:dyDescent="0.3">
      <c r="A3650" s="588"/>
      <c r="B3650" s="588"/>
      <c r="C3650" s="588"/>
      <c r="D3650" s="588"/>
      <c r="E3650" s="588"/>
      <c r="F3650" s="588"/>
      <c r="G3650" s="600"/>
      <c r="H3650" s="588"/>
      <c r="I3650" s="588"/>
      <c r="J3650" s="588"/>
    </row>
    <row r="3651" spans="1:10" x14ac:dyDescent="0.3">
      <c r="A3651" s="588"/>
      <c r="B3651" s="588"/>
      <c r="C3651" s="588"/>
      <c r="D3651" s="588"/>
      <c r="E3651" s="588"/>
      <c r="F3651" s="588"/>
      <c r="G3651" s="600"/>
      <c r="H3651" s="588"/>
      <c r="I3651" s="588"/>
      <c r="J3651" s="588"/>
    </row>
    <row r="3652" spans="1:10" x14ac:dyDescent="0.3">
      <c r="A3652" s="588"/>
      <c r="B3652" s="588"/>
      <c r="C3652" s="588"/>
      <c r="D3652" s="588"/>
      <c r="E3652" s="588"/>
      <c r="F3652" s="588"/>
      <c r="G3652" s="600"/>
      <c r="H3652" s="588"/>
      <c r="I3652" s="588"/>
      <c r="J3652" s="588"/>
    </row>
    <row r="3653" spans="1:10" x14ac:dyDescent="0.3">
      <c r="A3653" s="588"/>
      <c r="B3653" s="588"/>
      <c r="C3653" s="588"/>
      <c r="D3653" s="588"/>
      <c r="E3653" s="588"/>
      <c r="F3653" s="588"/>
      <c r="G3653" s="600"/>
      <c r="H3653" s="588"/>
      <c r="I3653" s="588"/>
      <c r="J3653" s="588"/>
    </row>
    <row r="3654" spans="1:10" x14ac:dyDescent="0.3">
      <c r="A3654" s="588"/>
      <c r="B3654" s="588"/>
      <c r="C3654" s="588"/>
      <c r="D3654" s="588"/>
      <c r="E3654" s="588"/>
      <c r="F3654" s="588"/>
      <c r="G3654" s="600"/>
      <c r="H3654" s="588"/>
      <c r="I3654" s="588"/>
      <c r="J3654" s="588"/>
    </row>
    <row r="3655" spans="1:10" x14ac:dyDescent="0.3">
      <c r="A3655" s="588"/>
      <c r="B3655" s="588"/>
      <c r="C3655" s="588"/>
      <c r="D3655" s="588"/>
      <c r="E3655" s="588"/>
      <c r="F3655" s="588"/>
      <c r="G3655" s="600"/>
      <c r="H3655" s="588"/>
      <c r="I3655" s="588"/>
      <c r="J3655" s="588"/>
    </row>
    <row r="3656" spans="1:10" x14ac:dyDescent="0.3">
      <c r="A3656" s="588"/>
      <c r="B3656" s="588"/>
      <c r="C3656" s="588"/>
      <c r="D3656" s="588"/>
      <c r="E3656" s="588"/>
      <c r="F3656" s="588"/>
      <c r="G3656" s="600"/>
      <c r="H3656" s="588"/>
      <c r="I3656" s="588"/>
      <c r="J3656" s="588"/>
    </row>
    <row r="3657" spans="1:10" x14ac:dyDescent="0.3">
      <c r="A3657" s="588"/>
      <c r="B3657" s="588"/>
      <c r="C3657" s="588"/>
      <c r="D3657" s="588"/>
      <c r="E3657" s="588"/>
      <c r="F3657" s="588"/>
      <c r="G3657" s="600"/>
      <c r="H3657" s="588"/>
      <c r="I3657" s="588"/>
      <c r="J3657" s="588"/>
    </row>
    <row r="3658" spans="1:10" x14ac:dyDescent="0.3">
      <c r="A3658" s="588"/>
      <c r="B3658" s="588"/>
      <c r="C3658" s="588"/>
      <c r="D3658" s="588"/>
      <c r="E3658" s="588"/>
      <c r="F3658" s="588"/>
      <c r="G3658" s="600"/>
      <c r="H3658" s="588"/>
      <c r="I3658" s="588"/>
      <c r="J3658" s="588"/>
    </row>
    <row r="3659" spans="1:10" x14ac:dyDescent="0.3">
      <c r="A3659" s="588"/>
      <c r="B3659" s="588"/>
      <c r="C3659" s="588"/>
      <c r="D3659" s="588"/>
      <c r="E3659" s="588"/>
      <c r="F3659" s="588"/>
      <c r="G3659" s="600"/>
      <c r="H3659" s="588"/>
      <c r="I3659" s="588"/>
      <c r="J3659" s="588"/>
    </row>
    <row r="3660" spans="1:10" x14ac:dyDescent="0.3">
      <c r="A3660" s="588"/>
      <c r="B3660" s="588"/>
      <c r="C3660" s="588"/>
      <c r="D3660" s="588"/>
      <c r="E3660" s="588"/>
      <c r="F3660" s="588"/>
      <c r="G3660" s="600"/>
      <c r="H3660" s="588"/>
      <c r="I3660" s="588"/>
      <c r="J3660" s="588"/>
    </row>
    <row r="3661" spans="1:10" x14ac:dyDescent="0.3">
      <c r="A3661" s="588"/>
      <c r="B3661" s="588"/>
      <c r="C3661" s="588"/>
      <c r="D3661" s="588"/>
      <c r="E3661" s="588"/>
      <c r="F3661" s="588"/>
      <c r="G3661" s="600"/>
      <c r="H3661" s="588"/>
      <c r="I3661" s="588"/>
      <c r="J3661" s="588"/>
    </row>
    <row r="3662" spans="1:10" x14ac:dyDescent="0.3">
      <c r="A3662" s="588"/>
      <c r="B3662" s="588"/>
      <c r="C3662" s="588"/>
      <c r="D3662" s="588"/>
      <c r="E3662" s="588"/>
      <c r="F3662" s="588"/>
      <c r="G3662" s="600"/>
      <c r="H3662" s="588"/>
      <c r="I3662" s="588"/>
      <c r="J3662" s="588"/>
    </row>
    <row r="3663" spans="1:10" x14ac:dyDescent="0.3">
      <c r="A3663" s="588"/>
      <c r="B3663" s="588"/>
      <c r="C3663" s="588"/>
      <c r="D3663" s="588"/>
      <c r="E3663" s="588"/>
      <c r="F3663" s="588"/>
      <c r="G3663" s="600"/>
      <c r="H3663" s="588"/>
      <c r="I3663" s="588"/>
      <c r="J3663" s="588"/>
    </row>
    <row r="3664" spans="1:10" x14ac:dyDescent="0.3">
      <c r="A3664" s="588"/>
      <c r="B3664" s="588"/>
      <c r="C3664" s="588"/>
      <c r="D3664" s="588"/>
      <c r="E3664" s="588"/>
      <c r="F3664" s="588"/>
      <c r="G3664" s="600"/>
      <c r="H3664" s="588"/>
      <c r="I3664" s="588"/>
      <c r="J3664" s="588"/>
    </row>
    <row r="3665" spans="1:10" x14ac:dyDescent="0.3">
      <c r="A3665" s="588"/>
      <c r="B3665" s="588"/>
      <c r="C3665" s="588"/>
      <c r="D3665" s="588"/>
      <c r="E3665" s="588"/>
      <c r="F3665" s="588"/>
      <c r="G3665" s="600"/>
      <c r="H3665" s="588"/>
      <c r="I3665" s="588"/>
      <c r="J3665" s="588"/>
    </row>
    <row r="3666" spans="1:10" x14ac:dyDescent="0.3">
      <c r="A3666" s="588"/>
      <c r="B3666" s="588"/>
      <c r="C3666" s="588"/>
      <c r="D3666" s="588"/>
      <c r="E3666" s="588"/>
      <c r="F3666" s="588"/>
      <c r="G3666" s="600"/>
      <c r="H3666" s="588"/>
      <c r="I3666" s="588"/>
      <c r="J3666" s="588"/>
    </row>
    <row r="3667" spans="1:10" x14ac:dyDescent="0.3">
      <c r="A3667" s="588"/>
      <c r="B3667" s="588"/>
      <c r="C3667" s="588"/>
      <c r="D3667" s="588"/>
      <c r="E3667" s="588"/>
      <c r="F3667" s="588"/>
      <c r="G3667" s="600"/>
      <c r="H3667" s="588"/>
      <c r="I3667" s="588"/>
      <c r="J3667" s="588"/>
    </row>
    <row r="3668" spans="1:10" x14ac:dyDescent="0.3">
      <c r="A3668" s="588"/>
      <c r="B3668" s="588"/>
      <c r="C3668" s="588"/>
      <c r="D3668" s="588"/>
      <c r="E3668" s="588"/>
      <c r="F3668" s="588"/>
      <c r="G3668" s="600"/>
      <c r="H3668" s="588"/>
      <c r="I3668" s="588"/>
      <c r="J3668" s="588"/>
    </row>
    <row r="3669" spans="1:10" x14ac:dyDescent="0.3">
      <c r="A3669" s="588"/>
      <c r="B3669" s="588"/>
      <c r="C3669" s="588"/>
      <c r="D3669" s="588"/>
      <c r="E3669" s="588"/>
      <c r="F3669" s="588"/>
      <c r="G3669" s="600"/>
      <c r="H3669" s="588"/>
      <c r="I3669" s="588"/>
      <c r="J3669" s="588"/>
    </row>
    <row r="3670" spans="1:10" x14ac:dyDescent="0.3">
      <c r="A3670" s="588"/>
      <c r="B3670" s="588"/>
      <c r="C3670" s="588"/>
      <c r="D3670" s="588"/>
      <c r="E3670" s="588"/>
      <c r="F3670" s="588"/>
      <c r="G3670" s="600"/>
      <c r="H3670" s="588"/>
      <c r="I3670" s="588"/>
      <c r="J3670" s="588"/>
    </row>
    <row r="3671" spans="1:10" x14ac:dyDescent="0.3">
      <c r="A3671" s="588"/>
      <c r="B3671" s="588"/>
      <c r="C3671" s="588"/>
      <c r="D3671" s="588"/>
      <c r="E3671" s="588"/>
      <c r="F3671" s="588"/>
      <c r="G3671" s="600"/>
      <c r="H3671" s="588"/>
      <c r="I3671" s="588"/>
      <c r="J3671" s="588"/>
    </row>
    <row r="3672" spans="1:10" x14ac:dyDescent="0.3">
      <c r="A3672" s="588"/>
      <c r="B3672" s="588"/>
      <c r="C3672" s="588"/>
      <c r="D3672" s="588"/>
      <c r="E3672" s="588"/>
      <c r="F3672" s="588"/>
      <c r="G3672" s="600"/>
      <c r="H3672" s="588"/>
      <c r="I3672" s="588"/>
      <c r="J3672" s="588"/>
    </row>
    <row r="3673" spans="1:10" x14ac:dyDescent="0.3">
      <c r="A3673" s="588"/>
      <c r="B3673" s="588"/>
      <c r="C3673" s="588"/>
      <c r="D3673" s="588"/>
      <c r="E3673" s="588"/>
      <c r="F3673" s="588"/>
      <c r="G3673" s="600"/>
      <c r="H3673" s="588"/>
      <c r="I3673" s="588"/>
      <c r="J3673" s="588"/>
    </row>
    <row r="3674" spans="1:10" x14ac:dyDescent="0.3">
      <c r="A3674" s="588"/>
      <c r="B3674" s="588"/>
      <c r="C3674" s="588"/>
      <c r="D3674" s="588"/>
      <c r="E3674" s="588"/>
      <c r="F3674" s="588"/>
      <c r="G3674" s="600"/>
      <c r="H3674" s="588"/>
      <c r="I3674" s="588"/>
      <c r="J3674" s="588"/>
    </row>
    <row r="3675" spans="1:10" x14ac:dyDescent="0.3">
      <c r="A3675" s="588"/>
      <c r="B3675" s="588"/>
      <c r="C3675" s="588"/>
      <c r="D3675" s="588"/>
      <c r="E3675" s="588"/>
      <c r="F3675" s="588"/>
      <c r="G3675" s="600"/>
      <c r="H3675" s="588"/>
      <c r="I3675" s="588"/>
      <c r="J3675" s="588"/>
    </row>
    <row r="3676" spans="1:10" x14ac:dyDescent="0.3">
      <c r="A3676" s="588"/>
      <c r="B3676" s="588"/>
      <c r="C3676" s="588"/>
      <c r="D3676" s="588"/>
      <c r="E3676" s="588"/>
      <c r="F3676" s="588"/>
      <c r="G3676" s="600"/>
      <c r="H3676" s="588"/>
      <c r="I3676" s="588"/>
      <c r="J3676" s="588"/>
    </row>
    <row r="3677" spans="1:10" x14ac:dyDescent="0.3">
      <c r="A3677" s="588"/>
      <c r="B3677" s="588"/>
      <c r="C3677" s="588"/>
      <c r="D3677" s="588"/>
      <c r="E3677" s="588"/>
      <c r="F3677" s="588"/>
      <c r="G3677" s="600"/>
      <c r="H3677" s="588"/>
      <c r="I3677" s="588"/>
      <c r="J3677" s="588"/>
    </row>
    <row r="3678" spans="1:10" x14ac:dyDescent="0.3">
      <c r="A3678" s="588"/>
      <c r="B3678" s="588"/>
      <c r="C3678" s="588"/>
      <c r="D3678" s="588"/>
      <c r="E3678" s="588"/>
      <c r="F3678" s="588"/>
      <c r="G3678" s="600"/>
      <c r="H3678" s="588"/>
      <c r="I3678" s="588"/>
      <c r="J3678" s="588"/>
    </row>
    <row r="3679" spans="1:10" x14ac:dyDescent="0.3">
      <c r="A3679" s="588"/>
      <c r="B3679" s="588"/>
      <c r="C3679" s="588"/>
      <c r="D3679" s="588"/>
      <c r="E3679" s="588"/>
      <c r="F3679" s="588"/>
      <c r="G3679" s="600"/>
      <c r="H3679" s="588"/>
      <c r="I3679" s="588"/>
      <c r="J3679" s="588"/>
    </row>
    <row r="3680" spans="1:10" x14ac:dyDescent="0.3">
      <c r="A3680" s="588"/>
      <c r="B3680" s="588"/>
      <c r="C3680" s="588"/>
      <c r="D3680" s="588"/>
      <c r="E3680" s="588"/>
      <c r="F3680" s="588"/>
      <c r="G3680" s="600"/>
      <c r="H3680" s="588"/>
      <c r="I3680" s="588"/>
      <c r="J3680" s="588"/>
    </row>
    <row r="3681" spans="1:10" x14ac:dyDescent="0.3">
      <c r="A3681" s="588"/>
      <c r="B3681" s="588"/>
      <c r="C3681" s="588"/>
      <c r="D3681" s="588"/>
      <c r="E3681" s="588"/>
      <c r="F3681" s="588"/>
      <c r="G3681" s="600"/>
      <c r="H3681" s="588"/>
      <c r="I3681" s="588"/>
      <c r="J3681" s="588"/>
    </row>
    <row r="3682" spans="1:10" x14ac:dyDescent="0.3">
      <c r="A3682" s="588"/>
      <c r="B3682" s="588"/>
      <c r="C3682" s="588"/>
      <c r="D3682" s="588"/>
      <c r="E3682" s="588"/>
      <c r="F3682" s="588"/>
      <c r="G3682" s="600"/>
      <c r="H3682" s="588"/>
      <c r="I3682" s="588"/>
      <c r="J3682" s="588"/>
    </row>
    <row r="3683" spans="1:10" x14ac:dyDescent="0.3">
      <c r="A3683" s="588"/>
      <c r="B3683" s="588"/>
      <c r="C3683" s="588"/>
      <c r="D3683" s="588"/>
      <c r="E3683" s="588"/>
      <c r="F3683" s="588"/>
      <c r="G3683" s="600"/>
      <c r="H3683" s="588"/>
      <c r="I3683" s="588"/>
      <c r="J3683" s="588"/>
    </row>
    <row r="3684" spans="1:10" x14ac:dyDescent="0.3">
      <c r="A3684" s="588"/>
      <c r="B3684" s="588"/>
      <c r="C3684" s="588"/>
      <c r="D3684" s="588"/>
      <c r="E3684" s="588"/>
      <c r="F3684" s="588"/>
      <c r="G3684" s="600"/>
      <c r="H3684" s="588"/>
      <c r="I3684" s="588"/>
      <c r="J3684" s="588"/>
    </row>
    <row r="3685" spans="1:10" x14ac:dyDescent="0.3">
      <c r="A3685" s="588"/>
      <c r="B3685" s="588"/>
      <c r="C3685" s="588"/>
      <c r="D3685" s="588"/>
      <c r="E3685" s="588"/>
      <c r="F3685" s="588"/>
      <c r="G3685" s="600"/>
      <c r="H3685" s="588"/>
      <c r="I3685" s="588"/>
      <c r="J3685" s="588"/>
    </row>
    <row r="3686" spans="1:10" x14ac:dyDescent="0.3">
      <c r="A3686" s="588"/>
      <c r="B3686" s="588"/>
      <c r="C3686" s="588"/>
      <c r="D3686" s="588"/>
      <c r="E3686" s="588"/>
      <c r="F3686" s="588"/>
      <c r="G3686" s="600"/>
      <c r="H3686" s="588"/>
      <c r="I3686" s="588"/>
      <c r="J3686" s="588"/>
    </row>
    <row r="3687" spans="1:10" x14ac:dyDescent="0.3">
      <c r="A3687" s="588"/>
      <c r="B3687" s="588"/>
      <c r="C3687" s="588"/>
      <c r="D3687" s="588"/>
      <c r="E3687" s="588"/>
      <c r="F3687" s="588"/>
      <c r="G3687" s="600"/>
      <c r="H3687" s="588"/>
      <c r="I3687" s="588"/>
      <c r="J3687" s="588"/>
    </row>
    <row r="3688" spans="1:10" x14ac:dyDescent="0.3">
      <c r="A3688" s="588"/>
      <c r="B3688" s="588"/>
      <c r="C3688" s="588"/>
      <c r="D3688" s="588"/>
      <c r="E3688" s="588"/>
      <c r="F3688" s="588"/>
      <c r="G3688" s="600"/>
      <c r="H3688" s="588"/>
      <c r="I3688" s="588"/>
      <c r="J3688" s="588"/>
    </row>
    <row r="3689" spans="1:10" x14ac:dyDescent="0.3">
      <c r="A3689" s="588"/>
      <c r="B3689" s="588"/>
      <c r="C3689" s="588"/>
      <c r="D3689" s="588"/>
      <c r="E3689" s="588"/>
      <c r="F3689" s="588"/>
      <c r="G3689" s="600"/>
      <c r="H3689" s="588"/>
      <c r="I3689" s="588"/>
      <c r="J3689" s="588"/>
    </row>
    <row r="3690" spans="1:10" x14ac:dyDescent="0.3">
      <c r="A3690" s="588"/>
      <c r="B3690" s="588"/>
      <c r="C3690" s="588"/>
      <c r="D3690" s="588"/>
      <c r="E3690" s="588"/>
      <c r="F3690" s="588"/>
      <c r="G3690" s="600"/>
      <c r="H3690" s="588"/>
      <c r="I3690" s="588"/>
      <c r="J3690" s="588"/>
    </row>
    <row r="3691" spans="1:10" x14ac:dyDescent="0.3">
      <c r="A3691" s="588"/>
      <c r="B3691" s="588"/>
      <c r="C3691" s="588"/>
      <c r="D3691" s="588"/>
      <c r="E3691" s="588"/>
      <c r="F3691" s="588"/>
      <c r="G3691" s="600"/>
      <c r="H3691" s="588"/>
      <c r="I3691" s="588"/>
      <c r="J3691" s="588"/>
    </row>
    <row r="3692" spans="1:10" x14ac:dyDescent="0.3">
      <c r="A3692" s="588"/>
      <c r="B3692" s="588"/>
      <c r="C3692" s="588"/>
      <c r="D3692" s="588"/>
      <c r="E3692" s="588"/>
      <c r="F3692" s="588"/>
      <c r="G3692" s="600"/>
      <c r="H3692" s="588"/>
      <c r="I3692" s="588"/>
      <c r="J3692" s="588"/>
    </row>
    <row r="3693" spans="1:10" x14ac:dyDescent="0.3">
      <c r="A3693" s="588"/>
      <c r="B3693" s="588"/>
      <c r="C3693" s="588"/>
      <c r="D3693" s="588"/>
      <c r="E3693" s="588"/>
      <c r="F3693" s="588"/>
      <c r="G3693" s="600"/>
      <c r="H3693" s="588"/>
      <c r="I3693" s="588"/>
      <c r="J3693" s="588"/>
    </row>
    <row r="3694" spans="1:10" x14ac:dyDescent="0.3">
      <c r="A3694" s="588"/>
      <c r="B3694" s="588"/>
      <c r="C3694" s="588"/>
      <c r="D3694" s="588"/>
      <c r="E3694" s="588"/>
      <c r="F3694" s="588"/>
      <c r="G3694" s="600"/>
      <c r="H3694" s="588"/>
      <c r="I3694" s="588"/>
      <c r="J3694" s="588"/>
    </row>
    <row r="3695" spans="1:10" x14ac:dyDescent="0.3">
      <c r="A3695" s="588"/>
      <c r="B3695" s="588"/>
      <c r="C3695" s="588"/>
      <c r="D3695" s="588"/>
      <c r="E3695" s="588"/>
      <c r="F3695" s="588"/>
      <c r="G3695" s="600"/>
      <c r="H3695" s="588"/>
      <c r="I3695" s="588"/>
      <c r="J3695" s="588"/>
    </row>
    <row r="3696" spans="1:10" x14ac:dyDescent="0.3">
      <c r="A3696" s="588"/>
      <c r="B3696" s="588"/>
      <c r="C3696" s="588"/>
      <c r="D3696" s="588"/>
      <c r="E3696" s="588"/>
      <c r="F3696" s="588"/>
      <c r="G3696" s="600"/>
      <c r="H3696" s="588"/>
      <c r="I3696" s="588"/>
      <c r="J3696" s="588"/>
    </row>
    <row r="3697" spans="1:10" x14ac:dyDescent="0.3">
      <c r="A3697" s="588"/>
      <c r="B3697" s="588"/>
      <c r="C3697" s="588"/>
      <c r="D3697" s="588"/>
      <c r="E3697" s="588"/>
      <c r="F3697" s="588"/>
      <c r="G3697" s="600"/>
      <c r="H3697" s="588"/>
      <c r="I3697" s="588"/>
      <c r="J3697" s="588"/>
    </row>
    <row r="3698" spans="1:10" x14ac:dyDescent="0.3">
      <c r="A3698" s="588"/>
      <c r="B3698" s="588"/>
      <c r="C3698" s="588"/>
      <c r="D3698" s="588"/>
      <c r="E3698" s="588"/>
      <c r="F3698" s="588"/>
      <c r="G3698" s="600"/>
      <c r="H3698" s="588"/>
      <c r="I3698" s="588"/>
      <c r="J3698" s="588"/>
    </row>
    <row r="3699" spans="1:10" x14ac:dyDescent="0.3">
      <c r="A3699" s="588"/>
      <c r="B3699" s="588"/>
      <c r="C3699" s="588"/>
      <c r="D3699" s="588"/>
      <c r="E3699" s="588"/>
      <c r="F3699" s="588"/>
      <c r="G3699" s="600"/>
      <c r="H3699" s="588"/>
      <c r="I3699" s="588"/>
      <c r="J3699" s="588"/>
    </row>
    <row r="3700" spans="1:10" x14ac:dyDescent="0.3">
      <c r="A3700" s="588"/>
      <c r="B3700" s="588"/>
      <c r="C3700" s="588"/>
      <c r="D3700" s="588"/>
      <c r="E3700" s="588"/>
      <c r="F3700" s="588"/>
      <c r="G3700" s="600"/>
      <c r="H3700" s="588"/>
      <c r="I3700" s="588"/>
      <c r="J3700" s="588"/>
    </row>
    <row r="3701" spans="1:10" x14ac:dyDescent="0.3">
      <c r="A3701" s="588"/>
      <c r="B3701" s="588"/>
      <c r="C3701" s="588"/>
      <c r="D3701" s="588"/>
      <c r="E3701" s="588"/>
      <c r="F3701" s="588"/>
      <c r="G3701" s="600"/>
      <c r="H3701" s="588"/>
      <c r="I3701" s="588"/>
      <c r="J3701" s="588"/>
    </row>
    <row r="3702" spans="1:10" x14ac:dyDescent="0.3">
      <c r="A3702" s="588"/>
      <c r="B3702" s="588"/>
      <c r="C3702" s="588"/>
      <c r="D3702" s="588"/>
      <c r="E3702" s="588"/>
      <c r="F3702" s="588"/>
      <c r="G3702" s="600"/>
      <c r="H3702" s="588"/>
      <c r="I3702" s="588"/>
      <c r="J3702" s="588"/>
    </row>
    <row r="3703" spans="1:10" x14ac:dyDescent="0.3">
      <c r="A3703" s="588"/>
      <c r="B3703" s="588"/>
      <c r="C3703" s="588"/>
      <c r="D3703" s="588"/>
      <c r="E3703" s="588"/>
      <c r="F3703" s="588"/>
      <c r="G3703" s="600"/>
      <c r="H3703" s="588"/>
      <c r="I3703" s="588"/>
      <c r="J3703" s="588"/>
    </row>
    <row r="3704" spans="1:10" x14ac:dyDescent="0.3">
      <c r="A3704" s="588"/>
      <c r="B3704" s="588"/>
      <c r="C3704" s="588"/>
      <c r="D3704" s="588"/>
      <c r="E3704" s="588"/>
      <c r="F3704" s="588"/>
      <c r="G3704" s="600"/>
      <c r="H3704" s="588"/>
      <c r="I3704" s="588"/>
      <c r="J3704" s="588"/>
    </row>
    <row r="3705" spans="1:10" x14ac:dyDescent="0.3">
      <c r="A3705" s="588"/>
      <c r="B3705" s="588"/>
      <c r="C3705" s="588"/>
      <c r="D3705" s="588"/>
      <c r="E3705" s="588"/>
      <c r="F3705" s="588"/>
      <c r="G3705" s="600"/>
      <c r="H3705" s="588"/>
      <c r="I3705" s="588"/>
      <c r="J3705" s="588"/>
    </row>
    <row r="3706" spans="1:10" x14ac:dyDescent="0.3">
      <c r="A3706" s="588"/>
      <c r="B3706" s="588"/>
      <c r="C3706" s="588"/>
      <c r="D3706" s="588"/>
      <c r="E3706" s="588"/>
      <c r="F3706" s="588"/>
      <c r="G3706" s="600"/>
      <c r="H3706" s="588"/>
      <c r="I3706" s="588"/>
      <c r="J3706" s="588"/>
    </row>
    <row r="3707" spans="1:10" x14ac:dyDescent="0.3">
      <c r="A3707" s="588"/>
      <c r="B3707" s="588"/>
      <c r="C3707" s="588"/>
      <c r="D3707" s="588"/>
      <c r="E3707" s="588"/>
      <c r="F3707" s="588"/>
      <c r="G3707" s="600"/>
      <c r="H3707" s="588"/>
      <c r="I3707" s="588"/>
      <c r="J3707" s="588"/>
    </row>
    <row r="3708" spans="1:10" x14ac:dyDescent="0.3">
      <c r="A3708" s="588"/>
      <c r="B3708" s="588"/>
      <c r="C3708" s="588"/>
      <c r="D3708" s="588"/>
      <c r="E3708" s="588"/>
      <c r="F3708" s="588"/>
      <c r="G3708" s="600"/>
      <c r="H3708" s="588"/>
      <c r="I3708" s="588"/>
      <c r="J3708" s="588"/>
    </row>
    <row r="3709" spans="1:10" x14ac:dyDescent="0.3">
      <c r="A3709" s="588"/>
      <c r="B3709" s="588"/>
      <c r="C3709" s="588"/>
      <c r="D3709" s="588"/>
      <c r="E3709" s="588"/>
      <c r="F3709" s="588"/>
      <c r="G3709" s="600"/>
      <c r="H3709" s="588"/>
      <c r="I3709" s="588"/>
      <c r="J3709" s="588"/>
    </row>
    <row r="3710" spans="1:10" x14ac:dyDescent="0.3">
      <c r="A3710" s="588"/>
      <c r="B3710" s="588"/>
      <c r="C3710" s="588"/>
      <c r="D3710" s="588"/>
      <c r="E3710" s="588"/>
      <c r="F3710" s="588"/>
      <c r="G3710" s="600"/>
      <c r="H3710" s="588"/>
      <c r="I3710" s="588"/>
      <c r="J3710" s="588"/>
    </row>
    <row r="3711" spans="1:10" x14ac:dyDescent="0.3">
      <c r="A3711" s="588"/>
      <c r="B3711" s="588"/>
      <c r="C3711" s="588"/>
      <c r="D3711" s="588"/>
      <c r="E3711" s="588"/>
      <c r="F3711" s="588"/>
      <c r="G3711" s="600"/>
      <c r="H3711" s="588"/>
      <c r="I3711" s="588"/>
      <c r="J3711" s="588"/>
    </row>
    <row r="3712" spans="1:10" x14ac:dyDescent="0.3">
      <c r="A3712" s="588"/>
      <c r="B3712" s="588"/>
      <c r="C3712" s="588"/>
      <c r="D3712" s="588"/>
      <c r="E3712" s="588"/>
      <c r="F3712" s="588"/>
      <c r="G3712" s="600"/>
      <c r="H3712" s="588"/>
      <c r="I3712" s="588"/>
      <c r="J3712" s="588"/>
    </row>
    <row r="3713" spans="1:10" x14ac:dyDescent="0.3">
      <c r="A3713" s="588"/>
      <c r="B3713" s="588"/>
      <c r="C3713" s="588"/>
      <c r="D3713" s="588"/>
      <c r="E3713" s="588"/>
      <c r="F3713" s="588"/>
      <c r="G3713" s="600"/>
      <c r="H3713" s="588"/>
      <c r="I3713" s="588"/>
      <c r="J3713" s="588"/>
    </row>
    <row r="3714" spans="1:10" x14ac:dyDescent="0.3">
      <c r="A3714" s="588"/>
      <c r="B3714" s="588"/>
      <c r="C3714" s="588"/>
      <c r="D3714" s="588"/>
      <c r="E3714" s="588"/>
      <c r="F3714" s="588"/>
      <c r="G3714" s="600"/>
      <c r="H3714" s="588"/>
      <c r="I3714" s="588"/>
      <c r="J3714" s="588"/>
    </row>
    <row r="3715" spans="1:10" x14ac:dyDescent="0.3">
      <c r="A3715" s="588"/>
      <c r="B3715" s="588"/>
      <c r="C3715" s="588"/>
      <c r="D3715" s="588"/>
      <c r="E3715" s="588"/>
      <c r="F3715" s="588"/>
      <c r="G3715" s="600"/>
      <c r="H3715" s="588"/>
      <c r="I3715" s="588"/>
      <c r="J3715" s="588"/>
    </row>
    <row r="3716" spans="1:10" x14ac:dyDescent="0.3">
      <c r="A3716" s="588"/>
      <c r="B3716" s="588"/>
      <c r="C3716" s="588"/>
      <c r="D3716" s="588"/>
      <c r="E3716" s="588"/>
      <c r="F3716" s="588"/>
      <c r="G3716" s="600"/>
      <c r="H3716" s="588"/>
      <c r="I3716" s="588"/>
      <c r="J3716" s="588"/>
    </row>
    <row r="3717" spans="1:10" x14ac:dyDescent="0.3">
      <c r="A3717" s="588"/>
      <c r="B3717" s="588"/>
      <c r="C3717" s="588"/>
      <c r="D3717" s="588"/>
      <c r="E3717" s="588"/>
      <c r="F3717" s="588"/>
      <c r="G3717" s="600"/>
      <c r="H3717" s="588"/>
      <c r="I3717" s="588"/>
      <c r="J3717" s="588"/>
    </row>
    <row r="3718" spans="1:10" x14ac:dyDescent="0.3">
      <c r="A3718" s="588"/>
      <c r="B3718" s="588"/>
      <c r="C3718" s="588"/>
      <c r="D3718" s="588"/>
      <c r="E3718" s="588"/>
      <c r="F3718" s="588"/>
      <c r="G3718" s="600"/>
      <c r="H3718" s="588"/>
      <c r="I3718" s="588"/>
      <c r="J3718" s="588"/>
    </row>
    <row r="3719" spans="1:10" x14ac:dyDescent="0.3">
      <c r="A3719" s="588"/>
      <c r="B3719" s="588"/>
      <c r="C3719" s="588"/>
      <c r="D3719" s="588"/>
      <c r="E3719" s="588"/>
      <c r="F3719" s="588"/>
      <c r="G3719" s="600"/>
      <c r="H3719" s="588"/>
      <c r="I3719" s="588"/>
      <c r="J3719" s="588"/>
    </row>
    <row r="3720" spans="1:10" x14ac:dyDescent="0.3">
      <c r="A3720" s="588"/>
      <c r="B3720" s="588"/>
      <c r="C3720" s="588"/>
      <c r="D3720" s="588"/>
      <c r="E3720" s="588"/>
      <c r="F3720" s="588"/>
      <c r="G3720" s="600"/>
      <c r="H3720" s="588"/>
      <c r="I3720" s="588"/>
      <c r="J3720" s="588"/>
    </row>
    <row r="3721" spans="1:10" x14ac:dyDescent="0.3">
      <c r="A3721" s="588"/>
      <c r="B3721" s="588"/>
      <c r="C3721" s="588"/>
      <c r="D3721" s="588"/>
      <c r="E3721" s="588"/>
      <c r="F3721" s="588"/>
      <c r="G3721" s="600"/>
      <c r="H3721" s="588"/>
      <c r="I3721" s="588"/>
      <c r="J3721" s="588"/>
    </row>
    <row r="3722" spans="1:10" x14ac:dyDescent="0.3">
      <c r="A3722" s="588"/>
      <c r="B3722" s="588"/>
      <c r="C3722" s="588"/>
      <c r="D3722" s="588"/>
      <c r="E3722" s="588"/>
      <c r="F3722" s="588"/>
      <c r="G3722" s="600"/>
      <c r="H3722" s="588"/>
      <c r="I3722" s="588"/>
      <c r="J3722" s="588"/>
    </row>
    <row r="3723" spans="1:10" x14ac:dyDescent="0.3">
      <c r="A3723" s="588"/>
      <c r="B3723" s="588"/>
      <c r="C3723" s="588"/>
      <c r="D3723" s="588"/>
      <c r="E3723" s="588"/>
      <c r="F3723" s="588"/>
      <c r="G3723" s="600"/>
      <c r="H3723" s="588"/>
      <c r="I3723" s="588"/>
      <c r="J3723" s="588"/>
    </row>
    <row r="3724" spans="1:10" x14ac:dyDescent="0.3">
      <c r="A3724" s="588"/>
      <c r="B3724" s="588"/>
      <c r="C3724" s="588"/>
      <c r="D3724" s="588"/>
      <c r="E3724" s="588"/>
      <c r="F3724" s="588"/>
      <c r="G3724" s="600"/>
      <c r="H3724" s="588"/>
      <c r="I3724" s="588"/>
      <c r="J3724" s="588"/>
    </row>
    <row r="3725" spans="1:10" x14ac:dyDescent="0.3">
      <c r="A3725" s="588"/>
      <c r="B3725" s="588"/>
      <c r="C3725" s="588"/>
      <c r="D3725" s="588"/>
      <c r="E3725" s="588"/>
      <c r="F3725" s="588"/>
      <c r="G3725" s="600"/>
      <c r="H3725" s="588"/>
      <c r="I3725" s="588"/>
      <c r="J3725" s="588"/>
    </row>
    <row r="3726" spans="1:10" x14ac:dyDescent="0.3">
      <c r="A3726" s="588"/>
      <c r="B3726" s="588"/>
      <c r="C3726" s="588"/>
      <c r="D3726" s="588"/>
      <c r="E3726" s="588"/>
      <c r="F3726" s="588"/>
      <c r="G3726" s="600"/>
      <c r="H3726" s="588"/>
      <c r="I3726" s="588"/>
      <c r="J3726" s="588"/>
    </row>
    <row r="3727" spans="1:10" x14ac:dyDescent="0.3">
      <c r="A3727" s="588"/>
      <c r="B3727" s="588"/>
      <c r="C3727" s="588"/>
      <c r="D3727" s="588"/>
      <c r="E3727" s="588"/>
      <c r="F3727" s="588"/>
      <c r="G3727" s="600"/>
      <c r="H3727" s="588"/>
      <c r="I3727" s="588"/>
      <c r="J3727" s="588"/>
    </row>
    <row r="3728" spans="1:10" x14ac:dyDescent="0.3">
      <c r="A3728" s="588"/>
      <c r="B3728" s="588"/>
      <c r="C3728" s="588"/>
      <c r="D3728" s="588"/>
      <c r="E3728" s="588"/>
      <c r="F3728" s="588"/>
      <c r="G3728" s="600"/>
      <c r="H3728" s="588"/>
      <c r="I3728" s="588"/>
      <c r="J3728" s="588"/>
    </row>
    <row r="3729" spans="1:10" x14ac:dyDescent="0.3">
      <c r="A3729" s="588"/>
      <c r="B3729" s="588"/>
      <c r="C3729" s="588"/>
      <c r="D3729" s="588"/>
      <c r="E3729" s="588"/>
      <c r="F3729" s="588"/>
      <c r="G3729" s="600"/>
      <c r="H3729" s="588"/>
      <c r="I3729" s="588"/>
      <c r="J3729" s="588"/>
    </row>
    <row r="3730" spans="1:10" x14ac:dyDescent="0.3">
      <c r="A3730" s="588"/>
      <c r="B3730" s="588"/>
      <c r="C3730" s="588"/>
      <c r="D3730" s="588"/>
      <c r="E3730" s="588"/>
      <c r="F3730" s="588"/>
      <c r="G3730" s="600"/>
      <c r="H3730" s="588"/>
      <c r="I3730" s="588"/>
      <c r="J3730" s="588"/>
    </row>
    <row r="3731" spans="1:10" x14ac:dyDescent="0.3">
      <c r="A3731" s="588"/>
      <c r="B3731" s="588"/>
      <c r="C3731" s="588"/>
      <c r="D3731" s="588"/>
      <c r="E3731" s="588"/>
      <c r="F3731" s="588"/>
      <c r="G3731" s="600"/>
      <c r="H3731" s="588"/>
      <c r="I3731" s="588"/>
      <c r="J3731" s="588"/>
    </row>
    <row r="3732" spans="1:10" x14ac:dyDescent="0.3">
      <c r="A3732" s="588"/>
      <c r="B3732" s="588"/>
      <c r="C3732" s="588"/>
      <c r="D3732" s="588"/>
      <c r="E3732" s="588"/>
      <c r="F3732" s="588"/>
      <c r="G3732" s="600"/>
      <c r="H3732" s="588"/>
      <c r="I3732" s="588"/>
      <c r="J3732" s="588"/>
    </row>
    <row r="3733" spans="1:10" x14ac:dyDescent="0.3">
      <c r="A3733" s="588"/>
      <c r="B3733" s="588"/>
      <c r="C3733" s="588"/>
      <c r="D3733" s="588"/>
      <c r="E3733" s="588"/>
      <c r="F3733" s="588"/>
      <c r="G3733" s="600"/>
      <c r="H3733" s="588"/>
      <c r="I3733" s="588"/>
      <c r="J3733" s="588"/>
    </row>
    <row r="3734" spans="1:10" x14ac:dyDescent="0.3">
      <c r="A3734" s="588"/>
      <c r="B3734" s="588"/>
      <c r="C3734" s="588"/>
      <c r="D3734" s="588"/>
      <c r="E3734" s="588"/>
      <c r="F3734" s="588"/>
      <c r="G3734" s="600"/>
      <c r="H3734" s="588"/>
      <c r="I3734" s="588"/>
      <c r="J3734" s="588"/>
    </row>
    <row r="3735" spans="1:10" x14ac:dyDescent="0.3">
      <c r="A3735" s="588"/>
      <c r="B3735" s="588"/>
      <c r="C3735" s="588"/>
      <c r="D3735" s="588"/>
      <c r="E3735" s="588"/>
      <c r="F3735" s="588"/>
      <c r="G3735" s="600"/>
      <c r="H3735" s="588"/>
      <c r="I3735" s="588"/>
      <c r="J3735" s="588"/>
    </row>
    <row r="3736" spans="1:10" x14ac:dyDescent="0.3">
      <c r="A3736" s="588"/>
      <c r="B3736" s="588"/>
      <c r="C3736" s="588"/>
      <c r="D3736" s="588"/>
      <c r="E3736" s="588"/>
      <c r="F3736" s="588"/>
      <c r="G3736" s="600"/>
      <c r="H3736" s="588"/>
      <c r="I3736" s="588"/>
      <c r="J3736" s="588"/>
    </row>
    <row r="3737" spans="1:10" x14ac:dyDescent="0.3">
      <c r="A3737" s="588"/>
      <c r="B3737" s="588"/>
      <c r="C3737" s="588"/>
      <c r="D3737" s="588"/>
      <c r="E3737" s="588"/>
      <c r="F3737" s="588"/>
      <c r="G3737" s="600"/>
      <c r="H3737" s="588"/>
      <c r="I3737" s="588"/>
      <c r="J3737" s="588"/>
    </row>
    <row r="3738" spans="1:10" x14ac:dyDescent="0.3">
      <c r="A3738" s="588"/>
      <c r="B3738" s="588"/>
      <c r="C3738" s="588"/>
      <c r="D3738" s="588"/>
      <c r="E3738" s="588"/>
      <c r="F3738" s="588"/>
      <c r="G3738" s="600"/>
      <c r="H3738" s="588"/>
      <c r="I3738" s="588"/>
      <c r="J3738" s="588"/>
    </row>
    <row r="3739" spans="1:10" x14ac:dyDescent="0.3">
      <c r="A3739" s="588"/>
      <c r="B3739" s="588"/>
      <c r="C3739" s="588"/>
      <c r="D3739" s="588"/>
      <c r="E3739" s="588"/>
      <c r="F3739" s="588"/>
      <c r="G3739" s="600"/>
      <c r="H3739" s="588"/>
      <c r="I3739" s="588"/>
      <c r="J3739" s="588"/>
    </row>
    <row r="3740" spans="1:10" x14ac:dyDescent="0.3">
      <c r="A3740" s="588"/>
      <c r="B3740" s="588"/>
      <c r="C3740" s="588"/>
      <c r="D3740" s="588"/>
      <c r="E3740" s="588"/>
      <c r="F3740" s="588"/>
      <c r="G3740" s="600"/>
      <c r="H3740" s="588"/>
      <c r="I3740" s="588"/>
      <c r="J3740" s="588"/>
    </row>
    <row r="3741" spans="1:10" x14ac:dyDescent="0.3">
      <c r="A3741" s="588"/>
      <c r="B3741" s="588"/>
      <c r="C3741" s="588"/>
      <c r="D3741" s="588"/>
      <c r="E3741" s="588"/>
      <c r="F3741" s="588"/>
      <c r="G3741" s="600"/>
      <c r="H3741" s="588"/>
      <c r="I3741" s="588"/>
      <c r="J3741" s="588"/>
    </row>
    <row r="3742" spans="1:10" x14ac:dyDescent="0.3">
      <c r="A3742" s="588"/>
      <c r="B3742" s="588"/>
      <c r="C3742" s="588"/>
      <c r="D3742" s="588"/>
      <c r="E3742" s="588"/>
      <c r="F3742" s="588"/>
      <c r="G3742" s="600"/>
      <c r="H3742" s="588"/>
      <c r="I3742" s="588"/>
      <c r="J3742" s="588"/>
    </row>
    <row r="3743" spans="1:10" x14ac:dyDescent="0.3">
      <c r="A3743" s="588"/>
      <c r="B3743" s="588"/>
      <c r="C3743" s="588"/>
      <c r="D3743" s="588"/>
      <c r="E3743" s="588"/>
      <c r="F3743" s="588"/>
      <c r="G3743" s="600"/>
      <c r="H3743" s="588"/>
      <c r="I3743" s="588"/>
      <c r="J3743" s="588"/>
    </row>
    <row r="3744" spans="1:10" x14ac:dyDescent="0.3">
      <c r="A3744" s="588"/>
      <c r="B3744" s="588"/>
      <c r="C3744" s="588"/>
      <c r="D3744" s="588"/>
      <c r="E3744" s="588"/>
      <c r="F3744" s="588"/>
      <c r="G3744" s="600"/>
      <c r="H3744" s="588"/>
      <c r="I3744" s="588"/>
      <c r="J3744" s="588"/>
    </row>
    <row r="3745" spans="1:10" x14ac:dyDescent="0.3">
      <c r="A3745" s="588"/>
      <c r="B3745" s="588"/>
      <c r="C3745" s="588"/>
      <c r="D3745" s="588"/>
      <c r="E3745" s="588"/>
      <c r="F3745" s="588"/>
      <c r="G3745" s="600"/>
      <c r="H3745" s="588"/>
      <c r="I3745" s="588"/>
      <c r="J3745" s="588"/>
    </row>
    <row r="3746" spans="1:10" x14ac:dyDescent="0.3">
      <c r="A3746" s="588"/>
      <c r="B3746" s="588"/>
      <c r="C3746" s="588"/>
      <c r="D3746" s="588"/>
      <c r="E3746" s="588"/>
      <c r="F3746" s="588"/>
      <c r="G3746" s="600"/>
      <c r="H3746" s="588"/>
      <c r="I3746" s="588"/>
      <c r="J3746" s="588"/>
    </row>
    <row r="3747" spans="1:10" x14ac:dyDescent="0.3">
      <c r="A3747" s="588"/>
      <c r="B3747" s="588"/>
      <c r="C3747" s="588"/>
      <c r="D3747" s="588"/>
      <c r="E3747" s="588"/>
      <c r="F3747" s="588"/>
      <c r="G3747" s="600"/>
      <c r="H3747" s="588"/>
      <c r="I3747" s="588"/>
      <c r="J3747" s="588"/>
    </row>
    <row r="3748" spans="1:10" x14ac:dyDescent="0.3">
      <c r="A3748" s="588"/>
      <c r="B3748" s="588"/>
      <c r="C3748" s="588"/>
      <c r="D3748" s="588"/>
      <c r="E3748" s="588"/>
      <c r="F3748" s="588"/>
      <c r="G3748" s="600"/>
      <c r="H3748" s="588"/>
      <c r="I3748" s="588"/>
      <c r="J3748" s="588"/>
    </row>
    <row r="3749" spans="1:10" x14ac:dyDescent="0.3">
      <c r="A3749" s="588"/>
      <c r="B3749" s="588"/>
      <c r="C3749" s="588"/>
      <c r="D3749" s="588"/>
      <c r="E3749" s="588"/>
      <c r="F3749" s="588"/>
      <c r="G3749" s="600"/>
      <c r="H3749" s="588"/>
      <c r="I3749" s="588"/>
      <c r="J3749" s="588"/>
    </row>
    <row r="3750" spans="1:10" x14ac:dyDescent="0.3">
      <c r="A3750" s="588"/>
      <c r="B3750" s="588"/>
      <c r="C3750" s="588"/>
      <c r="D3750" s="588"/>
      <c r="E3750" s="588"/>
      <c r="F3750" s="588"/>
      <c r="G3750" s="600"/>
      <c r="H3750" s="588"/>
      <c r="I3750" s="588"/>
      <c r="J3750" s="588"/>
    </row>
    <row r="3751" spans="1:10" x14ac:dyDescent="0.3">
      <c r="A3751" s="588"/>
      <c r="B3751" s="588"/>
      <c r="C3751" s="588"/>
      <c r="D3751" s="588"/>
      <c r="E3751" s="588"/>
      <c r="F3751" s="588"/>
      <c r="G3751" s="600"/>
      <c r="H3751" s="588"/>
      <c r="I3751" s="588"/>
      <c r="J3751" s="588"/>
    </row>
    <row r="3752" spans="1:10" x14ac:dyDescent="0.3">
      <c r="A3752" s="588"/>
      <c r="B3752" s="588"/>
      <c r="C3752" s="588"/>
      <c r="D3752" s="588"/>
      <c r="E3752" s="588"/>
      <c r="F3752" s="588"/>
      <c r="G3752" s="600"/>
      <c r="H3752" s="588"/>
      <c r="I3752" s="588"/>
      <c r="J3752" s="588"/>
    </row>
    <row r="3753" spans="1:10" x14ac:dyDescent="0.3">
      <c r="A3753" s="588"/>
      <c r="B3753" s="588"/>
      <c r="C3753" s="588"/>
      <c r="D3753" s="588"/>
      <c r="E3753" s="588"/>
      <c r="F3753" s="588"/>
      <c r="G3753" s="600"/>
      <c r="H3753" s="588"/>
      <c r="I3753" s="588"/>
      <c r="J3753" s="588"/>
    </row>
    <row r="3754" spans="1:10" x14ac:dyDescent="0.3">
      <c r="A3754" s="588"/>
      <c r="B3754" s="588"/>
      <c r="C3754" s="588"/>
      <c r="D3754" s="588"/>
      <c r="E3754" s="588"/>
      <c r="F3754" s="588"/>
      <c r="G3754" s="600"/>
      <c r="H3754" s="588"/>
      <c r="I3754" s="588"/>
      <c r="J3754" s="588"/>
    </row>
    <row r="3755" spans="1:10" x14ac:dyDescent="0.3">
      <c r="A3755" s="588"/>
      <c r="B3755" s="588"/>
      <c r="C3755" s="588"/>
      <c r="D3755" s="588"/>
      <c r="E3755" s="588"/>
      <c r="F3755" s="588"/>
      <c r="G3755" s="600"/>
      <c r="H3755" s="588"/>
      <c r="I3755" s="588"/>
      <c r="J3755" s="588"/>
    </row>
    <row r="3756" spans="1:10" x14ac:dyDescent="0.3">
      <c r="A3756" s="588"/>
      <c r="B3756" s="588"/>
      <c r="C3756" s="588"/>
      <c r="D3756" s="588"/>
      <c r="E3756" s="588"/>
      <c r="F3756" s="588"/>
      <c r="G3756" s="600"/>
      <c r="H3756" s="588"/>
      <c r="I3756" s="588"/>
      <c r="J3756" s="588"/>
    </row>
    <row r="3757" spans="1:10" x14ac:dyDescent="0.3">
      <c r="A3757" s="588"/>
      <c r="B3757" s="588"/>
      <c r="C3757" s="588"/>
      <c r="D3757" s="588"/>
      <c r="E3757" s="588"/>
      <c r="F3757" s="588"/>
      <c r="G3757" s="600"/>
      <c r="H3757" s="588"/>
      <c r="I3757" s="588"/>
      <c r="J3757" s="588"/>
    </row>
    <row r="3758" spans="1:10" x14ac:dyDescent="0.3">
      <c r="A3758" s="588"/>
      <c r="B3758" s="588"/>
      <c r="C3758" s="588"/>
      <c r="D3758" s="588"/>
      <c r="E3758" s="588"/>
      <c r="F3758" s="588"/>
      <c r="G3758" s="600"/>
      <c r="H3758" s="588"/>
      <c r="I3758" s="588"/>
      <c r="J3758" s="588"/>
    </row>
    <row r="3759" spans="1:10" x14ac:dyDescent="0.3">
      <c r="A3759" s="588"/>
      <c r="B3759" s="588"/>
      <c r="C3759" s="588"/>
      <c r="D3759" s="588"/>
      <c r="E3759" s="588"/>
      <c r="F3759" s="588"/>
      <c r="G3759" s="600"/>
      <c r="H3759" s="588"/>
      <c r="I3759" s="588"/>
      <c r="J3759" s="588"/>
    </row>
    <row r="3760" spans="1:10" x14ac:dyDescent="0.3">
      <c r="A3760" s="588"/>
      <c r="B3760" s="588"/>
      <c r="C3760" s="588"/>
      <c r="D3760" s="588"/>
      <c r="E3760" s="588"/>
      <c r="F3760" s="588"/>
      <c r="G3760" s="600"/>
      <c r="H3760" s="588"/>
      <c r="I3760" s="588"/>
      <c r="J3760" s="588"/>
    </row>
    <row r="3761" spans="1:10" x14ac:dyDescent="0.3">
      <c r="A3761" s="588"/>
      <c r="B3761" s="588"/>
      <c r="C3761" s="588"/>
      <c r="D3761" s="588"/>
      <c r="E3761" s="588"/>
      <c r="F3761" s="588"/>
      <c r="G3761" s="600"/>
      <c r="H3761" s="588"/>
      <c r="I3761" s="588"/>
      <c r="J3761" s="588"/>
    </row>
    <row r="3762" spans="1:10" x14ac:dyDescent="0.3">
      <c r="A3762" s="588"/>
      <c r="B3762" s="588"/>
      <c r="C3762" s="588"/>
      <c r="D3762" s="588"/>
      <c r="E3762" s="588"/>
      <c r="F3762" s="588"/>
      <c r="G3762" s="600"/>
      <c r="H3762" s="588"/>
      <c r="I3762" s="588"/>
      <c r="J3762" s="588"/>
    </row>
    <row r="3763" spans="1:10" x14ac:dyDescent="0.3">
      <c r="A3763" s="588"/>
      <c r="B3763" s="588"/>
      <c r="C3763" s="588"/>
      <c r="D3763" s="588"/>
      <c r="E3763" s="588"/>
      <c r="F3763" s="588"/>
      <c r="G3763" s="600"/>
      <c r="H3763" s="588"/>
      <c r="I3763" s="588"/>
      <c r="J3763" s="588"/>
    </row>
    <row r="3764" spans="1:10" x14ac:dyDescent="0.3">
      <c r="A3764" s="588"/>
      <c r="B3764" s="588"/>
      <c r="C3764" s="588"/>
      <c r="D3764" s="588"/>
      <c r="E3764" s="588"/>
      <c r="F3764" s="588"/>
      <c r="G3764" s="600"/>
      <c r="H3764" s="588"/>
      <c r="I3764" s="588"/>
      <c r="J3764" s="588"/>
    </row>
    <row r="3765" spans="1:10" x14ac:dyDescent="0.3">
      <c r="A3765" s="588"/>
      <c r="B3765" s="588"/>
      <c r="C3765" s="588"/>
      <c r="D3765" s="588"/>
      <c r="E3765" s="588"/>
      <c r="F3765" s="588"/>
      <c r="G3765" s="600"/>
      <c r="H3765" s="588"/>
      <c r="I3765" s="588"/>
      <c r="J3765" s="588"/>
    </row>
    <row r="3766" spans="1:10" x14ac:dyDescent="0.3">
      <c r="A3766" s="588"/>
      <c r="B3766" s="588"/>
      <c r="C3766" s="588"/>
      <c r="D3766" s="588"/>
      <c r="E3766" s="588"/>
      <c r="F3766" s="588"/>
      <c r="G3766" s="600"/>
      <c r="H3766" s="588"/>
      <c r="I3766" s="588"/>
      <c r="J3766" s="588"/>
    </row>
    <row r="3767" spans="1:10" x14ac:dyDescent="0.3">
      <c r="A3767" s="588"/>
      <c r="B3767" s="588"/>
      <c r="C3767" s="588"/>
      <c r="D3767" s="588"/>
      <c r="E3767" s="588"/>
      <c r="F3767" s="588"/>
      <c r="G3767" s="600"/>
      <c r="H3767" s="588"/>
      <c r="I3767" s="588"/>
      <c r="J3767" s="588"/>
    </row>
    <row r="3768" spans="1:10" x14ac:dyDescent="0.3">
      <c r="A3768" s="588"/>
      <c r="B3768" s="588"/>
      <c r="C3768" s="588"/>
      <c r="D3768" s="588"/>
      <c r="E3768" s="588"/>
      <c r="F3768" s="588"/>
      <c r="G3768" s="600"/>
      <c r="H3768" s="588"/>
      <c r="I3768" s="588"/>
      <c r="J3768" s="588"/>
    </row>
    <row r="3769" spans="1:10" x14ac:dyDescent="0.3">
      <c r="A3769" s="588"/>
      <c r="B3769" s="588"/>
      <c r="C3769" s="588"/>
      <c r="D3769" s="588"/>
      <c r="E3769" s="588"/>
      <c r="F3769" s="588"/>
      <c r="G3769" s="600"/>
      <c r="H3769" s="588"/>
      <c r="I3769" s="588"/>
      <c r="J3769" s="588"/>
    </row>
    <row r="3770" spans="1:10" x14ac:dyDescent="0.3">
      <c r="A3770" s="588"/>
      <c r="B3770" s="588"/>
      <c r="C3770" s="588"/>
      <c r="D3770" s="588"/>
      <c r="E3770" s="588"/>
      <c r="F3770" s="588"/>
      <c r="G3770" s="600"/>
      <c r="H3770" s="588"/>
      <c r="I3770" s="588"/>
      <c r="J3770" s="588"/>
    </row>
    <row r="3771" spans="1:10" x14ac:dyDescent="0.3">
      <c r="A3771" s="588"/>
      <c r="B3771" s="588"/>
      <c r="C3771" s="588"/>
      <c r="D3771" s="588"/>
      <c r="E3771" s="588"/>
      <c r="F3771" s="588"/>
      <c r="G3771" s="600"/>
      <c r="H3771" s="588"/>
      <c r="I3771" s="588"/>
      <c r="J3771" s="588"/>
    </row>
    <row r="3772" spans="1:10" x14ac:dyDescent="0.3">
      <c r="A3772" s="588"/>
      <c r="B3772" s="588"/>
      <c r="C3772" s="588"/>
      <c r="D3772" s="588"/>
      <c r="E3772" s="588"/>
      <c r="F3772" s="588"/>
      <c r="G3772" s="600"/>
      <c r="H3772" s="588"/>
      <c r="I3772" s="588"/>
      <c r="J3772" s="588"/>
    </row>
    <row r="3773" spans="1:10" x14ac:dyDescent="0.3">
      <c r="A3773" s="588"/>
      <c r="B3773" s="588"/>
      <c r="C3773" s="588"/>
      <c r="D3773" s="588"/>
      <c r="E3773" s="588"/>
      <c r="F3773" s="588"/>
      <c r="G3773" s="600"/>
      <c r="H3773" s="588"/>
      <c r="I3773" s="588"/>
      <c r="J3773" s="588"/>
    </row>
    <row r="3774" spans="1:10" x14ac:dyDescent="0.3">
      <c r="A3774" s="588"/>
      <c r="B3774" s="588"/>
      <c r="C3774" s="588"/>
      <c r="D3774" s="588"/>
      <c r="E3774" s="588"/>
      <c r="F3774" s="588"/>
      <c r="G3774" s="600"/>
      <c r="H3774" s="588"/>
      <c r="I3774" s="588"/>
      <c r="J3774" s="588"/>
    </row>
    <row r="3775" spans="1:10" x14ac:dyDescent="0.3">
      <c r="A3775" s="588"/>
      <c r="B3775" s="588"/>
      <c r="C3775" s="588"/>
      <c r="D3775" s="588"/>
      <c r="E3775" s="588"/>
      <c r="F3775" s="588"/>
      <c r="G3775" s="600"/>
      <c r="H3775" s="588"/>
      <c r="I3775" s="588"/>
      <c r="J3775" s="588"/>
    </row>
    <row r="3776" spans="1:10" x14ac:dyDescent="0.3">
      <c r="A3776" s="588"/>
      <c r="B3776" s="588"/>
      <c r="C3776" s="588"/>
      <c r="D3776" s="588"/>
      <c r="E3776" s="588"/>
      <c r="F3776" s="588"/>
      <c r="G3776" s="600"/>
      <c r="H3776" s="588"/>
      <c r="I3776" s="588"/>
      <c r="J3776" s="588"/>
    </row>
    <row r="3777" spans="1:10" x14ac:dyDescent="0.3">
      <c r="A3777" s="588"/>
      <c r="B3777" s="588"/>
      <c r="C3777" s="588"/>
      <c r="D3777" s="588"/>
      <c r="E3777" s="588"/>
      <c r="F3777" s="588"/>
      <c r="G3777" s="600"/>
      <c r="H3777" s="588"/>
      <c r="I3777" s="588"/>
      <c r="J3777" s="588"/>
    </row>
    <row r="3778" spans="1:10" x14ac:dyDescent="0.3">
      <c r="A3778" s="588"/>
      <c r="B3778" s="588"/>
      <c r="C3778" s="588"/>
      <c r="D3778" s="588"/>
      <c r="E3778" s="588"/>
      <c r="F3778" s="588"/>
      <c r="G3778" s="600"/>
      <c r="H3778" s="588"/>
      <c r="I3778" s="588"/>
      <c r="J3778" s="588"/>
    </row>
    <row r="3779" spans="1:10" x14ac:dyDescent="0.3">
      <c r="A3779" s="588"/>
      <c r="B3779" s="588"/>
      <c r="C3779" s="588"/>
      <c r="D3779" s="588"/>
      <c r="E3779" s="588"/>
      <c r="F3779" s="588"/>
      <c r="G3779" s="600"/>
      <c r="H3779" s="588"/>
      <c r="I3779" s="588"/>
      <c r="J3779" s="588"/>
    </row>
    <row r="3780" spans="1:10" x14ac:dyDescent="0.3">
      <c r="A3780" s="588"/>
      <c r="B3780" s="588"/>
      <c r="C3780" s="588"/>
      <c r="D3780" s="588"/>
      <c r="E3780" s="588"/>
      <c r="F3780" s="588"/>
      <c r="G3780" s="600"/>
      <c r="H3780" s="588"/>
      <c r="I3780" s="588"/>
      <c r="J3780" s="588"/>
    </row>
    <row r="3781" spans="1:10" x14ac:dyDescent="0.3">
      <c r="A3781" s="588"/>
      <c r="B3781" s="588"/>
      <c r="C3781" s="588"/>
      <c r="D3781" s="588"/>
      <c r="E3781" s="588"/>
      <c r="F3781" s="588"/>
      <c r="G3781" s="600"/>
      <c r="H3781" s="588"/>
      <c r="I3781" s="588"/>
      <c r="J3781" s="588"/>
    </row>
    <row r="3782" spans="1:10" x14ac:dyDescent="0.3">
      <c r="A3782" s="588"/>
      <c r="B3782" s="588"/>
      <c r="C3782" s="588"/>
      <c r="D3782" s="588"/>
      <c r="E3782" s="588"/>
      <c r="F3782" s="588"/>
      <c r="G3782" s="600"/>
      <c r="H3782" s="588"/>
      <c r="I3782" s="588"/>
      <c r="J3782" s="588"/>
    </row>
    <row r="3783" spans="1:10" x14ac:dyDescent="0.3">
      <c r="A3783" s="588"/>
      <c r="B3783" s="588"/>
      <c r="C3783" s="588"/>
      <c r="D3783" s="588"/>
      <c r="E3783" s="588"/>
      <c r="F3783" s="588"/>
      <c r="G3783" s="600"/>
      <c r="H3783" s="588"/>
      <c r="I3783" s="588"/>
      <c r="J3783" s="588"/>
    </row>
    <row r="3784" spans="1:10" x14ac:dyDescent="0.3">
      <c r="A3784" s="588"/>
      <c r="B3784" s="588"/>
      <c r="C3784" s="588"/>
      <c r="D3784" s="588"/>
      <c r="E3784" s="588"/>
      <c r="F3784" s="588"/>
      <c r="G3784" s="600"/>
      <c r="H3784" s="588"/>
      <c r="I3784" s="588"/>
      <c r="J3784" s="588"/>
    </row>
    <row r="3785" spans="1:10" x14ac:dyDescent="0.3">
      <c r="A3785" s="588"/>
      <c r="B3785" s="588"/>
      <c r="C3785" s="588"/>
      <c r="D3785" s="588"/>
      <c r="E3785" s="588"/>
      <c r="F3785" s="588"/>
      <c r="G3785" s="600"/>
      <c r="H3785" s="588"/>
      <c r="I3785" s="588"/>
      <c r="J3785" s="588"/>
    </row>
    <row r="3786" spans="1:10" x14ac:dyDescent="0.3">
      <c r="A3786" s="588"/>
      <c r="B3786" s="588"/>
      <c r="C3786" s="588"/>
      <c r="D3786" s="588"/>
      <c r="E3786" s="588"/>
      <c r="F3786" s="588"/>
      <c r="G3786" s="600"/>
      <c r="H3786" s="588"/>
      <c r="I3786" s="588"/>
      <c r="J3786" s="588"/>
    </row>
    <row r="3787" spans="1:10" x14ac:dyDescent="0.3">
      <c r="A3787" s="588"/>
      <c r="B3787" s="588"/>
      <c r="C3787" s="588"/>
      <c r="D3787" s="588"/>
      <c r="E3787" s="588"/>
      <c r="F3787" s="588"/>
      <c r="G3787" s="600"/>
      <c r="H3787" s="588"/>
      <c r="I3787" s="588"/>
      <c r="J3787" s="588"/>
    </row>
    <row r="3788" spans="1:10" x14ac:dyDescent="0.3">
      <c r="A3788" s="588"/>
      <c r="B3788" s="588"/>
      <c r="C3788" s="588"/>
      <c r="D3788" s="588"/>
      <c r="E3788" s="588"/>
      <c r="F3788" s="588"/>
      <c r="G3788" s="600"/>
      <c r="H3788" s="588"/>
      <c r="I3788" s="588"/>
      <c r="J3788" s="588"/>
    </row>
    <row r="3789" spans="1:10" x14ac:dyDescent="0.3">
      <c r="A3789" s="588"/>
      <c r="B3789" s="588"/>
      <c r="C3789" s="588"/>
      <c r="D3789" s="588"/>
      <c r="E3789" s="588"/>
      <c r="F3789" s="588"/>
      <c r="G3789" s="600"/>
      <c r="H3789" s="588"/>
      <c r="I3789" s="588"/>
      <c r="J3789" s="588"/>
    </row>
    <row r="3790" spans="1:10" x14ac:dyDescent="0.3">
      <c r="A3790" s="588"/>
      <c r="B3790" s="588"/>
      <c r="C3790" s="588"/>
      <c r="D3790" s="588"/>
      <c r="E3790" s="588"/>
      <c r="F3790" s="588"/>
      <c r="G3790" s="600"/>
      <c r="H3790" s="588"/>
      <c r="I3790" s="588"/>
      <c r="J3790" s="588"/>
    </row>
    <row r="3791" spans="1:10" x14ac:dyDescent="0.3">
      <c r="A3791" s="588"/>
      <c r="B3791" s="588"/>
      <c r="C3791" s="588"/>
      <c r="D3791" s="588"/>
      <c r="E3791" s="588"/>
      <c r="F3791" s="588"/>
      <c r="G3791" s="600"/>
      <c r="H3791" s="588"/>
      <c r="I3791" s="588"/>
      <c r="J3791" s="588"/>
    </row>
    <row r="3792" spans="1:10" x14ac:dyDescent="0.3">
      <c r="A3792" s="588"/>
      <c r="B3792" s="588"/>
      <c r="C3792" s="588"/>
      <c r="D3792" s="588"/>
      <c r="E3792" s="588"/>
      <c r="F3792" s="588"/>
      <c r="G3792" s="600"/>
      <c r="H3792" s="588"/>
      <c r="I3792" s="588"/>
      <c r="J3792" s="588"/>
    </row>
    <row r="3793" spans="1:10" x14ac:dyDescent="0.3">
      <c r="A3793" s="588"/>
      <c r="B3793" s="588"/>
      <c r="C3793" s="588"/>
      <c r="D3793" s="588"/>
      <c r="E3793" s="588"/>
      <c r="F3793" s="588"/>
      <c r="G3793" s="600"/>
      <c r="H3793" s="588"/>
      <c r="I3793" s="588"/>
      <c r="J3793" s="588"/>
    </row>
    <row r="3794" spans="1:10" x14ac:dyDescent="0.3">
      <c r="A3794" s="588"/>
      <c r="B3794" s="588"/>
      <c r="C3794" s="588"/>
      <c r="D3794" s="588"/>
      <c r="E3794" s="588"/>
      <c r="F3794" s="588"/>
      <c r="G3794" s="600"/>
      <c r="H3794" s="588"/>
      <c r="I3794" s="588"/>
      <c r="J3794" s="588"/>
    </row>
    <row r="3795" spans="1:10" x14ac:dyDescent="0.3">
      <c r="A3795" s="588"/>
      <c r="B3795" s="588"/>
      <c r="C3795" s="588"/>
      <c r="D3795" s="588"/>
      <c r="E3795" s="588"/>
      <c r="F3795" s="588"/>
      <c r="G3795" s="600"/>
      <c r="H3795" s="588"/>
      <c r="I3795" s="588"/>
      <c r="J3795" s="588"/>
    </row>
    <row r="3796" spans="1:10" x14ac:dyDescent="0.3">
      <c r="A3796" s="588"/>
      <c r="B3796" s="588"/>
      <c r="C3796" s="588"/>
      <c r="D3796" s="588"/>
      <c r="E3796" s="588"/>
      <c r="F3796" s="588"/>
      <c r="G3796" s="600"/>
      <c r="H3796" s="588"/>
      <c r="I3796" s="588"/>
      <c r="J3796" s="588"/>
    </row>
    <row r="3797" spans="1:10" x14ac:dyDescent="0.3">
      <c r="A3797" s="588"/>
      <c r="B3797" s="588"/>
      <c r="C3797" s="588"/>
      <c r="D3797" s="588"/>
      <c r="E3797" s="588"/>
      <c r="F3797" s="588"/>
      <c r="G3797" s="600"/>
      <c r="H3797" s="588"/>
      <c r="I3797" s="588"/>
      <c r="J3797" s="588"/>
    </row>
    <row r="3798" spans="1:10" x14ac:dyDescent="0.3">
      <c r="A3798" s="588"/>
      <c r="B3798" s="588"/>
      <c r="C3798" s="588"/>
      <c r="D3798" s="588"/>
      <c r="E3798" s="588"/>
      <c r="F3798" s="588"/>
      <c r="G3798" s="600"/>
      <c r="H3798" s="588"/>
      <c r="I3798" s="588"/>
      <c r="J3798" s="588"/>
    </row>
    <row r="3799" spans="1:10" x14ac:dyDescent="0.3">
      <c r="A3799" s="588"/>
      <c r="B3799" s="588"/>
      <c r="C3799" s="588"/>
      <c r="D3799" s="588"/>
      <c r="E3799" s="588"/>
      <c r="F3799" s="588"/>
      <c r="G3799" s="600"/>
      <c r="H3799" s="588"/>
      <c r="I3799" s="588"/>
      <c r="J3799" s="588"/>
    </row>
    <row r="3800" spans="1:10" x14ac:dyDescent="0.3">
      <c r="A3800" s="588"/>
      <c r="B3800" s="588"/>
      <c r="C3800" s="588"/>
      <c r="D3800" s="588"/>
      <c r="E3800" s="588"/>
      <c r="F3800" s="588"/>
      <c r="G3800" s="600"/>
      <c r="H3800" s="588"/>
      <c r="I3800" s="588"/>
      <c r="J3800" s="588"/>
    </row>
    <row r="3801" spans="1:10" x14ac:dyDescent="0.3">
      <c r="A3801" s="588"/>
      <c r="B3801" s="588"/>
      <c r="C3801" s="588"/>
      <c r="D3801" s="588"/>
      <c r="E3801" s="588"/>
      <c r="F3801" s="588"/>
      <c r="G3801" s="600"/>
      <c r="H3801" s="588"/>
      <c r="I3801" s="588"/>
      <c r="J3801" s="588"/>
    </row>
    <row r="3802" spans="1:10" x14ac:dyDescent="0.3">
      <c r="A3802" s="588"/>
      <c r="B3802" s="588"/>
      <c r="C3802" s="588"/>
      <c r="D3802" s="588"/>
      <c r="E3802" s="588"/>
      <c r="F3802" s="588"/>
      <c r="G3802" s="600"/>
      <c r="H3802" s="588"/>
      <c r="I3802" s="588"/>
      <c r="J3802" s="588"/>
    </row>
    <row r="3803" spans="1:10" x14ac:dyDescent="0.3">
      <c r="A3803" s="588"/>
      <c r="B3803" s="588"/>
      <c r="C3803" s="588"/>
      <c r="D3803" s="588"/>
      <c r="E3803" s="588"/>
      <c r="F3803" s="588"/>
      <c r="G3803" s="600"/>
      <c r="H3803" s="588"/>
      <c r="I3803" s="588"/>
      <c r="J3803" s="588"/>
    </row>
    <row r="3804" spans="1:10" x14ac:dyDescent="0.3">
      <c r="A3804" s="588"/>
      <c r="B3804" s="588"/>
      <c r="C3804" s="588"/>
      <c r="D3804" s="588"/>
      <c r="E3804" s="588"/>
      <c r="F3804" s="588"/>
      <c r="G3804" s="600"/>
      <c r="H3804" s="588"/>
      <c r="I3804" s="588"/>
      <c r="J3804" s="588"/>
    </row>
    <row r="3805" spans="1:10" x14ac:dyDescent="0.3">
      <c r="A3805" s="588"/>
      <c r="B3805" s="588"/>
      <c r="C3805" s="588"/>
      <c r="D3805" s="588"/>
      <c r="E3805" s="588"/>
      <c r="F3805" s="588"/>
      <c r="G3805" s="600"/>
      <c r="H3805" s="588"/>
      <c r="I3805" s="588"/>
      <c r="J3805" s="588"/>
    </row>
    <row r="3806" spans="1:10" x14ac:dyDescent="0.3">
      <c r="A3806" s="588"/>
      <c r="B3806" s="588"/>
      <c r="C3806" s="588"/>
      <c r="D3806" s="588"/>
      <c r="E3806" s="588"/>
      <c r="F3806" s="588"/>
      <c r="G3806" s="600"/>
      <c r="H3806" s="588"/>
      <c r="I3806" s="588"/>
      <c r="J3806" s="588"/>
    </row>
    <row r="3807" spans="1:10" x14ac:dyDescent="0.3">
      <c r="A3807" s="588"/>
      <c r="B3807" s="588"/>
      <c r="C3807" s="588"/>
      <c r="D3807" s="588"/>
      <c r="E3807" s="588"/>
      <c r="F3807" s="588"/>
      <c r="G3807" s="600"/>
      <c r="H3807" s="588"/>
      <c r="I3807" s="588"/>
      <c r="J3807" s="588"/>
    </row>
    <row r="3808" spans="1:10" x14ac:dyDescent="0.3">
      <c r="A3808" s="588"/>
      <c r="B3808" s="588"/>
      <c r="C3808" s="588"/>
      <c r="D3808" s="588"/>
      <c r="E3808" s="588"/>
      <c r="F3808" s="588"/>
      <c r="G3808" s="600"/>
      <c r="H3808" s="588"/>
      <c r="I3808" s="588"/>
      <c r="J3808" s="588"/>
    </row>
    <row r="3809" spans="1:10" x14ac:dyDescent="0.3">
      <c r="A3809" s="588"/>
      <c r="B3809" s="588"/>
      <c r="C3809" s="588"/>
      <c r="D3809" s="588"/>
      <c r="E3809" s="588"/>
      <c r="F3809" s="588"/>
      <c r="G3809" s="600"/>
      <c r="H3809" s="588"/>
      <c r="I3809" s="588"/>
      <c r="J3809" s="588"/>
    </row>
    <row r="3810" spans="1:10" x14ac:dyDescent="0.3">
      <c r="A3810" s="588"/>
      <c r="B3810" s="588"/>
      <c r="C3810" s="588"/>
      <c r="D3810" s="588"/>
      <c r="E3810" s="588"/>
      <c r="F3810" s="588"/>
      <c r="G3810" s="600"/>
      <c r="H3810" s="588"/>
      <c r="I3810" s="588"/>
      <c r="J3810" s="588"/>
    </row>
    <row r="3811" spans="1:10" x14ac:dyDescent="0.3">
      <c r="A3811" s="588"/>
      <c r="B3811" s="588"/>
      <c r="C3811" s="588"/>
      <c r="D3811" s="588"/>
      <c r="E3811" s="588"/>
      <c r="F3811" s="588"/>
      <c r="G3811" s="600"/>
      <c r="H3811" s="588"/>
      <c r="I3811" s="588"/>
      <c r="J3811" s="588"/>
    </row>
    <row r="3812" spans="1:10" x14ac:dyDescent="0.3">
      <c r="A3812" s="588"/>
      <c r="B3812" s="588"/>
      <c r="C3812" s="588"/>
      <c r="D3812" s="588"/>
      <c r="E3812" s="588"/>
      <c r="F3812" s="588"/>
      <c r="G3812" s="600"/>
      <c r="H3812" s="588"/>
      <c r="I3812" s="588"/>
      <c r="J3812" s="588"/>
    </row>
    <row r="3813" spans="1:10" x14ac:dyDescent="0.3">
      <c r="A3813" s="588"/>
      <c r="B3813" s="588"/>
      <c r="C3813" s="588"/>
      <c r="D3813" s="588"/>
      <c r="E3813" s="588"/>
      <c r="F3813" s="588"/>
      <c r="G3813" s="600"/>
      <c r="H3813" s="588"/>
      <c r="I3813" s="588"/>
      <c r="J3813" s="588"/>
    </row>
    <row r="3814" spans="1:10" x14ac:dyDescent="0.3">
      <c r="A3814" s="588"/>
      <c r="B3814" s="588"/>
      <c r="C3814" s="588"/>
      <c r="D3814" s="588"/>
      <c r="E3814" s="588"/>
      <c r="F3814" s="588"/>
      <c r="G3814" s="600"/>
      <c r="H3814" s="588"/>
      <c r="I3814" s="588"/>
      <c r="J3814" s="588"/>
    </row>
    <row r="3815" spans="1:10" x14ac:dyDescent="0.3">
      <c r="A3815" s="588"/>
      <c r="B3815" s="588"/>
      <c r="C3815" s="588"/>
      <c r="D3815" s="588"/>
      <c r="E3815" s="588"/>
      <c r="F3815" s="588"/>
      <c r="G3815" s="600"/>
      <c r="H3815" s="588"/>
      <c r="I3815" s="588"/>
      <c r="J3815" s="588"/>
    </row>
    <row r="3816" spans="1:10" x14ac:dyDescent="0.3">
      <c r="A3816" s="588"/>
      <c r="B3816" s="588"/>
      <c r="C3816" s="588"/>
      <c r="D3816" s="588"/>
      <c r="E3816" s="588"/>
      <c r="F3816" s="588"/>
      <c r="G3816" s="600"/>
      <c r="H3816" s="588"/>
      <c r="I3816" s="588"/>
      <c r="J3816" s="588"/>
    </row>
    <row r="3817" spans="1:10" x14ac:dyDescent="0.3">
      <c r="A3817" s="588"/>
      <c r="B3817" s="588"/>
      <c r="C3817" s="588"/>
      <c r="D3817" s="588"/>
      <c r="E3817" s="588"/>
      <c r="F3817" s="588"/>
      <c r="G3817" s="600"/>
      <c r="H3817" s="588"/>
      <c r="I3817" s="588"/>
      <c r="J3817" s="588"/>
    </row>
    <row r="3818" spans="1:10" x14ac:dyDescent="0.3">
      <c r="A3818" s="588"/>
      <c r="B3818" s="588"/>
      <c r="C3818" s="588"/>
      <c r="D3818" s="588"/>
      <c r="E3818" s="588"/>
      <c r="F3818" s="588"/>
      <c r="G3818" s="600"/>
      <c r="H3818" s="588"/>
      <c r="I3818" s="588"/>
      <c r="J3818" s="588"/>
    </row>
    <row r="3819" spans="1:10" x14ac:dyDescent="0.3">
      <c r="A3819" s="588"/>
      <c r="B3819" s="588"/>
      <c r="C3819" s="588"/>
      <c r="D3819" s="588"/>
      <c r="E3819" s="588"/>
      <c r="F3819" s="588"/>
      <c r="G3819" s="600"/>
      <c r="H3819" s="588"/>
      <c r="I3819" s="588"/>
      <c r="J3819" s="588"/>
    </row>
    <row r="3820" spans="1:10" x14ac:dyDescent="0.3">
      <c r="A3820" s="588"/>
      <c r="B3820" s="588"/>
      <c r="C3820" s="588"/>
      <c r="D3820" s="588"/>
      <c r="E3820" s="588"/>
      <c r="F3820" s="588"/>
      <c r="G3820" s="600"/>
      <c r="H3820" s="588"/>
      <c r="I3820" s="588"/>
      <c r="J3820" s="588"/>
    </row>
    <row r="3821" spans="1:10" x14ac:dyDescent="0.3">
      <c r="A3821" s="588"/>
      <c r="B3821" s="588"/>
      <c r="C3821" s="588"/>
      <c r="D3821" s="588"/>
      <c r="E3821" s="588"/>
      <c r="F3821" s="588"/>
      <c r="G3821" s="600"/>
      <c r="H3821" s="588"/>
      <c r="I3821" s="588"/>
      <c r="J3821" s="588"/>
    </row>
    <row r="3822" spans="1:10" x14ac:dyDescent="0.3">
      <c r="A3822" s="588"/>
      <c r="B3822" s="588"/>
      <c r="C3822" s="588"/>
      <c r="D3822" s="588"/>
      <c r="E3822" s="588"/>
      <c r="F3822" s="588"/>
      <c r="G3822" s="600"/>
      <c r="H3822" s="588"/>
      <c r="I3822" s="588"/>
      <c r="J3822" s="588"/>
    </row>
    <row r="3823" spans="1:10" x14ac:dyDescent="0.3">
      <c r="A3823" s="588"/>
      <c r="B3823" s="588"/>
      <c r="C3823" s="588"/>
      <c r="D3823" s="588"/>
      <c r="E3823" s="588"/>
      <c r="F3823" s="588"/>
      <c r="G3823" s="600"/>
      <c r="H3823" s="588"/>
      <c r="I3823" s="588"/>
      <c r="J3823" s="588"/>
    </row>
    <row r="3824" spans="1:10" x14ac:dyDescent="0.3">
      <c r="A3824" s="588"/>
      <c r="B3824" s="588"/>
      <c r="C3824" s="588"/>
      <c r="D3824" s="588"/>
      <c r="E3824" s="588"/>
      <c r="F3824" s="588"/>
      <c r="G3824" s="600"/>
      <c r="H3824" s="588"/>
      <c r="I3824" s="588"/>
      <c r="J3824" s="588"/>
    </row>
    <row r="3825" spans="1:10" x14ac:dyDescent="0.3">
      <c r="A3825" s="588"/>
      <c r="B3825" s="588"/>
      <c r="C3825" s="588"/>
      <c r="D3825" s="588"/>
      <c r="E3825" s="588"/>
      <c r="F3825" s="588"/>
      <c r="G3825" s="600"/>
      <c r="H3825" s="588"/>
      <c r="I3825" s="588"/>
      <c r="J3825" s="588"/>
    </row>
    <row r="3826" spans="1:10" x14ac:dyDescent="0.3">
      <c r="A3826" s="588"/>
      <c r="B3826" s="588"/>
      <c r="C3826" s="588"/>
      <c r="D3826" s="588"/>
      <c r="E3826" s="588"/>
      <c r="F3826" s="588"/>
      <c r="G3826" s="600"/>
      <c r="H3826" s="588"/>
      <c r="I3826" s="588"/>
      <c r="J3826" s="588"/>
    </row>
    <row r="3827" spans="1:10" x14ac:dyDescent="0.3">
      <c r="A3827" s="588"/>
      <c r="B3827" s="588"/>
      <c r="C3827" s="588"/>
      <c r="D3827" s="588"/>
      <c r="E3827" s="588"/>
      <c r="F3827" s="588"/>
      <c r="G3827" s="600"/>
      <c r="H3827" s="588"/>
      <c r="I3827" s="588"/>
      <c r="J3827" s="588"/>
    </row>
    <row r="3828" spans="1:10" x14ac:dyDescent="0.3">
      <c r="A3828" s="588"/>
      <c r="B3828" s="588"/>
      <c r="C3828" s="588"/>
      <c r="D3828" s="588"/>
      <c r="E3828" s="588"/>
      <c r="F3828" s="588"/>
      <c r="G3828" s="600"/>
      <c r="H3828" s="588"/>
      <c r="I3828" s="588"/>
      <c r="J3828" s="588"/>
    </row>
    <row r="3829" spans="1:10" x14ac:dyDescent="0.3">
      <c r="A3829" s="588"/>
      <c r="B3829" s="588"/>
      <c r="C3829" s="588"/>
      <c r="D3829" s="588"/>
      <c r="E3829" s="588"/>
      <c r="F3829" s="588"/>
      <c r="G3829" s="600"/>
      <c r="H3829" s="588"/>
      <c r="I3829" s="588"/>
      <c r="J3829" s="588"/>
    </row>
    <row r="3830" spans="1:10" x14ac:dyDescent="0.3">
      <c r="A3830" s="588"/>
      <c r="B3830" s="588"/>
      <c r="C3830" s="588"/>
      <c r="D3830" s="588"/>
      <c r="E3830" s="588"/>
      <c r="F3830" s="588"/>
      <c r="G3830" s="600"/>
      <c r="H3830" s="588"/>
      <c r="I3830" s="588"/>
      <c r="J3830" s="588"/>
    </row>
    <row r="3831" spans="1:10" x14ac:dyDescent="0.3">
      <c r="A3831" s="588"/>
      <c r="B3831" s="588"/>
      <c r="C3831" s="588"/>
      <c r="D3831" s="588"/>
      <c r="E3831" s="588"/>
      <c r="F3831" s="588"/>
      <c r="G3831" s="600"/>
      <c r="H3831" s="588"/>
      <c r="I3831" s="588"/>
      <c r="J3831" s="588"/>
    </row>
    <row r="3832" spans="1:10" x14ac:dyDescent="0.3">
      <c r="A3832" s="588"/>
      <c r="B3832" s="588"/>
      <c r="C3832" s="588"/>
      <c r="D3832" s="588"/>
      <c r="E3832" s="588"/>
      <c r="F3832" s="588"/>
      <c r="G3832" s="600"/>
      <c r="H3832" s="588"/>
      <c r="I3832" s="588"/>
      <c r="J3832" s="588"/>
    </row>
    <row r="3833" spans="1:10" x14ac:dyDescent="0.3">
      <c r="A3833" s="588"/>
      <c r="B3833" s="588"/>
      <c r="C3833" s="588"/>
      <c r="D3833" s="588"/>
      <c r="E3833" s="588"/>
      <c r="F3833" s="588"/>
      <c r="G3833" s="600"/>
      <c r="H3833" s="588"/>
      <c r="I3833" s="588"/>
      <c r="J3833" s="588"/>
    </row>
    <row r="3834" spans="1:10" x14ac:dyDescent="0.3">
      <c r="A3834" s="588"/>
      <c r="B3834" s="588"/>
      <c r="C3834" s="588"/>
      <c r="D3834" s="588"/>
      <c r="E3834" s="588"/>
      <c r="F3834" s="588"/>
      <c r="G3834" s="600"/>
      <c r="H3834" s="588"/>
      <c r="I3834" s="588"/>
      <c r="J3834" s="588"/>
    </row>
    <row r="3835" spans="1:10" x14ac:dyDescent="0.3">
      <c r="A3835" s="588"/>
      <c r="B3835" s="588"/>
      <c r="C3835" s="588"/>
      <c r="D3835" s="588"/>
      <c r="E3835" s="588"/>
      <c r="F3835" s="588"/>
      <c r="G3835" s="600"/>
      <c r="H3835" s="588"/>
      <c r="I3835" s="588"/>
      <c r="J3835" s="588"/>
    </row>
    <row r="3836" spans="1:10" x14ac:dyDescent="0.3">
      <c r="A3836" s="588"/>
      <c r="B3836" s="588"/>
      <c r="C3836" s="588"/>
      <c r="D3836" s="588"/>
      <c r="E3836" s="588"/>
      <c r="F3836" s="588"/>
      <c r="G3836" s="600"/>
      <c r="H3836" s="588"/>
      <c r="I3836" s="588"/>
      <c r="J3836" s="588"/>
    </row>
    <row r="3837" spans="1:10" x14ac:dyDescent="0.3">
      <c r="A3837" s="588"/>
      <c r="B3837" s="588"/>
      <c r="C3837" s="588"/>
      <c r="D3837" s="588"/>
      <c r="E3837" s="588"/>
      <c r="F3837" s="588"/>
      <c r="G3837" s="600"/>
      <c r="H3837" s="588"/>
      <c r="I3837" s="588"/>
      <c r="J3837" s="588"/>
    </row>
    <row r="3838" spans="1:10" x14ac:dyDescent="0.3">
      <c r="A3838" s="588"/>
      <c r="B3838" s="588"/>
      <c r="C3838" s="588"/>
      <c r="D3838" s="588"/>
      <c r="E3838" s="588"/>
      <c r="F3838" s="588"/>
      <c r="G3838" s="600"/>
      <c r="H3838" s="588"/>
      <c r="I3838" s="588"/>
      <c r="J3838" s="588"/>
    </row>
    <row r="3839" spans="1:10" x14ac:dyDescent="0.3">
      <c r="A3839" s="588"/>
      <c r="B3839" s="588"/>
      <c r="C3839" s="588"/>
      <c r="D3839" s="588"/>
      <c r="E3839" s="588"/>
      <c r="F3839" s="588"/>
      <c r="G3839" s="600"/>
      <c r="H3839" s="588"/>
      <c r="I3839" s="588"/>
      <c r="J3839" s="588"/>
    </row>
    <row r="3840" spans="1:10" x14ac:dyDescent="0.3">
      <c r="A3840" s="588"/>
      <c r="B3840" s="588"/>
      <c r="C3840" s="588"/>
      <c r="D3840" s="588"/>
      <c r="E3840" s="588"/>
      <c r="F3840" s="588"/>
      <c r="G3840" s="600"/>
      <c r="H3840" s="588"/>
      <c r="I3840" s="588"/>
      <c r="J3840" s="588"/>
    </row>
    <row r="3841" spans="1:10" x14ac:dyDescent="0.3">
      <c r="A3841" s="588"/>
      <c r="B3841" s="588"/>
      <c r="C3841" s="588"/>
      <c r="D3841" s="588"/>
      <c r="E3841" s="588"/>
      <c r="F3841" s="588"/>
      <c r="G3841" s="600"/>
      <c r="H3841" s="588"/>
      <c r="I3841" s="588"/>
      <c r="J3841" s="588"/>
    </row>
    <row r="3842" spans="1:10" x14ac:dyDescent="0.3">
      <c r="A3842" s="588"/>
      <c r="B3842" s="588"/>
      <c r="C3842" s="588"/>
      <c r="D3842" s="588"/>
      <c r="E3842" s="588"/>
      <c r="F3842" s="588"/>
      <c r="G3842" s="600"/>
      <c r="H3842" s="588"/>
      <c r="I3842" s="588"/>
      <c r="J3842" s="588"/>
    </row>
    <row r="3843" spans="1:10" x14ac:dyDescent="0.3">
      <c r="A3843" s="588"/>
      <c r="B3843" s="588"/>
      <c r="C3843" s="588"/>
      <c r="D3843" s="588"/>
      <c r="E3843" s="588"/>
      <c r="F3843" s="588"/>
      <c r="G3843" s="600"/>
      <c r="H3843" s="588"/>
      <c r="I3843" s="588"/>
      <c r="J3843" s="588"/>
    </row>
    <row r="3844" spans="1:10" x14ac:dyDescent="0.3">
      <c r="A3844" s="588"/>
      <c r="B3844" s="588"/>
      <c r="C3844" s="588"/>
      <c r="D3844" s="588"/>
      <c r="E3844" s="588"/>
      <c r="F3844" s="588"/>
      <c r="G3844" s="600"/>
      <c r="H3844" s="588"/>
      <c r="I3844" s="588"/>
      <c r="J3844" s="588"/>
    </row>
    <row r="3845" spans="1:10" x14ac:dyDescent="0.3">
      <c r="A3845" s="588"/>
      <c r="B3845" s="588"/>
      <c r="C3845" s="588"/>
      <c r="D3845" s="588"/>
      <c r="E3845" s="588"/>
      <c r="F3845" s="588"/>
      <c r="G3845" s="600"/>
      <c r="H3845" s="588"/>
      <c r="I3845" s="588"/>
      <c r="J3845" s="588"/>
    </row>
    <row r="3846" spans="1:10" x14ac:dyDescent="0.3">
      <c r="A3846" s="588"/>
      <c r="B3846" s="588"/>
      <c r="C3846" s="588"/>
      <c r="D3846" s="588"/>
      <c r="E3846" s="588"/>
      <c r="F3846" s="588"/>
      <c r="G3846" s="600"/>
      <c r="H3846" s="588"/>
      <c r="I3846" s="588"/>
      <c r="J3846" s="588"/>
    </row>
    <row r="3847" spans="1:10" x14ac:dyDescent="0.3">
      <c r="A3847" s="588"/>
      <c r="B3847" s="588"/>
      <c r="C3847" s="588"/>
      <c r="D3847" s="588"/>
      <c r="E3847" s="588"/>
      <c r="F3847" s="588"/>
      <c r="G3847" s="600"/>
      <c r="H3847" s="588"/>
      <c r="I3847" s="588"/>
      <c r="J3847" s="588"/>
    </row>
    <row r="3848" spans="1:10" x14ac:dyDescent="0.3">
      <c r="A3848" s="588"/>
      <c r="B3848" s="588"/>
      <c r="C3848" s="588"/>
      <c r="D3848" s="588"/>
      <c r="E3848" s="588"/>
      <c r="F3848" s="588"/>
      <c r="G3848" s="600"/>
      <c r="H3848" s="588"/>
      <c r="I3848" s="588"/>
      <c r="J3848" s="588"/>
    </row>
    <row r="3849" spans="1:10" x14ac:dyDescent="0.3">
      <c r="A3849" s="588"/>
      <c r="B3849" s="588"/>
      <c r="C3849" s="588"/>
      <c r="D3849" s="588"/>
      <c r="E3849" s="588"/>
      <c r="F3849" s="588"/>
      <c r="G3849" s="600"/>
      <c r="H3849" s="588"/>
      <c r="I3849" s="588"/>
      <c r="J3849" s="588"/>
    </row>
    <row r="3850" spans="1:10" x14ac:dyDescent="0.3">
      <c r="A3850" s="588"/>
      <c r="B3850" s="588"/>
      <c r="C3850" s="588"/>
      <c r="D3850" s="588"/>
      <c r="E3850" s="588"/>
      <c r="F3850" s="588"/>
      <c r="G3850" s="600"/>
      <c r="H3850" s="588"/>
      <c r="I3850" s="588"/>
      <c r="J3850" s="588"/>
    </row>
    <row r="3851" spans="1:10" x14ac:dyDescent="0.3">
      <c r="A3851" s="588"/>
      <c r="B3851" s="588"/>
      <c r="C3851" s="588"/>
      <c r="D3851" s="588"/>
      <c r="E3851" s="588"/>
      <c r="F3851" s="588"/>
      <c r="G3851" s="600"/>
      <c r="H3851" s="588"/>
      <c r="I3851" s="588"/>
      <c r="J3851" s="588"/>
    </row>
    <row r="3852" spans="1:10" x14ac:dyDescent="0.3">
      <c r="A3852" s="588"/>
      <c r="B3852" s="588"/>
      <c r="C3852" s="588"/>
      <c r="D3852" s="588"/>
      <c r="E3852" s="588"/>
      <c r="F3852" s="588"/>
      <c r="G3852" s="600"/>
      <c r="H3852" s="588"/>
      <c r="I3852" s="588"/>
      <c r="J3852" s="588"/>
    </row>
    <row r="3853" spans="1:10" x14ac:dyDescent="0.3">
      <c r="A3853" s="588"/>
      <c r="B3853" s="588"/>
      <c r="C3853" s="588"/>
      <c r="D3853" s="588"/>
      <c r="E3853" s="588"/>
      <c r="F3853" s="588"/>
      <c r="G3853" s="600"/>
      <c r="H3853" s="588"/>
      <c r="I3853" s="588"/>
      <c r="J3853" s="588"/>
    </row>
    <row r="3854" spans="1:10" x14ac:dyDescent="0.3">
      <c r="A3854" s="588"/>
      <c r="B3854" s="588"/>
      <c r="C3854" s="588"/>
      <c r="D3854" s="588"/>
      <c r="E3854" s="588"/>
      <c r="F3854" s="588"/>
      <c r="G3854" s="600"/>
      <c r="H3854" s="588"/>
      <c r="I3854" s="588"/>
      <c r="J3854" s="588"/>
    </row>
    <row r="3855" spans="1:10" x14ac:dyDescent="0.3">
      <c r="A3855" s="588"/>
      <c r="B3855" s="588"/>
      <c r="C3855" s="588"/>
      <c r="D3855" s="588"/>
      <c r="E3855" s="588"/>
      <c r="F3855" s="588"/>
      <c r="G3855" s="600"/>
      <c r="H3855" s="588"/>
      <c r="I3855" s="588"/>
      <c r="J3855" s="588"/>
    </row>
    <row r="3856" spans="1:10" x14ac:dyDescent="0.3">
      <c r="A3856" s="588"/>
      <c r="B3856" s="588"/>
      <c r="C3856" s="588"/>
      <c r="D3856" s="588"/>
      <c r="E3856" s="588"/>
      <c r="F3856" s="588"/>
      <c r="G3856" s="600"/>
      <c r="H3856" s="588"/>
      <c r="I3856" s="588"/>
      <c r="J3856" s="588"/>
    </row>
    <row r="3857" spans="1:10" x14ac:dyDescent="0.3">
      <c r="A3857" s="588"/>
      <c r="B3857" s="588"/>
      <c r="C3857" s="588"/>
      <c r="D3857" s="588"/>
      <c r="E3857" s="588"/>
      <c r="F3857" s="588"/>
      <c r="G3857" s="600"/>
      <c r="H3857" s="588"/>
      <c r="I3857" s="588"/>
      <c r="J3857" s="588"/>
    </row>
    <row r="3858" spans="1:10" x14ac:dyDescent="0.3">
      <c r="A3858" s="588"/>
      <c r="B3858" s="588"/>
      <c r="C3858" s="588"/>
      <c r="D3858" s="588"/>
      <c r="E3858" s="588"/>
      <c r="F3858" s="588"/>
      <c r="G3858" s="600"/>
      <c r="H3858" s="588"/>
      <c r="I3858" s="588"/>
      <c r="J3858" s="588"/>
    </row>
    <row r="3859" spans="1:10" x14ac:dyDescent="0.3">
      <c r="A3859" s="588"/>
      <c r="B3859" s="588"/>
      <c r="C3859" s="588"/>
      <c r="D3859" s="588"/>
      <c r="E3859" s="588"/>
      <c r="F3859" s="588"/>
      <c r="G3859" s="600"/>
      <c r="H3859" s="588"/>
      <c r="I3859" s="588"/>
      <c r="J3859" s="588"/>
    </row>
    <row r="3860" spans="1:10" x14ac:dyDescent="0.3">
      <c r="A3860" s="588"/>
      <c r="B3860" s="588"/>
      <c r="C3860" s="588"/>
      <c r="D3860" s="588"/>
      <c r="E3860" s="588"/>
      <c r="F3860" s="588"/>
      <c r="G3860" s="600"/>
      <c r="H3860" s="588"/>
      <c r="I3860" s="588"/>
      <c r="J3860" s="588"/>
    </row>
    <row r="3861" spans="1:10" x14ac:dyDescent="0.3">
      <c r="A3861" s="588"/>
      <c r="B3861" s="588"/>
      <c r="C3861" s="588"/>
      <c r="D3861" s="588"/>
      <c r="E3861" s="588"/>
      <c r="F3861" s="588"/>
      <c r="G3861" s="600"/>
      <c r="H3861" s="588"/>
      <c r="I3861" s="588"/>
      <c r="J3861" s="588"/>
    </row>
    <row r="3862" spans="1:10" x14ac:dyDescent="0.3">
      <c r="A3862" s="588"/>
      <c r="B3862" s="588"/>
      <c r="C3862" s="588"/>
      <c r="D3862" s="588"/>
      <c r="E3862" s="588"/>
      <c r="F3862" s="588"/>
      <c r="G3862" s="600"/>
      <c r="H3862" s="588"/>
      <c r="I3862" s="588"/>
      <c r="J3862" s="588"/>
    </row>
    <row r="3863" spans="1:10" x14ac:dyDescent="0.3">
      <c r="A3863" s="588"/>
      <c r="B3863" s="588"/>
      <c r="C3863" s="588"/>
      <c r="D3863" s="588"/>
      <c r="E3863" s="588"/>
      <c r="F3863" s="588"/>
      <c r="G3863" s="600"/>
      <c r="H3863" s="588"/>
      <c r="I3863" s="588"/>
      <c r="J3863" s="588"/>
    </row>
    <row r="3864" spans="1:10" x14ac:dyDescent="0.3">
      <c r="A3864" s="588"/>
      <c r="B3864" s="588"/>
      <c r="C3864" s="588"/>
      <c r="D3864" s="588"/>
      <c r="E3864" s="588"/>
      <c r="F3864" s="588"/>
      <c r="G3864" s="600"/>
      <c r="H3864" s="588"/>
      <c r="I3864" s="588"/>
      <c r="J3864" s="588"/>
    </row>
    <row r="3865" spans="1:10" x14ac:dyDescent="0.3">
      <c r="A3865" s="588"/>
      <c r="B3865" s="588"/>
      <c r="C3865" s="588"/>
      <c r="D3865" s="588"/>
      <c r="E3865" s="588"/>
      <c r="F3865" s="588"/>
      <c r="G3865" s="600"/>
      <c r="H3865" s="588"/>
      <c r="I3865" s="588"/>
      <c r="J3865" s="588"/>
    </row>
    <row r="3866" spans="1:10" x14ac:dyDescent="0.3">
      <c r="A3866" s="588"/>
      <c r="B3866" s="588"/>
      <c r="C3866" s="588"/>
      <c r="D3866" s="588"/>
      <c r="E3866" s="588"/>
      <c r="F3866" s="588"/>
      <c r="G3866" s="600"/>
      <c r="H3866" s="588"/>
      <c r="I3866" s="588"/>
      <c r="J3866" s="588"/>
    </row>
    <row r="3867" spans="1:10" x14ac:dyDescent="0.3">
      <c r="A3867" s="588"/>
      <c r="B3867" s="588"/>
      <c r="C3867" s="588"/>
      <c r="D3867" s="588"/>
      <c r="E3867" s="588"/>
      <c r="F3867" s="588"/>
      <c r="G3867" s="600"/>
      <c r="H3867" s="588"/>
      <c r="I3867" s="588"/>
      <c r="J3867" s="588"/>
    </row>
    <row r="3868" spans="1:10" x14ac:dyDescent="0.3">
      <c r="A3868" s="588"/>
      <c r="B3868" s="588"/>
      <c r="C3868" s="588"/>
      <c r="D3868" s="588"/>
      <c r="E3868" s="588"/>
      <c r="F3868" s="588"/>
      <c r="G3868" s="600"/>
      <c r="H3868" s="588"/>
      <c r="I3868" s="588"/>
      <c r="J3868" s="588"/>
    </row>
    <row r="3869" spans="1:10" x14ac:dyDescent="0.3">
      <c r="A3869" s="588"/>
      <c r="B3869" s="588"/>
      <c r="C3869" s="588"/>
      <c r="D3869" s="588"/>
      <c r="E3869" s="588"/>
      <c r="F3869" s="588"/>
      <c r="G3869" s="600"/>
      <c r="H3869" s="588"/>
      <c r="I3869" s="588"/>
      <c r="J3869" s="588"/>
    </row>
    <row r="3870" spans="1:10" x14ac:dyDescent="0.3">
      <c r="A3870" s="588"/>
      <c r="B3870" s="588"/>
      <c r="C3870" s="588"/>
      <c r="D3870" s="588"/>
      <c r="E3870" s="588"/>
      <c r="F3870" s="588"/>
      <c r="G3870" s="600"/>
      <c r="H3870" s="588"/>
      <c r="I3870" s="588"/>
      <c r="J3870" s="588"/>
    </row>
    <row r="3871" spans="1:10" x14ac:dyDescent="0.3">
      <c r="A3871" s="588"/>
      <c r="B3871" s="588"/>
      <c r="C3871" s="588"/>
      <c r="D3871" s="588"/>
      <c r="E3871" s="588"/>
      <c r="F3871" s="588"/>
      <c r="G3871" s="600"/>
      <c r="H3871" s="588"/>
      <c r="I3871" s="588"/>
      <c r="J3871" s="588"/>
    </row>
    <row r="3872" spans="1:10" x14ac:dyDescent="0.3">
      <c r="A3872" s="588"/>
      <c r="B3872" s="588"/>
      <c r="C3872" s="588"/>
      <c r="D3872" s="588"/>
      <c r="E3872" s="588"/>
      <c r="F3872" s="588"/>
      <c r="G3872" s="600"/>
      <c r="H3872" s="588"/>
      <c r="I3872" s="588"/>
      <c r="J3872" s="588"/>
    </row>
    <row r="3873" spans="1:10" x14ac:dyDescent="0.3">
      <c r="A3873" s="588"/>
      <c r="B3873" s="588"/>
      <c r="C3873" s="588"/>
      <c r="D3873" s="588"/>
      <c r="E3873" s="588"/>
      <c r="F3873" s="588"/>
      <c r="G3873" s="600"/>
      <c r="H3873" s="588"/>
      <c r="I3873" s="588"/>
      <c r="J3873" s="588"/>
    </row>
    <row r="3874" spans="1:10" x14ac:dyDescent="0.3">
      <c r="A3874" s="588"/>
      <c r="B3874" s="588"/>
      <c r="C3874" s="588"/>
      <c r="D3874" s="588"/>
      <c r="E3874" s="588"/>
      <c r="F3874" s="588"/>
      <c r="G3874" s="600"/>
      <c r="H3874" s="588"/>
      <c r="I3874" s="588"/>
      <c r="J3874" s="588"/>
    </row>
    <row r="3875" spans="1:10" x14ac:dyDescent="0.3">
      <c r="A3875" s="588"/>
      <c r="B3875" s="588"/>
      <c r="C3875" s="588"/>
      <c r="D3875" s="588"/>
      <c r="E3875" s="588"/>
      <c r="F3875" s="588"/>
      <c r="G3875" s="600"/>
      <c r="H3875" s="588"/>
      <c r="I3875" s="588"/>
      <c r="J3875" s="588"/>
    </row>
    <row r="3876" spans="1:10" x14ac:dyDescent="0.3">
      <c r="A3876" s="588"/>
      <c r="B3876" s="588"/>
      <c r="C3876" s="588"/>
      <c r="D3876" s="588"/>
      <c r="E3876" s="588"/>
      <c r="F3876" s="588"/>
      <c r="G3876" s="600"/>
      <c r="H3876" s="588"/>
      <c r="I3876" s="588"/>
      <c r="J3876" s="588"/>
    </row>
    <row r="3877" spans="1:10" x14ac:dyDescent="0.3">
      <c r="A3877" s="588"/>
      <c r="B3877" s="588"/>
      <c r="C3877" s="588"/>
      <c r="D3877" s="588"/>
      <c r="E3877" s="588"/>
      <c r="F3877" s="588"/>
      <c r="G3877" s="600"/>
      <c r="H3877" s="588"/>
      <c r="I3877" s="588"/>
      <c r="J3877" s="588"/>
    </row>
    <row r="3878" spans="1:10" x14ac:dyDescent="0.3">
      <c r="A3878" s="588"/>
      <c r="B3878" s="588"/>
      <c r="C3878" s="588"/>
      <c r="D3878" s="588"/>
      <c r="E3878" s="588"/>
      <c r="F3878" s="588"/>
      <c r="G3878" s="600"/>
      <c r="H3878" s="588"/>
      <c r="I3878" s="588"/>
      <c r="J3878" s="588"/>
    </row>
    <row r="3879" spans="1:10" x14ac:dyDescent="0.3">
      <c r="A3879" s="588"/>
      <c r="B3879" s="588"/>
      <c r="C3879" s="588"/>
      <c r="D3879" s="588"/>
      <c r="E3879" s="588"/>
      <c r="F3879" s="588"/>
      <c r="G3879" s="600"/>
      <c r="H3879" s="588"/>
      <c r="I3879" s="588"/>
      <c r="J3879" s="588"/>
    </row>
    <row r="3880" spans="1:10" x14ac:dyDescent="0.3">
      <c r="A3880" s="588"/>
      <c r="B3880" s="588"/>
      <c r="C3880" s="588"/>
      <c r="D3880" s="588"/>
      <c r="E3880" s="588"/>
      <c r="F3880" s="588"/>
      <c r="G3880" s="600"/>
      <c r="H3880" s="588"/>
      <c r="I3880" s="588"/>
      <c r="J3880" s="588"/>
    </row>
    <row r="3881" spans="1:10" x14ac:dyDescent="0.3">
      <c r="A3881" s="588"/>
      <c r="B3881" s="588"/>
      <c r="C3881" s="588"/>
      <c r="D3881" s="588"/>
      <c r="E3881" s="588"/>
      <c r="F3881" s="588"/>
      <c r="G3881" s="600"/>
      <c r="H3881" s="588"/>
      <c r="I3881" s="588"/>
      <c r="J3881" s="588"/>
    </row>
    <row r="3882" spans="1:10" x14ac:dyDescent="0.3">
      <c r="A3882" s="588"/>
      <c r="B3882" s="588"/>
      <c r="C3882" s="588"/>
      <c r="D3882" s="588"/>
      <c r="E3882" s="588"/>
      <c r="F3882" s="588"/>
      <c r="G3882" s="600"/>
      <c r="H3882" s="588"/>
      <c r="I3882" s="588"/>
      <c r="J3882" s="588"/>
    </row>
    <row r="3883" spans="1:10" x14ac:dyDescent="0.3">
      <c r="A3883" s="588"/>
      <c r="B3883" s="588"/>
      <c r="C3883" s="588"/>
      <c r="D3883" s="588"/>
      <c r="E3883" s="588"/>
      <c r="F3883" s="588"/>
      <c r="G3883" s="600"/>
      <c r="H3883" s="588"/>
      <c r="I3883" s="588"/>
      <c r="J3883" s="588"/>
    </row>
    <row r="3884" spans="1:10" x14ac:dyDescent="0.3">
      <c r="A3884" s="588"/>
      <c r="B3884" s="588"/>
      <c r="C3884" s="588"/>
      <c r="D3884" s="588"/>
      <c r="E3884" s="588"/>
      <c r="F3884" s="588"/>
      <c r="G3884" s="600"/>
      <c r="H3884" s="588"/>
      <c r="I3884" s="588"/>
      <c r="J3884" s="588"/>
    </row>
    <row r="3885" spans="1:10" x14ac:dyDescent="0.3">
      <c r="A3885" s="588"/>
      <c r="B3885" s="588"/>
      <c r="C3885" s="588"/>
      <c r="D3885" s="588"/>
      <c r="E3885" s="588"/>
      <c r="F3885" s="588"/>
      <c r="G3885" s="600"/>
      <c r="H3885" s="588"/>
      <c r="I3885" s="588"/>
      <c r="J3885" s="588"/>
    </row>
    <row r="3886" spans="1:10" x14ac:dyDescent="0.3">
      <c r="A3886" s="588"/>
      <c r="B3886" s="588"/>
      <c r="C3886" s="588"/>
      <c r="D3886" s="588"/>
      <c r="E3886" s="588"/>
      <c r="F3886" s="588"/>
      <c r="G3886" s="600"/>
      <c r="H3886" s="588"/>
      <c r="I3886" s="588"/>
      <c r="J3886" s="588"/>
    </row>
    <row r="3887" spans="1:10" x14ac:dyDescent="0.3">
      <c r="A3887" s="588"/>
      <c r="B3887" s="588"/>
      <c r="C3887" s="588"/>
      <c r="D3887" s="588"/>
      <c r="E3887" s="588"/>
      <c r="F3887" s="588"/>
      <c r="G3887" s="600"/>
      <c r="H3887" s="588"/>
      <c r="I3887" s="588"/>
      <c r="J3887" s="588"/>
    </row>
    <row r="3888" spans="1:10" x14ac:dyDescent="0.3">
      <c r="A3888" s="588"/>
      <c r="B3888" s="588"/>
      <c r="C3888" s="588"/>
      <c r="D3888" s="588"/>
      <c r="E3888" s="588"/>
      <c r="F3888" s="588"/>
      <c r="G3888" s="600"/>
      <c r="H3888" s="588"/>
      <c r="I3888" s="588"/>
      <c r="J3888" s="588"/>
    </row>
    <row r="3889" spans="1:10" x14ac:dyDescent="0.3">
      <c r="A3889" s="588"/>
      <c r="B3889" s="588"/>
      <c r="C3889" s="588"/>
      <c r="D3889" s="588"/>
      <c r="E3889" s="588"/>
      <c r="F3889" s="588"/>
      <c r="G3889" s="600"/>
      <c r="H3889" s="588"/>
      <c r="I3889" s="588"/>
      <c r="J3889" s="588"/>
    </row>
    <row r="3890" spans="1:10" x14ac:dyDescent="0.3">
      <c r="A3890" s="588"/>
      <c r="B3890" s="588"/>
      <c r="C3890" s="588"/>
      <c r="D3890" s="588"/>
      <c r="E3890" s="588"/>
      <c r="F3890" s="588"/>
      <c r="G3890" s="600"/>
      <c r="H3890" s="588"/>
      <c r="I3890" s="588"/>
      <c r="J3890" s="588"/>
    </row>
    <row r="3891" spans="1:10" x14ac:dyDescent="0.3">
      <c r="A3891" s="588"/>
      <c r="B3891" s="588"/>
      <c r="C3891" s="588"/>
      <c r="D3891" s="588"/>
      <c r="E3891" s="588"/>
      <c r="F3891" s="588"/>
      <c r="G3891" s="600"/>
      <c r="H3891" s="588"/>
      <c r="I3891" s="588"/>
      <c r="J3891" s="588"/>
    </row>
    <row r="3892" spans="1:10" x14ac:dyDescent="0.3">
      <c r="A3892" s="588"/>
      <c r="B3892" s="588"/>
      <c r="C3892" s="588"/>
      <c r="D3892" s="588"/>
      <c r="E3892" s="588"/>
      <c r="F3892" s="588"/>
      <c r="G3892" s="600"/>
      <c r="H3892" s="588"/>
      <c r="I3892" s="588"/>
      <c r="J3892" s="588"/>
    </row>
    <row r="3893" spans="1:10" x14ac:dyDescent="0.3">
      <c r="A3893" s="588"/>
      <c r="B3893" s="588"/>
      <c r="C3893" s="588"/>
      <c r="D3893" s="588"/>
      <c r="E3893" s="588"/>
      <c r="F3893" s="588"/>
      <c r="G3893" s="600"/>
      <c r="H3893" s="588"/>
      <c r="I3893" s="588"/>
      <c r="J3893" s="588"/>
    </row>
    <row r="3894" spans="1:10" x14ac:dyDescent="0.3">
      <c r="A3894" s="588"/>
      <c r="B3894" s="588"/>
      <c r="C3894" s="588"/>
      <c r="D3894" s="588"/>
      <c r="E3894" s="588"/>
      <c r="F3894" s="588"/>
      <c r="G3894" s="600"/>
      <c r="H3894" s="588"/>
      <c r="I3894" s="588"/>
      <c r="J3894" s="588"/>
    </row>
    <row r="3895" spans="1:10" x14ac:dyDescent="0.3">
      <c r="A3895" s="588"/>
      <c r="B3895" s="588"/>
      <c r="C3895" s="588"/>
      <c r="D3895" s="588"/>
      <c r="E3895" s="588"/>
      <c r="F3895" s="588"/>
      <c r="G3895" s="600"/>
      <c r="H3895" s="588"/>
      <c r="I3895" s="588"/>
      <c r="J3895" s="588"/>
    </row>
    <row r="3896" spans="1:10" x14ac:dyDescent="0.3">
      <c r="A3896" s="588"/>
      <c r="B3896" s="588"/>
      <c r="C3896" s="588"/>
      <c r="D3896" s="588"/>
      <c r="E3896" s="588"/>
      <c r="F3896" s="588"/>
      <c r="G3896" s="600"/>
      <c r="H3896" s="588"/>
      <c r="I3896" s="588"/>
      <c r="J3896" s="588"/>
    </row>
    <row r="3897" spans="1:10" x14ac:dyDescent="0.3">
      <c r="A3897" s="588"/>
      <c r="B3897" s="588"/>
      <c r="C3897" s="588"/>
      <c r="D3897" s="588"/>
      <c r="E3897" s="588"/>
      <c r="F3897" s="588"/>
      <c r="G3897" s="600"/>
      <c r="H3897" s="588"/>
      <c r="I3897" s="588"/>
      <c r="J3897" s="588"/>
    </row>
    <row r="3898" spans="1:10" x14ac:dyDescent="0.3">
      <c r="A3898" s="588"/>
      <c r="B3898" s="588"/>
      <c r="C3898" s="588"/>
      <c r="D3898" s="588"/>
      <c r="E3898" s="588"/>
      <c r="F3898" s="588"/>
      <c r="G3898" s="600"/>
      <c r="H3898" s="588"/>
      <c r="I3898" s="588"/>
      <c r="J3898" s="588"/>
    </row>
    <row r="3899" spans="1:10" x14ac:dyDescent="0.3">
      <c r="A3899" s="588"/>
      <c r="B3899" s="588"/>
      <c r="C3899" s="588"/>
      <c r="D3899" s="588"/>
      <c r="E3899" s="588"/>
      <c r="F3899" s="588"/>
      <c r="G3899" s="600"/>
      <c r="H3899" s="588"/>
      <c r="I3899" s="588"/>
      <c r="J3899" s="588"/>
    </row>
    <row r="3900" spans="1:10" x14ac:dyDescent="0.3">
      <c r="A3900" s="588"/>
      <c r="B3900" s="588"/>
      <c r="C3900" s="588"/>
      <c r="D3900" s="588"/>
      <c r="E3900" s="588"/>
      <c r="F3900" s="588"/>
      <c r="G3900" s="600"/>
      <c r="H3900" s="588"/>
      <c r="I3900" s="588"/>
      <c r="J3900" s="588"/>
    </row>
    <row r="3901" spans="1:10" x14ac:dyDescent="0.3">
      <c r="A3901" s="588"/>
      <c r="B3901" s="588"/>
      <c r="C3901" s="588"/>
      <c r="D3901" s="588"/>
      <c r="E3901" s="588"/>
      <c r="F3901" s="588"/>
      <c r="G3901" s="600"/>
      <c r="H3901" s="588"/>
      <c r="I3901" s="588"/>
      <c r="J3901" s="588"/>
    </row>
    <row r="3902" spans="1:10" x14ac:dyDescent="0.3">
      <c r="A3902" s="588"/>
      <c r="B3902" s="588"/>
      <c r="C3902" s="588"/>
      <c r="D3902" s="588"/>
      <c r="E3902" s="588"/>
      <c r="F3902" s="588"/>
      <c r="G3902" s="600"/>
      <c r="H3902" s="588"/>
      <c r="I3902" s="588"/>
      <c r="J3902" s="588"/>
    </row>
    <row r="3903" spans="1:10" x14ac:dyDescent="0.3">
      <c r="A3903" s="588"/>
      <c r="B3903" s="588"/>
      <c r="C3903" s="588"/>
      <c r="D3903" s="588"/>
      <c r="E3903" s="588"/>
      <c r="F3903" s="588"/>
      <c r="G3903" s="600"/>
      <c r="H3903" s="588"/>
      <c r="I3903" s="588"/>
      <c r="J3903" s="588"/>
    </row>
    <row r="3904" spans="1:10" x14ac:dyDescent="0.3">
      <c r="A3904" s="588"/>
      <c r="B3904" s="588"/>
      <c r="C3904" s="588"/>
      <c r="D3904" s="588"/>
      <c r="E3904" s="588"/>
      <c r="F3904" s="588"/>
      <c r="G3904" s="600"/>
      <c r="H3904" s="588"/>
      <c r="I3904" s="588"/>
      <c r="J3904" s="588"/>
    </row>
  </sheetData>
  <sheetProtection algorithmName="SHA-512" hashValue="WDpAHVPGFcknfNHpirJYjjovnJtbtwrv7tPMJttjS2aEVmptfCwAdqPfGN7LL5WH+XsSODigjVOMmxiLjLGOiQ==" saltValue="2tmTBroIvvzs/xSGxuQcLw==" spinCount="100000" sheet="1" objects="1" scenarios="1"/>
  <mergeCells count="7">
    <mergeCell ref="I10:I11"/>
    <mergeCell ref="J10:J11"/>
    <mergeCell ref="A10:A11"/>
    <mergeCell ref="B10:B11"/>
    <mergeCell ref="C10:C11"/>
    <mergeCell ref="D10:F10"/>
    <mergeCell ref="G10:H10"/>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0" tint="-0.499984740745262"/>
  </sheetPr>
  <dimension ref="A5:K145"/>
  <sheetViews>
    <sheetView topLeftCell="A60" workbookViewId="0">
      <selection activeCell="B71" sqref="B71"/>
    </sheetView>
  </sheetViews>
  <sheetFormatPr defaultRowHeight="14.4" x14ac:dyDescent="0.3"/>
  <cols>
    <col min="1" max="1" width="12.109375" customWidth="1"/>
    <col min="2" max="2" width="88.21875" customWidth="1"/>
    <col min="8" max="9" width="8.33203125" style="126" customWidth="1"/>
    <col min="10" max="10" width="8.33203125" customWidth="1"/>
  </cols>
  <sheetData>
    <row r="5" spans="1:11" ht="15" thickBot="1" x14ac:dyDescent="0.35"/>
    <row r="6" spans="1:11" ht="15" thickBot="1" x14ac:dyDescent="0.35">
      <c r="C6" s="135" t="s">
        <v>10</v>
      </c>
      <c r="D6" s="136" t="s">
        <v>283</v>
      </c>
      <c r="E6" s="136" t="s">
        <v>284</v>
      </c>
      <c r="F6" s="136" t="s">
        <v>285</v>
      </c>
      <c r="G6" s="136" t="s">
        <v>271</v>
      </c>
      <c r="H6" s="1445" t="s">
        <v>272</v>
      </c>
      <c r="I6" s="1440" t="s">
        <v>475</v>
      </c>
      <c r="J6" s="137" t="s">
        <v>520</v>
      </c>
      <c r="K6" t="s">
        <v>563</v>
      </c>
    </row>
    <row r="7" spans="1:11" ht="15" customHeight="1" x14ac:dyDescent="0.3">
      <c r="A7" s="2636" t="s">
        <v>36</v>
      </c>
      <c r="B7" s="130" t="s">
        <v>30</v>
      </c>
      <c r="C7" s="130">
        <v>0.49381000000000003</v>
      </c>
      <c r="D7" s="130">
        <v>0.46001999999999998</v>
      </c>
      <c r="E7" s="130">
        <v>0.44547999999999999</v>
      </c>
      <c r="F7" s="130">
        <v>0.49425999999999998</v>
      </c>
      <c r="G7" s="130">
        <v>0.46218999999999999</v>
      </c>
      <c r="H7" s="1446">
        <v>0.41204999999999997</v>
      </c>
      <c r="I7" s="1441">
        <v>0.35155999999999998</v>
      </c>
      <c r="J7" s="131">
        <v>0.28306999999999999</v>
      </c>
      <c r="K7" s="126">
        <v>0.25559999999999999</v>
      </c>
    </row>
    <row r="8" spans="1:11" x14ac:dyDescent="0.3">
      <c r="A8" s="2637"/>
      <c r="B8" s="128" t="s">
        <v>31</v>
      </c>
      <c r="C8" s="128">
        <v>3.9100000000000003E-2</v>
      </c>
      <c r="D8" s="128">
        <v>3.6339999999999997E-2</v>
      </c>
      <c r="E8" s="128">
        <v>3.8089999999999999E-2</v>
      </c>
      <c r="F8" s="128">
        <v>4.3220000000000001E-2</v>
      </c>
      <c r="G8" s="128">
        <v>3.8159999999999999E-2</v>
      </c>
      <c r="H8" s="1447">
        <v>3.7270000000000005E-2</v>
      </c>
      <c r="I8" s="1442">
        <v>3.2870000000000003E-2</v>
      </c>
      <c r="J8" s="132">
        <v>2.4129999999999999E-2</v>
      </c>
      <c r="K8">
        <v>2.1700000000000001E-2</v>
      </c>
    </row>
    <row r="9" spans="1:11" x14ac:dyDescent="0.3">
      <c r="A9" s="2637"/>
      <c r="B9" s="1466" t="s">
        <v>39</v>
      </c>
      <c r="C9" s="1466">
        <v>0.53290999999999999</v>
      </c>
      <c r="D9" s="1466">
        <v>0.49635999999999997</v>
      </c>
      <c r="E9" s="1466">
        <v>0.48357</v>
      </c>
      <c r="F9" s="1466">
        <v>0.53747999999999996</v>
      </c>
      <c r="G9" s="1466">
        <v>0.50034999999999996</v>
      </c>
      <c r="H9" s="1467">
        <v>0.44932</v>
      </c>
      <c r="I9" s="1468">
        <v>0.38442999999999999</v>
      </c>
      <c r="J9" s="1464">
        <f>J7+J8</f>
        <v>0.30719999999999997</v>
      </c>
      <c r="K9" s="126">
        <f t="shared" ref="K9:K10" si="0">K7+K8</f>
        <v>0.27729999999999999</v>
      </c>
    </row>
    <row r="10" spans="1:11" x14ac:dyDescent="0.3">
      <c r="A10" s="2637"/>
      <c r="B10" s="1466" t="s">
        <v>40</v>
      </c>
      <c r="C10" s="1466">
        <v>0.53290999999999999</v>
      </c>
      <c r="D10" s="1466">
        <v>0.49635999999999997</v>
      </c>
      <c r="E10" s="1466">
        <v>0.48357</v>
      </c>
      <c r="F10" s="1466">
        <v>0.53747999999999996</v>
      </c>
      <c r="G10" s="1466">
        <v>0.50034999999999996</v>
      </c>
      <c r="H10" s="1467">
        <v>0.44932</v>
      </c>
      <c r="I10" s="1468">
        <v>0.38442999999999999</v>
      </c>
      <c r="J10" s="1464">
        <f>J9</f>
        <v>0.30719999999999997</v>
      </c>
      <c r="K10" s="126">
        <f t="shared" si="0"/>
        <v>0.29899999999999999</v>
      </c>
    </row>
    <row r="11" spans="1:11" x14ac:dyDescent="0.3">
      <c r="A11" s="2637"/>
      <c r="B11" s="128" t="s">
        <v>41</v>
      </c>
      <c r="C11" s="128">
        <v>0.18396000000000001</v>
      </c>
      <c r="D11" s="128">
        <v>0.18521000000000001</v>
      </c>
      <c r="E11" s="128">
        <v>0.18404000000000001</v>
      </c>
      <c r="F11" s="128">
        <v>0.184973003</v>
      </c>
      <c r="G11" s="128">
        <v>0.18445</v>
      </c>
      <c r="H11" s="1447">
        <v>0.18399681818127539</v>
      </c>
      <c r="I11" s="1442">
        <v>0.184163989077374</v>
      </c>
      <c r="J11" s="132">
        <v>0.18396000000000001</v>
      </c>
      <c r="K11">
        <v>0.18385000000000001</v>
      </c>
    </row>
    <row r="12" spans="1:11" x14ac:dyDescent="0.3">
      <c r="A12" s="2637"/>
      <c r="B12" s="128" t="s">
        <v>42</v>
      </c>
      <c r="C12" s="128">
        <v>0.27651999999999999</v>
      </c>
      <c r="D12" s="128">
        <v>0.27778000000000003</v>
      </c>
      <c r="E12" s="128">
        <v>0.27176</v>
      </c>
      <c r="F12" s="128">
        <v>0.27212283900000001</v>
      </c>
      <c r="G12" s="128">
        <v>0.27100999999999997</v>
      </c>
      <c r="H12" s="1447">
        <v>0.27630982350370714</v>
      </c>
      <c r="I12" s="1442">
        <v>0.27587637411749499</v>
      </c>
      <c r="J12" s="132">
        <v>0.27651999999999999</v>
      </c>
      <c r="K12">
        <v>0.25675999999999999</v>
      </c>
    </row>
    <row r="13" spans="1:11" x14ac:dyDescent="0.3">
      <c r="A13" s="2637"/>
      <c r="B13" s="128" t="s">
        <v>43</v>
      </c>
      <c r="C13" s="128">
        <v>0.21443999999999999</v>
      </c>
      <c r="D13" s="128">
        <v>0.21454999999999999</v>
      </c>
      <c r="E13" s="128">
        <v>0.21451999999999999</v>
      </c>
      <c r="F13" s="128">
        <v>0.21450759999999999</v>
      </c>
      <c r="G13" s="128">
        <v>0.21468000000000001</v>
      </c>
      <c r="H13" s="1447">
        <v>0.21457727355679901</v>
      </c>
      <c r="I13" s="1442">
        <v>0.21450972281571301</v>
      </c>
      <c r="J13" s="132">
        <v>0.21448</v>
      </c>
      <c r="K13">
        <v>0.21446999999999999</v>
      </c>
    </row>
    <row r="14" spans="1:11" x14ac:dyDescent="0.3">
      <c r="A14" s="2637"/>
      <c r="B14" s="128" t="s">
        <v>46</v>
      </c>
      <c r="C14" s="128">
        <v>0.3392</v>
      </c>
      <c r="D14" s="128">
        <v>0.34021000000000001</v>
      </c>
      <c r="E14" s="128">
        <v>0.33995999999999998</v>
      </c>
      <c r="F14" s="128">
        <v>0.33965896299999998</v>
      </c>
      <c r="G14" s="128">
        <v>0.36587999999999998</v>
      </c>
      <c r="H14" s="1447">
        <v>0.34128978908300367</v>
      </c>
      <c r="I14" s="1442">
        <v>0.34207856345714499</v>
      </c>
      <c r="J14" s="132">
        <v>0.34472999999999998</v>
      </c>
      <c r="K14">
        <v>0.34472999999999998</v>
      </c>
    </row>
    <row r="15" spans="1:11" x14ac:dyDescent="0.3">
      <c r="A15" s="2637"/>
      <c r="B15" s="128" t="s">
        <v>47</v>
      </c>
      <c r="C15" s="128">
        <v>0</v>
      </c>
      <c r="D15" s="128">
        <v>0</v>
      </c>
      <c r="E15" s="128">
        <v>0</v>
      </c>
      <c r="F15" s="128">
        <v>0</v>
      </c>
      <c r="G15" s="128">
        <v>0</v>
      </c>
      <c r="H15" s="1449">
        <v>3.7440000000000001E-2</v>
      </c>
      <c r="I15" s="1442">
        <v>1.2699999999999999E-2</v>
      </c>
      <c r="J15" s="132">
        <v>1.506E-2</v>
      </c>
      <c r="K15">
        <v>1.5630000000000002E-2</v>
      </c>
    </row>
    <row r="16" spans="1:11" x14ac:dyDescent="0.3">
      <c r="A16" s="2637"/>
      <c r="B16" s="128" t="s">
        <v>48</v>
      </c>
      <c r="C16" s="128">
        <v>0.24440000000000001</v>
      </c>
      <c r="D16" s="128">
        <v>0.23146316</v>
      </c>
      <c r="E16" s="128">
        <v>0.22783157900000001</v>
      </c>
      <c r="F16" s="128">
        <v>0.22928526299999999</v>
      </c>
      <c r="G16" s="128">
        <v>0.23537688600000001</v>
      </c>
      <c r="H16" s="1448">
        <v>0.20562603753147574</v>
      </c>
      <c r="I16" s="1443">
        <f>I33+I34</f>
        <v>0.20780105923759157</v>
      </c>
      <c r="J16" s="133">
        <f>J33+J34</f>
        <v>0.19732631578947368</v>
      </c>
      <c r="K16">
        <f>K33+K34</f>
        <v>0.18532999999999999</v>
      </c>
    </row>
    <row r="17" spans="1:11" x14ac:dyDescent="0.3">
      <c r="A17" s="2637"/>
      <c r="B17" s="128" t="s">
        <v>49</v>
      </c>
      <c r="C17" s="128">
        <v>0</v>
      </c>
      <c r="D17" s="128">
        <v>0</v>
      </c>
      <c r="E17" s="128">
        <v>0</v>
      </c>
      <c r="F17" s="128">
        <v>0</v>
      </c>
      <c r="G17" s="128">
        <v>0</v>
      </c>
      <c r="H17" s="1451">
        <v>0</v>
      </c>
      <c r="I17" s="1444">
        <v>0</v>
      </c>
      <c r="J17" s="138">
        <v>0</v>
      </c>
      <c r="K17">
        <v>0</v>
      </c>
    </row>
    <row r="18" spans="1:11" x14ac:dyDescent="0.3">
      <c r="A18" s="2637"/>
      <c r="B18" s="1466" t="s">
        <v>50</v>
      </c>
      <c r="C18" s="1466">
        <v>0</v>
      </c>
      <c r="D18" s="1466">
        <v>0</v>
      </c>
      <c r="E18" s="1466">
        <v>0</v>
      </c>
      <c r="F18" s="1466">
        <v>0</v>
      </c>
      <c r="G18" s="1466">
        <v>0</v>
      </c>
      <c r="H18" s="1467"/>
      <c r="I18" s="1468"/>
      <c r="J18" s="1464"/>
    </row>
    <row r="19" spans="1:11" x14ac:dyDescent="0.3">
      <c r="A19" s="2637"/>
      <c r="B19" s="128" t="s">
        <v>51</v>
      </c>
      <c r="C19" s="128">
        <v>0.24226392066073935</v>
      </c>
      <c r="D19" s="128">
        <v>0.26563604119443424</v>
      </c>
      <c r="E19" s="128">
        <v>0.26563604119443424</v>
      </c>
      <c r="F19" s="128">
        <v>0.26563604119443424</v>
      </c>
      <c r="G19" s="128">
        <v>0.26563604119443424</v>
      </c>
      <c r="H19" s="1450">
        <v>0.26563604119443424</v>
      </c>
      <c r="I19" s="1443">
        <v>0.26563604119443424</v>
      </c>
      <c r="J19" s="1465">
        <f>J31+J32</f>
        <v>0.26563604119443424</v>
      </c>
      <c r="K19">
        <f>K31+K32</f>
        <v>0.26563604119443424</v>
      </c>
    </row>
    <row r="20" spans="1:11" ht="15" thickBot="1" x14ac:dyDescent="0.35">
      <c r="A20" s="2638"/>
      <c r="B20" s="1473" t="s">
        <v>52</v>
      </c>
      <c r="C20" s="1473">
        <v>0</v>
      </c>
      <c r="D20" s="1473">
        <v>0</v>
      </c>
      <c r="E20" s="1473">
        <v>0</v>
      </c>
      <c r="F20" s="1473">
        <v>0</v>
      </c>
      <c r="G20" s="1473">
        <v>0</v>
      </c>
      <c r="H20" s="1474"/>
      <c r="I20" s="1475"/>
      <c r="J20" s="1476"/>
    </row>
    <row r="21" spans="1:11" x14ac:dyDescent="0.3">
      <c r="A21" s="2639" t="s">
        <v>53</v>
      </c>
      <c r="B21" s="129" t="s">
        <v>54</v>
      </c>
      <c r="C21" s="129">
        <v>0</v>
      </c>
      <c r="D21" s="129">
        <v>0</v>
      </c>
      <c r="E21" s="129">
        <v>0</v>
      </c>
      <c r="F21" s="129">
        <v>0</v>
      </c>
      <c r="G21" s="129">
        <v>0</v>
      </c>
      <c r="H21" s="1451">
        <v>0</v>
      </c>
      <c r="I21" s="1444">
        <v>0</v>
      </c>
      <c r="J21" s="138">
        <v>0</v>
      </c>
      <c r="K21">
        <v>0</v>
      </c>
    </row>
    <row r="22" spans="1:11" x14ac:dyDescent="0.3">
      <c r="A22" s="2637"/>
      <c r="B22" s="128" t="s">
        <v>55</v>
      </c>
      <c r="C22" s="128">
        <v>0</v>
      </c>
      <c r="D22" s="128">
        <v>0</v>
      </c>
      <c r="E22" s="128">
        <v>0</v>
      </c>
      <c r="F22" s="128">
        <v>0</v>
      </c>
      <c r="G22" s="128">
        <v>0</v>
      </c>
      <c r="H22" s="1448">
        <v>0</v>
      </c>
      <c r="I22" s="1443">
        <v>0</v>
      </c>
      <c r="J22" s="133">
        <v>0</v>
      </c>
      <c r="K22">
        <v>0</v>
      </c>
    </row>
    <row r="23" spans="1:11" x14ac:dyDescent="0.3">
      <c r="A23" s="2637"/>
      <c r="B23" s="128" t="s">
        <v>56</v>
      </c>
      <c r="C23" s="128">
        <v>0</v>
      </c>
      <c r="D23" s="128">
        <v>0</v>
      </c>
      <c r="E23" s="128">
        <v>0</v>
      </c>
      <c r="F23" s="128">
        <v>0</v>
      </c>
      <c r="G23" s="128">
        <v>0</v>
      </c>
      <c r="H23" s="1448">
        <v>0</v>
      </c>
      <c r="I23" s="1443">
        <v>0</v>
      </c>
      <c r="J23" s="133">
        <v>0</v>
      </c>
      <c r="K23">
        <v>0</v>
      </c>
    </row>
    <row r="24" spans="1:11" x14ac:dyDescent="0.3">
      <c r="A24" s="2637"/>
      <c r="B24" s="1466" t="s">
        <v>52</v>
      </c>
      <c r="C24" s="1466">
        <v>0</v>
      </c>
      <c r="D24" s="1466">
        <v>0</v>
      </c>
      <c r="E24" s="1466">
        <v>0</v>
      </c>
      <c r="F24" s="1466">
        <v>0</v>
      </c>
      <c r="G24" s="1466">
        <v>0</v>
      </c>
      <c r="H24" s="1467"/>
      <c r="I24" s="1468"/>
      <c r="J24" s="1464"/>
    </row>
    <row r="25" spans="1:11" x14ac:dyDescent="0.3">
      <c r="A25" s="2637"/>
      <c r="B25" s="1466" t="s">
        <v>57</v>
      </c>
      <c r="C25" s="1466">
        <v>0</v>
      </c>
      <c r="D25" s="1466">
        <v>0</v>
      </c>
      <c r="E25" s="1466">
        <v>0</v>
      </c>
      <c r="F25" s="1466">
        <v>0</v>
      </c>
      <c r="G25" s="1466">
        <v>0</v>
      </c>
      <c r="H25" s="1467"/>
      <c r="I25" s="1468"/>
      <c r="J25" s="1464"/>
    </row>
    <row r="26" spans="1:11" x14ac:dyDescent="0.3">
      <c r="A26" s="2637"/>
      <c r="B26" s="1466" t="s">
        <v>58</v>
      </c>
      <c r="C26" s="1466">
        <v>0</v>
      </c>
      <c r="D26" s="1466">
        <v>0</v>
      </c>
      <c r="E26" s="1466">
        <v>0</v>
      </c>
      <c r="F26" s="1466">
        <v>0</v>
      </c>
      <c r="G26" s="1466">
        <v>0</v>
      </c>
      <c r="H26" s="1467"/>
      <c r="I26" s="1468"/>
      <c r="J26" s="1464"/>
    </row>
    <row r="27" spans="1:11" x14ac:dyDescent="0.3">
      <c r="A27" s="2637"/>
      <c r="B27" s="1466" t="s">
        <v>59</v>
      </c>
      <c r="C27" s="1466">
        <v>0</v>
      </c>
      <c r="D27" s="1466">
        <v>0</v>
      </c>
      <c r="E27" s="1466">
        <v>0</v>
      </c>
      <c r="F27" s="1466">
        <v>0</v>
      </c>
      <c r="G27" s="1466">
        <v>0</v>
      </c>
      <c r="H27" s="1467"/>
      <c r="I27" s="1468"/>
      <c r="J27" s="1464"/>
    </row>
    <row r="28" spans="1:11" x14ac:dyDescent="0.3">
      <c r="A28" s="2637"/>
      <c r="B28" s="1466" t="s">
        <v>60</v>
      </c>
      <c r="C28" s="1466">
        <v>0</v>
      </c>
      <c r="D28" s="1466">
        <v>0</v>
      </c>
      <c r="E28" s="1466">
        <v>0</v>
      </c>
      <c r="F28" s="1466">
        <v>0</v>
      </c>
      <c r="G28" s="1466">
        <v>0</v>
      </c>
      <c r="H28" s="1467"/>
      <c r="I28" s="1468"/>
      <c r="J28" s="1464"/>
    </row>
    <row r="29" spans="1:11" x14ac:dyDescent="0.3">
      <c r="A29" s="2637"/>
      <c r="B29" s="1466" t="s">
        <v>61</v>
      </c>
      <c r="C29" s="1466">
        <v>0</v>
      </c>
      <c r="D29" s="1466">
        <v>0</v>
      </c>
      <c r="E29" s="1466">
        <v>0</v>
      </c>
      <c r="F29" s="1466">
        <v>0</v>
      </c>
      <c r="G29" s="1466">
        <v>0</v>
      </c>
      <c r="H29" s="1467"/>
      <c r="I29" s="1468"/>
      <c r="J29" s="1464"/>
    </row>
    <row r="30" spans="1:11" ht="15" thickBot="1" x14ac:dyDescent="0.35">
      <c r="A30" s="2640"/>
      <c r="B30" s="1469" t="s">
        <v>62</v>
      </c>
      <c r="C30" s="1469">
        <v>0</v>
      </c>
      <c r="D30" s="1469">
        <v>0</v>
      </c>
      <c r="E30" s="1469">
        <v>0</v>
      </c>
      <c r="F30" s="1469">
        <v>0</v>
      </c>
      <c r="G30" s="1469">
        <v>0</v>
      </c>
      <c r="H30" s="1470"/>
      <c r="I30" s="1471"/>
      <c r="J30" s="1472"/>
    </row>
    <row r="31" spans="1:11" x14ac:dyDescent="0.3">
      <c r="A31" s="2636" t="s">
        <v>36</v>
      </c>
      <c r="B31" s="130" t="s">
        <v>526</v>
      </c>
      <c r="C31" s="130">
        <v>0.24226392066073935</v>
      </c>
      <c r="D31" s="130">
        <v>0.26563604119443424</v>
      </c>
      <c r="E31" s="130">
        <v>0.26563604119443424</v>
      </c>
      <c r="F31" s="130">
        <v>0.26563604119443424</v>
      </c>
      <c r="G31" s="130">
        <v>0.26563604119443424</v>
      </c>
      <c r="H31" s="1446">
        <v>0.26563604119443424</v>
      </c>
      <c r="I31" s="1478">
        <v>0.26563604119443424</v>
      </c>
      <c r="J31" s="1481">
        <f>I31</f>
        <v>0.26563604119443424</v>
      </c>
      <c r="K31" s="126">
        <f>J31</f>
        <v>0.26563604119443424</v>
      </c>
    </row>
    <row r="32" spans="1:11" x14ac:dyDescent="0.3">
      <c r="A32" s="2637"/>
      <c r="B32" s="128" t="s">
        <v>527</v>
      </c>
      <c r="C32" s="128"/>
      <c r="D32" s="128">
        <v>0</v>
      </c>
      <c r="E32" s="128">
        <v>0</v>
      </c>
      <c r="F32" s="128">
        <v>0</v>
      </c>
      <c r="G32" s="128">
        <v>0</v>
      </c>
      <c r="H32" s="1448">
        <v>0</v>
      </c>
      <c r="I32" s="1477">
        <v>0</v>
      </c>
      <c r="J32" s="1480">
        <f>I32</f>
        <v>0</v>
      </c>
      <c r="K32" s="126">
        <f>J32</f>
        <v>0</v>
      </c>
    </row>
    <row r="33" spans="1:11" x14ac:dyDescent="0.3">
      <c r="A33" s="2637"/>
      <c r="B33" s="128" t="s">
        <v>44</v>
      </c>
      <c r="C33" s="128">
        <v>0.23218</v>
      </c>
      <c r="D33" s="128">
        <v>0.21989</v>
      </c>
      <c r="E33" s="128">
        <v>0.21643999999999999</v>
      </c>
      <c r="F33" s="128">
        <v>0.21643999999999999</v>
      </c>
      <c r="G33" s="128">
        <v>0.22360804200000001</v>
      </c>
      <c r="H33" s="1447">
        <v>0.20431135337360101</v>
      </c>
      <c r="I33" s="1482">
        <v>0.19741100627571201</v>
      </c>
      <c r="J33" s="1480">
        <v>0.18745999999999999</v>
      </c>
      <c r="K33">
        <v>0.17605999999999999</v>
      </c>
    </row>
    <row r="34" spans="1:11" ht="15" thickBot="1" x14ac:dyDescent="0.35">
      <c r="A34" s="2638"/>
      <c r="B34" s="134" t="s">
        <v>45</v>
      </c>
      <c r="C34" s="134">
        <v>1.222E-2</v>
      </c>
      <c r="D34" s="134">
        <v>1.1573160000000001E-2</v>
      </c>
      <c r="E34" s="134">
        <v>1.1391579000000001E-2</v>
      </c>
      <c r="F34" s="134">
        <v>1.2845263000000001E-2</v>
      </c>
      <c r="G34" s="134">
        <v>1.1768844000000001E-2</v>
      </c>
      <c r="H34" s="1484">
        <v>1.3146841578747272E-3</v>
      </c>
      <c r="I34" s="1483">
        <v>1.0390052961879559E-2</v>
      </c>
      <c r="J34" s="1479">
        <v>9.8663157894736953E-3</v>
      </c>
      <c r="K34">
        <v>9.2700000000000005E-3</v>
      </c>
    </row>
    <row r="35" spans="1:11" ht="15" thickBot="1" x14ac:dyDescent="0.35">
      <c r="J35" s="126"/>
    </row>
    <row r="36" spans="1:11" x14ac:dyDescent="0.3">
      <c r="A36" s="2633" t="s">
        <v>84</v>
      </c>
      <c r="B36" s="130" t="s">
        <v>82</v>
      </c>
      <c r="C36" s="130">
        <v>2.3307000000000002</v>
      </c>
      <c r="D36" s="130">
        <v>2.2423000000000002</v>
      </c>
      <c r="E36" s="130">
        <v>2.2143999999999999</v>
      </c>
      <c r="F36" s="130">
        <v>2.1913999999999998</v>
      </c>
      <c r="G36" s="130">
        <v>2.1943999999999999</v>
      </c>
      <c r="H36" s="1455">
        <v>2.196973877</v>
      </c>
      <c r="I36" s="1441">
        <v>2.1983536074047101</v>
      </c>
      <c r="J36" s="131">
        <v>2.2030699999999999</v>
      </c>
      <c r="K36">
        <v>2.2090399999999999</v>
      </c>
    </row>
    <row r="37" spans="1:11" x14ac:dyDescent="0.3">
      <c r="A37" s="2634"/>
      <c r="B37" s="128" t="s">
        <v>86</v>
      </c>
      <c r="C37" s="128">
        <v>0</v>
      </c>
      <c r="D37" s="128">
        <v>2.3144</v>
      </c>
      <c r="E37" s="128">
        <v>2.3104</v>
      </c>
      <c r="F37" s="128">
        <v>2.2999028589999999</v>
      </c>
      <c r="G37" s="128">
        <v>2.2996799999999999</v>
      </c>
      <c r="H37" s="1456">
        <v>2.3025014289999999</v>
      </c>
      <c r="I37" s="1442">
        <v>2.3007492533234699</v>
      </c>
      <c r="J37" s="132">
        <v>2.30531</v>
      </c>
      <c r="K37">
        <v>2.3149500000000001</v>
      </c>
    </row>
    <row r="38" spans="1:11" x14ac:dyDescent="0.3">
      <c r="A38" s="2634"/>
      <c r="B38" s="128" t="s">
        <v>88</v>
      </c>
      <c r="C38" s="128">
        <v>2.6694</v>
      </c>
      <c r="D38" s="128">
        <v>2.5834999999999999</v>
      </c>
      <c r="E38" s="128">
        <v>2.6008</v>
      </c>
      <c r="F38" s="128">
        <v>2.6023999999999998</v>
      </c>
      <c r="G38" s="128">
        <v>2.5838999999999999</v>
      </c>
      <c r="H38" s="1457">
        <v>2.6116251996100002</v>
      </c>
      <c r="I38" s="1452">
        <v>2.60016271124822</v>
      </c>
      <c r="J38" s="140">
        <v>2.6269399999999998</v>
      </c>
      <c r="K38">
        <v>2.5941100000000001</v>
      </c>
    </row>
    <row r="39" spans="1:11" x14ac:dyDescent="0.3">
      <c r="A39" s="2634"/>
      <c r="B39" s="128" t="s">
        <v>90</v>
      </c>
      <c r="C39" s="128">
        <v>0</v>
      </c>
      <c r="D39" s="128">
        <v>2.6768999999999998</v>
      </c>
      <c r="E39" s="128">
        <v>2.6705000000000001</v>
      </c>
      <c r="F39" s="128">
        <v>2.6691435769999998</v>
      </c>
      <c r="G39" s="128">
        <v>2.6761400000000002</v>
      </c>
      <c r="H39" s="1457">
        <v>2.6762009083199998</v>
      </c>
      <c r="I39" s="1452">
        <v>2.6719320747436099</v>
      </c>
      <c r="J39" s="140">
        <v>2.6877900000000001</v>
      </c>
      <c r="K39">
        <v>2.6869700000000001</v>
      </c>
    </row>
    <row r="40" spans="1:11" x14ac:dyDescent="0.3">
      <c r="A40" s="2634"/>
      <c r="B40" s="128" t="s">
        <v>92</v>
      </c>
      <c r="C40" s="128">
        <v>2.7335571120054967</v>
      </c>
      <c r="D40" s="128">
        <v>2.7244000000000002</v>
      </c>
      <c r="E40" s="128">
        <v>2.7072137659999997</v>
      </c>
      <c r="F40" s="128">
        <v>2.7278266229999999</v>
      </c>
      <c r="G40" s="128">
        <v>2.7260507699999996</v>
      </c>
      <c r="H40" s="1458">
        <v>2.71582599122</v>
      </c>
      <c r="I40" s="1453">
        <v>2.8140077943581998</v>
      </c>
      <c r="J40" s="1081">
        <f>2746.63/1000</f>
        <v>2.7466300000000001</v>
      </c>
      <c r="K40">
        <v>2.5420400000000001</v>
      </c>
    </row>
    <row r="41" spans="1:11" ht="15" thickBot="1" x14ac:dyDescent="0.35">
      <c r="A41" s="2635"/>
      <c r="B41" s="134" t="s">
        <v>95</v>
      </c>
      <c r="C41" s="134">
        <v>1.4967999999999999</v>
      </c>
      <c r="D41" s="134">
        <v>1.5326</v>
      </c>
      <c r="E41" s="134">
        <v>1.4928999999999999</v>
      </c>
      <c r="F41" s="134">
        <v>1.502252438</v>
      </c>
      <c r="G41" s="134">
        <v>1.5093799999999999</v>
      </c>
      <c r="H41" s="1459">
        <v>1.5050163657518969</v>
      </c>
      <c r="I41" s="1454">
        <v>1.50807135744164</v>
      </c>
      <c r="J41" s="141">
        <v>1.5190600000000001</v>
      </c>
      <c r="K41">
        <v>1.5226</v>
      </c>
    </row>
    <row r="42" spans="1:11" ht="15" thickBot="1" x14ac:dyDescent="0.35">
      <c r="A42" s="2641" t="s">
        <v>382</v>
      </c>
      <c r="B42" t="s">
        <v>82</v>
      </c>
      <c r="C42" s="186"/>
      <c r="D42" s="186"/>
      <c r="E42" s="186"/>
      <c r="F42" s="186"/>
      <c r="G42" s="187">
        <v>6.9699999999999998E-2</v>
      </c>
      <c r="H42" s="188"/>
      <c r="I42" s="188"/>
      <c r="J42" s="188">
        <v>6.8000000000000005E-2</v>
      </c>
      <c r="K42">
        <v>7.0099999999999996E-2</v>
      </c>
    </row>
    <row r="43" spans="1:11" ht="15" thickBot="1" x14ac:dyDescent="0.35">
      <c r="A43" s="2642"/>
      <c r="B43" t="s">
        <v>86</v>
      </c>
      <c r="C43" s="186"/>
      <c r="D43" s="186"/>
      <c r="E43" s="186"/>
      <c r="F43" s="186"/>
      <c r="G43" s="187">
        <v>0</v>
      </c>
      <c r="H43" s="188"/>
      <c r="I43" s="188"/>
      <c r="J43" s="188"/>
    </row>
    <row r="44" spans="1:11" ht="15" thickBot="1" x14ac:dyDescent="0.35">
      <c r="A44" s="2642"/>
      <c r="B44" t="s">
        <v>88</v>
      </c>
      <c r="C44" s="186"/>
      <c r="D44" s="186"/>
      <c r="E44" s="186"/>
      <c r="F44" s="186"/>
      <c r="G44" s="187">
        <v>8.6499999999999994E-2</v>
      </c>
      <c r="H44" s="188"/>
      <c r="I44" s="188"/>
      <c r="J44" s="188">
        <v>5.7200000000000001E-2</v>
      </c>
      <c r="K44">
        <v>8.72E-2</v>
      </c>
    </row>
    <row r="45" spans="1:11" ht="15" thickBot="1" x14ac:dyDescent="0.35">
      <c r="A45" s="2642"/>
      <c r="B45" t="s">
        <v>90</v>
      </c>
      <c r="C45" s="186"/>
      <c r="D45" s="186"/>
      <c r="E45" s="186"/>
      <c r="F45" s="186"/>
      <c r="G45" s="187">
        <v>0</v>
      </c>
      <c r="H45" s="188"/>
      <c r="I45" s="188"/>
      <c r="J45" s="188"/>
    </row>
    <row r="46" spans="1:11" ht="15" thickBot="1" x14ac:dyDescent="0.35">
      <c r="A46" s="2642"/>
      <c r="B46" t="s">
        <v>92</v>
      </c>
      <c r="C46" s="186"/>
      <c r="D46" s="186"/>
      <c r="E46" s="186"/>
      <c r="F46" s="186"/>
      <c r="G46" s="187">
        <v>0</v>
      </c>
      <c r="H46" s="188"/>
      <c r="I46" s="188"/>
      <c r="J46" s="188"/>
    </row>
    <row r="47" spans="1:11" ht="15" thickBot="1" x14ac:dyDescent="0.35">
      <c r="A47" s="2643"/>
      <c r="B47" t="s">
        <v>95</v>
      </c>
      <c r="C47" s="186"/>
      <c r="D47" s="186"/>
      <c r="E47" s="186"/>
      <c r="F47" s="186"/>
      <c r="G47" s="187">
        <v>0</v>
      </c>
      <c r="H47" s="188"/>
      <c r="I47" s="188"/>
      <c r="J47" s="188"/>
    </row>
    <row r="48" spans="1:11" x14ac:dyDescent="0.3">
      <c r="A48" s="2633" t="s">
        <v>84</v>
      </c>
      <c r="B48" s="130" t="s">
        <v>85</v>
      </c>
      <c r="C48" s="130">
        <v>0.182</v>
      </c>
      <c r="D48" s="130">
        <v>0.16522000000000001</v>
      </c>
      <c r="E48" s="130">
        <v>0.16192000000000001</v>
      </c>
      <c r="F48" s="130">
        <v>0.16061</v>
      </c>
      <c r="G48" s="130">
        <v>0.15859000000000001</v>
      </c>
      <c r="H48" s="1461">
        <v>0.16027</v>
      </c>
      <c r="I48" s="1460">
        <v>0.15648999999999999</v>
      </c>
      <c r="J48" s="139">
        <v>0.15565000000000001</v>
      </c>
      <c r="K48">
        <v>0.15371000000000001</v>
      </c>
    </row>
    <row r="49" spans="1:11" x14ac:dyDescent="0.3">
      <c r="A49" s="2634"/>
      <c r="B49" s="128" t="s">
        <v>87</v>
      </c>
      <c r="C49" s="128">
        <v>0.21493000000000001</v>
      </c>
      <c r="D49" s="128">
        <v>0.20765</v>
      </c>
      <c r="E49" s="128">
        <v>0.2049</v>
      </c>
      <c r="F49" s="128">
        <v>0.20088</v>
      </c>
      <c r="G49" s="128">
        <v>0.19930999999999999</v>
      </c>
      <c r="H49" s="1457">
        <v>0.20032999999999998</v>
      </c>
      <c r="I49" s="1452">
        <v>0.19489999999999999</v>
      </c>
      <c r="J49" s="140">
        <v>0.19386</v>
      </c>
      <c r="K49">
        <v>0.19228000000000001</v>
      </c>
    </row>
    <row r="50" spans="1:11" x14ac:dyDescent="0.3">
      <c r="A50" s="2634"/>
      <c r="B50" s="128" t="s">
        <v>89</v>
      </c>
      <c r="C50" s="128">
        <v>0.29762</v>
      </c>
      <c r="D50" s="128">
        <v>0.29793999999999998</v>
      </c>
      <c r="E50" s="128">
        <v>0.29677999999999999</v>
      </c>
      <c r="F50" s="128">
        <v>0.29014000000000001</v>
      </c>
      <c r="G50" s="128">
        <v>0.29074</v>
      </c>
      <c r="H50" s="1457">
        <v>0.29461000000000004</v>
      </c>
      <c r="I50" s="1452">
        <v>0.28538999999999998</v>
      </c>
      <c r="J50" s="140">
        <v>0.28410999999999997</v>
      </c>
      <c r="K50">
        <v>0.28294999999999998</v>
      </c>
    </row>
    <row r="51" spans="1:11" x14ac:dyDescent="0.3">
      <c r="A51" s="2634"/>
      <c r="B51" s="128" t="s">
        <v>91</v>
      </c>
      <c r="C51" s="128">
        <v>0.20780999999999999</v>
      </c>
      <c r="D51" s="128">
        <v>0.20188</v>
      </c>
      <c r="E51" s="128">
        <v>0.19811000000000001</v>
      </c>
      <c r="F51" s="128">
        <v>0.19388</v>
      </c>
      <c r="G51" s="128">
        <v>0.19126000000000001</v>
      </c>
      <c r="H51" s="1457">
        <v>0.19183999999999998</v>
      </c>
      <c r="I51" s="1452">
        <v>0.18568000000000001</v>
      </c>
      <c r="J51" s="140">
        <v>0.18368000000000001</v>
      </c>
      <c r="K51">
        <v>0.18084</v>
      </c>
    </row>
    <row r="52" spans="1:11" x14ac:dyDescent="0.3">
      <c r="A52" s="2634"/>
      <c r="B52" s="128" t="s">
        <v>94</v>
      </c>
      <c r="C52" s="128">
        <v>0.15276999999999999</v>
      </c>
      <c r="D52" s="128">
        <v>0.14297000000000001</v>
      </c>
      <c r="E52" s="128">
        <v>0.14047999999999999</v>
      </c>
      <c r="F52" s="128">
        <v>0.14701</v>
      </c>
      <c r="G52" s="128">
        <v>0.14366999999999999</v>
      </c>
      <c r="H52" s="1457">
        <v>0.14674999999999999</v>
      </c>
      <c r="I52" s="1452">
        <v>0.14545</v>
      </c>
      <c r="J52" s="140">
        <v>0.14532999999999999</v>
      </c>
      <c r="K52">
        <v>0.14208000000000001</v>
      </c>
    </row>
    <row r="53" spans="1:11" x14ac:dyDescent="0.3">
      <c r="A53" s="2634"/>
      <c r="B53" s="128" t="s">
        <v>96</v>
      </c>
      <c r="C53" s="128">
        <v>0.18939</v>
      </c>
      <c r="D53" s="128">
        <v>0.17755000000000001</v>
      </c>
      <c r="E53" s="128">
        <v>0.17474999999999999</v>
      </c>
      <c r="F53" s="128">
        <v>0.1772</v>
      </c>
      <c r="G53" s="128">
        <v>0.17560999999999999</v>
      </c>
      <c r="H53" s="1457">
        <v>0.17741000000000001</v>
      </c>
      <c r="I53" s="1452">
        <v>0.17380000000000001</v>
      </c>
      <c r="J53" s="140">
        <v>0.17352999999999999</v>
      </c>
      <c r="K53">
        <v>0.17061000000000001</v>
      </c>
    </row>
    <row r="54" spans="1:11" x14ac:dyDescent="0.3">
      <c r="A54" s="2634"/>
      <c r="B54" s="128" t="s">
        <v>97</v>
      </c>
      <c r="C54" s="128">
        <v>0.25762000000000002</v>
      </c>
      <c r="D54" s="128">
        <v>0.23563000000000001</v>
      </c>
      <c r="E54" s="128">
        <v>0.22941</v>
      </c>
      <c r="F54" s="128">
        <v>0.23049</v>
      </c>
      <c r="G54" s="128">
        <v>0.22520000000000001</v>
      </c>
      <c r="H54" s="1457">
        <v>0.22473000000000001</v>
      </c>
      <c r="I54" s="1452">
        <v>0.21834000000000001</v>
      </c>
      <c r="J54" s="140">
        <v>0.2152</v>
      </c>
      <c r="K54">
        <v>0.20946999999999999</v>
      </c>
    </row>
    <row r="55" spans="1:11" x14ac:dyDescent="0.3">
      <c r="A55" s="2634"/>
      <c r="B55" s="128" t="s">
        <v>98</v>
      </c>
      <c r="C55" s="128">
        <v>0.19835</v>
      </c>
      <c r="D55" s="128">
        <v>0.18701999999999999</v>
      </c>
      <c r="E55" s="128">
        <v>0.18321999999999999</v>
      </c>
      <c r="F55" s="128">
        <v>0.18546000000000001</v>
      </c>
      <c r="G55" s="128">
        <v>0.18232000000000001</v>
      </c>
      <c r="H55" s="1457">
        <v>0.18307000000000001</v>
      </c>
      <c r="I55" s="1452">
        <v>0.17887</v>
      </c>
      <c r="J55" s="140">
        <v>0.17752999999999999</v>
      </c>
      <c r="K55">
        <v>0.17335999999999999</v>
      </c>
    </row>
    <row r="56" spans="1:11" x14ac:dyDescent="0.3">
      <c r="A56" s="2634"/>
      <c r="B56" s="128" t="s">
        <v>99</v>
      </c>
      <c r="C56" s="128">
        <v>0.12820999999999999</v>
      </c>
      <c r="D56" s="128">
        <v>0.11654</v>
      </c>
      <c r="E56" s="128">
        <v>0.11472</v>
      </c>
      <c r="F56" s="128">
        <v>0.11965000000000001</v>
      </c>
      <c r="G56" s="128">
        <v>0.1177</v>
      </c>
      <c r="H56" s="1457">
        <v>0.12046999999999999</v>
      </c>
      <c r="I56" s="1452">
        <v>0.11243</v>
      </c>
      <c r="J56" s="140">
        <v>0.11538000000000001</v>
      </c>
      <c r="K56">
        <v>0.10895000000000001</v>
      </c>
    </row>
    <row r="57" spans="1:11" x14ac:dyDescent="0.3">
      <c r="A57" s="2634"/>
      <c r="B57" s="128" t="s">
        <v>100</v>
      </c>
      <c r="C57" s="128">
        <v>0.22600999999999999</v>
      </c>
      <c r="D57" s="128">
        <v>0.20666999999999999</v>
      </c>
      <c r="E57" s="128">
        <v>0.20300000000000001</v>
      </c>
      <c r="F57" s="128">
        <v>0.19841</v>
      </c>
      <c r="G57" s="128">
        <v>0.17412</v>
      </c>
      <c r="H57" s="1457">
        <v>0.17862</v>
      </c>
      <c r="I57" s="1452">
        <v>0.13052</v>
      </c>
      <c r="J57" s="140">
        <v>0.16133999999999998</v>
      </c>
      <c r="K57">
        <v>0.13177</v>
      </c>
    </row>
    <row r="58" spans="1:11" x14ac:dyDescent="0.3">
      <c r="A58" s="2634"/>
      <c r="B58" s="128" t="s">
        <v>529</v>
      </c>
      <c r="C58" s="128">
        <v>0.22452</v>
      </c>
      <c r="D58" s="128">
        <v>0.21471999999999999</v>
      </c>
      <c r="E58" s="128">
        <v>0.21212</v>
      </c>
      <c r="F58" s="128">
        <v>0.20881</v>
      </c>
      <c r="G58" s="128">
        <v>0.20785000000000001</v>
      </c>
      <c r="H58" s="1457">
        <v>0.20077</v>
      </c>
      <c r="I58" s="1452">
        <v>0.20105000000000001</v>
      </c>
      <c r="J58" s="140">
        <v>0.20021999999999998</v>
      </c>
      <c r="K58">
        <v>0.19900999999999999</v>
      </c>
    </row>
    <row r="59" spans="1:11" x14ac:dyDescent="0.3">
      <c r="A59" s="2634"/>
      <c r="B59" s="128" t="s">
        <v>102</v>
      </c>
      <c r="C59" s="128">
        <v>0.20487</v>
      </c>
      <c r="D59" s="128">
        <v>0.19469</v>
      </c>
      <c r="E59" s="128">
        <v>0.19023000000000001</v>
      </c>
      <c r="F59" s="128">
        <v>0.18942999999999999</v>
      </c>
      <c r="G59" s="128">
        <v>0.18634999999999999</v>
      </c>
      <c r="H59" s="1457">
        <v>0.18694999999999998</v>
      </c>
      <c r="I59" s="1452">
        <v>0.18242</v>
      </c>
      <c r="J59" s="140">
        <v>0.18064</v>
      </c>
      <c r="K59">
        <v>0.17710000000000001</v>
      </c>
    </row>
    <row r="60" spans="1:11" x14ac:dyDescent="0.3">
      <c r="A60" s="2634"/>
      <c r="B60" s="128" t="s">
        <v>103</v>
      </c>
      <c r="C60" s="128">
        <v>8.7400000000000005E-2</v>
      </c>
      <c r="D60" s="128">
        <v>8.7720000000000006E-2</v>
      </c>
      <c r="E60" s="128">
        <v>8.7739999999999999E-2</v>
      </c>
      <c r="F60" s="128">
        <v>8.7730000000000002E-2</v>
      </c>
      <c r="G60" s="128">
        <v>8.8139999999999996E-2</v>
      </c>
      <c r="H60" s="1457">
        <v>8.7359999999999993E-2</v>
      </c>
      <c r="I60" s="1452">
        <v>8.4739999999999996E-2</v>
      </c>
      <c r="J60" s="140">
        <v>8.4629999999999997E-2</v>
      </c>
      <c r="K60">
        <v>8.4449999999999997E-2</v>
      </c>
    </row>
    <row r="61" spans="1:11" x14ac:dyDescent="0.3">
      <c r="A61" s="2634"/>
      <c r="B61" s="128" t="s">
        <v>104</v>
      </c>
      <c r="C61" s="128">
        <v>0.10569000000000001</v>
      </c>
      <c r="D61" s="128">
        <v>0.10641</v>
      </c>
      <c r="E61" s="128">
        <v>0.10628</v>
      </c>
      <c r="F61" s="128">
        <v>0.10627</v>
      </c>
      <c r="G61" s="128">
        <v>0.10644000000000001</v>
      </c>
      <c r="H61" s="1457">
        <v>0.10642</v>
      </c>
      <c r="I61" s="1452">
        <v>0.10323</v>
      </c>
      <c r="J61" s="140">
        <v>0.10310000000000001</v>
      </c>
      <c r="K61">
        <v>0.10289</v>
      </c>
    </row>
    <row r="62" spans="1:11" x14ac:dyDescent="0.3">
      <c r="A62" s="2634"/>
      <c r="B62" s="128" t="s">
        <v>105</v>
      </c>
      <c r="C62" s="128">
        <v>0.13977000000000001</v>
      </c>
      <c r="D62" s="128">
        <v>0.13980999999999999</v>
      </c>
      <c r="E62" s="128">
        <v>0.13969000000000001</v>
      </c>
      <c r="F62" s="128">
        <v>0.13969000000000001</v>
      </c>
      <c r="G62" s="128">
        <v>0.13977000000000001</v>
      </c>
      <c r="H62" s="1457">
        <v>0.13963</v>
      </c>
      <c r="I62" s="1452">
        <v>0.13542000000000001</v>
      </c>
      <c r="J62" s="140">
        <v>0.13528000000000001</v>
      </c>
      <c r="K62">
        <v>0.13500999999999999</v>
      </c>
    </row>
    <row r="63" spans="1:11" x14ac:dyDescent="0.3">
      <c r="A63" s="2634"/>
      <c r="B63" s="128" t="s">
        <v>106</v>
      </c>
      <c r="C63" s="128">
        <v>0.11856</v>
      </c>
      <c r="D63" s="128">
        <v>0.11903</v>
      </c>
      <c r="E63" s="128">
        <v>0.11891</v>
      </c>
      <c r="F63" s="128">
        <v>0.11955</v>
      </c>
      <c r="G63" s="128">
        <v>0.11966</v>
      </c>
      <c r="H63" s="1457">
        <v>0.11978</v>
      </c>
      <c r="I63" s="1452">
        <v>0.11662</v>
      </c>
      <c r="J63" s="140">
        <v>0.11528999999999999</v>
      </c>
      <c r="K63">
        <v>0.11551</v>
      </c>
    </row>
    <row r="64" spans="1:11" x14ac:dyDescent="0.3">
      <c r="A64" s="2634"/>
      <c r="B64" s="1466" t="s">
        <v>107</v>
      </c>
      <c r="C64" s="1466"/>
      <c r="D64" s="1466"/>
      <c r="E64" s="1466"/>
      <c r="F64" s="1466"/>
      <c r="G64" s="1466"/>
      <c r="H64" s="1467"/>
      <c r="I64" s="1468"/>
      <c r="J64" s="1464"/>
    </row>
    <row r="65" spans="1:11" x14ac:dyDescent="0.3">
      <c r="A65" s="2634"/>
      <c r="B65" s="1466" t="s">
        <v>108</v>
      </c>
      <c r="C65" s="1466"/>
      <c r="D65" s="1466"/>
      <c r="E65" s="1466"/>
      <c r="F65" s="1466"/>
      <c r="G65" s="1466"/>
      <c r="H65" s="1467"/>
      <c r="I65" s="1468"/>
      <c r="J65" s="1464"/>
    </row>
    <row r="66" spans="1:11" ht="15" thickBot="1" x14ac:dyDescent="0.35">
      <c r="A66" s="2635"/>
      <c r="B66" s="1473" t="s">
        <v>109</v>
      </c>
      <c r="C66" s="1473"/>
      <c r="D66" s="1473"/>
      <c r="E66" s="1473"/>
      <c r="F66" s="1473"/>
      <c r="G66" s="1473"/>
      <c r="H66" s="1474"/>
      <c r="I66" s="1475"/>
      <c r="J66" s="1476"/>
    </row>
    <row r="67" spans="1:11" ht="15" thickBot="1" x14ac:dyDescent="0.35">
      <c r="J67" s="126"/>
    </row>
    <row r="68" spans="1:11" x14ac:dyDescent="0.3">
      <c r="A68" s="2633" t="s">
        <v>111</v>
      </c>
      <c r="B68" s="130" t="s">
        <v>85</v>
      </c>
      <c r="C68" s="130">
        <v>0.182</v>
      </c>
      <c r="D68" s="130">
        <v>0.16522000000000001</v>
      </c>
      <c r="E68" s="130">
        <v>0.16192000000000001</v>
      </c>
      <c r="F68" s="130">
        <v>0.16061</v>
      </c>
      <c r="G68" s="130">
        <v>0.15859000000000001</v>
      </c>
      <c r="H68" s="1463">
        <v>0.16027</v>
      </c>
      <c r="I68" s="1462">
        <v>0.15648999999999999</v>
      </c>
      <c r="J68" s="142">
        <f>J48</f>
        <v>0.15565000000000001</v>
      </c>
      <c r="K68">
        <v>0.15371000000000001</v>
      </c>
    </row>
    <row r="69" spans="1:11" x14ac:dyDescent="0.3">
      <c r="A69" s="2634"/>
      <c r="B69" s="128" t="s">
        <v>87</v>
      </c>
      <c r="C69" s="128">
        <v>0.21493000000000001</v>
      </c>
      <c r="D69" s="128">
        <v>0.20765</v>
      </c>
      <c r="E69" s="128">
        <v>0.2049</v>
      </c>
      <c r="F69" s="128">
        <v>0.20088</v>
      </c>
      <c r="G69" s="128">
        <v>0.19930999999999999</v>
      </c>
      <c r="H69" s="1448">
        <v>0.20032999999999998</v>
      </c>
      <c r="I69" s="1443">
        <v>0.19489999999999999</v>
      </c>
      <c r="J69" s="133">
        <f t="shared" ref="J69:J83" si="1">J49</f>
        <v>0.19386</v>
      </c>
      <c r="K69">
        <v>0.19228000000000001</v>
      </c>
    </row>
    <row r="70" spans="1:11" x14ac:dyDescent="0.3">
      <c r="A70" s="2634"/>
      <c r="B70" s="128" t="s">
        <v>89</v>
      </c>
      <c r="C70" s="128">
        <v>0.29762</v>
      </c>
      <c r="D70" s="128">
        <v>0.29793999999999998</v>
      </c>
      <c r="E70" s="128">
        <v>0.29677999999999999</v>
      </c>
      <c r="F70" s="128">
        <v>0.29014000000000001</v>
      </c>
      <c r="G70" s="128">
        <v>0.29074</v>
      </c>
      <c r="H70" s="1448">
        <v>0.29461000000000004</v>
      </c>
      <c r="I70" s="1443">
        <v>0.28538999999999998</v>
      </c>
      <c r="J70" s="133">
        <f t="shared" si="1"/>
        <v>0.28410999999999997</v>
      </c>
      <c r="K70">
        <v>0.28294999999999998</v>
      </c>
    </row>
    <row r="71" spans="1:11" x14ac:dyDescent="0.3">
      <c r="A71" s="2634"/>
      <c r="B71" s="128" t="s">
        <v>91</v>
      </c>
      <c r="C71" s="128">
        <v>0.20780999999999999</v>
      </c>
      <c r="D71" s="128">
        <v>0.20188</v>
      </c>
      <c r="E71" s="128">
        <v>0.19811000000000001</v>
      </c>
      <c r="F71" s="128">
        <v>0.19388</v>
      </c>
      <c r="G71" s="128">
        <v>0.19126000000000001</v>
      </c>
      <c r="H71" s="1448">
        <v>0.19183999999999998</v>
      </c>
      <c r="I71" s="1443">
        <v>0.18568000000000001</v>
      </c>
      <c r="J71" s="133">
        <f t="shared" si="1"/>
        <v>0.18368000000000001</v>
      </c>
      <c r="K71">
        <v>0.18084</v>
      </c>
    </row>
    <row r="72" spans="1:11" x14ac:dyDescent="0.3">
      <c r="A72" s="2634"/>
      <c r="B72" s="128" t="s">
        <v>94</v>
      </c>
      <c r="C72" s="128">
        <v>0.15276999999999999</v>
      </c>
      <c r="D72" s="128">
        <v>0.14297000000000001</v>
      </c>
      <c r="E72" s="128">
        <v>0.14047999999999999</v>
      </c>
      <c r="F72" s="128">
        <v>0.14701</v>
      </c>
      <c r="G72" s="128">
        <v>0.14366999999999999</v>
      </c>
      <c r="H72" s="1448">
        <v>0.14674999999999999</v>
      </c>
      <c r="I72" s="1443">
        <v>0.14545</v>
      </c>
      <c r="J72" s="133">
        <f t="shared" si="1"/>
        <v>0.14532999999999999</v>
      </c>
      <c r="K72">
        <v>0.14208000000000001</v>
      </c>
    </row>
    <row r="73" spans="1:11" x14ac:dyDescent="0.3">
      <c r="A73" s="2634"/>
      <c r="B73" s="128" t="s">
        <v>96</v>
      </c>
      <c r="C73" s="128">
        <v>0.18939</v>
      </c>
      <c r="D73" s="128">
        <v>0.17755000000000001</v>
      </c>
      <c r="E73" s="128">
        <v>0.17474999999999999</v>
      </c>
      <c r="F73" s="128">
        <v>0.1772</v>
      </c>
      <c r="G73" s="128">
        <v>0.17560999999999999</v>
      </c>
      <c r="H73" s="1448">
        <v>0.17741000000000001</v>
      </c>
      <c r="I73" s="1443">
        <v>0.17380000000000001</v>
      </c>
      <c r="J73" s="133">
        <f t="shared" si="1"/>
        <v>0.17352999999999999</v>
      </c>
      <c r="K73">
        <v>0.17061000000000001</v>
      </c>
    </row>
    <row r="74" spans="1:11" x14ac:dyDescent="0.3">
      <c r="A74" s="2634"/>
      <c r="B74" s="128" t="s">
        <v>97</v>
      </c>
      <c r="C74" s="128">
        <v>0.25762000000000002</v>
      </c>
      <c r="D74" s="128">
        <v>0.23563000000000001</v>
      </c>
      <c r="E74" s="128">
        <v>0.22941</v>
      </c>
      <c r="F74" s="128">
        <v>0.23049</v>
      </c>
      <c r="G74" s="128">
        <v>0.22520000000000001</v>
      </c>
      <c r="H74" s="1448">
        <v>0.22473000000000001</v>
      </c>
      <c r="I74" s="1443">
        <v>0.21834000000000001</v>
      </c>
      <c r="J74" s="133">
        <f t="shared" si="1"/>
        <v>0.2152</v>
      </c>
      <c r="K74">
        <v>0.20946999999999999</v>
      </c>
    </row>
    <row r="75" spans="1:11" x14ac:dyDescent="0.3">
      <c r="A75" s="2634"/>
      <c r="B75" s="128" t="s">
        <v>98</v>
      </c>
      <c r="C75" s="128">
        <v>0.19835</v>
      </c>
      <c r="D75" s="128">
        <v>0.18701999999999999</v>
      </c>
      <c r="E75" s="128">
        <v>0.18321999999999999</v>
      </c>
      <c r="F75" s="128">
        <v>0.18546000000000001</v>
      </c>
      <c r="G75" s="128">
        <v>0.18232000000000001</v>
      </c>
      <c r="H75" s="1448">
        <v>0.18307000000000001</v>
      </c>
      <c r="I75" s="1443">
        <v>0.17887</v>
      </c>
      <c r="J75" s="133">
        <f t="shared" si="1"/>
        <v>0.17752999999999999</v>
      </c>
      <c r="K75">
        <v>0.17335999999999999</v>
      </c>
    </row>
    <row r="76" spans="1:11" x14ac:dyDescent="0.3">
      <c r="A76" s="2634"/>
      <c r="B76" s="128" t="s">
        <v>99</v>
      </c>
      <c r="C76" s="128">
        <v>0.12820999999999999</v>
      </c>
      <c r="D76" s="128">
        <v>0.11654</v>
      </c>
      <c r="E76" s="128">
        <v>0.11472</v>
      </c>
      <c r="F76" s="128">
        <v>0.11965000000000001</v>
      </c>
      <c r="G76" s="128">
        <v>0.1177</v>
      </c>
      <c r="H76" s="1448">
        <v>0.12046999999999999</v>
      </c>
      <c r="I76" s="1443">
        <v>0.11243</v>
      </c>
      <c r="J76" s="133">
        <f t="shared" si="1"/>
        <v>0.11538000000000001</v>
      </c>
      <c r="K76">
        <v>0.10895000000000001</v>
      </c>
    </row>
    <row r="77" spans="1:11" x14ac:dyDescent="0.3">
      <c r="A77" s="2634"/>
      <c r="B77" s="128" t="s">
        <v>100</v>
      </c>
      <c r="C77" s="128">
        <v>0.22600999999999999</v>
      </c>
      <c r="D77" s="128">
        <v>0.20666999999999999</v>
      </c>
      <c r="E77" s="128">
        <v>0.20300000000000001</v>
      </c>
      <c r="F77" s="128">
        <v>0.19841</v>
      </c>
      <c r="G77" s="128">
        <v>0.17412</v>
      </c>
      <c r="H77" s="1448">
        <v>0.17862</v>
      </c>
      <c r="I77" s="1443">
        <v>0.13052</v>
      </c>
      <c r="J77" s="133">
        <f t="shared" si="1"/>
        <v>0.16133999999999998</v>
      </c>
      <c r="K77">
        <v>0.13177</v>
      </c>
    </row>
    <row r="78" spans="1:11" x14ac:dyDescent="0.3">
      <c r="A78" s="2634"/>
      <c r="B78" s="128" t="s">
        <v>529</v>
      </c>
      <c r="C78" s="128">
        <v>0.22452</v>
      </c>
      <c r="D78" s="128">
        <v>0.21471999999999999</v>
      </c>
      <c r="E78" s="128">
        <v>0.21212</v>
      </c>
      <c r="F78" s="128">
        <v>0.20881</v>
      </c>
      <c r="G78" s="128">
        <v>0.20785000000000001</v>
      </c>
      <c r="H78" s="1448">
        <v>0.20077</v>
      </c>
      <c r="I78" s="1443">
        <v>0.20105000000000001</v>
      </c>
      <c r="J78" s="133">
        <f t="shared" si="1"/>
        <v>0.20021999999999998</v>
      </c>
      <c r="K78">
        <v>0.19900999999999999</v>
      </c>
    </row>
    <row r="79" spans="1:11" x14ac:dyDescent="0.3">
      <c r="A79" s="2634"/>
      <c r="B79" s="128" t="s">
        <v>102</v>
      </c>
      <c r="C79" s="128">
        <v>0.20487</v>
      </c>
      <c r="D79" s="128">
        <v>0.19469</v>
      </c>
      <c r="E79" s="128">
        <v>0.19023000000000001</v>
      </c>
      <c r="F79" s="128">
        <v>0.18942999999999999</v>
      </c>
      <c r="G79" s="128">
        <v>0.18634999999999999</v>
      </c>
      <c r="H79" s="1448">
        <v>0.18694999999999998</v>
      </c>
      <c r="I79" s="1443">
        <v>0.18242</v>
      </c>
      <c r="J79" s="133">
        <f t="shared" si="1"/>
        <v>0.18064</v>
      </c>
      <c r="K79">
        <v>0.17710000000000001</v>
      </c>
    </row>
    <row r="80" spans="1:11" x14ac:dyDescent="0.3">
      <c r="A80" s="2634"/>
      <c r="B80" s="128" t="s">
        <v>103</v>
      </c>
      <c r="C80" s="128">
        <v>8.7400000000000005E-2</v>
      </c>
      <c r="D80" s="128">
        <v>8.7720000000000006E-2</v>
      </c>
      <c r="E80" s="128">
        <v>8.7739999999999999E-2</v>
      </c>
      <c r="F80" s="128">
        <v>8.7730000000000002E-2</v>
      </c>
      <c r="G80" s="128">
        <v>8.8139999999999996E-2</v>
      </c>
      <c r="H80" s="1448">
        <v>8.7359999999999993E-2</v>
      </c>
      <c r="I80" s="1443">
        <v>8.4739999999999996E-2</v>
      </c>
      <c r="J80" s="133">
        <f t="shared" si="1"/>
        <v>8.4629999999999997E-2</v>
      </c>
      <c r="K80">
        <v>8.4449999999999997E-2</v>
      </c>
    </row>
    <row r="81" spans="1:11" x14ac:dyDescent="0.3">
      <c r="A81" s="2634"/>
      <c r="B81" s="128" t="s">
        <v>104</v>
      </c>
      <c r="C81" s="128">
        <v>0.10569000000000001</v>
      </c>
      <c r="D81" s="128">
        <v>0.10641</v>
      </c>
      <c r="E81" s="128">
        <v>0.10628</v>
      </c>
      <c r="F81" s="128">
        <v>0.10627</v>
      </c>
      <c r="G81" s="128">
        <v>0.10644000000000001</v>
      </c>
      <c r="H81" s="1448">
        <v>0.10642</v>
      </c>
      <c r="I81" s="1443">
        <v>0.10323</v>
      </c>
      <c r="J81" s="133">
        <f t="shared" si="1"/>
        <v>0.10310000000000001</v>
      </c>
      <c r="K81">
        <v>0.10289</v>
      </c>
    </row>
    <row r="82" spans="1:11" x14ac:dyDescent="0.3">
      <c r="A82" s="2634"/>
      <c r="B82" s="128" t="s">
        <v>105</v>
      </c>
      <c r="C82" s="128">
        <v>0.13977000000000001</v>
      </c>
      <c r="D82" s="128">
        <v>0.13980999999999999</v>
      </c>
      <c r="E82" s="128">
        <v>0.13969000000000001</v>
      </c>
      <c r="F82" s="128">
        <v>0.13969000000000001</v>
      </c>
      <c r="G82" s="128">
        <v>0.13977000000000001</v>
      </c>
      <c r="H82" s="1448">
        <v>0.13963</v>
      </c>
      <c r="I82" s="1443">
        <v>0.13542000000000001</v>
      </c>
      <c r="J82" s="133">
        <f t="shared" si="1"/>
        <v>0.13528000000000001</v>
      </c>
      <c r="K82">
        <v>0.13500999999999999</v>
      </c>
    </row>
    <row r="83" spans="1:11" x14ac:dyDescent="0.3">
      <c r="A83" s="2634"/>
      <c r="B83" s="128" t="s">
        <v>106</v>
      </c>
      <c r="C83" s="128">
        <v>0.11856</v>
      </c>
      <c r="D83" s="128">
        <v>0.11903</v>
      </c>
      <c r="E83" s="128">
        <v>0.11891</v>
      </c>
      <c r="F83" s="128">
        <v>0.11955</v>
      </c>
      <c r="G83" s="128">
        <v>0.11966</v>
      </c>
      <c r="H83" s="1448">
        <v>0.11978</v>
      </c>
      <c r="I83" s="1443">
        <v>0.11662</v>
      </c>
      <c r="J83" s="133">
        <f t="shared" si="1"/>
        <v>0.11528999999999999</v>
      </c>
      <c r="K83">
        <v>0.11551</v>
      </c>
    </row>
    <row r="84" spans="1:11" x14ac:dyDescent="0.3">
      <c r="A84" s="2634"/>
      <c r="B84" s="1466" t="s">
        <v>107</v>
      </c>
      <c r="C84" s="1466"/>
      <c r="D84" s="1466"/>
      <c r="E84" s="1466"/>
      <c r="F84" s="1466"/>
      <c r="G84" s="1466"/>
      <c r="H84" s="1467"/>
      <c r="I84" s="1468"/>
      <c r="J84" s="1464"/>
    </row>
    <row r="85" spans="1:11" x14ac:dyDescent="0.3">
      <c r="A85" s="2634"/>
      <c r="B85" s="1466" t="s">
        <v>108</v>
      </c>
      <c r="C85" s="1466"/>
      <c r="D85" s="1466"/>
      <c r="E85" s="1466"/>
      <c r="F85" s="1466"/>
      <c r="G85" s="1466"/>
      <c r="H85" s="1467"/>
      <c r="I85" s="1468"/>
      <c r="J85" s="1464"/>
    </row>
    <row r="86" spans="1:11" ht="15" thickBot="1" x14ac:dyDescent="0.35">
      <c r="A86" s="2635"/>
      <c r="B86" s="1473" t="s">
        <v>109</v>
      </c>
      <c r="C86" s="1473"/>
      <c r="D86" s="1473"/>
      <c r="E86" s="1473"/>
      <c r="F86" s="1473"/>
      <c r="G86" s="1473"/>
      <c r="H86" s="1474"/>
      <c r="I86" s="1475"/>
      <c r="J86" s="1476"/>
    </row>
    <row r="87" spans="1:11" ht="15" thickBot="1" x14ac:dyDescent="0.35">
      <c r="J87" s="126"/>
    </row>
    <row r="88" spans="1:11" x14ac:dyDescent="0.3">
      <c r="A88" s="2636" t="s">
        <v>113</v>
      </c>
      <c r="B88" s="130" t="s">
        <v>114</v>
      </c>
      <c r="C88" s="130">
        <v>0.18838469999999999</v>
      </c>
      <c r="D88" s="130">
        <v>0.18186649999999999</v>
      </c>
      <c r="E88" s="130">
        <v>0.17275679999999999</v>
      </c>
      <c r="F88" s="130">
        <v>0.15504000000000001</v>
      </c>
      <c r="G88" s="130">
        <v>0.15756999999999999</v>
      </c>
      <c r="H88" s="1461">
        <v>0.14734999999999998</v>
      </c>
      <c r="I88" s="1460">
        <v>0.14141000000000001</v>
      </c>
      <c r="J88" s="139">
        <v>0.15777000000000002</v>
      </c>
      <c r="K88">
        <v>0.13483000000000001</v>
      </c>
    </row>
    <row r="89" spans="1:11" x14ac:dyDescent="0.3">
      <c r="A89" s="2637"/>
      <c r="B89" s="128" t="s">
        <v>115</v>
      </c>
      <c r="C89" s="128">
        <v>6.1129999999999997E-2</v>
      </c>
      <c r="D89" s="128">
        <v>5.8180000000000003E-2</v>
      </c>
      <c r="E89" s="128">
        <v>4.904E-2</v>
      </c>
      <c r="F89" s="128">
        <v>4.7379999999999999E-2</v>
      </c>
      <c r="G89" s="128">
        <v>4.5057182000000001E-2</v>
      </c>
      <c r="H89" s="1457">
        <v>4.8849999999999998E-2</v>
      </c>
      <c r="I89" s="1452">
        <v>4.6780000000000002E-2</v>
      </c>
      <c r="J89" s="140">
        <v>4.4239999999999995E-2</v>
      </c>
      <c r="K89">
        <v>4.1149999999999999E-2</v>
      </c>
    </row>
    <row r="90" spans="1:11" x14ac:dyDescent="0.3">
      <c r="A90" s="2637"/>
      <c r="B90" s="128" t="s">
        <v>116</v>
      </c>
      <c r="C90" s="128">
        <v>8.3979999999999999E-2</v>
      </c>
      <c r="D90" s="128">
        <v>6.7530000000000007E-2</v>
      </c>
      <c r="E90" s="128">
        <v>6.0060000000000002E-2</v>
      </c>
      <c r="F90" s="128">
        <v>6.1679999999999999E-2</v>
      </c>
      <c r="G90" s="128">
        <v>5.4609999999999999E-2</v>
      </c>
      <c r="H90" s="1457">
        <v>5.3630000000000004E-2</v>
      </c>
      <c r="I90" s="1452">
        <v>4.446E-2</v>
      </c>
      <c r="J90" s="140">
        <v>3.9670000000000004E-2</v>
      </c>
      <c r="K90">
        <v>3.508E-2</v>
      </c>
    </row>
    <row r="91" spans="1:11" x14ac:dyDescent="0.3">
      <c r="A91" s="2637"/>
      <c r="B91" s="128" t="s">
        <v>117</v>
      </c>
      <c r="C91" s="128">
        <v>7.8560000000000005E-2</v>
      </c>
      <c r="D91" s="128">
        <v>7.1900000000000006E-2</v>
      </c>
      <c r="E91" s="128">
        <v>6.361E-2</v>
      </c>
      <c r="F91" s="128">
        <v>6.3119999999999996E-2</v>
      </c>
      <c r="G91" s="128">
        <v>5.6309999999999999E-2</v>
      </c>
      <c r="H91" s="1457">
        <v>5.7889999999999997E-2</v>
      </c>
      <c r="I91" s="1452">
        <v>4.6739999999999997E-2</v>
      </c>
      <c r="J91" s="140">
        <v>3.7600000000000001E-2</v>
      </c>
      <c r="K91">
        <v>3.0839999999999999E-2</v>
      </c>
    </row>
    <row r="92" spans="1:11" x14ac:dyDescent="0.3">
      <c r="A92" s="2637"/>
      <c r="B92" s="128" t="s">
        <v>118</v>
      </c>
      <c r="C92" s="128">
        <v>0.15964999999999999</v>
      </c>
      <c r="D92" s="128">
        <v>0.14756428599999999</v>
      </c>
      <c r="E92" s="128">
        <v>0.14434285699999999</v>
      </c>
      <c r="F92" s="128">
        <v>0.17755000000000001</v>
      </c>
      <c r="G92" s="128">
        <v>0.174807143</v>
      </c>
      <c r="H92" s="1457">
        <v>0.16286</v>
      </c>
      <c r="I92" s="1452">
        <v>0.15617</v>
      </c>
      <c r="J92" s="140">
        <v>0.15343999999999999</v>
      </c>
      <c r="K92">
        <v>0.15018000000000001</v>
      </c>
    </row>
    <row r="93" spans="1:11" x14ac:dyDescent="0.3">
      <c r="A93" s="2637"/>
      <c r="B93" s="128" t="s">
        <v>119</v>
      </c>
      <c r="C93" s="128">
        <v>0.17175000000000001</v>
      </c>
      <c r="D93" s="128">
        <v>0.15708666700000001</v>
      </c>
      <c r="E93" s="128">
        <v>0.15293999999999999</v>
      </c>
      <c r="F93" s="128">
        <v>0.21876999999999999</v>
      </c>
      <c r="G93" s="128">
        <v>0.21872</v>
      </c>
      <c r="H93" s="1457">
        <v>0.21884000000000001</v>
      </c>
      <c r="I93" s="1452">
        <v>0.21337</v>
      </c>
      <c r="J93" s="140">
        <v>0.2142</v>
      </c>
      <c r="K93">
        <v>0.21176</v>
      </c>
    </row>
    <row r="94" spans="1:11" x14ac:dyDescent="0.3">
      <c r="A94" s="2637"/>
      <c r="B94" s="128" t="s">
        <v>120</v>
      </c>
      <c r="C94" s="128">
        <v>0.11153</v>
      </c>
      <c r="D94" s="128">
        <v>0.12379999999999999</v>
      </c>
      <c r="E94" s="128">
        <v>0.123218152</v>
      </c>
      <c r="F94" s="128">
        <v>0.10946</v>
      </c>
      <c r="G94" s="128">
        <v>0.10883</v>
      </c>
      <c r="H94" s="1457">
        <v>0.11985999999999999</v>
      </c>
      <c r="I94" s="1452">
        <v>0.12259</v>
      </c>
      <c r="J94" s="140">
        <v>0.12007</v>
      </c>
      <c r="K94">
        <v>0.12076000000000001</v>
      </c>
    </row>
    <row r="95" spans="1:11" x14ac:dyDescent="0.3">
      <c r="A95" s="2637"/>
      <c r="B95" s="128" t="s">
        <v>121</v>
      </c>
      <c r="C95" s="128">
        <v>8.3769999999999997E-2</v>
      </c>
      <c r="D95" s="128">
        <v>8.2629999999999995E-2</v>
      </c>
      <c r="E95" s="128">
        <v>8.3143550999999996E-2</v>
      </c>
      <c r="F95" s="128">
        <v>8.1420000000000006E-2</v>
      </c>
      <c r="G95" s="128">
        <v>7.9170000000000004E-2</v>
      </c>
      <c r="H95" s="1457">
        <v>7.3800000000000004E-2</v>
      </c>
      <c r="I95" s="1452">
        <v>7.2700000000000001E-2</v>
      </c>
      <c r="J95" s="140">
        <v>7.2110000000000007E-2</v>
      </c>
      <c r="K95">
        <v>8.208E-2</v>
      </c>
    </row>
    <row r="96" spans="1:11" x14ac:dyDescent="0.3">
      <c r="A96" s="2637"/>
      <c r="B96" s="128" t="s">
        <v>122</v>
      </c>
      <c r="C96" s="128">
        <v>0.10462</v>
      </c>
      <c r="D96" s="128">
        <v>0.11194999999999999</v>
      </c>
      <c r="E96" s="128">
        <v>0.111620737</v>
      </c>
      <c r="F96" s="128">
        <v>0.10155</v>
      </c>
      <c r="G96" s="128">
        <v>0.10033</v>
      </c>
      <c r="H96" s="1457">
        <v>0.10172</v>
      </c>
      <c r="I96" s="1452">
        <v>0.10259</v>
      </c>
      <c r="J96" s="140">
        <v>0.10097</v>
      </c>
      <c r="K96">
        <v>0.10471</v>
      </c>
    </row>
    <row r="97" spans="1:11" x14ac:dyDescent="0.3">
      <c r="A97" s="2637"/>
      <c r="B97" s="128" t="s">
        <v>123</v>
      </c>
      <c r="C97" s="128">
        <v>3.0620000000000001E-2</v>
      </c>
      <c r="D97" s="128">
        <v>2.8740000000000002E-2</v>
      </c>
      <c r="E97" s="128">
        <v>2.9319999999999999E-2</v>
      </c>
      <c r="F97" s="128">
        <v>2.9319999999999999E-2</v>
      </c>
      <c r="G97" s="128">
        <v>2.93E-2</v>
      </c>
      <c r="H97" s="1457">
        <v>2.8669999999999998E-2</v>
      </c>
      <c r="I97" s="1452">
        <v>2.7799999999999998E-2</v>
      </c>
      <c r="J97" s="140">
        <v>2.801E-2</v>
      </c>
      <c r="K97">
        <v>2.7789999999999999E-2</v>
      </c>
    </row>
    <row r="98" spans="1:11" x14ac:dyDescent="0.3">
      <c r="A98" s="2637"/>
      <c r="B98" s="1466" t="s">
        <v>107</v>
      </c>
      <c r="C98" s="1466"/>
      <c r="D98" s="1466"/>
      <c r="E98" s="1466"/>
      <c r="F98" s="1466"/>
      <c r="G98" s="1466"/>
      <c r="H98" s="1467"/>
      <c r="I98" s="1468"/>
      <c r="J98" s="1464"/>
    </row>
    <row r="99" spans="1:11" x14ac:dyDescent="0.3">
      <c r="A99" s="2637"/>
      <c r="B99" s="1466" t="s">
        <v>108</v>
      </c>
      <c r="C99" s="1466"/>
      <c r="D99" s="1466"/>
      <c r="E99" s="1466"/>
      <c r="F99" s="1466"/>
      <c r="G99" s="1466"/>
      <c r="H99" s="1467"/>
      <c r="I99" s="1468"/>
      <c r="J99" s="1464"/>
    </row>
    <row r="100" spans="1:11" ht="15" thickBot="1" x14ac:dyDescent="0.35">
      <c r="A100" s="2638"/>
      <c r="B100" s="1473" t="s">
        <v>109</v>
      </c>
      <c r="C100" s="1473"/>
      <c r="D100" s="1473"/>
      <c r="E100" s="1473"/>
      <c r="F100" s="1473"/>
      <c r="G100" s="1473"/>
      <c r="H100" s="1474"/>
      <c r="I100" s="1475"/>
      <c r="J100" s="1476"/>
    </row>
    <row r="101" spans="1:11" x14ac:dyDescent="0.3">
      <c r="J101" s="126"/>
    </row>
    <row r="102" spans="1:11" x14ac:dyDescent="0.3">
      <c r="J102" s="126"/>
    </row>
    <row r="103" spans="1:11" x14ac:dyDescent="0.3">
      <c r="J103" s="126"/>
    </row>
    <row r="104" spans="1:11" x14ac:dyDescent="0.3">
      <c r="J104" s="126"/>
    </row>
    <row r="105" spans="1:11" x14ac:dyDescent="0.3">
      <c r="J105" s="126"/>
    </row>
    <row r="106" spans="1:11" ht="15" thickBot="1" x14ac:dyDescent="0.35">
      <c r="J106" s="126"/>
    </row>
    <row r="107" spans="1:11" x14ac:dyDescent="0.3">
      <c r="A107" s="2636" t="s">
        <v>126</v>
      </c>
      <c r="B107" s="130" t="s">
        <v>127</v>
      </c>
      <c r="C107" s="130">
        <v>0.10817160000000001</v>
      </c>
      <c r="D107" s="130">
        <v>0.1037898</v>
      </c>
      <c r="E107" s="130">
        <v>0.10176839999999999</v>
      </c>
      <c r="F107" s="130">
        <v>8.7900000000000006E-2</v>
      </c>
      <c r="G107" s="130">
        <v>8.974E-2</v>
      </c>
      <c r="H107" s="1461">
        <v>8.904999999999999E-2</v>
      </c>
      <c r="I107" s="1460">
        <v>8.5129999999999997E-2</v>
      </c>
      <c r="J107" s="139">
        <v>8.5839999999999986E-2</v>
      </c>
      <c r="K107">
        <v>0.15831999999999999</v>
      </c>
    </row>
    <row r="108" spans="1:11" x14ac:dyDescent="0.3">
      <c r="A108" s="2637"/>
      <c r="B108" s="128" t="s">
        <v>128</v>
      </c>
      <c r="C108" s="128">
        <v>0.1030813</v>
      </c>
      <c r="D108" s="128">
        <v>9.8906599999999997E-2</v>
      </c>
      <c r="E108" s="128">
        <v>9.6984000000000001E-2</v>
      </c>
      <c r="F108" s="128">
        <v>8.3729999999999999E-2</v>
      </c>
      <c r="G108" s="128">
        <v>8.795E-2</v>
      </c>
      <c r="H108" s="1457">
        <v>8.7279999999999996E-2</v>
      </c>
      <c r="I108" s="1452">
        <v>8.3779999999999993E-2</v>
      </c>
      <c r="J108" s="140">
        <v>8.4429999999999991E-2</v>
      </c>
      <c r="K108">
        <v>0.15573000000000001</v>
      </c>
    </row>
    <row r="109" spans="1:11" x14ac:dyDescent="0.3">
      <c r="A109" s="2637"/>
      <c r="B109" s="128" t="s">
        <v>129</v>
      </c>
      <c r="C109" s="128">
        <v>0.1546274</v>
      </c>
      <c r="D109" s="128">
        <v>0.1483708</v>
      </c>
      <c r="E109" s="128">
        <v>0.14546519999999999</v>
      </c>
      <c r="F109" s="128">
        <v>0.12559999999999999</v>
      </c>
      <c r="G109" s="128">
        <v>0.13195000000000001</v>
      </c>
      <c r="H109" s="1457">
        <v>0.13091000000000003</v>
      </c>
      <c r="I109" s="1452">
        <v>0.12565000000000001</v>
      </c>
      <c r="J109" s="140">
        <v>0.12665000000000001</v>
      </c>
      <c r="K109">
        <v>0.2336</v>
      </c>
    </row>
    <row r="110" spans="1:11" x14ac:dyDescent="0.3">
      <c r="A110" s="2637"/>
      <c r="B110" s="128" t="s">
        <v>130</v>
      </c>
      <c r="C110" s="128">
        <v>0.1235079</v>
      </c>
      <c r="D110" s="128">
        <v>0.11876639999999999</v>
      </c>
      <c r="E110" s="128">
        <v>0.11978279999999999</v>
      </c>
      <c r="F110" s="128">
        <v>0.11115999999999999</v>
      </c>
      <c r="G110" s="128">
        <v>0.10477</v>
      </c>
      <c r="H110" s="1457">
        <v>0.10131</v>
      </c>
      <c r="I110" s="1452">
        <v>0.10439</v>
      </c>
      <c r="J110" s="140">
        <v>0.11237</v>
      </c>
      <c r="K110">
        <v>0.19561999999999999</v>
      </c>
    </row>
    <row r="111" spans="1:11" x14ac:dyDescent="0.3">
      <c r="A111" s="2637"/>
      <c r="B111" s="128" t="s">
        <v>131</v>
      </c>
      <c r="C111" s="128">
        <v>9.0164800000000003E-2</v>
      </c>
      <c r="D111" s="128">
        <v>8.6698600000000001E-2</v>
      </c>
      <c r="E111" s="128">
        <v>8.7436799999999995E-2</v>
      </c>
      <c r="F111" s="128">
        <v>7.9600000000000004E-2</v>
      </c>
      <c r="G111" s="128">
        <v>8.0240000000000006E-2</v>
      </c>
      <c r="H111" s="1457">
        <v>7.7609999999999985E-2</v>
      </c>
      <c r="I111" s="1452">
        <v>7.9930000000000001E-2</v>
      </c>
      <c r="J111" s="140">
        <v>8.6070000000000008E-2</v>
      </c>
      <c r="K111">
        <v>0.14981</v>
      </c>
    </row>
    <row r="112" spans="1:11" x14ac:dyDescent="0.3">
      <c r="A112" s="2637"/>
      <c r="B112" s="128" t="s">
        <v>132</v>
      </c>
      <c r="C112" s="128">
        <v>0.14426149999999999</v>
      </c>
      <c r="D112" s="128">
        <v>0.13871339999999999</v>
      </c>
      <c r="E112" s="128">
        <v>0.13990320000000001</v>
      </c>
      <c r="F112" s="128">
        <v>0.12734999999999999</v>
      </c>
      <c r="G112" s="128">
        <v>0.12839999999999999</v>
      </c>
      <c r="H112" s="1457">
        <v>0.12415</v>
      </c>
      <c r="I112" s="1452">
        <v>0.12789</v>
      </c>
      <c r="J112" s="140">
        <v>0.13770000000000002</v>
      </c>
      <c r="K112">
        <v>0.2397</v>
      </c>
    </row>
    <row r="113" spans="1:11" x14ac:dyDescent="0.3">
      <c r="A113" s="2637"/>
      <c r="B113" s="128" t="s">
        <v>133</v>
      </c>
      <c r="C113" s="128">
        <v>0.26146920000000001</v>
      </c>
      <c r="D113" s="128">
        <v>0.25141940000000002</v>
      </c>
      <c r="E113" s="128">
        <v>0.25358399999999998</v>
      </c>
      <c r="F113" s="128">
        <v>0.23082</v>
      </c>
      <c r="G113" s="128">
        <v>0.23271</v>
      </c>
      <c r="H113" s="1457">
        <v>0.22503000000000001</v>
      </c>
      <c r="I113" s="1452">
        <v>0.23179</v>
      </c>
      <c r="J113" s="140">
        <v>0.24958</v>
      </c>
      <c r="K113">
        <v>0.43446000000000001</v>
      </c>
    </row>
    <row r="114" spans="1:11" x14ac:dyDescent="0.3">
      <c r="A114" s="2637"/>
      <c r="B114" s="128" t="s">
        <v>134</v>
      </c>
      <c r="C114" s="128">
        <v>0.36064829999999998</v>
      </c>
      <c r="D114" s="128">
        <v>0.3467944</v>
      </c>
      <c r="E114" s="128">
        <v>0.34976879999999999</v>
      </c>
      <c r="F114" s="128">
        <v>0.31836999999999999</v>
      </c>
      <c r="G114" s="128">
        <v>0.32097999999999999</v>
      </c>
      <c r="H114" s="1457">
        <v>0.31039000000000005</v>
      </c>
      <c r="I114" s="1452">
        <v>0.31970999999999999</v>
      </c>
      <c r="J114" s="140">
        <v>0.34425000000000006</v>
      </c>
      <c r="K114">
        <v>0.59924999999999995</v>
      </c>
    </row>
    <row r="115" spans="1:11" ht="15" thickBot="1" x14ac:dyDescent="0.35">
      <c r="A115" s="2638"/>
      <c r="B115" s="134" t="s">
        <v>135</v>
      </c>
      <c r="C115" s="134">
        <v>1.7770000000000001E-2</v>
      </c>
      <c r="D115" s="134">
        <v>1.512E-2</v>
      </c>
      <c r="E115" s="134">
        <v>1.235E-2</v>
      </c>
      <c r="F115" s="134">
        <v>1.2120000000000001E-2</v>
      </c>
      <c r="G115" s="134">
        <v>1.205E-2</v>
      </c>
      <c r="H115" s="1459">
        <v>1.214E-2</v>
      </c>
      <c r="I115" s="1454">
        <v>1.225E-2</v>
      </c>
      <c r="J115" s="141">
        <v>1.2260000000000002E-2</v>
      </c>
      <c r="K115">
        <v>5.9699999999999996E-3</v>
      </c>
    </row>
    <row r="116" spans="1:11" x14ac:dyDescent="0.3">
      <c r="I116" s="127"/>
    </row>
    <row r="117" spans="1:11" x14ac:dyDescent="0.3">
      <c r="I117" s="127"/>
    </row>
    <row r="118" spans="1:11" x14ac:dyDescent="0.3">
      <c r="I118" s="127"/>
    </row>
    <row r="119" spans="1:11" x14ac:dyDescent="0.3">
      <c r="I119" s="127"/>
    </row>
    <row r="120" spans="1:11" x14ac:dyDescent="0.3">
      <c r="I120" s="127"/>
    </row>
    <row r="121" spans="1:11" x14ac:dyDescent="0.3">
      <c r="I121" s="127"/>
    </row>
    <row r="122" spans="1:11" x14ac:dyDescent="0.3">
      <c r="I122" s="127"/>
    </row>
    <row r="123" spans="1:11" x14ac:dyDescent="0.3">
      <c r="I123" s="127"/>
    </row>
    <row r="124" spans="1:11" x14ac:dyDescent="0.3">
      <c r="I124" s="127"/>
    </row>
    <row r="125" spans="1:11" x14ac:dyDescent="0.3">
      <c r="I125" s="127"/>
    </row>
    <row r="126" spans="1:11" x14ac:dyDescent="0.3">
      <c r="I126" s="127"/>
    </row>
    <row r="127" spans="1:11" x14ac:dyDescent="0.3">
      <c r="I127" s="127"/>
    </row>
    <row r="128" spans="1:11" x14ac:dyDescent="0.3">
      <c r="I128" s="127"/>
    </row>
    <row r="129" spans="9:9" x14ac:dyDescent="0.3">
      <c r="I129" s="127"/>
    </row>
    <row r="130" spans="9:9" x14ac:dyDescent="0.3">
      <c r="I130" s="127"/>
    </row>
    <row r="131" spans="9:9" x14ac:dyDescent="0.3">
      <c r="I131" s="127"/>
    </row>
    <row r="132" spans="9:9" x14ac:dyDescent="0.3">
      <c r="I132" s="127"/>
    </row>
    <row r="133" spans="9:9" x14ac:dyDescent="0.3">
      <c r="I133" s="127"/>
    </row>
    <row r="134" spans="9:9" x14ac:dyDescent="0.3">
      <c r="I134" s="127"/>
    </row>
    <row r="135" spans="9:9" x14ac:dyDescent="0.3">
      <c r="I135" s="127"/>
    </row>
    <row r="136" spans="9:9" x14ac:dyDescent="0.3">
      <c r="I136" s="127"/>
    </row>
    <row r="137" spans="9:9" x14ac:dyDescent="0.3">
      <c r="I137" s="127"/>
    </row>
    <row r="138" spans="9:9" x14ac:dyDescent="0.3">
      <c r="I138" s="127"/>
    </row>
    <row r="139" spans="9:9" x14ac:dyDescent="0.3">
      <c r="I139" s="127"/>
    </row>
    <row r="140" spans="9:9" x14ac:dyDescent="0.3">
      <c r="I140" s="127"/>
    </row>
    <row r="141" spans="9:9" x14ac:dyDescent="0.3">
      <c r="I141" s="127"/>
    </row>
    <row r="142" spans="9:9" x14ac:dyDescent="0.3">
      <c r="I142" s="127"/>
    </row>
    <row r="143" spans="9:9" x14ac:dyDescent="0.3">
      <c r="I143" s="127"/>
    </row>
    <row r="144" spans="9:9" x14ac:dyDescent="0.3">
      <c r="I144" s="127"/>
    </row>
    <row r="145" spans="9:9" x14ac:dyDescent="0.3">
      <c r="I145" s="127"/>
    </row>
  </sheetData>
  <sheetProtection algorithmName="SHA-512" hashValue="k5CaGhhqLbGC+5Z678jru7QEXXDloMjIfYheYzOiNomtcM3ju6Eo4jeU9NMuveUPU7FE3xnC3NTan+EiccTmlg==" saltValue="57S1s/3AA2UmMFifGdXo/g==" spinCount="100000" sheet="1" objects="1" scenarios="1"/>
  <mergeCells count="9">
    <mergeCell ref="A48:A66"/>
    <mergeCell ref="A68:A86"/>
    <mergeCell ref="A88:A100"/>
    <mergeCell ref="A107:A115"/>
    <mergeCell ref="A7:A20"/>
    <mergeCell ref="A21:A30"/>
    <mergeCell ref="A31:A34"/>
    <mergeCell ref="A36:A41"/>
    <mergeCell ref="A42:A47"/>
  </mergeCells>
  <dataValidations count="1">
    <dataValidation allowBlank="1" sqref="G42:G47"/>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0" tint="-0.499984740745262"/>
  </sheetPr>
  <dimension ref="A1:G15"/>
  <sheetViews>
    <sheetView workbookViewId="0">
      <selection sqref="A1:B1"/>
    </sheetView>
  </sheetViews>
  <sheetFormatPr defaultColWidth="9.109375" defaultRowHeight="13.8" x14ac:dyDescent="0.3"/>
  <cols>
    <col min="1" max="1" width="18.21875" style="587" bestFit="1" customWidth="1"/>
    <col min="2" max="2" width="17" style="587" bestFit="1" customWidth="1"/>
    <col min="3" max="16384" width="9.109375" style="587"/>
  </cols>
  <sheetData>
    <row r="1" spans="1:7" ht="15.6" x14ac:dyDescent="0.3">
      <c r="A1" s="2644" t="s">
        <v>350</v>
      </c>
      <c r="B1" s="2644"/>
      <c r="E1" s="2645" t="s">
        <v>351</v>
      </c>
      <c r="F1" s="2644"/>
    </row>
    <row r="2" spans="1:7" x14ac:dyDescent="0.3">
      <c r="A2" s="610" t="s">
        <v>352</v>
      </c>
      <c r="B2" s="611"/>
      <c r="E2" s="610" t="s">
        <v>353</v>
      </c>
      <c r="F2" s="612"/>
      <c r="G2" s="611"/>
    </row>
    <row r="3" spans="1:7" x14ac:dyDescent="0.3">
      <c r="A3" s="613" t="s">
        <v>354</v>
      </c>
      <c r="B3" s="614" t="s">
        <v>355</v>
      </c>
      <c r="E3" s="615" t="s">
        <v>356</v>
      </c>
      <c r="F3" s="616">
        <v>1.6093440000000001</v>
      </c>
      <c r="G3" s="617" t="s">
        <v>357</v>
      </c>
    </row>
    <row r="4" spans="1:7" x14ac:dyDescent="0.3">
      <c r="A4" s="618" t="s">
        <v>358</v>
      </c>
      <c r="B4" s="619">
        <v>10.74</v>
      </c>
    </row>
    <row r="5" spans="1:7" x14ac:dyDescent="0.3">
      <c r="A5" s="618" t="s">
        <v>359</v>
      </c>
      <c r="B5" s="620">
        <v>7.1</v>
      </c>
    </row>
    <row r="6" spans="1:7" x14ac:dyDescent="0.3">
      <c r="A6" s="618" t="s">
        <v>360</v>
      </c>
      <c r="B6" s="620">
        <v>11.87</v>
      </c>
    </row>
    <row r="7" spans="1:7" x14ac:dyDescent="0.3">
      <c r="A7" s="615" t="s">
        <v>361</v>
      </c>
      <c r="B7" s="621">
        <v>7962</v>
      </c>
    </row>
    <row r="10" spans="1:7" x14ac:dyDescent="0.3">
      <c r="A10" s="587" t="s">
        <v>362</v>
      </c>
    </row>
    <row r="11" spans="1:7" x14ac:dyDescent="0.3">
      <c r="A11" s="622" t="s">
        <v>199</v>
      </c>
    </row>
    <row r="12" spans="1:7" x14ac:dyDescent="0.3">
      <c r="A12" s="622" t="s">
        <v>201</v>
      </c>
    </row>
    <row r="13" spans="1:7" x14ac:dyDescent="0.3">
      <c r="A13" s="622" t="s">
        <v>202</v>
      </c>
    </row>
    <row r="14" spans="1:7" x14ac:dyDescent="0.3">
      <c r="A14" s="622" t="s">
        <v>203</v>
      </c>
    </row>
    <row r="15" spans="1:7" x14ac:dyDescent="0.3">
      <c r="A15" s="623"/>
    </row>
  </sheetData>
  <sheetProtection algorithmName="SHA-512" hashValue="wTcyysvVtlc883x+KUHcnyoP9mrH5kSOJUAnhuQRyrqQsqj308EphWHa+vfN1wgcXiAwA8yDYsUcbh/6g1DSCw==" saltValue="NhLLiYzviTWLSbFK0m4u0Q==" spinCount="100000" sheet="1" objects="1" scenarios="1"/>
  <mergeCells count="2">
    <mergeCell ref="A1:B1"/>
    <mergeCell ref="E1:F1"/>
  </mergeCells>
  <hyperlinks>
    <hyperlink ref="A11" location="'Q1'!A1" display="Q1"/>
    <hyperlink ref="A12" location="'Q2'!A1" display="Q2"/>
    <hyperlink ref="A13" location="'Q3'!A1" display="Q3"/>
    <hyperlink ref="A14" location="'Q4'!A1" display="Q4"/>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G7"/>
  <sheetViews>
    <sheetView workbookViewId="0">
      <selection activeCell="C11" sqref="C11"/>
    </sheetView>
  </sheetViews>
  <sheetFormatPr defaultRowHeight="15" customHeight="1" x14ac:dyDescent="0.3"/>
  <cols>
    <col min="1" max="1" width="26.77734375" bestFit="1" customWidth="1"/>
  </cols>
  <sheetData>
    <row r="1" spans="1:7" ht="14.4" x14ac:dyDescent="0.3">
      <c r="A1" s="1128" t="s">
        <v>484</v>
      </c>
      <c r="B1" s="1129"/>
      <c r="C1" s="1129" t="s">
        <v>481</v>
      </c>
      <c r="D1" s="1130" t="s">
        <v>482</v>
      </c>
      <c r="E1" s="1125"/>
      <c r="F1" s="1125"/>
      <c r="G1" s="1125"/>
    </row>
    <row r="2" spans="1:7" ht="14.4" x14ac:dyDescent="0.3">
      <c r="A2" s="1131" t="s">
        <v>146</v>
      </c>
      <c r="B2" s="1126" t="s">
        <v>448</v>
      </c>
      <c r="C2" s="1126">
        <v>20</v>
      </c>
      <c r="D2" s="1132">
        <v>0.1</v>
      </c>
      <c r="E2" s="1125"/>
      <c r="F2" s="1125"/>
      <c r="G2" s="1125"/>
    </row>
    <row r="3" spans="1:7" thickBot="1" x14ac:dyDescent="0.35">
      <c r="A3" s="1133" t="s">
        <v>483</v>
      </c>
      <c r="B3" s="1134" t="s">
        <v>357</v>
      </c>
      <c r="C3" s="1134">
        <v>800</v>
      </c>
      <c r="D3" s="1135">
        <v>100</v>
      </c>
      <c r="E3" s="1125"/>
      <c r="F3" s="1125"/>
      <c r="G3" s="1125"/>
    </row>
    <row r="4" spans="1:7" thickBot="1" x14ac:dyDescent="0.35">
      <c r="A4" s="1125"/>
      <c r="B4" s="1125"/>
      <c r="C4" s="1125"/>
      <c r="D4" s="1125"/>
      <c r="E4" s="1125"/>
      <c r="F4" s="1125"/>
      <c r="G4" s="1125"/>
    </row>
    <row r="5" spans="1:7" ht="14.4" x14ac:dyDescent="0.3">
      <c r="A5" s="1128" t="s">
        <v>418</v>
      </c>
      <c r="B5" s="1129"/>
      <c r="C5" s="1129" t="s">
        <v>417</v>
      </c>
      <c r="D5" s="1129" t="s">
        <v>250</v>
      </c>
      <c r="E5" s="1129" t="s">
        <v>249</v>
      </c>
      <c r="F5" s="1129" t="s">
        <v>419</v>
      </c>
      <c r="G5" s="1130" t="s">
        <v>420</v>
      </c>
    </row>
    <row r="6" spans="1:7" ht="14.4" x14ac:dyDescent="0.3">
      <c r="A6" s="1131" t="s">
        <v>395</v>
      </c>
      <c r="B6" s="1126" t="s">
        <v>421</v>
      </c>
      <c r="C6" s="1127">
        <v>0.05</v>
      </c>
      <c r="D6" s="1127">
        <v>0.25</v>
      </c>
      <c r="E6" s="1127">
        <v>0.25</v>
      </c>
      <c r="F6" s="1127">
        <v>0.25</v>
      </c>
      <c r="G6" s="1136">
        <v>0.25</v>
      </c>
    </row>
    <row r="7" spans="1:7" thickBot="1" x14ac:dyDescent="0.35">
      <c r="A7" s="1133" t="s">
        <v>394</v>
      </c>
      <c r="B7" s="1134" t="s">
        <v>421</v>
      </c>
      <c r="C7" s="1137">
        <v>1E-3</v>
      </c>
      <c r="D7" s="1137">
        <v>0.05</v>
      </c>
      <c r="E7" s="1137">
        <v>0.05</v>
      </c>
      <c r="F7" s="1137">
        <v>0.05</v>
      </c>
      <c r="G7" s="1138">
        <v>0.05</v>
      </c>
    </row>
  </sheetData>
  <sheetProtection algorithmName="SHA-512" hashValue="rF9frRwR/eUYeazNuKPyopkQo4R/n2mMLbvckT024TVNYimsWdMpQEKluP1ah239amZuDJuSlW1YGpRFST75jQ==" saltValue="7JP5iktsTZskDz/sOTHb0A==" spinCount="100000" sheet="1" objects="1" scenarios="1"/>
  <dataValidations count="1">
    <dataValidation allowBlank="1" showInputMessage="1" sqref="C6:G7 C5:G5"/>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120B3"/>
  </sheetPr>
  <dimension ref="A1:AD206"/>
  <sheetViews>
    <sheetView topLeftCell="A109" zoomScale="80" zoomScaleNormal="80" workbookViewId="0">
      <selection activeCell="D129" sqref="D129"/>
    </sheetView>
  </sheetViews>
  <sheetFormatPr defaultColWidth="9.109375" defaultRowHeight="13.8" x14ac:dyDescent="0.3"/>
  <cols>
    <col min="1" max="1" width="10.33203125" style="592" customWidth="1"/>
    <col min="2" max="2" width="12.6640625" style="362" customWidth="1"/>
    <col min="3" max="3" width="40.6640625" style="362" customWidth="1"/>
    <col min="4" max="4" width="16.33203125" style="362" customWidth="1"/>
    <col min="5" max="8" width="14" style="362" customWidth="1"/>
    <col min="9" max="9" width="13.109375" style="362" customWidth="1"/>
    <col min="10" max="10" width="12.33203125" style="590" customWidth="1"/>
    <col min="11" max="11" width="14.33203125" style="591" customWidth="1"/>
    <col min="12" max="14" width="11.77734375" style="362" customWidth="1"/>
    <col min="15" max="15" width="11" style="362" customWidth="1"/>
    <col min="16" max="16" width="19.109375" style="362" customWidth="1"/>
    <col min="17" max="17" width="11" style="362" customWidth="1"/>
    <col min="18" max="18" width="14" style="362" customWidth="1"/>
    <col min="19" max="20" width="9.109375" style="362"/>
    <col min="21" max="21" width="9.109375" style="362" customWidth="1"/>
    <col min="22" max="22" width="15.77734375" style="362" customWidth="1"/>
    <col min="23" max="23" width="9.109375" style="362" customWidth="1"/>
    <col min="24" max="24" width="13.77734375" style="362" customWidth="1"/>
    <col min="25" max="25" width="9.109375" style="362"/>
    <col min="26" max="26" width="14.77734375" style="362" customWidth="1"/>
    <col min="27" max="16384" width="9.109375" style="362"/>
  </cols>
  <sheetData>
    <row r="1" spans="1:26" ht="23.4" x14ac:dyDescent="0.45">
      <c r="A1" s="312" t="s">
        <v>556</v>
      </c>
      <c r="B1" s="313"/>
      <c r="C1" s="49"/>
      <c r="D1" s="49"/>
      <c r="E1" s="49"/>
      <c r="F1" s="49"/>
      <c r="G1" s="49"/>
      <c r="H1" s="49"/>
      <c r="I1" s="49"/>
      <c r="J1" s="314"/>
      <c r="K1" s="315"/>
      <c r="L1" s="49"/>
      <c r="M1" s="49"/>
      <c r="N1" s="49"/>
      <c r="O1" s="49"/>
      <c r="P1" s="49"/>
      <c r="Q1" s="49"/>
      <c r="R1" s="49"/>
      <c r="S1" s="49"/>
      <c r="T1" s="49"/>
      <c r="U1" s="49"/>
      <c r="V1" s="49"/>
      <c r="W1" s="49"/>
      <c r="X1" s="49"/>
      <c r="Y1" s="49"/>
      <c r="Z1" s="49"/>
    </row>
    <row r="2" spans="1:26" x14ac:dyDescent="0.3">
      <c r="A2" s="316"/>
      <c r="B2" s="317"/>
      <c r="C2" s="317"/>
      <c r="D2" s="317"/>
      <c r="E2" s="317"/>
      <c r="F2" s="317"/>
      <c r="G2" s="317"/>
      <c r="H2" s="317"/>
      <c r="I2" s="317"/>
      <c r="J2" s="318"/>
      <c r="K2" s="319"/>
      <c r="L2" s="319"/>
      <c r="M2" s="319"/>
      <c r="N2" s="319"/>
      <c r="O2" s="317"/>
      <c r="P2" s="317"/>
      <c r="Q2" s="317"/>
      <c r="R2" s="317"/>
      <c r="S2" s="317"/>
      <c r="T2" s="317"/>
      <c r="U2" s="317"/>
      <c r="V2" s="317"/>
      <c r="W2" s="317"/>
      <c r="X2" s="317"/>
      <c r="Y2" s="317"/>
      <c r="Z2" s="317"/>
    </row>
    <row r="3" spans="1:26" x14ac:dyDescent="0.3">
      <c r="A3" s="320"/>
      <c r="B3" s="49"/>
      <c r="C3" s="49"/>
      <c r="D3" s="49"/>
      <c r="E3" s="49"/>
      <c r="F3" s="49"/>
      <c r="G3" s="49"/>
      <c r="H3" s="49"/>
      <c r="I3" s="49"/>
      <c r="J3" s="314"/>
      <c r="K3" s="321"/>
      <c r="L3" s="49"/>
      <c r="M3" s="49"/>
      <c r="N3" s="49"/>
      <c r="O3" s="49"/>
      <c r="P3" s="49"/>
      <c r="Q3" s="49"/>
      <c r="R3" s="49"/>
      <c r="S3" s="49"/>
      <c r="T3" s="49"/>
      <c r="U3" s="49"/>
      <c r="V3" s="49"/>
      <c r="W3" s="49"/>
      <c r="X3" s="49"/>
      <c r="Y3" s="49"/>
      <c r="Z3" s="49"/>
    </row>
    <row r="4" spans="1:26" s="593" customFormat="1" ht="21" x14ac:dyDescent="0.3">
      <c r="A4" s="322" t="s">
        <v>20</v>
      </c>
      <c r="B4" s="323" t="str">
        <f>+Performance!C2</f>
        <v>MINISTRY OF JUSTICE (MoJ)</v>
      </c>
      <c r="C4" s="323"/>
      <c r="D4" s="323"/>
      <c r="E4" s="323"/>
      <c r="F4" s="323"/>
      <c r="G4" s="323"/>
      <c r="H4" s="323"/>
      <c r="I4" s="323"/>
      <c r="J4" s="323"/>
      <c r="K4" s="323"/>
      <c r="L4" s="323"/>
      <c r="M4" s="323"/>
      <c r="N4" s="323"/>
      <c r="O4" s="323"/>
      <c r="P4" s="323"/>
      <c r="Q4" s="323"/>
      <c r="R4" s="323"/>
      <c r="S4" s="323"/>
      <c r="T4" s="323"/>
      <c r="U4" s="323"/>
      <c r="V4" s="323"/>
      <c r="W4" s="323"/>
      <c r="X4" s="323"/>
      <c r="Y4" s="323"/>
      <c r="Z4" s="323"/>
    </row>
    <row r="5" spans="1:26" ht="21" x14ac:dyDescent="0.3">
      <c r="A5" s="320"/>
      <c r="B5" s="324"/>
      <c r="C5" s="324"/>
      <c r="D5" s="324"/>
      <c r="E5" s="324"/>
      <c r="F5" s="324"/>
      <c r="G5" s="324"/>
      <c r="H5" s="324"/>
      <c r="I5" s="324"/>
      <c r="J5" s="324"/>
      <c r="K5" s="325"/>
      <c r="L5" s="325"/>
      <c r="M5" s="325"/>
      <c r="N5" s="325"/>
      <c r="O5" s="49"/>
      <c r="P5" s="49"/>
      <c r="Q5" s="49"/>
      <c r="R5" s="49"/>
      <c r="S5" s="49"/>
      <c r="T5" s="49"/>
      <c r="U5" s="49"/>
      <c r="V5" s="49"/>
      <c r="W5" s="49"/>
      <c r="X5" s="49"/>
      <c r="Y5" s="49"/>
      <c r="Z5" s="49"/>
    </row>
    <row r="6" spans="1:26" ht="23.4" x14ac:dyDescent="0.3">
      <c r="A6" s="326">
        <v>1</v>
      </c>
      <c r="B6" s="327" t="s">
        <v>476</v>
      </c>
      <c r="C6" s="328"/>
      <c r="D6" s="1848" t="str">
        <f>+$A$1</f>
        <v>Annual - 2019-2020</v>
      </c>
      <c r="E6" s="1848"/>
      <c r="F6" s="1848"/>
      <c r="G6" s="1848"/>
      <c r="H6" s="1848"/>
      <c r="I6" s="1848"/>
      <c r="J6" s="1848"/>
      <c r="K6" s="329"/>
      <c r="L6" s="329"/>
      <c r="M6" s="329"/>
      <c r="N6" s="317"/>
      <c r="O6" s="317"/>
      <c r="P6" s="330"/>
      <c r="Q6" s="330"/>
      <c r="R6" s="317"/>
      <c r="S6" s="317"/>
      <c r="T6" s="317"/>
      <c r="U6" s="317"/>
      <c r="V6" s="317"/>
      <c r="W6" s="317"/>
      <c r="X6" s="317"/>
      <c r="Y6" s="317"/>
      <c r="Z6" s="317"/>
    </row>
    <row r="7" spans="1:26" ht="14.4" thickBot="1" x14ac:dyDescent="0.35">
      <c r="A7" s="320"/>
      <c r="B7" s="43"/>
      <c r="C7" s="1508"/>
      <c r="D7" s="1508"/>
      <c r="E7" s="1508"/>
      <c r="F7" s="1508"/>
      <c r="G7" s="1508"/>
      <c r="H7" s="1508"/>
      <c r="I7" s="1508"/>
      <c r="J7" s="1508"/>
      <c r="K7" s="1508"/>
      <c r="L7" s="1508"/>
      <c r="M7" s="1508"/>
      <c r="N7" s="1508"/>
      <c r="O7" s="1508"/>
      <c r="P7" s="1508"/>
      <c r="Q7" s="1508"/>
      <c r="R7" s="1508"/>
      <c r="S7" s="1508"/>
      <c r="T7" s="1508"/>
      <c r="U7" s="1508"/>
      <c r="V7" s="1508"/>
      <c r="W7" s="1508"/>
      <c r="X7" s="1508"/>
      <c r="Y7" s="49"/>
      <c r="Z7" s="49"/>
    </row>
    <row r="8" spans="1:26" ht="14.4" thickBot="1" x14ac:dyDescent="0.35">
      <c r="A8" s="320"/>
      <c r="B8" s="49"/>
      <c r="C8" s="43"/>
      <c r="D8" s="428" t="s">
        <v>23</v>
      </c>
      <c r="E8" s="1083" t="s">
        <v>144</v>
      </c>
      <c r="F8" s="1849" t="s">
        <v>24</v>
      </c>
      <c r="G8" s="1850"/>
      <c r="H8" s="1851"/>
      <c r="I8" s="1508"/>
      <c r="J8" s="1508"/>
      <c r="K8" s="1508"/>
      <c r="L8" s="1508"/>
      <c r="M8" s="1508"/>
      <c r="N8" s="1508"/>
      <c r="O8" s="1508"/>
      <c r="P8" s="1508"/>
      <c r="Q8" s="1508"/>
      <c r="R8" s="1508"/>
      <c r="S8" s="1508"/>
      <c r="T8" s="1508"/>
      <c r="U8" s="1508"/>
      <c r="V8" s="1508"/>
      <c r="W8" s="1508"/>
      <c r="X8" s="1508"/>
      <c r="Y8" s="49"/>
      <c r="Z8" s="49"/>
    </row>
    <row r="9" spans="1:26" ht="14.4" thickBot="1" x14ac:dyDescent="0.35">
      <c r="A9" s="320"/>
      <c r="B9" s="359"/>
      <c r="C9" s="49"/>
      <c r="D9" s="490" t="s">
        <v>477</v>
      </c>
      <c r="E9" s="432" t="s">
        <v>477</v>
      </c>
      <c r="F9" s="1852"/>
      <c r="G9" s="1853"/>
      <c r="H9" s="1854"/>
      <c r="I9" s="1508"/>
      <c r="J9" s="1508"/>
      <c r="K9" s="1508"/>
      <c r="L9" s="1508"/>
      <c r="M9" s="1508"/>
      <c r="N9" s="1508"/>
      <c r="O9" s="1508"/>
      <c r="P9" s="1508"/>
      <c r="Q9" s="1508"/>
      <c r="R9" s="1508"/>
      <c r="S9" s="1508"/>
      <c r="T9" s="1508"/>
      <c r="U9" s="1508"/>
      <c r="V9" s="1508"/>
      <c r="W9" s="1508"/>
      <c r="X9" s="1508"/>
      <c r="Y9" s="49"/>
      <c r="Z9" s="49"/>
    </row>
    <row r="10" spans="1:26" ht="14.4" thickBot="1" x14ac:dyDescent="0.35">
      <c r="A10" s="320"/>
      <c r="B10" s="1855" t="s">
        <v>479</v>
      </c>
      <c r="C10" s="1856"/>
      <c r="D10" s="363" t="str">
        <f>IFERROR((+'Q1'!D10+'Q2'!D10+'Q3'!D10+'Q4'!D10)/(IF('Q1'!D10&gt;0,1,0)+IF('Q2'!D10&gt;0,1,0)+IF('Q3'!D10&gt;0,1,0)+IF('Q4'!D10&gt;0,1,0)),"")</f>
        <v/>
      </c>
      <c r="E10" s="461" t="str">
        <f>IFERROR((+'Q1'!E10+'Q2'!E10+'Q3'!E10+'Q4'!E10)/(IF('Q1'!E10&gt;0,1,0)+IF('Q2'!E10&gt;0,1,0)+IF('Q3'!E10&gt;0,1,0)+IF('Q4'!E10&gt;0,1,0)),"")</f>
        <v/>
      </c>
      <c r="F10" s="1857"/>
      <c r="G10" s="1858"/>
      <c r="H10" s="1859"/>
      <c r="I10" s="1508"/>
      <c r="J10" s="1508"/>
      <c r="K10" s="1508"/>
      <c r="L10" s="1508"/>
      <c r="M10" s="1508"/>
      <c r="N10" s="1508"/>
      <c r="O10" s="1508"/>
      <c r="P10" s="1508"/>
      <c r="Q10" s="1508"/>
      <c r="R10" s="1508"/>
      <c r="S10" s="1508"/>
      <c r="T10" s="1508"/>
      <c r="U10" s="1508"/>
      <c r="V10" s="1508"/>
      <c r="W10" s="1508"/>
      <c r="X10" s="1508"/>
      <c r="Y10" s="49"/>
      <c r="Z10" s="49"/>
    </row>
    <row r="11" spans="1:26" x14ac:dyDescent="0.3">
      <c r="A11" s="320"/>
      <c r="B11" s="1508"/>
      <c r="C11" s="1508"/>
      <c r="D11" s="1508"/>
      <c r="E11" s="1508"/>
      <c r="F11" s="1508"/>
      <c r="G11" s="1508"/>
      <c r="H11" s="1508"/>
      <c r="I11" s="1508"/>
      <c r="J11" s="386"/>
      <c r="K11" s="425"/>
      <c r="L11" s="1508"/>
      <c r="M11" s="1508"/>
      <c r="N11" s="49"/>
      <c r="O11" s="49"/>
      <c r="P11" s="49"/>
      <c r="Q11" s="49"/>
      <c r="R11" s="49"/>
      <c r="S11" s="49"/>
      <c r="T11" s="49"/>
      <c r="U11" s="49"/>
      <c r="V11" s="49"/>
      <c r="W11" s="49"/>
      <c r="X11" s="49"/>
      <c r="Y11" s="49"/>
      <c r="Z11" s="49"/>
    </row>
    <row r="12" spans="1:26" x14ac:dyDescent="0.3">
      <c r="A12" s="320"/>
      <c r="B12" s="1508"/>
      <c r="C12" s="1508"/>
      <c r="D12" s="1508"/>
      <c r="E12" s="1508"/>
      <c r="F12" s="1508"/>
      <c r="G12" s="1508"/>
      <c r="H12" s="1508"/>
      <c r="I12" s="1508"/>
      <c r="J12" s="386"/>
      <c r="K12" s="425"/>
      <c r="L12" s="1508"/>
      <c r="M12" s="1508"/>
      <c r="N12" s="49"/>
      <c r="O12" s="49"/>
      <c r="P12" s="49"/>
      <c r="Q12" s="49"/>
      <c r="R12" s="49"/>
      <c r="S12" s="49"/>
      <c r="T12" s="49"/>
      <c r="U12" s="49"/>
      <c r="V12" s="49"/>
      <c r="W12" s="49"/>
      <c r="X12" s="49"/>
      <c r="Y12" s="49"/>
      <c r="Z12" s="49"/>
    </row>
    <row r="13" spans="1:26" ht="27.75" customHeight="1" x14ac:dyDescent="0.3">
      <c r="A13" s="326">
        <v>2</v>
      </c>
      <c r="B13" s="327" t="s">
        <v>21</v>
      </c>
      <c r="C13" s="328"/>
      <c r="D13" s="1848" t="str">
        <f>+$A$1</f>
        <v>Annual - 2019-2020</v>
      </c>
      <c r="E13" s="1848"/>
      <c r="F13" s="1848"/>
      <c r="G13" s="1848"/>
      <c r="H13" s="1848"/>
      <c r="I13" s="1848"/>
      <c r="J13" s="1848"/>
      <c r="K13" s="329"/>
      <c r="L13" s="329"/>
      <c r="M13" s="329"/>
      <c r="N13" s="329"/>
      <c r="O13" s="317"/>
      <c r="P13" s="330"/>
      <c r="Q13" s="330"/>
      <c r="R13" s="317"/>
      <c r="S13" s="317"/>
      <c r="T13" s="317"/>
      <c r="U13" s="317"/>
      <c r="V13" s="317"/>
      <c r="W13" s="317"/>
      <c r="X13" s="317"/>
      <c r="Y13" s="317"/>
      <c r="Z13" s="317"/>
    </row>
    <row r="14" spans="1:26" s="594" customFormat="1" ht="23.4" x14ac:dyDescent="0.3">
      <c r="A14" s="331" t="s">
        <v>505</v>
      </c>
      <c r="B14" s="332" t="s">
        <v>22</v>
      </c>
      <c r="C14" s="333"/>
      <c r="D14" s="1848"/>
      <c r="E14" s="1848"/>
      <c r="F14" s="1848"/>
      <c r="G14" s="1848"/>
      <c r="H14" s="1848"/>
      <c r="I14" s="1848"/>
      <c r="J14" s="1848"/>
      <c r="K14" s="334"/>
      <c r="L14" s="334"/>
      <c r="M14" s="334"/>
      <c r="N14" s="334"/>
      <c r="O14" s="334"/>
      <c r="P14" s="334"/>
      <c r="Q14" s="334"/>
      <c r="R14" s="334"/>
      <c r="S14" s="334"/>
      <c r="T14" s="334"/>
      <c r="U14" s="334"/>
      <c r="V14" s="334"/>
      <c r="W14" s="334"/>
      <c r="X14" s="334"/>
      <c r="Y14" s="335"/>
      <c r="Z14" s="335"/>
    </row>
    <row r="15" spans="1:26" ht="15.75" customHeight="1" thickBot="1" x14ac:dyDescent="0.35">
      <c r="A15" s="320"/>
      <c r="B15" s="43"/>
      <c r="C15" s="30"/>
      <c r="D15" s="43"/>
      <c r="E15" s="336"/>
      <c r="F15" s="336"/>
      <c r="G15" s="336"/>
      <c r="H15" s="336"/>
      <c r="I15" s="336"/>
      <c r="J15" s="336"/>
      <c r="K15" s="336"/>
      <c r="L15" s="49"/>
      <c r="M15" s="49"/>
      <c r="N15" s="49"/>
      <c r="O15" s="49"/>
      <c r="P15" s="49"/>
      <c r="Q15" s="49"/>
      <c r="R15" s="49"/>
      <c r="S15" s="49"/>
      <c r="T15" s="49"/>
      <c r="U15" s="49"/>
      <c r="V15" s="49"/>
      <c r="W15" s="49"/>
      <c r="X15" s="49"/>
      <c r="Y15" s="49"/>
      <c r="Z15" s="49"/>
    </row>
    <row r="16" spans="1:26" ht="15.75" customHeight="1" thickBot="1" x14ac:dyDescent="0.35">
      <c r="A16" s="320"/>
      <c r="B16" s="1508"/>
      <c r="C16" s="1508"/>
      <c r="D16" s="1508"/>
      <c r="E16" s="1508"/>
      <c r="F16" s="1508"/>
      <c r="G16" s="1508"/>
      <c r="H16" s="1508"/>
      <c r="I16" s="1508"/>
      <c r="J16" s="1508"/>
      <c r="K16" s="1508"/>
      <c r="L16" s="49"/>
      <c r="M16" s="49"/>
      <c r="N16" s="49"/>
      <c r="O16" s="1860" t="s">
        <v>23</v>
      </c>
      <c r="P16" s="1861"/>
      <c r="Q16" s="1861"/>
      <c r="R16" s="1862"/>
      <c r="S16" s="49"/>
      <c r="T16" s="49"/>
      <c r="U16" s="1863" t="s">
        <v>144</v>
      </c>
      <c r="V16" s="1864"/>
      <c r="W16" s="1864"/>
      <c r="X16" s="1865"/>
      <c r="Y16" s="49"/>
      <c r="Z16" s="49"/>
    </row>
    <row r="17" spans="1:26" ht="28.2" customHeight="1" thickBot="1" x14ac:dyDescent="0.35">
      <c r="A17" s="320"/>
      <c r="B17" s="1508"/>
      <c r="C17" s="1508"/>
      <c r="D17" s="1866" t="s">
        <v>23</v>
      </c>
      <c r="E17" s="1867"/>
      <c r="F17" s="1868"/>
      <c r="G17" s="1869" t="s">
        <v>144</v>
      </c>
      <c r="H17" s="1870"/>
      <c r="I17" s="1849" t="s">
        <v>24</v>
      </c>
      <c r="J17" s="1850"/>
      <c r="K17" s="1851"/>
      <c r="L17" s="49"/>
      <c r="M17" s="49"/>
      <c r="N17" s="49"/>
      <c r="O17" s="1860" t="s">
        <v>25</v>
      </c>
      <c r="P17" s="1861"/>
      <c r="Q17" s="1861"/>
      <c r="R17" s="1862"/>
      <c r="S17" s="49"/>
      <c r="T17" s="49"/>
      <c r="U17" s="1863" t="s">
        <v>25</v>
      </c>
      <c r="V17" s="1864"/>
      <c r="W17" s="1864"/>
      <c r="X17" s="1865"/>
      <c r="Y17" s="49"/>
      <c r="Z17" s="49"/>
    </row>
    <row r="18" spans="1:26" ht="15.75" customHeight="1" thickBot="1" x14ac:dyDescent="0.35">
      <c r="A18" s="320"/>
      <c r="B18" s="1508"/>
      <c r="C18" s="1508"/>
      <c r="D18" s="338" t="s">
        <v>26</v>
      </c>
      <c r="E18" s="1504" t="s">
        <v>27</v>
      </c>
      <c r="F18" s="339" t="s">
        <v>28</v>
      </c>
      <c r="G18" s="433" t="s">
        <v>29</v>
      </c>
      <c r="H18" s="433" t="s">
        <v>28</v>
      </c>
      <c r="I18" s="1852"/>
      <c r="J18" s="1853"/>
      <c r="K18" s="1854"/>
      <c r="L18" s="49"/>
      <c r="M18" s="49"/>
      <c r="N18" s="49"/>
      <c r="O18" s="1874" t="s">
        <v>30</v>
      </c>
      <c r="P18" s="1875"/>
      <c r="Q18" s="1874" t="s">
        <v>31</v>
      </c>
      <c r="R18" s="1875"/>
      <c r="S18" s="49"/>
      <c r="T18" s="49"/>
      <c r="U18" s="1876" t="s">
        <v>30</v>
      </c>
      <c r="V18" s="1877"/>
      <c r="W18" s="1876" t="s">
        <v>31</v>
      </c>
      <c r="X18" s="1877"/>
      <c r="Y18" s="49"/>
      <c r="Z18" s="49"/>
    </row>
    <row r="19" spans="1:26" ht="28.95" customHeight="1" thickBot="1" x14ac:dyDescent="0.35">
      <c r="A19" s="320"/>
      <c r="B19" s="1881" t="s">
        <v>32</v>
      </c>
      <c r="C19" s="1882"/>
      <c r="D19" s="340">
        <f>SUM(D20:D47)</f>
        <v>503666517.63227969</v>
      </c>
      <c r="E19" s="341"/>
      <c r="F19" s="342">
        <f>SUM(F20:F47)</f>
        <v>112982.22795916651</v>
      </c>
      <c r="G19" s="1510">
        <f>SUM(G20:G47)</f>
        <v>6474017.1900585927</v>
      </c>
      <c r="H19" s="1510">
        <f>SUM(H20:H47)</f>
        <v>1670.7065949952801</v>
      </c>
      <c r="I19" s="1871"/>
      <c r="J19" s="1872"/>
      <c r="K19" s="1873"/>
      <c r="L19" s="345"/>
      <c r="M19" s="49"/>
      <c r="N19" s="49"/>
      <c r="O19" s="346" t="s">
        <v>454</v>
      </c>
      <c r="P19" s="347" t="s">
        <v>455</v>
      </c>
      <c r="Q19" s="346" t="s">
        <v>456</v>
      </c>
      <c r="R19" s="347" t="s">
        <v>455</v>
      </c>
      <c r="S19" s="31"/>
      <c r="T19" s="49"/>
      <c r="U19" s="1510" t="s">
        <v>454</v>
      </c>
      <c r="V19" s="1510" t="s">
        <v>455</v>
      </c>
      <c r="W19" s="1510" t="s">
        <v>456</v>
      </c>
      <c r="X19" s="560" t="s">
        <v>455</v>
      </c>
      <c r="Y19" s="49"/>
      <c r="Z19" s="49"/>
    </row>
    <row r="20" spans="1:26" ht="15" customHeight="1" x14ac:dyDescent="0.3">
      <c r="A20" s="320" t="s">
        <v>372</v>
      </c>
      <c r="B20" s="1883" t="s">
        <v>36</v>
      </c>
      <c r="C20" s="649" t="s">
        <v>37</v>
      </c>
      <c r="D20" s="1420">
        <f>+'Q1'!D20+'Q2'!D20+'Q3'!D20+'Q4'!D20</f>
        <v>168448144.8333447</v>
      </c>
      <c r="E20" s="1421">
        <f>+O20+Q20</f>
        <v>0.27729999999999999</v>
      </c>
      <c r="F20" s="349">
        <f>P20+R20</f>
        <v>46710.670562286483</v>
      </c>
      <c r="G20" s="1048">
        <f>+'Q1'!G20+'Q2'!G20+'Q3'!G20+'Q4'!G20</f>
        <v>923544.80078125</v>
      </c>
      <c r="H20" s="561">
        <f>IF(Performance!$L$2="y",F20,E20*G20/1000)</f>
        <v>256.09897325664065</v>
      </c>
      <c r="I20" s="1886"/>
      <c r="J20" s="1887"/>
      <c r="K20" s="1888"/>
      <c r="L20" s="49"/>
      <c r="M20" s="49"/>
      <c r="N20" s="49"/>
      <c r="O20" s="62">
        <f>+'Emission Factors'!K7</f>
        <v>0.25559999999999999</v>
      </c>
      <c r="P20" s="32">
        <f>(D20*O20)/1000</f>
        <v>43055.345819402901</v>
      </c>
      <c r="Q20" s="63">
        <f>+'Emission Factors'!K8</f>
        <v>2.1700000000000001E-2</v>
      </c>
      <c r="R20" s="32">
        <f>(D20*Q20)/1000</f>
        <v>3655.3247428835798</v>
      </c>
      <c r="S20" s="31"/>
      <c r="T20" s="49"/>
      <c r="U20" s="64">
        <f>+O20</f>
        <v>0.25559999999999999</v>
      </c>
      <c r="V20" s="82">
        <f>IF(Performance!$L$2="y",P20,$G20*U20/1000)</f>
        <v>236.05805107968749</v>
      </c>
      <c r="W20" s="64">
        <f>+Q20</f>
        <v>2.1700000000000001E-2</v>
      </c>
      <c r="X20" s="33">
        <f>IF(Performance!$L$2="y",R20,$G20*W20/1000)</f>
        <v>20.040922176953124</v>
      </c>
      <c r="Y20" s="49"/>
      <c r="Z20" s="49"/>
    </row>
    <row r="21" spans="1:26" ht="15" customHeight="1" x14ac:dyDescent="0.3">
      <c r="A21" s="320" t="s">
        <v>372</v>
      </c>
      <c r="B21" s="1884"/>
      <c r="C21" s="649" t="s">
        <v>38</v>
      </c>
      <c r="D21" s="1420">
        <f>+'Q1'!D21+'Q2'!D21+'Q3'!D21+'Q4'!D21</f>
        <v>39576000</v>
      </c>
      <c r="E21" s="1422">
        <f>+O21+Q21</f>
        <v>0.27729999999999999</v>
      </c>
      <c r="F21" s="349">
        <f>P21+R21</f>
        <v>10974.424799999999</v>
      </c>
      <c r="G21" s="1048">
        <f>+'Q1'!G21+'Q2'!G21+'Q3'!G21+'Q4'!G21</f>
        <v>4199864</v>
      </c>
      <c r="H21" s="1171">
        <f>IF(Performance!$L$2="y",F21,E21*G21/1000)</f>
        <v>1164.6222871999998</v>
      </c>
      <c r="I21" s="1878"/>
      <c r="J21" s="1879"/>
      <c r="K21" s="1880"/>
      <c r="L21" s="49"/>
      <c r="M21" s="49"/>
      <c r="N21" s="49"/>
      <c r="O21" s="62">
        <f>+O20</f>
        <v>0.25559999999999999</v>
      </c>
      <c r="P21" s="32">
        <f>(D21*O21)/1000</f>
        <v>10115.625599999999</v>
      </c>
      <c r="Q21" s="63">
        <f>+Q20</f>
        <v>2.1700000000000001E-2</v>
      </c>
      <c r="R21" s="32">
        <f>(D21*Q21)/1000</f>
        <v>858.79920000000004</v>
      </c>
      <c r="S21" s="31"/>
      <c r="T21" s="49"/>
      <c r="U21" s="65">
        <f>+O21</f>
        <v>0.25559999999999999</v>
      </c>
      <c r="V21" s="83">
        <f>IF(Performance!$L$2="y",P21,$G21*U21/1000)</f>
        <v>1073.4852383999998</v>
      </c>
      <c r="W21" s="65">
        <f>+Q21</f>
        <v>2.1700000000000001E-2</v>
      </c>
      <c r="X21" s="34">
        <f>IF(Performance!$L$2="y",R21,$G21*W21/1000)</f>
        <v>91.137048800000002</v>
      </c>
      <c r="Y21" s="49"/>
      <c r="Z21" s="49"/>
    </row>
    <row r="22" spans="1:26" ht="17.25" customHeight="1" x14ac:dyDescent="0.3">
      <c r="A22" s="320" t="s">
        <v>372</v>
      </c>
      <c r="B22" s="1884"/>
      <c r="C22" s="649" t="s">
        <v>39</v>
      </c>
      <c r="D22" s="1420">
        <f>+'Q1'!D22+'Q2'!D22+'Q3'!D22+'Q4'!D22</f>
        <v>0</v>
      </c>
      <c r="E22" s="1422">
        <f>+O22+Q22</f>
        <v>0.27729999999999999</v>
      </c>
      <c r="F22" s="349">
        <f>P22+R22</f>
        <v>0</v>
      </c>
      <c r="G22" s="1048">
        <f>+'Q1'!G22+'Q2'!G22+'Q3'!G22+'Q4'!G22</f>
        <v>0</v>
      </c>
      <c r="H22" s="1171">
        <f>IF(Performance!$L$2="y",F22,E22*G22/1000)</f>
        <v>0</v>
      </c>
      <c r="I22" s="1878"/>
      <c r="J22" s="1879"/>
      <c r="K22" s="1880"/>
      <c r="L22" s="49"/>
      <c r="M22" s="49"/>
      <c r="N22" s="49"/>
      <c r="O22" s="62">
        <f>+O21</f>
        <v>0.25559999999999999</v>
      </c>
      <c r="P22" s="32">
        <f>(D22*O22)/1000</f>
        <v>0</v>
      </c>
      <c r="Q22" s="63">
        <f>+Q21</f>
        <v>2.1700000000000001E-2</v>
      </c>
      <c r="R22" s="32">
        <f>(D22*Q22)/1000</f>
        <v>0</v>
      </c>
      <c r="S22" s="31"/>
      <c r="T22" s="49"/>
      <c r="U22" s="65">
        <f>+O22</f>
        <v>0.25559999999999999</v>
      </c>
      <c r="V22" s="83">
        <f>IF(Performance!$L$2="y",P22,$G22*U22/1000)</f>
        <v>0</v>
      </c>
      <c r="W22" s="65">
        <f>+Q22</f>
        <v>2.1700000000000001E-2</v>
      </c>
      <c r="X22" s="34">
        <f>IF(Performance!$L$2="y",R22,$G22*W22/1000)</f>
        <v>0</v>
      </c>
      <c r="Y22" s="49"/>
      <c r="Z22" s="49"/>
    </row>
    <row r="23" spans="1:26" ht="17.25" customHeight="1" thickBot="1" x14ac:dyDescent="0.35">
      <c r="A23" s="320" t="s">
        <v>372</v>
      </c>
      <c r="B23" s="1884"/>
      <c r="C23" s="649" t="s">
        <v>40</v>
      </c>
      <c r="D23" s="1420">
        <f>+'Q1'!D23+'Q2'!D23+'Q3'!D23+'Q4'!D23</f>
        <v>0</v>
      </c>
      <c r="E23" s="1422">
        <f>+O23+Q23</f>
        <v>0.27729999999999999</v>
      </c>
      <c r="F23" s="349">
        <f>P23+R23</f>
        <v>0</v>
      </c>
      <c r="G23" s="1048">
        <f>+'Q1'!G23+'Q2'!G23+'Q3'!G23+'Q4'!G23</f>
        <v>0</v>
      </c>
      <c r="H23" s="1171">
        <f>IF(Performance!$L$2="y",F23,E23*G23/1000)</f>
        <v>0</v>
      </c>
      <c r="I23" s="1878"/>
      <c r="J23" s="1879"/>
      <c r="K23" s="1880"/>
      <c r="L23" s="49"/>
      <c r="M23" s="49"/>
      <c r="N23" s="49"/>
      <c r="O23" s="66">
        <f>+O22</f>
        <v>0.25559999999999999</v>
      </c>
      <c r="P23" s="35">
        <f>(D23*O23)/1000</f>
        <v>0</v>
      </c>
      <c r="Q23" s="67">
        <f>+Q22</f>
        <v>2.1700000000000001E-2</v>
      </c>
      <c r="R23" s="35">
        <f>(D23*Q23)/1000</f>
        <v>0</v>
      </c>
      <c r="S23" s="31"/>
      <c r="T23" s="49"/>
      <c r="U23" s="68">
        <f>+O23</f>
        <v>0.25559999999999999</v>
      </c>
      <c r="V23" s="84">
        <f>IF(Performance!$L$2="y",P23,$G23*U23/1000)</f>
        <v>0</v>
      </c>
      <c r="W23" s="68">
        <f>+Q23</f>
        <v>2.1700000000000001E-2</v>
      </c>
      <c r="X23" s="36">
        <f>IF(Performance!$L$2="y",R23,$G23*W23/1000)</f>
        <v>0</v>
      </c>
      <c r="Y23" s="49"/>
      <c r="Z23" s="49"/>
    </row>
    <row r="24" spans="1:26" ht="15.75" customHeight="1" thickBot="1" x14ac:dyDescent="0.35">
      <c r="A24" s="320" t="s">
        <v>370</v>
      </c>
      <c r="B24" s="1884"/>
      <c r="C24" s="37" t="s">
        <v>41</v>
      </c>
      <c r="D24" s="1420">
        <f>+'Q1'!D24+'Q2'!D24+'Q3'!D24+'Q4'!D24</f>
        <v>280931272.12155801</v>
      </c>
      <c r="E24" s="1423">
        <f>+'Emission Factors'!K11</f>
        <v>0.18385000000000001</v>
      </c>
      <c r="F24" s="349">
        <f>(D24*E24)/1000</f>
        <v>51649.214379548444</v>
      </c>
      <c r="G24" s="1048">
        <f>+'Q1'!G24+'Q2'!G24+'Q3'!G24+'Q4'!G24</f>
        <v>1327621.3892773432</v>
      </c>
      <c r="H24" s="1171">
        <f>IF(Performance!$L$2="y",F24,E24*G24/1000)</f>
        <v>244.08319241863956</v>
      </c>
      <c r="I24" s="1878"/>
      <c r="J24" s="1879"/>
      <c r="K24" s="1880"/>
      <c r="L24" s="49"/>
      <c r="M24" s="49"/>
      <c r="N24" s="49"/>
      <c r="O24" s="49"/>
      <c r="P24" s="49"/>
      <c r="Q24" s="49"/>
      <c r="R24" s="49"/>
      <c r="S24" s="49"/>
      <c r="T24" s="49"/>
      <c r="U24" s="49"/>
      <c r="V24" s="49"/>
      <c r="W24" s="49"/>
      <c r="X24" s="49"/>
      <c r="Y24" s="49"/>
      <c r="Z24" s="49"/>
    </row>
    <row r="25" spans="1:26" ht="15.75" customHeight="1" thickBot="1" x14ac:dyDescent="0.35">
      <c r="A25" s="320" t="s">
        <v>370</v>
      </c>
      <c r="B25" s="1884"/>
      <c r="C25" s="37" t="s">
        <v>42</v>
      </c>
      <c r="D25" s="1420">
        <f>+'Q1'!D25+'Q2'!D25+'Q3'!D25+'Q4'!D25</f>
        <v>13894833.880000001</v>
      </c>
      <c r="E25" s="1423">
        <f>+'Emission Factors'!K12</f>
        <v>0.25675999999999999</v>
      </c>
      <c r="F25" s="349">
        <f t="shared" ref="F25:F38" si="0">(D25*E25)/1000</f>
        <v>3567.6375470287999</v>
      </c>
      <c r="G25" s="1048">
        <f>+'Q1'!G25+'Q2'!G25+'Q3'!G25+'Q4'!G25</f>
        <v>22987</v>
      </c>
      <c r="H25" s="1171">
        <f>IF(Performance!$L$2="y",F25,E25*G25/1000)</f>
        <v>5.9021421199999997</v>
      </c>
      <c r="I25" s="1878"/>
      <c r="J25" s="1879"/>
      <c r="K25" s="1880"/>
      <c r="L25" s="49"/>
      <c r="M25" s="49"/>
      <c r="N25" s="49"/>
      <c r="O25" s="1860" t="s">
        <v>23</v>
      </c>
      <c r="P25" s="1861"/>
      <c r="Q25" s="1861"/>
      <c r="R25" s="1862"/>
      <c r="S25" s="49"/>
      <c r="T25" s="49"/>
      <c r="U25" s="1863" t="s">
        <v>144</v>
      </c>
      <c r="V25" s="1864"/>
      <c r="W25" s="1864"/>
      <c r="X25" s="1865"/>
      <c r="Y25" s="49"/>
      <c r="Z25" s="49"/>
    </row>
    <row r="26" spans="1:26" ht="13.5" customHeight="1" thickBot="1" x14ac:dyDescent="0.35">
      <c r="A26" s="320" t="s">
        <v>370</v>
      </c>
      <c r="B26" s="1884"/>
      <c r="C26" s="37" t="s">
        <v>43</v>
      </c>
      <c r="D26" s="1420">
        <f>+'Q1'!D26+'Q2'!D26+'Q3'!D26+'Q4'!D26</f>
        <v>321895.70999999996</v>
      </c>
      <c r="E26" s="1423">
        <f>+'Emission Factors'!K13</f>
        <v>0.21446999999999999</v>
      </c>
      <c r="F26" s="349">
        <f t="shared" si="0"/>
        <v>69.036972923699992</v>
      </c>
      <c r="G26" s="1048">
        <f>+'Q1'!G26+'Q2'!G26+'Q3'!G26+'Q4'!G26</f>
        <v>0</v>
      </c>
      <c r="H26" s="1171">
        <f>IF(Performance!$L$2="y",F26,E26*G26/1000)</f>
        <v>0</v>
      </c>
      <c r="I26" s="1878"/>
      <c r="J26" s="1879"/>
      <c r="K26" s="1880"/>
      <c r="L26" s="49"/>
      <c r="M26" s="49"/>
      <c r="N26" s="49"/>
      <c r="O26" s="1874" t="s">
        <v>44</v>
      </c>
      <c r="P26" s="1875"/>
      <c r="Q26" s="1874" t="s">
        <v>45</v>
      </c>
      <c r="R26" s="1875"/>
      <c r="S26" s="49"/>
      <c r="T26" s="49"/>
      <c r="U26" s="1876" t="s">
        <v>44</v>
      </c>
      <c r="V26" s="1877"/>
      <c r="W26" s="1876" t="s">
        <v>45</v>
      </c>
      <c r="X26" s="1877"/>
      <c r="Y26" s="49"/>
      <c r="Z26" s="49"/>
    </row>
    <row r="27" spans="1:26" ht="15.75" customHeight="1" x14ac:dyDescent="0.3">
      <c r="A27" s="320" t="s">
        <v>370</v>
      </c>
      <c r="B27" s="1884"/>
      <c r="C27" s="37" t="s">
        <v>46</v>
      </c>
      <c r="D27" s="1420">
        <f>+'Q1'!D27+'Q2'!D27+'Q3'!D27+'Q4'!D27</f>
        <v>0</v>
      </c>
      <c r="E27" s="1423">
        <f>+'Emission Factors'!K14</f>
        <v>0.34472999999999998</v>
      </c>
      <c r="F27" s="349">
        <f t="shared" si="0"/>
        <v>0</v>
      </c>
      <c r="G27" s="1048">
        <f>+'Q1'!G27+'Q2'!G27+'Q3'!G27+'Q4'!G27</f>
        <v>0</v>
      </c>
      <c r="H27" s="1171">
        <f>IF(Performance!$L$2="y",F27,E27*G27/1000)</f>
        <v>0</v>
      </c>
      <c r="I27" s="1878"/>
      <c r="J27" s="1879"/>
      <c r="K27" s="1880"/>
      <c r="L27" s="49"/>
      <c r="M27" s="49"/>
      <c r="N27" s="49"/>
      <c r="O27" s="1891" t="s">
        <v>454</v>
      </c>
      <c r="P27" s="1893" t="s">
        <v>455</v>
      </c>
      <c r="Q27" s="1891" t="s">
        <v>456</v>
      </c>
      <c r="R27" s="1893" t="s">
        <v>455</v>
      </c>
      <c r="S27" s="49"/>
      <c r="T27" s="49"/>
      <c r="U27" s="1889" t="s">
        <v>454</v>
      </c>
      <c r="V27" s="1889" t="s">
        <v>455</v>
      </c>
      <c r="W27" s="1889" t="s">
        <v>456</v>
      </c>
      <c r="X27" s="1889" t="s">
        <v>455</v>
      </c>
      <c r="Y27" s="49"/>
      <c r="Z27" s="49"/>
    </row>
    <row r="28" spans="1:26" ht="15.75" customHeight="1" thickBot="1" x14ac:dyDescent="0.35">
      <c r="A28" s="320" t="s">
        <v>370</v>
      </c>
      <c r="B28" s="1884"/>
      <c r="C28" s="37" t="s">
        <v>47</v>
      </c>
      <c r="D28" s="1420">
        <f>+'Q1'!D28+'Q2'!D28+'Q3'!D28+'Q4'!D28</f>
        <v>456532.26</v>
      </c>
      <c r="E28" s="1423">
        <f>+'Emission Factors'!K15</f>
        <v>1.5630000000000002E-2</v>
      </c>
      <c r="F28" s="349">
        <f t="shared" si="0"/>
        <v>7.1355992238000008</v>
      </c>
      <c r="G28" s="1048">
        <f>+'Q1'!G28+'Q2'!G28+'Q3'!G28+'Q4'!G28</f>
        <v>0</v>
      </c>
      <c r="H28" s="1171">
        <f>IF(Performance!$L$2="y",F28,E28*G28/1000)</f>
        <v>0</v>
      </c>
      <c r="I28" s="1878"/>
      <c r="J28" s="1879"/>
      <c r="K28" s="1880"/>
      <c r="L28" s="49"/>
      <c r="M28" s="49"/>
      <c r="N28" s="49"/>
      <c r="O28" s="1892"/>
      <c r="P28" s="1894"/>
      <c r="Q28" s="1892"/>
      <c r="R28" s="1894"/>
      <c r="S28" s="49"/>
      <c r="T28" s="49"/>
      <c r="U28" s="1890"/>
      <c r="V28" s="1890"/>
      <c r="W28" s="1890"/>
      <c r="X28" s="1890"/>
      <c r="Y28" s="49"/>
      <c r="Z28" s="49"/>
    </row>
    <row r="29" spans="1:26" ht="15.75" customHeight="1" thickBot="1" x14ac:dyDescent="0.35">
      <c r="A29" s="320" t="s">
        <v>372</v>
      </c>
      <c r="B29" s="1884"/>
      <c r="C29" s="649" t="s">
        <v>48</v>
      </c>
      <c r="D29" s="1420">
        <f>+'Q1'!D29+'Q2'!D29+'Q3'!D29+'Q4'!D29</f>
        <v>0</v>
      </c>
      <c r="E29" s="1423">
        <f>+O29+Q29</f>
        <v>0.18532999999999999</v>
      </c>
      <c r="F29" s="349">
        <f>P29+R29</f>
        <v>0</v>
      </c>
      <c r="G29" s="1048">
        <f>+'Q1'!G29+'Q2'!G29+'Q3'!G29+'Q4'!G29</f>
        <v>0</v>
      </c>
      <c r="H29" s="1171">
        <f>IF(Performance!$L$2="y",F29,E29*G29/1000)</f>
        <v>0</v>
      </c>
      <c r="I29" s="1878"/>
      <c r="J29" s="1879"/>
      <c r="K29" s="1880"/>
      <c r="L29" s="49"/>
      <c r="M29" s="49"/>
      <c r="N29" s="49"/>
      <c r="O29" s="70">
        <f>+'Emission Factors'!K33</f>
        <v>0.17605999999999999</v>
      </c>
      <c r="P29" s="38">
        <f>(D29*O29)/1000</f>
        <v>0</v>
      </c>
      <c r="Q29" s="71">
        <f>+'Emission Factors'!K34</f>
        <v>9.2700000000000005E-3</v>
      </c>
      <c r="R29" s="38">
        <f>(D29*Q29)/1000</f>
        <v>0</v>
      </c>
      <c r="S29" s="49"/>
      <c r="T29" s="49"/>
      <c r="U29" s="72">
        <f>+O29</f>
        <v>0.17605999999999999</v>
      </c>
      <c r="V29" s="39">
        <f>IF(Performance!$L$2="y",P29,$G29*U29/1000)</f>
        <v>0</v>
      </c>
      <c r="W29" s="73">
        <f>+Q29</f>
        <v>9.2700000000000005E-3</v>
      </c>
      <c r="X29" s="39">
        <f>IF(Performance!$L$2="y",R29,$G29*W29/1000)</f>
        <v>0</v>
      </c>
      <c r="Y29" s="49"/>
      <c r="Z29" s="49"/>
    </row>
    <row r="30" spans="1:26" ht="15.75" customHeight="1" thickBot="1" x14ac:dyDescent="0.35">
      <c r="A30" s="320" t="s">
        <v>372</v>
      </c>
      <c r="B30" s="1884"/>
      <c r="C30" s="37" t="s">
        <v>49</v>
      </c>
      <c r="D30" s="1420">
        <f>+'Q1'!D30+'Q2'!D30+'Q3'!D30+'Q4'!D30</f>
        <v>0</v>
      </c>
      <c r="E30" s="1423">
        <f>+'Emission Factors'!K17</f>
        <v>0</v>
      </c>
      <c r="F30" s="349">
        <f>(D30*E30)/1000</f>
        <v>0</v>
      </c>
      <c r="G30" s="1048">
        <f>+'Q1'!G30+'Q2'!G30+'Q3'!G30+'Q4'!G30</f>
        <v>0</v>
      </c>
      <c r="H30" s="1171">
        <f>IF(Performance!$L$2="y",F30,E30*G30/1000)</f>
        <v>0</v>
      </c>
      <c r="I30" s="1878"/>
      <c r="J30" s="1879"/>
      <c r="K30" s="1880"/>
      <c r="L30" s="49"/>
      <c r="M30" s="49"/>
      <c r="N30" s="49"/>
      <c r="O30" s="49"/>
      <c r="P30" s="49"/>
      <c r="Q30" s="49"/>
      <c r="R30" s="49"/>
      <c r="S30" s="49"/>
      <c r="T30" s="49"/>
      <c r="U30" s="49"/>
      <c r="V30" s="49"/>
      <c r="W30" s="49"/>
      <c r="X30" s="49"/>
      <c r="Y30" s="49"/>
      <c r="Z30" s="49"/>
    </row>
    <row r="31" spans="1:26" ht="23.25" customHeight="1" thickBot="1" x14ac:dyDescent="0.35">
      <c r="A31" s="320" t="s">
        <v>372</v>
      </c>
      <c r="B31" s="1884"/>
      <c r="C31" s="37" t="s">
        <v>50</v>
      </c>
      <c r="D31" s="1420">
        <f>+'Q1'!D31+'Q2'!D31+'Q3'!D31+'Q4'!D31</f>
        <v>0</v>
      </c>
      <c r="E31" s="1424">
        <f>IF(D31=0,0,1000*F31/D31)</f>
        <v>0</v>
      </c>
      <c r="F31" s="1420">
        <f>+'Q1'!F31+'Q2'!F31+'Q3'!F31+'Q4'!F31</f>
        <v>0</v>
      </c>
      <c r="G31" s="1048">
        <f>+'Q1'!G31+'Q2'!G31+'Q3'!G31+'Q4'!G31</f>
        <v>0</v>
      </c>
      <c r="H31" s="1171">
        <f>IF(Performance!$L$2="y",F31,E31*G31/1000)</f>
        <v>0</v>
      </c>
      <c r="I31" s="1878"/>
      <c r="J31" s="1879"/>
      <c r="K31" s="1880"/>
      <c r="L31" s="49"/>
      <c r="M31" s="49"/>
      <c r="N31" s="49"/>
      <c r="O31" s="1874" t="s">
        <v>511</v>
      </c>
      <c r="P31" s="1875"/>
      <c r="Q31" s="1874" t="s">
        <v>512</v>
      </c>
      <c r="R31" s="1875"/>
      <c r="S31" s="49"/>
      <c r="T31" s="49"/>
      <c r="U31" s="1876" t="s">
        <v>511</v>
      </c>
      <c r="V31" s="1877"/>
      <c r="W31" s="1876" t="s">
        <v>512</v>
      </c>
      <c r="X31" s="1877"/>
      <c r="Y31" s="49"/>
      <c r="Z31" s="49"/>
    </row>
    <row r="32" spans="1:26" ht="15" customHeight="1" thickBot="1" x14ac:dyDescent="0.35">
      <c r="A32" s="320" t="s">
        <v>372</v>
      </c>
      <c r="B32" s="1884"/>
      <c r="C32" s="37" t="s">
        <v>369</v>
      </c>
      <c r="D32" s="1420">
        <f>+'Q1'!D32+'Q2'!D32+'Q3'!D32+'Q4'!D32</f>
        <v>0</v>
      </c>
      <c r="E32" s="1423">
        <f>+O32+Q32</f>
        <v>0.26563604119443424</v>
      </c>
      <c r="F32" s="349">
        <f>P32+R32</f>
        <v>0</v>
      </c>
      <c r="G32" s="1048">
        <f>+'Q1'!G32+'Q2'!G32+'Q3'!G32+'Q4'!G32</f>
        <v>0</v>
      </c>
      <c r="H32" s="1171">
        <f>IF(Performance!$L$2="y",F32,E32*G32/1000)</f>
        <v>0</v>
      </c>
      <c r="I32" s="1878"/>
      <c r="J32" s="1879"/>
      <c r="K32" s="1880"/>
      <c r="L32" s="49"/>
      <c r="M32" s="49"/>
      <c r="N32" s="49"/>
      <c r="O32" s="70">
        <f>+'Emission Factors'!K31</f>
        <v>0.26563604119443424</v>
      </c>
      <c r="P32" s="38">
        <f>(D32*O32)/1000</f>
        <v>0</v>
      </c>
      <c r="Q32" s="71">
        <f>+'Emission Factors'!K32</f>
        <v>0</v>
      </c>
      <c r="R32" s="38">
        <f>(D32*Q32)/1000</f>
        <v>0</v>
      </c>
      <c r="S32" s="49"/>
      <c r="T32" s="49"/>
      <c r="U32" s="72">
        <f>+O32</f>
        <v>0.26563604119443424</v>
      </c>
      <c r="V32" s="39">
        <f>IF(Performance!$L$2="y",P32,$G32*U32/1000)</f>
        <v>0</v>
      </c>
      <c r="W32" s="73">
        <f>+Q32</f>
        <v>0</v>
      </c>
      <c r="X32" s="39">
        <f>IF(Performance!$L$2="y",R32,$G32*W32/1000)</f>
        <v>0</v>
      </c>
      <c r="Y32" s="49"/>
      <c r="Z32" s="49"/>
    </row>
    <row r="33" spans="1:26" ht="15.75" customHeight="1" x14ac:dyDescent="0.3">
      <c r="A33" s="320" t="s">
        <v>370</v>
      </c>
      <c r="B33" s="1884"/>
      <c r="C33" s="37" t="s">
        <v>514</v>
      </c>
      <c r="D33" s="1420">
        <f>+'Q1'!D33+'Q2'!D33+'Q3'!D33+'Q4'!D33</f>
        <v>0</v>
      </c>
      <c r="E33" s="1420">
        <f>IF(D33=0,0,1000*F33/D33)</f>
        <v>0</v>
      </c>
      <c r="F33" s="349">
        <f>+'Q1'!F33+'Q2'!F33+'Q3'!F33+'Q4'!F33</f>
        <v>0</v>
      </c>
      <c r="G33" s="1048">
        <f>+'Q1'!G33+'Q2'!G33+'Q3'!G33+'Q4'!G33</f>
        <v>0</v>
      </c>
      <c r="H33" s="1171">
        <f>IF(Performance!$L$2="y",F33,E33*G33/1000)</f>
        <v>0</v>
      </c>
      <c r="I33" s="1878"/>
      <c r="J33" s="1879"/>
      <c r="K33" s="1880"/>
      <c r="L33" s="49"/>
      <c r="M33" s="49"/>
      <c r="N33" s="49"/>
      <c r="O33" s="49"/>
      <c r="P33" s="49"/>
      <c r="Q33" s="49"/>
      <c r="R33" s="49"/>
      <c r="S33" s="49"/>
      <c r="T33" s="49"/>
      <c r="U33" s="49"/>
      <c r="V33" s="49"/>
      <c r="W33" s="49"/>
      <c r="X33" s="49"/>
      <c r="Y33" s="49"/>
      <c r="Z33" s="49"/>
    </row>
    <row r="34" spans="1:26" ht="15.75" customHeight="1" x14ac:dyDescent="0.3">
      <c r="A34" s="320"/>
      <c r="B34" s="1884"/>
      <c r="C34" s="37" t="s">
        <v>515</v>
      </c>
      <c r="D34" s="1420">
        <f>+'Q1'!D34+'Q2'!D34+'Q3'!D34+'Q4'!D34</f>
        <v>0</v>
      </c>
      <c r="E34" s="1420">
        <f t="shared" ref="E34:E35" si="1">IF(D34=0,0,1000*F34/D34)</f>
        <v>0</v>
      </c>
      <c r="F34" s="349">
        <f>+'Q1'!F34+'Q2'!F34+'Q3'!F34+'Q4'!F34</f>
        <v>0</v>
      </c>
      <c r="G34" s="1048">
        <f>+'Q1'!G34+'Q2'!G34+'Q3'!G34+'Q4'!G34</f>
        <v>0</v>
      </c>
      <c r="H34" s="1171">
        <f>IF(Performance!$L$2="y",F34,E34*G34/1000)</f>
        <v>0</v>
      </c>
      <c r="I34" s="1878"/>
      <c r="J34" s="1879"/>
      <c r="K34" s="1880"/>
      <c r="L34" s="49"/>
      <c r="M34" s="49"/>
      <c r="N34" s="49"/>
      <c r="O34" s="49"/>
      <c r="P34" s="49"/>
      <c r="Q34" s="49"/>
      <c r="R34" s="49"/>
      <c r="S34" s="49"/>
      <c r="T34" s="49"/>
      <c r="U34" s="49"/>
      <c r="V34" s="49"/>
      <c r="W34" s="49"/>
      <c r="X34" s="49"/>
      <c r="Y34" s="49"/>
      <c r="Z34" s="49"/>
    </row>
    <row r="35" spans="1:26" ht="15.75" customHeight="1" thickBot="1" x14ac:dyDescent="0.35">
      <c r="A35" s="320"/>
      <c r="B35" s="1885"/>
      <c r="C35" s="649" t="s">
        <v>516</v>
      </c>
      <c r="D35" s="1420">
        <f>+'Q1'!D35+'Q2'!D35+'Q3'!D35+'Q4'!D35</f>
        <v>16648.827377049172</v>
      </c>
      <c r="E35" s="1420">
        <f t="shared" si="1"/>
        <v>0.24674999999999994</v>
      </c>
      <c r="F35" s="349">
        <f>+'Q1'!F35+'Q2'!F35+'Q3'!F35+'Q4'!F35</f>
        <v>4.1080981552868829</v>
      </c>
      <c r="G35" s="1048">
        <f>+'Q1'!G35+'Q2'!G35+'Q3'!G35+'Q4'!G35</f>
        <v>0</v>
      </c>
      <c r="H35" s="1171">
        <f>IF(Performance!$L$2="y",F35,E35*G35/1000)</f>
        <v>0</v>
      </c>
      <c r="I35" s="1878"/>
      <c r="J35" s="1879"/>
      <c r="K35" s="1880"/>
      <c r="L35" s="49"/>
      <c r="M35" s="49"/>
      <c r="N35" s="49"/>
      <c r="O35" s="49"/>
      <c r="P35" s="49"/>
      <c r="Q35" s="49"/>
      <c r="R35" s="49"/>
      <c r="S35" s="49"/>
      <c r="T35" s="49"/>
      <c r="U35" s="49"/>
      <c r="V35" s="49"/>
      <c r="W35" s="49"/>
      <c r="X35" s="49"/>
      <c r="Y35" s="49"/>
      <c r="Z35" s="49"/>
    </row>
    <row r="36" spans="1:26" ht="15" customHeight="1" x14ac:dyDescent="0.3">
      <c r="A36" s="320" t="s">
        <v>370</v>
      </c>
      <c r="B36" s="1883" t="s">
        <v>53</v>
      </c>
      <c r="C36" s="184" t="s">
        <v>54</v>
      </c>
      <c r="D36" s="350">
        <f>+'Q1'!D36+'Q2'!D36+'Q3'!D36+'Q4'!D36</f>
        <v>21190</v>
      </c>
      <c r="E36" s="151">
        <f>+'Emission Factors'!K21</f>
        <v>0</v>
      </c>
      <c r="F36" s="356">
        <f t="shared" si="0"/>
        <v>0</v>
      </c>
      <c r="G36" s="350">
        <f>+'Q1'!G36+'Q2'!G36+'Q3'!G36+'Q4'!G36</f>
        <v>0</v>
      </c>
      <c r="H36" s="561">
        <f>IF(Performance!$L$2="y",F36,E36*G36/1000)</f>
        <v>0</v>
      </c>
      <c r="I36" s="1886"/>
      <c r="J36" s="1887"/>
      <c r="K36" s="1888"/>
      <c r="L36" s="49"/>
      <c r="M36" s="49"/>
      <c r="N36" s="49"/>
      <c r="O36" s="49"/>
      <c r="P36" s="49"/>
      <c r="Q36" s="49"/>
      <c r="R36" s="49"/>
      <c r="S36" s="49"/>
      <c r="T36" s="49"/>
      <c r="U36" s="49"/>
      <c r="V36" s="49"/>
      <c r="W36" s="49"/>
      <c r="X36" s="49"/>
      <c r="Y36" s="49"/>
      <c r="Z36" s="49"/>
    </row>
    <row r="37" spans="1:26" ht="15" customHeight="1" x14ac:dyDescent="0.3">
      <c r="A37" s="320" t="s">
        <v>370</v>
      </c>
      <c r="B37" s="1884"/>
      <c r="C37" s="37" t="s">
        <v>55</v>
      </c>
      <c r="D37" s="348">
        <f>+'Q1'!D37+'Q2'!D37+'Q3'!D37+'Q4'!D37</f>
        <v>0</v>
      </c>
      <c r="E37" s="69">
        <f>+'Emission Factors'!K22</f>
        <v>0</v>
      </c>
      <c r="F37" s="85">
        <f t="shared" si="0"/>
        <v>0</v>
      </c>
      <c r="G37" s="348">
        <f>+'Q1'!G37+'Q2'!G37+'Q3'!G37+'Q4'!G37</f>
        <v>0</v>
      </c>
      <c r="H37" s="1171">
        <f>IF(Performance!$L$2="y",F37,E37*G37/1000)</f>
        <v>0</v>
      </c>
      <c r="I37" s="1878"/>
      <c r="J37" s="1879"/>
      <c r="K37" s="1880"/>
      <c r="L37" s="49"/>
      <c r="M37" s="49"/>
      <c r="N37" s="49"/>
      <c r="O37" s="49"/>
      <c r="P37" s="49"/>
      <c r="Q37" s="49"/>
      <c r="R37" s="49"/>
      <c r="S37" s="49"/>
      <c r="T37" s="49"/>
      <c r="U37" s="49"/>
      <c r="V37" s="49"/>
      <c r="W37" s="49"/>
      <c r="X37" s="49"/>
      <c r="Y37" s="49"/>
      <c r="Z37" s="49"/>
    </row>
    <row r="38" spans="1:26" ht="15" customHeight="1" x14ac:dyDescent="0.3">
      <c r="A38" s="320" t="s">
        <v>370</v>
      </c>
      <c r="B38" s="1884"/>
      <c r="C38" s="37" t="s">
        <v>56</v>
      </c>
      <c r="D38" s="348">
        <f>+'Q1'!D38+'Q2'!D38+'Q3'!D38+'Q4'!D38</f>
        <v>0</v>
      </c>
      <c r="E38" s="69">
        <f>+'Emission Factors'!K23</f>
        <v>0</v>
      </c>
      <c r="F38" s="85">
        <f t="shared" si="0"/>
        <v>0</v>
      </c>
      <c r="G38" s="348">
        <f>+'Q1'!G38+'Q2'!G38+'Q3'!G38+'Q4'!G38</f>
        <v>0</v>
      </c>
      <c r="H38" s="1171">
        <f>IF(Performance!$L$2="y",F38,E38*G38/1000)</f>
        <v>0</v>
      </c>
      <c r="I38" s="1878"/>
      <c r="J38" s="1879"/>
      <c r="K38" s="1880"/>
      <c r="L38" s="49"/>
      <c r="M38" s="49"/>
      <c r="N38" s="49"/>
      <c r="O38" s="49"/>
      <c r="P38" s="49"/>
      <c r="Q38" s="49"/>
      <c r="R38" s="49"/>
      <c r="S38" s="49"/>
      <c r="T38" s="49"/>
      <c r="U38" s="49"/>
      <c r="V38" s="49"/>
      <c r="W38" s="49"/>
      <c r="X38" s="49"/>
      <c r="Y38" s="49"/>
      <c r="Z38" s="49"/>
    </row>
    <row r="39" spans="1:26" ht="15" customHeight="1" x14ac:dyDescent="0.3">
      <c r="A39" s="320" t="s">
        <v>370</v>
      </c>
      <c r="B39" s="1884"/>
      <c r="C39" s="37" t="s">
        <v>410</v>
      </c>
      <c r="D39" s="348">
        <f>+'Q1'!D39+'Q2'!D39+'Q3'!D39+'Q4'!D39</f>
        <v>0</v>
      </c>
      <c r="E39" s="351">
        <f>IF(D39=0,0,1000*F39/D39)</f>
        <v>0</v>
      </c>
      <c r="F39" s="85">
        <f>+'Q1'!F39+'Q2'!F39+'Q3'!F39+'Q4'!F39</f>
        <v>0</v>
      </c>
      <c r="G39" s="348">
        <f>+'Q1'!G39+'Q2'!G39+'Q3'!G39+'Q4'!G39</f>
        <v>0</v>
      </c>
      <c r="H39" s="1171">
        <f>IF(Performance!$L$2="y",F39,E39*G39/1000)</f>
        <v>0</v>
      </c>
      <c r="I39" s="1878"/>
      <c r="J39" s="1879"/>
      <c r="K39" s="1880"/>
      <c r="L39" s="49"/>
      <c r="M39" s="49"/>
      <c r="N39" s="49"/>
      <c r="O39" s="49"/>
      <c r="P39" s="49"/>
      <c r="Q39" s="49"/>
      <c r="R39" s="49"/>
      <c r="S39" s="49"/>
      <c r="T39" s="49"/>
      <c r="U39" s="49"/>
      <c r="V39" s="49"/>
      <c r="W39" s="49"/>
      <c r="X39" s="49"/>
      <c r="Y39" s="49"/>
      <c r="Z39" s="49"/>
    </row>
    <row r="40" spans="1:26" ht="15" customHeight="1" x14ac:dyDescent="0.3">
      <c r="A40" s="320"/>
      <c r="B40" s="1884"/>
      <c r="C40" s="37" t="s">
        <v>411</v>
      </c>
      <c r="D40" s="348">
        <f>+'Q1'!D40+'Q2'!D40+'Q3'!D40+'Q4'!D40</f>
        <v>0</v>
      </c>
      <c r="E40" s="351">
        <f t="shared" ref="E40:E41" si="2">IF(D40=0,0,1000*F40/D40)</f>
        <v>0</v>
      </c>
      <c r="F40" s="85">
        <f>+'Q1'!F40+'Q2'!F40+'Q3'!F40+'Q4'!F40</f>
        <v>0</v>
      </c>
      <c r="G40" s="348">
        <f>+'Q1'!G40+'Q2'!G40+'Q3'!G40+'Q4'!G40</f>
        <v>0</v>
      </c>
      <c r="H40" s="1171">
        <f>IF(Performance!$L$2="y",F40,E40*G40/1000)</f>
        <v>0</v>
      </c>
      <c r="I40" s="1499"/>
      <c r="J40" s="1500"/>
      <c r="K40" s="1501"/>
      <c r="L40" s="49"/>
      <c r="M40" s="49"/>
      <c r="N40" s="49"/>
      <c r="O40" s="49"/>
      <c r="P40" s="49"/>
      <c r="Q40" s="49"/>
      <c r="R40" s="49"/>
      <c r="S40" s="49"/>
      <c r="T40" s="49"/>
      <c r="U40" s="49"/>
      <c r="V40" s="49"/>
      <c r="W40" s="49"/>
      <c r="X40" s="49"/>
      <c r="Y40" s="49"/>
      <c r="Z40" s="49"/>
    </row>
    <row r="41" spans="1:26" ht="15" customHeight="1" x14ac:dyDescent="0.3">
      <c r="A41" s="320"/>
      <c r="B41" s="1884"/>
      <c r="C41" s="37" t="s">
        <v>412</v>
      </c>
      <c r="D41" s="348">
        <f>+'Q1'!D41+'Q2'!D41+'Q3'!D41+'Q4'!D41</f>
        <v>0</v>
      </c>
      <c r="E41" s="351">
        <f t="shared" si="2"/>
        <v>0</v>
      </c>
      <c r="F41" s="85">
        <f>+'Q1'!F41+'Q2'!F41+'Q3'!F41+'Q4'!F41</f>
        <v>0</v>
      </c>
      <c r="G41" s="348">
        <f>+'Q1'!G41+'Q2'!G41+'Q3'!G41+'Q4'!G41</f>
        <v>0</v>
      </c>
      <c r="H41" s="1171">
        <f>IF(Performance!$L$2="y",F41,E41*G41/1000)</f>
        <v>0</v>
      </c>
      <c r="I41" s="1499"/>
      <c r="J41" s="1500"/>
      <c r="K41" s="1501"/>
      <c r="L41" s="49"/>
      <c r="M41" s="49"/>
      <c r="N41" s="49"/>
      <c r="O41" s="49"/>
      <c r="P41" s="49"/>
      <c r="Q41" s="49"/>
      <c r="R41" s="49"/>
      <c r="S41" s="49"/>
      <c r="T41" s="49"/>
      <c r="U41" s="49"/>
      <c r="V41" s="49"/>
      <c r="W41" s="49"/>
      <c r="X41" s="49"/>
      <c r="Y41" s="49"/>
      <c r="Z41" s="49"/>
    </row>
    <row r="42" spans="1:26" ht="15" customHeight="1" x14ac:dyDescent="0.3">
      <c r="A42" s="320" t="s">
        <v>370</v>
      </c>
      <c r="B42" s="1884"/>
      <c r="C42" s="357" t="s">
        <v>57</v>
      </c>
      <c r="D42" s="348">
        <f>+'Q1'!D42+'Q2'!D42+'Q3'!D42+'Q4'!D42</f>
        <v>0</v>
      </c>
      <c r="E42" s="69" t="str">
        <f t="shared" ref="E42:E47" si="3">IF(D42&gt;0,F42/D42*1000,"")</f>
        <v/>
      </c>
      <c r="F42" s="348">
        <f>+'Q1'!F42+'Q2'!F42+'Q3'!F42+'Q4'!F42</f>
        <v>0</v>
      </c>
      <c r="G42" s="348">
        <f>+'Q1'!G42+'Q2'!G42+'Q3'!G42+'Q4'!G42</f>
        <v>0</v>
      </c>
      <c r="H42" s="40">
        <f>+'Q1'!H42+'Q2'!H42+'Q3'!H42+'Q4'!H42</f>
        <v>0</v>
      </c>
      <c r="I42" s="1878"/>
      <c r="J42" s="1879"/>
      <c r="K42" s="1880"/>
      <c r="L42" s="49"/>
      <c r="M42" s="49"/>
      <c r="N42" s="49"/>
      <c r="O42" s="49"/>
      <c r="P42" s="49"/>
      <c r="Q42" s="49"/>
      <c r="R42" s="49"/>
      <c r="S42" s="49"/>
      <c r="T42" s="49"/>
      <c r="U42" s="49"/>
      <c r="V42" s="49"/>
      <c r="W42" s="49"/>
      <c r="X42" s="49"/>
      <c r="Y42" s="49"/>
      <c r="Z42" s="49"/>
    </row>
    <row r="43" spans="1:26" ht="15" customHeight="1" x14ac:dyDescent="0.3">
      <c r="A43" s="320" t="s">
        <v>370</v>
      </c>
      <c r="B43" s="1884"/>
      <c r="C43" s="357" t="s">
        <v>58</v>
      </c>
      <c r="D43" s="348">
        <f>+'Q1'!D43+'Q2'!D43+'Q3'!D43+'Q4'!D43</f>
        <v>0</v>
      </c>
      <c r="E43" s="69" t="str">
        <f t="shared" si="3"/>
        <v/>
      </c>
      <c r="F43" s="348">
        <f>+'Q1'!F43+'Q2'!F43+'Q3'!F43+'Q4'!F43</f>
        <v>0</v>
      </c>
      <c r="G43" s="348">
        <f>+'Q1'!G43+'Q2'!G43+'Q3'!G43+'Q4'!G43</f>
        <v>0</v>
      </c>
      <c r="H43" s="40">
        <f>+'Q1'!H43+'Q2'!H43+'Q3'!H43+'Q4'!H43</f>
        <v>0</v>
      </c>
      <c r="I43" s="1878"/>
      <c r="J43" s="1879"/>
      <c r="K43" s="1880"/>
      <c r="L43" s="49"/>
      <c r="M43" s="49"/>
      <c r="N43" s="49"/>
      <c r="O43" s="49"/>
      <c r="P43" s="49"/>
      <c r="Q43" s="49"/>
      <c r="R43" s="49"/>
      <c r="S43" s="49"/>
      <c r="T43" s="49"/>
      <c r="U43" s="49"/>
      <c r="V43" s="49"/>
      <c r="W43" s="49"/>
      <c r="X43" s="49"/>
      <c r="Y43" s="49"/>
      <c r="Z43" s="49"/>
    </row>
    <row r="44" spans="1:26" ht="15" customHeight="1" x14ac:dyDescent="0.3">
      <c r="A44" s="320" t="s">
        <v>370</v>
      </c>
      <c r="B44" s="1884"/>
      <c r="C44" s="357" t="s">
        <v>59</v>
      </c>
      <c r="D44" s="348">
        <f>+'Q1'!D44+'Q2'!D44+'Q3'!D44+'Q4'!D44</f>
        <v>0</v>
      </c>
      <c r="E44" s="69" t="str">
        <f t="shared" si="3"/>
        <v/>
      </c>
      <c r="F44" s="348">
        <f>+'Q1'!F44+'Q2'!F44+'Q3'!F44+'Q4'!F44</f>
        <v>0</v>
      </c>
      <c r="G44" s="348">
        <f>+'Q1'!G44+'Q2'!G44+'Q3'!G44+'Q4'!G44</f>
        <v>0</v>
      </c>
      <c r="H44" s="40">
        <f>+'Q1'!H44+'Q2'!H44+'Q3'!H44+'Q4'!H44</f>
        <v>0</v>
      </c>
      <c r="I44" s="1878"/>
      <c r="J44" s="1879"/>
      <c r="K44" s="1880"/>
      <c r="L44" s="49"/>
      <c r="M44" s="49"/>
      <c r="N44" s="49"/>
      <c r="O44" s="49"/>
      <c r="P44" s="49"/>
      <c r="Q44" s="49"/>
      <c r="R44" s="49"/>
      <c r="S44" s="49"/>
      <c r="T44" s="49"/>
      <c r="U44" s="49"/>
      <c r="V44" s="49"/>
      <c r="W44" s="49"/>
      <c r="X44" s="49"/>
      <c r="Y44" s="49"/>
      <c r="Z44" s="49"/>
    </row>
    <row r="45" spans="1:26" ht="15" customHeight="1" x14ac:dyDescent="0.3">
      <c r="A45" s="320" t="s">
        <v>370</v>
      </c>
      <c r="B45" s="1884"/>
      <c r="C45" s="357" t="s">
        <v>60</v>
      </c>
      <c r="D45" s="348">
        <f>+'Q1'!D45+'Q2'!D45+'Q3'!D45+'Q4'!D45</f>
        <v>0</v>
      </c>
      <c r="E45" s="69" t="str">
        <f t="shared" si="3"/>
        <v/>
      </c>
      <c r="F45" s="348">
        <f>+'Q1'!F45+'Q2'!F45+'Q3'!F45+'Q4'!F45</f>
        <v>0</v>
      </c>
      <c r="G45" s="348">
        <f>+'Q1'!G45+'Q2'!G45+'Q3'!G45+'Q4'!G45</f>
        <v>0</v>
      </c>
      <c r="H45" s="40">
        <f>+'Q1'!H45+'Q2'!H45+'Q3'!H45+'Q4'!H45</f>
        <v>0</v>
      </c>
      <c r="I45" s="1878"/>
      <c r="J45" s="1879"/>
      <c r="K45" s="1880"/>
      <c r="L45" s="49"/>
      <c r="M45" s="49"/>
      <c r="N45" s="49"/>
      <c r="O45" s="49"/>
      <c r="P45" s="49"/>
      <c r="Q45" s="49"/>
      <c r="R45" s="49"/>
      <c r="S45" s="49"/>
      <c r="T45" s="49"/>
      <c r="U45" s="49"/>
      <c r="V45" s="49"/>
      <c r="W45" s="49"/>
      <c r="X45" s="49"/>
      <c r="Y45" s="49"/>
      <c r="Z45" s="49"/>
    </row>
    <row r="46" spans="1:26" ht="15" customHeight="1" x14ac:dyDescent="0.3">
      <c r="A46" s="320" t="s">
        <v>370</v>
      </c>
      <c r="B46" s="1884"/>
      <c r="C46" s="357" t="s">
        <v>61</v>
      </c>
      <c r="D46" s="348">
        <f>+'Q1'!D46+'Q2'!D46+'Q3'!D46+'Q4'!D46</f>
        <v>0</v>
      </c>
      <c r="E46" s="69" t="str">
        <f t="shared" si="3"/>
        <v/>
      </c>
      <c r="F46" s="348">
        <f>+'Q1'!F46+'Q2'!F46+'Q3'!F46+'Q4'!F46</f>
        <v>0</v>
      </c>
      <c r="G46" s="348">
        <f>+'Q1'!G46+'Q2'!G46+'Q3'!G46+'Q4'!G46</f>
        <v>0</v>
      </c>
      <c r="H46" s="40">
        <f>+'Q1'!H46+'Q2'!H46+'Q3'!H46+'Q4'!H46</f>
        <v>0</v>
      </c>
      <c r="I46" s="1878"/>
      <c r="J46" s="1879"/>
      <c r="K46" s="1880"/>
      <c r="L46" s="49"/>
      <c r="M46" s="49"/>
      <c r="N46" s="49"/>
      <c r="O46" s="49"/>
      <c r="P46" s="49"/>
      <c r="Q46" s="49"/>
      <c r="R46" s="49"/>
      <c r="S46" s="49"/>
      <c r="T46" s="49"/>
      <c r="U46" s="49"/>
      <c r="V46" s="49"/>
      <c r="W46" s="49"/>
      <c r="X46" s="49"/>
      <c r="Y46" s="49"/>
      <c r="Z46" s="49"/>
    </row>
    <row r="47" spans="1:26" ht="15.75" customHeight="1" thickBot="1" x14ac:dyDescent="0.35">
      <c r="A47" s="320" t="s">
        <v>370</v>
      </c>
      <c r="B47" s="1885"/>
      <c r="C47" s="358" t="s">
        <v>62</v>
      </c>
      <c r="D47" s="354">
        <f>+'Q1'!D47+'Q2'!D47+'Q3'!D47+'Q4'!D47</f>
        <v>0</v>
      </c>
      <c r="E47" s="172" t="str">
        <f t="shared" si="3"/>
        <v/>
      </c>
      <c r="F47" s="354">
        <f>+'Q1'!F47+'Q2'!F47+'Q3'!F47+'Q4'!F47</f>
        <v>0</v>
      </c>
      <c r="G47" s="354">
        <f>+'Q1'!G47+'Q2'!G47+'Q3'!G47+'Q4'!G47</f>
        <v>0</v>
      </c>
      <c r="H47" s="190">
        <f>+'Q1'!H47+'Q2'!H47+'Q3'!H47+'Q4'!H47</f>
        <v>0</v>
      </c>
      <c r="I47" s="1895"/>
      <c r="J47" s="1896"/>
      <c r="K47" s="1897"/>
      <c r="L47" s="49"/>
      <c r="M47" s="49"/>
      <c r="N47" s="49"/>
      <c r="O47" s="49"/>
      <c r="P47" s="49"/>
      <c r="Q47" s="49"/>
      <c r="R47" s="49"/>
      <c r="S47" s="49"/>
      <c r="T47" s="49"/>
      <c r="U47" s="49"/>
      <c r="V47" s="49"/>
      <c r="W47" s="49"/>
      <c r="X47" s="49"/>
      <c r="Y47" s="49"/>
      <c r="Z47" s="49"/>
    </row>
    <row r="48" spans="1:26" x14ac:dyDescent="0.3">
      <c r="A48" s="320"/>
      <c r="B48" s="49" t="s">
        <v>63</v>
      </c>
      <c r="C48" s="1508"/>
      <c r="D48" s="1508"/>
      <c r="E48" s="1508"/>
      <c r="F48" s="1508"/>
      <c r="G48" s="1508"/>
      <c r="H48" s="1508"/>
      <c r="I48" s="1508"/>
      <c r="J48" s="1508"/>
      <c r="K48" s="1508"/>
      <c r="L48" s="49"/>
      <c r="M48" s="49"/>
      <c r="N48" s="49"/>
      <c r="O48" s="49"/>
      <c r="P48" s="49"/>
      <c r="Q48" s="49"/>
      <c r="R48" s="49"/>
      <c r="S48" s="49"/>
      <c r="T48" s="49"/>
      <c r="U48" s="49"/>
      <c r="V48" s="49"/>
      <c r="W48" s="49"/>
      <c r="X48" s="49"/>
      <c r="Y48" s="49"/>
      <c r="Z48" s="49"/>
    </row>
    <row r="49" spans="1:26" s="594" customFormat="1" ht="23.4" x14ac:dyDescent="0.3">
      <c r="A49" s="331" t="s">
        <v>506</v>
      </c>
      <c r="B49" s="332" t="s">
        <v>65</v>
      </c>
      <c r="C49" s="333"/>
      <c r="D49" s="1848" t="str">
        <f>+$A$1</f>
        <v>Annual - 2019-2020</v>
      </c>
      <c r="E49" s="1848"/>
      <c r="F49" s="1848"/>
      <c r="G49" s="1848"/>
      <c r="H49" s="1848"/>
      <c r="I49" s="1848"/>
      <c r="J49" s="1848"/>
      <c r="K49" s="334"/>
      <c r="L49" s="334"/>
      <c r="M49" s="334"/>
      <c r="N49" s="334"/>
      <c r="O49" s="334"/>
      <c r="P49" s="334"/>
      <c r="Q49" s="334"/>
      <c r="R49" s="334"/>
      <c r="S49" s="334"/>
      <c r="T49" s="334"/>
      <c r="U49" s="334"/>
      <c r="V49" s="334"/>
      <c r="W49" s="334"/>
      <c r="X49" s="334"/>
      <c r="Y49" s="335"/>
      <c r="Z49" s="335"/>
    </row>
    <row r="50" spans="1:26" ht="14.4" thickBot="1" x14ac:dyDescent="0.35">
      <c r="A50" s="320"/>
      <c r="B50" s="43" t="s">
        <v>66</v>
      </c>
      <c r="C50" s="359"/>
      <c r="D50" s="1508"/>
      <c r="E50" s="1508"/>
      <c r="F50" s="1508"/>
      <c r="G50" s="1508"/>
      <c r="H50" s="1508"/>
      <c r="I50" s="1508"/>
      <c r="J50" s="1508"/>
      <c r="K50" s="1508"/>
      <c r="L50" s="49"/>
      <c r="M50" s="49"/>
      <c r="N50" s="49"/>
      <c r="O50" s="49"/>
      <c r="P50" s="49"/>
      <c r="Q50" s="49"/>
      <c r="R50" s="49"/>
      <c r="S50" s="49"/>
      <c r="T50" s="49"/>
      <c r="U50" s="49"/>
      <c r="V50" s="49"/>
      <c r="W50" s="49"/>
      <c r="X50" s="49"/>
      <c r="Y50" s="49"/>
      <c r="Z50" s="49"/>
    </row>
    <row r="51" spans="1:26" ht="30" customHeight="1" thickBot="1" x14ac:dyDescent="0.35">
      <c r="A51" s="320"/>
      <c r="B51" s="49"/>
      <c r="C51" s="49"/>
      <c r="D51" s="1898" t="s">
        <v>23</v>
      </c>
      <c r="E51" s="1899"/>
      <c r="F51" s="1900"/>
      <c r="G51" s="1901" t="s">
        <v>144</v>
      </c>
      <c r="H51" s="1902"/>
      <c r="I51" s="1903" t="s">
        <v>24</v>
      </c>
      <c r="J51" s="1904"/>
      <c r="K51" s="1905"/>
      <c r="L51" s="49"/>
      <c r="M51" s="49"/>
      <c r="N51" s="49"/>
      <c r="O51" s="49"/>
      <c r="P51" s="49"/>
      <c r="Q51" s="49"/>
      <c r="R51" s="49"/>
      <c r="S51" s="49"/>
      <c r="T51" s="49"/>
      <c r="U51" s="49"/>
      <c r="V51" s="49"/>
      <c r="W51" s="49"/>
      <c r="X51" s="49"/>
      <c r="Y51" s="49"/>
      <c r="Z51" s="49"/>
    </row>
    <row r="52" spans="1:26" ht="39" customHeight="1" thickBot="1" x14ac:dyDescent="0.35">
      <c r="A52" s="320"/>
      <c r="B52" s="360"/>
      <c r="C52" s="359"/>
      <c r="D52" s="51" t="s">
        <v>67</v>
      </c>
      <c r="E52" s="41" t="s">
        <v>68</v>
      </c>
      <c r="F52" s="361" t="s">
        <v>28</v>
      </c>
      <c r="G52" s="433" t="s">
        <v>67</v>
      </c>
      <c r="H52" s="433" t="s">
        <v>28</v>
      </c>
      <c r="I52" s="1906"/>
      <c r="J52" s="1907"/>
      <c r="K52" s="1908"/>
      <c r="L52" s="49"/>
      <c r="M52" s="49"/>
      <c r="N52" s="49"/>
      <c r="O52" s="49"/>
      <c r="P52" s="49"/>
      <c r="Q52" s="49"/>
      <c r="R52" s="49"/>
      <c r="S52" s="49"/>
      <c r="T52" s="49"/>
      <c r="U52" s="49"/>
      <c r="V52" s="49"/>
      <c r="W52" s="49"/>
      <c r="X52" s="49"/>
      <c r="Y52" s="49"/>
      <c r="Z52" s="49"/>
    </row>
    <row r="53" spans="1:26" ht="13.5" customHeight="1" thickBot="1" x14ac:dyDescent="0.35">
      <c r="A53" s="320" t="s">
        <v>370</v>
      </c>
      <c r="B53" s="1924" t="s">
        <v>69</v>
      </c>
      <c r="C53" s="1925"/>
      <c r="D53" s="363">
        <f>+'Q1'!D53+'Q2'!D53+'Q3'!D53+'Q4'!D53</f>
        <v>0</v>
      </c>
      <c r="E53" s="1173"/>
      <c r="F53" s="42">
        <f>D53/1000</f>
        <v>0</v>
      </c>
      <c r="G53" s="461">
        <f>+'Q1'!G53+'Q2'!G53+'Q3'!G53+'Q4'!G53</f>
        <v>0</v>
      </c>
      <c r="H53" s="651">
        <f>IF(Performance!L2="y",F53,G53/1000)</f>
        <v>0</v>
      </c>
      <c r="I53" s="1926"/>
      <c r="J53" s="1927"/>
      <c r="K53" s="1928"/>
      <c r="L53" s="49"/>
      <c r="M53" s="49"/>
      <c r="N53" s="49"/>
      <c r="O53" s="49"/>
      <c r="P53" s="49"/>
      <c r="Q53" s="49"/>
      <c r="R53" s="49"/>
      <c r="S53" s="49"/>
      <c r="T53" s="49"/>
      <c r="U53" s="49"/>
      <c r="V53" s="49"/>
      <c r="W53" s="49"/>
      <c r="X53" s="49"/>
      <c r="Y53" s="49"/>
      <c r="Z53" s="49"/>
    </row>
    <row r="54" spans="1:26" x14ac:dyDescent="0.3">
      <c r="A54" s="365"/>
      <c r="B54" s="1508"/>
      <c r="C54" s="1508"/>
      <c r="D54" s="1508"/>
      <c r="E54" s="1508"/>
      <c r="F54" s="366"/>
      <c r="G54" s="1508"/>
      <c r="H54" s="1508"/>
      <c r="I54" s="1508"/>
      <c r="J54" s="1508"/>
      <c r="K54" s="1508"/>
      <c r="L54" s="49"/>
      <c r="M54" s="49"/>
      <c r="N54" s="49"/>
      <c r="O54" s="49"/>
      <c r="P54" s="49"/>
      <c r="Q54" s="49"/>
      <c r="R54" s="49"/>
      <c r="S54" s="49"/>
      <c r="T54" s="49"/>
      <c r="U54" s="49"/>
      <c r="V54" s="49"/>
      <c r="W54" s="49"/>
      <c r="X54" s="49"/>
      <c r="Y54" s="49"/>
      <c r="Z54" s="49"/>
    </row>
    <row r="55" spans="1:26" s="594" customFormat="1" ht="23.4" x14ac:dyDescent="0.3">
      <c r="A55" s="331" t="s">
        <v>507</v>
      </c>
      <c r="B55" s="332" t="s">
        <v>71</v>
      </c>
      <c r="C55" s="333"/>
      <c r="D55" s="1848" t="str">
        <f>+$A$1</f>
        <v>Annual - 2019-2020</v>
      </c>
      <c r="E55" s="1848"/>
      <c r="F55" s="1848"/>
      <c r="G55" s="1848"/>
      <c r="H55" s="1848"/>
      <c r="I55" s="1848"/>
      <c r="J55" s="1848"/>
      <c r="K55" s="334"/>
      <c r="L55" s="334"/>
      <c r="M55" s="334"/>
      <c r="N55" s="334"/>
      <c r="O55" s="334"/>
      <c r="P55" s="334"/>
      <c r="Q55" s="334"/>
      <c r="R55" s="334"/>
      <c r="S55" s="334"/>
      <c r="T55" s="334"/>
      <c r="U55" s="334"/>
      <c r="V55" s="334"/>
      <c r="W55" s="334"/>
      <c r="X55" s="334"/>
      <c r="Y55" s="335"/>
      <c r="Z55" s="335"/>
    </row>
    <row r="56" spans="1:26" x14ac:dyDescent="0.3">
      <c r="A56" s="320"/>
      <c r="B56" s="43" t="s">
        <v>72</v>
      </c>
      <c r="C56" s="359"/>
      <c r="D56" s="1508"/>
      <c r="E56" s="1508"/>
      <c r="F56" s="1508"/>
      <c r="G56" s="1508"/>
      <c r="H56" s="1508"/>
      <c r="I56" s="1508"/>
      <c r="J56" s="1508"/>
      <c r="K56" s="1508"/>
      <c r="L56" s="49"/>
      <c r="M56" s="49"/>
      <c r="N56" s="49"/>
      <c r="O56" s="49"/>
      <c r="P56" s="49"/>
      <c r="Q56" s="49"/>
      <c r="R56" s="49"/>
      <c r="S56" s="49"/>
      <c r="T56" s="49"/>
      <c r="U56" s="49"/>
      <c r="V56" s="49"/>
      <c r="W56" s="49"/>
      <c r="X56" s="49"/>
      <c r="Y56" s="49"/>
      <c r="Z56" s="49"/>
    </row>
    <row r="57" spans="1:26" x14ac:dyDescent="0.3">
      <c r="A57" s="320"/>
      <c r="B57" s="43" t="s">
        <v>73</v>
      </c>
      <c r="C57" s="359"/>
      <c r="D57" s="1508"/>
      <c r="E57" s="1508"/>
      <c r="F57" s="1508"/>
      <c r="G57" s="1508"/>
      <c r="H57" s="1508"/>
      <c r="I57" s="1508"/>
      <c r="J57" s="1508"/>
      <c r="K57" s="1508"/>
      <c r="L57" s="49"/>
      <c r="M57" s="49"/>
      <c r="N57" s="49"/>
      <c r="O57" s="49"/>
      <c r="P57" s="49"/>
      <c r="Q57" s="49"/>
      <c r="R57" s="49"/>
      <c r="S57" s="49"/>
      <c r="T57" s="49"/>
      <c r="U57" s="49"/>
      <c r="V57" s="49"/>
      <c r="W57" s="49"/>
      <c r="X57" s="49"/>
      <c r="Y57" s="49"/>
      <c r="Z57" s="49"/>
    </row>
    <row r="58" spans="1:26" x14ac:dyDescent="0.3">
      <c r="A58" s="320"/>
      <c r="B58" s="43" t="s">
        <v>528</v>
      </c>
      <c r="C58" s="359"/>
      <c r="D58" s="1508"/>
      <c r="E58" s="1508"/>
      <c r="F58" s="1508"/>
      <c r="G58" s="1508"/>
      <c r="H58" s="1508"/>
      <c r="I58" s="1508"/>
      <c r="J58" s="1508"/>
      <c r="K58" s="1508"/>
      <c r="L58" s="49"/>
      <c r="M58" s="49"/>
      <c r="N58" s="49"/>
      <c r="O58" s="49"/>
      <c r="P58" s="49"/>
      <c r="Q58" s="49"/>
      <c r="R58" s="49"/>
      <c r="S58" s="49"/>
      <c r="T58" s="49"/>
      <c r="U58" s="49"/>
      <c r="V58" s="49"/>
      <c r="W58" s="49"/>
      <c r="X58" s="49"/>
      <c r="Y58" s="49"/>
      <c r="Z58" s="49"/>
    </row>
    <row r="59" spans="1:26" x14ac:dyDescent="0.3">
      <c r="A59" s="320"/>
      <c r="B59" s="43" t="s">
        <v>76</v>
      </c>
      <c r="C59" s="359"/>
      <c r="D59" s="1508"/>
      <c r="E59" s="1508"/>
      <c r="F59" s="1508"/>
      <c r="G59" s="1508"/>
      <c r="H59" s="1508"/>
      <c r="I59" s="1508"/>
      <c r="J59" s="1508"/>
      <c r="K59" s="1508"/>
      <c r="L59" s="49"/>
      <c r="M59" s="49"/>
      <c r="N59" s="49"/>
      <c r="O59" s="49"/>
      <c r="P59" s="49"/>
      <c r="Q59" s="49"/>
      <c r="R59" s="49"/>
      <c r="S59" s="49"/>
      <c r="T59" s="49"/>
      <c r="U59" s="49"/>
      <c r="V59" s="49"/>
      <c r="W59" s="49"/>
      <c r="X59" s="49"/>
      <c r="Y59" s="49"/>
      <c r="Z59" s="49"/>
    </row>
    <row r="60" spans="1:26" ht="13.5" customHeight="1" x14ac:dyDescent="0.3">
      <c r="A60" s="320"/>
      <c r="B60" s="143" t="s">
        <v>363</v>
      </c>
      <c r="C60" s="359"/>
      <c r="D60" s="1508"/>
      <c r="E60" s="1508"/>
      <c r="F60" s="1508"/>
      <c r="G60" s="1508"/>
      <c r="H60" s="1508"/>
      <c r="I60" s="1508"/>
      <c r="J60" s="1508"/>
      <c r="K60" s="1508"/>
      <c r="L60" s="49"/>
      <c r="M60" s="49"/>
      <c r="N60" s="49"/>
      <c r="O60" s="49"/>
      <c r="P60" s="49"/>
      <c r="Q60" s="49"/>
      <c r="R60" s="49"/>
      <c r="S60" s="49"/>
      <c r="T60" s="49"/>
      <c r="U60" s="49"/>
      <c r="V60" s="49"/>
      <c r="W60" s="49"/>
      <c r="X60" s="49"/>
      <c r="Y60" s="49"/>
      <c r="Z60" s="49"/>
    </row>
    <row r="61" spans="1:26" ht="15.75" customHeight="1" thickBot="1" x14ac:dyDescent="0.35">
      <c r="A61" s="320" t="s">
        <v>370</v>
      </c>
      <c r="B61" s="43"/>
      <c r="C61" s="359"/>
      <c r="D61" s="1508"/>
      <c r="E61" s="1508"/>
      <c r="F61" s="367"/>
      <c r="G61" s="1508"/>
      <c r="H61" s="1508"/>
      <c r="I61" s="1508"/>
      <c r="J61" s="1508"/>
      <c r="K61" s="49"/>
      <c r="L61" s="49"/>
      <c r="M61" s="49"/>
      <c r="N61" s="49"/>
      <c r="O61" s="49"/>
      <c r="P61" s="49"/>
      <c r="Q61" s="49"/>
      <c r="R61" s="49"/>
      <c r="S61" s="49"/>
      <c r="T61" s="49"/>
      <c r="U61" s="49"/>
      <c r="V61" s="49"/>
      <c r="W61" s="49"/>
      <c r="X61" s="49"/>
      <c r="Y61" s="49"/>
      <c r="Z61" s="49"/>
    </row>
    <row r="62" spans="1:26" ht="26.25" customHeight="1" thickBot="1" x14ac:dyDescent="0.35">
      <c r="A62" s="320"/>
      <c r="B62" s="1929" t="s">
        <v>79</v>
      </c>
      <c r="C62" s="1930"/>
      <c r="D62" s="1933" t="s">
        <v>23</v>
      </c>
      <c r="E62" s="1934"/>
      <c r="F62" s="1935"/>
      <c r="G62" s="148"/>
      <c r="H62" s="148"/>
      <c r="I62" s="1849" t="s">
        <v>24</v>
      </c>
      <c r="J62" s="1850"/>
      <c r="K62" s="1851"/>
      <c r="L62" s="49"/>
      <c r="M62" s="49"/>
      <c r="N62" s="49"/>
      <c r="O62" s="49"/>
      <c r="P62" s="49"/>
      <c r="Q62" s="49"/>
      <c r="R62" s="49"/>
      <c r="S62" s="49"/>
      <c r="T62" s="49"/>
      <c r="U62" s="49"/>
      <c r="V62" s="49"/>
      <c r="W62" s="49"/>
      <c r="X62" s="49"/>
      <c r="Y62" s="49"/>
      <c r="Z62" s="49"/>
    </row>
    <row r="63" spans="1:26" ht="15.75" customHeight="1" thickBot="1" x14ac:dyDescent="0.35">
      <c r="A63" s="320"/>
      <c r="B63" s="1931"/>
      <c r="C63" s="1932"/>
      <c r="D63" s="368" t="s">
        <v>81</v>
      </c>
      <c r="E63" s="1511" t="s">
        <v>27</v>
      </c>
      <c r="F63" s="370" t="s">
        <v>28</v>
      </c>
      <c r="G63" s="148"/>
      <c r="H63" s="148"/>
      <c r="I63" s="1852"/>
      <c r="J63" s="1853"/>
      <c r="K63" s="1854"/>
      <c r="L63" s="49"/>
      <c r="M63" s="49"/>
      <c r="N63" s="49"/>
      <c r="O63" s="49"/>
      <c r="P63" s="49"/>
      <c r="Q63" s="49"/>
      <c r="R63" s="49"/>
      <c r="S63" s="49"/>
      <c r="T63" s="49"/>
      <c r="U63" s="49"/>
      <c r="V63" s="49"/>
      <c r="W63" s="49"/>
      <c r="X63" s="49"/>
      <c r="Y63" s="49"/>
      <c r="Z63" s="49"/>
    </row>
    <row r="64" spans="1:26" ht="31.5" customHeight="1" thickBot="1" x14ac:dyDescent="0.35">
      <c r="A64" s="320"/>
      <c r="B64" s="1955" t="s">
        <v>75</v>
      </c>
      <c r="C64" s="1956"/>
      <c r="D64" s="44">
        <f>SUM(D65:D83)</f>
        <v>9711871.4900000002</v>
      </c>
      <c r="E64" s="1107"/>
      <c r="F64" s="171">
        <f>SUM(F65:F83)</f>
        <v>5599.7907081103003</v>
      </c>
      <c r="G64" s="148"/>
      <c r="H64" s="148"/>
      <c r="I64" s="1957"/>
      <c r="J64" s="1958"/>
      <c r="K64" s="1959"/>
      <c r="L64" s="49"/>
      <c r="M64" s="49"/>
      <c r="N64" s="49"/>
      <c r="O64" s="1960" t="s">
        <v>75</v>
      </c>
      <c r="P64" s="1961"/>
      <c r="Q64" s="1961"/>
      <c r="R64" s="1961"/>
      <c r="S64" s="1961"/>
      <c r="T64" s="1961"/>
      <c r="U64" s="1961"/>
      <c r="V64" s="1961"/>
      <c r="W64" s="1962"/>
      <c r="X64" s="1963" t="s">
        <v>381</v>
      </c>
      <c r="Y64" s="1964"/>
      <c r="Z64" s="1909" t="s">
        <v>461</v>
      </c>
    </row>
    <row r="65" spans="1:26" ht="15" customHeight="1" x14ac:dyDescent="0.3">
      <c r="A65" s="320" t="s">
        <v>370</v>
      </c>
      <c r="B65" s="1912" t="s">
        <v>84</v>
      </c>
      <c r="C65" s="46" t="s">
        <v>85</v>
      </c>
      <c r="D65" s="1420">
        <f>+'Q1'!D65+'Q2'!D65+'Q3'!D65+'Q4'!D65</f>
        <v>35383</v>
      </c>
      <c r="E65" s="382">
        <f>+'Emission Factors'!K48</f>
        <v>0.15371000000000001</v>
      </c>
      <c r="F65" s="356">
        <f>(D65*E65)/1000</f>
        <v>5.4387209300000006</v>
      </c>
      <c r="G65" s="148"/>
      <c r="H65" s="148"/>
      <c r="I65" s="1915"/>
      <c r="J65" s="1916"/>
      <c r="K65" s="1917"/>
      <c r="L65" s="49"/>
      <c r="M65" s="49"/>
      <c r="N65" s="49"/>
      <c r="O65" s="479"/>
      <c r="P65" s="480"/>
      <c r="Q65" s="1918" t="s">
        <v>78</v>
      </c>
      <c r="R65" s="1918" t="s">
        <v>80</v>
      </c>
      <c r="S65" s="1921" t="s">
        <v>27</v>
      </c>
      <c r="T65" s="1936" t="s">
        <v>374</v>
      </c>
      <c r="U65" s="1938" t="s">
        <v>24</v>
      </c>
      <c r="V65" s="1939"/>
      <c r="W65" s="1940"/>
      <c r="X65" s="1947" t="s">
        <v>27</v>
      </c>
      <c r="Y65" s="1950" t="s">
        <v>374</v>
      </c>
      <c r="Z65" s="1910"/>
    </row>
    <row r="66" spans="1:26" ht="15" customHeight="1" thickBot="1" x14ac:dyDescent="0.35">
      <c r="A66" s="320" t="s">
        <v>370</v>
      </c>
      <c r="B66" s="1913"/>
      <c r="C66" s="648" t="s">
        <v>87</v>
      </c>
      <c r="D66" s="1420">
        <f>+'Q1'!D66+'Q2'!D66+'Q3'!D66+'Q4'!D66</f>
        <v>0</v>
      </c>
      <c r="E66" s="382">
        <f>+'Emission Factors'!K49</f>
        <v>0.19228000000000001</v>
      </c>
      <c r="F66" s="85">
        <f t="shared" ref="F66:F80" si="4">(D66*E66)/1000</f>
        <v>0</v>
      </c>
      <c r="G66" s="148"/>
      <c r="H66" s="148"/>
      <c r="I66" s="1952"/>
      <c r="J66" s="1953"/>
      <c r="K66" s="1954"/>
      <c r="L66" s="49"/>
      <c r="M66" s="49"/>
      <c r="N66" s="49"/>
      <c r="O66" s="1101"/>
      <c r="P66" s="1102"/>
      <c r="Q66" s="1919"/>
      <c r="R66" s="1919"/>
      <c r="S66" s="1922"/>
      <c r="T66" s="1937"/>
      <c r="U66" s="1941"/>
      <c r="V66" s="1942"/>
      <c r="W66" s="1943"/>
      <c r="X66" s="1948"/>
      <c r="Y66" s="1951"/>
      <c r="Z66" s="1910"/>
    </row>
    <row r="67" spans="1:26" ht="15" customHeight="1" thickBot="1" x14ac:dyDescent="0.35">
      <c r="A67" s="320" t="s">
        <v>370</v>
      </c>
      <c r="B67" s="1913"/>
      <c r="C67" s="648" t="s">
        <v>89</v>
      </c>
      <c r="D67" s="1420">
        <f>+'Q1'!D67+'Q2'!D67+'Q3'!D67+'Q4'!D67</f>
        <v>0</v>
      </c>
      <c r="E67" s="382">
        <f>+'Emission Factors'!K50</f>
        <v>0.28294999999999998</v>
      </c>
      <c r="F67" s="85">
        <f t="shared" si="4"/>
        <v>0</v>
      </c>
      <c r="G67" s="148"/>
      <c r="H67" s="148"/>
      <c r="I67" s="1952"/>
      <c r="J67" s="1953"/>
      <c r="K67" s="1954"/>
      <c r="L67" s="49"/>
      <c r="M67" s="49"/>
      <c r="N67" s="49"/>
      <c r="O67" s="1103"/>
      <c r="P67" s="1104"/>
      <c r="Q67" s="1920"/>
      <c r="R67" s="1920"/>
      <c r="S67" s="1923"/>
      <c r="T67" s="171">
        <f>SUM(T68:T73)</f>
        <v>2251.0491472100002</v>
      </c>
      <c r="U67" s="1944"/>
      <c r="V67" s="1945"/>
      <c r="W67" s="1946"/>
      <c r="X67" s="1949"/>
      <c r="Y67" s="171">
        <f>SUM(Y68:Y73)</f>
        <v>75309.178800000009</v>
      </c>
      <c r="Z67" s="1911"/>
    </row>
    <row r="68" spans="1:26" ht="15" customHeight="1" thickBot="1" x14ac:dyDescent="0.35">
      <c r="A68" s="320" t="s">
        <v>370</v>
      </c>
      <c r="B68" s="1913"/>
      <c r="C68" s="648" t="s">
        <v>91</v>
      </c>
      <c r="D68" s="1420">
        <f>+'Q1'!D68+'Q2'!D68+'Q3'!D68+'Q4'!D68</f>
        <v>0</v>
      </c>
      <c r="E68" s="382">
        <f>+'Emission Factors'!K51</f>
        <v>0.18084</v>
      </c>
      <c r="F68" s="85">
        <f t="shared" si="4"/>
        <v>0</v>
      </c>
      <c r="G68" s="148"/>
      <c r="H68" s="148"/>
      <c r="I68" s="1952"/>
      <c r="J68" s="1953"/>
      <c r="K68" s="1954"/>
      <c r="L68" s="49"/>
      <c r="M68" s="49"/>
      <c r="N68" s="49"/>
      <c r="O68" s="1289" t="s">
        <v>82</v>
      </c>
      <c r="P68" s="1290"/>
      <c r="Q68" s="1231" t="s">
        <v>83</v>
      </c>
      <c r="R68" s="1425">
        <f>+'Q1'!R68+'Q2'!R68+'Q3'!R68+'Q4'!R68</f>
        <v>86372</v>
      </c>
      <c r="S68" s="166">
        <f>+'Emission Factors'!K36</f>
        <v>2.2090399999999999</v>
      </c>
      <c r="T68" s="145">
        <f t="shared" ref="T68:T73" si="5">(R68*S68)/1000</f>
        <v>190.79920288</v>
      </c>
      <c r="U68" s="1490"/>
      <c r="V68" s="1491"/>
      <c r="W68" s="1492"/>
      <c r="X68" s="185">
        <f>+'Emission Factors'!K42</f>
        <v>7.0099999999999996E-2</v>
      </c>
      <c r="Y68" s="76">
        <f t="shared" ref="Y68:Y73" si="6">+X68*R68</f>
        <v>6054.6771999999992</v>
      </c>
      <c r="Z68" s="1121"/>
    </row>
    <row r="69" spans="1:26" ht="15" customHeight="1" thickBot="1" x14ac:dyDescent="0.35">
      <c r="A69" s="320" t="s">
        <v>370</v>
      </c>
      <c r="B69" s="1913"/>
      <c r="C69" s="648" t="s">
        <v>94</v>
      </c>
      <c r="D69" s="1420">
        <f>+'Q1'!D69+'Q2'!D69+'Q3'!D69+'Q4'!D69</f>
        <v>1924745</v>
      </c>
      <c r="E69" s="382">
        <f>+'Emission Factors'!K52</f>
        <v>0.14208000000000001</v>
      </c>
      <c r="F69" s="85">
        <f t="shared" si="4"/>
        <v>273.4677696</v>
      </c>
      <c r="G69" s="148"/>
      <c r="H69" s="148"/>
      <c r="I69" s="1952"/>
      <c r="J69" s="1953"/>
      <c r="K69" s="1954"/>
      <c r="L69" s="49"/>
      <c r="M69" s="49"/>
      <c r="N69" s="49"/>
      <c r="O69" s="1287" t="s">
        <v>86</v>
      </c>
      <c r="P69" s="1288"/>
      <c r="Q69" s="1232" t="s">
        <v>83</v>
      </c>
      <c r="R69" s="1426">
        <f>+'Q1'!R69+'Q2'!R69+'Q3'!R69+'Q4'!R69</f>
        <v>0</v>
      </c>
      <c r="S69" s="167">
        <f>+'Emission Factors'!K37</f>
        <v>2.3149500000000001</v>
      </c>
      <c r="T69" s="146">
        <f t="shared" si="5"/>
        <v>0</v>
      </c>
      <c r="U69" s="1820"/>
      <c r="V69" s="1820"/>
      <c r="W69" s="1495"/>
      <c r="X69" s="167">
        <f>+'Emission Factors'!K43</f>
        <v>0</v>
      </c>
      <c r="Y69" s="77">
        <f t="shared" si="6"/>
        <v>0</v>
      </c>
      <c r="Z69" s="1056"/>
    </row>
    <row r="70" spans="1:26" ht="15" customHeight="1" x14ac:dyDescent="0.3">
      <c r="A70" s="320" t="s">
        <v>370</v>
      </c>
      <c r="B70" s="1913"/>
      <c r="C70" s="648" t="s">
        <v>96</v>
      </c>
      <c r="D70" s="1420">
        <f>+'Q1'!D70+'Q2'!D70+'Q3'!D70+'Q4'!D70</f>
        <v>619641</v>
      </c>
      <c r="E70" s="382">
        <f>+'Emission Factors'!K53</f>
        <v>0.17061000000000001</v>
      </c>
      <c r="F70" s="85">
        <f t="shared" si="4"/>
        <v>105.71695101</v>
      </c>
      <c r="G70" s="148"/>
      <c r="H70" s="148"/>
      <c r="I70" s="1952"/>
      <c r="J70" s="1953"/>
      <c r="K70" s="1954"/>
      <c r="L70" s="49"/>
      <c r="M70" s="49"/>
      <c r="N70" s="49"/>
      <c r="O70" s="1287" t="s">
        <v>88</v>
      </c>
      <c r="P70" s="1288"/>
      <c r="Q70" s="1232" t="s">
        <v>83</v>
      </c>
      <c r="R70" s="1426">
        <f>+'Q1'!R70+'Q2'!R70+'Q3'!R70+'Q4'!R70</f>
        <v>794203</v>
      </c>
      <c r="S70" s="167">
        <f>+'Emission Factors'!K38</f>
        <v>2.5941100000000001</v>
      </c>
      <c r="T70" s="146">
        <f t="shared" si="5"/>
        <v>2060.2499443300003</v>
      </c>
      <c r="U70" s="1820"/>
      <c r="V70" s="1494"/>
      <c r="W70" s="1495"/>
      <c r="X70" s="167">
        <f>+'Emission Factors'!K44</f>
        <v>8.72E-2</v>
      </c>
      <c r="Y70" s="77">
        <f t="shared" si="6"/>
        <v>69254.501600000003</v>
      </c>
      <c r="Z70" s="1056"/>
    </row>
    <row r="71" spans="1:26" ht="15" customHeight="1" x14ac:dyDescent="0.3">
      <c r="A71" s="320" t="s">
        <v>370</v>
      </c>
      <c r="B71" s="1913"/>
      <c r="C71" s="648" t="s">
        <v>97</v>
      </c>
      <c r="D71" s="1420">
        <f>+'Q1'!D71+'Q2'!D71+'Q3'!D71+'Q4'!D71</f>
        <v>9479.49</v>
      </c>
      <c r="E71" s="382">
        <f>+'Emission Factors'!K54</f>
        <v>0.20946999999999999</v>
      </c>
      <c r="F71" s="85">
        <f t="shared" si="4"/>
        <v>1.9856687702999998</v>
      </c>
      <c r="G71" s="148"/>
      <c r="H71" s="148"/>
      <c r="I71" s="1952"/>
      <c r="J71" s="1953"/>
      <c r="K71" s="1954"/>
      <c r="L71" s="49"/>
      <c r="M71" s="49"/>
      <c r="N71" s="49"/>
      <c r="O71" s="1287" t="s">
        <v>90</v>
      </c>
      <c r="P71" s="1288"/>
      <c r="Q71" s="1232" t="s">
        <v>83</v>
      </c>
      <c r="R71" s="1426">
        <f>+'Q1'!R71+'Q2'!R71+'Q3'!R71+'Q4'!R71</f>
        <v>0</v>
      </c>
      <c r="S71" s="167">
        <f>+'Emission Factors'!K39</f>
        <v>2.6869700000000001</v>
      </c>
      <c r="T71" s="146">
        <f t="shared" si="5"/>
        <v>0</v>
      </c>
      <c r="U71" s="1493"/>
      <c r="V71" s="1494"/>
      <c r="W71" s="1495"/>
      <c r="X71" s="167">
        <f>+'Emission Factors'!K45</f>
        <v>0</v>
      </c>
      <c r="Y71" s="77">
        <f t="shared" si="6"/>
        <v>0</v>
      </c>
      <c r="Z71" s="1056"/>
    </row>
    <row r="72" spans="1:26" ht="15" customHeight="1" x14ac:dyDescent="0.3">
      <c r="A72" s="320" t="s">
        <v>370</v>
      </c>
      <c r="B72" s="1913"/>
      <c r="C72" s="648" t="s">
        <v>98</v>
      </c>
      <c r="D72" s="1420">
        <f>+'Q1'!D72+'Q2'!D72+'Q3'!D72+'Q4'!D72</f>
        <v>0</v>
      </c>
      <c r="E72" s="382">
        <f>+'Emission Factors'!K55</f>
        <v>0.17335999999999999</v>
      </c>
      <c r="F72" s="85">
        <f t="shared" si="4"/>
        <v>0</v>
      </c>
      <c r="G72" s="148"/>
      <c r="H72" s="148"/>
      <c r="I72" s="1952"/>
      <c r="J72" s="1953"/>
      <c r="K72" s="1954"/>
      <c r="L72" s="49"/>
      <c r="M72" s="49"/>
      <c r="N72" s="49"/>
      <c r="O72" s="1287" t="s">
        <v>92</v>
      </c>
      <c r="P72" s="1288"/>
      <c r="Q72" s="1232" t="s">
        <v>93</v>
      </c>
      <c r="R72" s="1426">
        <f>+'Q1'!R72+'Q2'!R72+'Q3'!R72+'Q4'!R72</f>
        <v>0</v>
      </c>
      <c r="S72" s="167">
        <f>+'Emission Factors'!K40</f>
        <v>2.5420400000000001</v>
      </c>
      <c r="T72" s="146">
        <f t="shared" si="5"/>
        <v>0</v>
      </c>
      <c r="U72" s="1493"/>
      <c r="V72" s="1494"/>
      <c r="W72" s="1495"/>
      <c r="X72" s="167">
        <f>+'Emission Factors'!K46</f>
        <v>0</v>
      </c>
      <c r="Y72" s="77">
        <f t="shared" si="6"/>
        <v>0</v>
      </c>
      <c r="Z72" s="1056"/>
    </row>
    <row r="73" spans="1:26" ht="15" customHeight="1" x14ac:dyDescent="0.3">
      <c r="A73" s="320" t="s">
        <v>370</v>
      </c>
      <c r="B73" s="1913"/>
      <c r="C73" s="648" t="s">
        <v>99</v>
      </c>
      <c r="D73" s="1420">
        <f>+'Q1'!D73+'Q2'!D73+'Q3'!D73+'Q4'!D73</f>
        <v>672486</v>
      </c>
      <c r="E73" s="382">
        <f>+'Emission Factors'!K56</f>
        <v>0.10895000000000001</v>
      </c>
      <c r="F73" s="85">
        <f t="shared" si="4"/>
        <v>73.267349700000011</v>
      </c>
      <c r="G73" s="148"/>
      <c r="H73" s="148"/>
      <c r="I73" s="1952"/>
      <c r="J73" s="1953"/>
      <c r="K73" s="1954"/>
      <c r="L73" s="49"/>
      <c r="M73" s="49"/>
      <c r="N73" s="49"/>
      <c r="O73" s="1287" t="s">
        <v>95</v>
      </c>
      <c r="P73" s="1288"/>
      <c r="Q73" s="1232" t="s">
        <v>83</v>
      </c>
      <c r="R73" s="1426">
        <f>+'Q1'!R73+'Q2'!R73+'Q3'!R73+'Q4'!R73</f>
        <v>0</v>
      </c>
      <c r="S73" s="167">
        <f>+'Emission Factors'!K41</f>
        <v>1.5226</v>
      </c>
      <c r="T73" s="146">
        <f t="shared" si="5"/>
        <v>0</v>
      </c>
      <c r="U73" s="1493"/>
      <c r="V73" s="1494"/>
      <c r="W73" s="1495"/>
      <c r="X73" s="167">
        <f>+'Emission Factors'!K47</f>
        <v>0</v>
      </c>
      <c r="Y73" s="77">
        <f t="shared" si="6"/>
        <v>0</v>
      </c>
      <c r="Z73" s="1056"/>
    </row>
    <row r="74" spans="1:26" ht="15" customHeight="1" thickBot="1" x14ac:dyDescent="0.35">
      <c r="A74" s="320" t="s">
        <v>370</v>
      </c>
      <c r="B74" s="1913"/>
      <c r="C74" s="648" t="s">
        <v>100</v>
      </c>
      <c r="D74" s="1420">
        <f>+'Q1'!D74+'Q2'!D74+'Q3'!D74+'Q4'!D74</f>
        <v>0</v>
      </c>
      <c r="E74" s="382">
        <f>+'Emission Factors'!K57</f>
        <v>0.13177</v>
      </c>
      <c r="F74" s="85">
        <f t="shared" si="4"/>
        <v>0</v>
      </c>
      <c r="G74" s="148"/>
      <c r="H74" s="148"/>
      <c r="I74" s="1952"/>
      <c r="J74" s="1953"/>
      <c r="K74" s="1954"/>
      <c r="L74" s="49"/>
      <c r="M74" s="49"/>
      <c r="N74" s="49"/>
      <c r="O74" s="1284" t="s">
        <v>409</v>
      </c>
      <c r="P74" s="1285"/>
      <c r="Q74" s="1286"/>
      <c r="R74" s="1427">
        <f>+'Q1'!R74+'Q2'!R74+'Q3'!R74+'Q4'!R74</f>
        <v>0</v>
      </c>
      <c r="S74" s="1428">
        <f>IF(R74=0,0,1000*T74/R74)</f>
        <v>0</v>
      </c>
      <c r="T74" s="147">
        <f>+'Q1'!T74+'Q2'!T74+'Q3'!T74+'Q4'!T74</f>
        <v>0</v>
      </c>
      <c r="U74" s="1496"/>
      <c r="V74" s="1497"/>
      <c r="W74" s="1498"/>
      <c r="X74" s="1428">
        <f>IF(R74=0,0,1000*Y74/W74)</f>
        <v>0</v>
      </c>
      <c r="Y74" s="80">
        <f>+'Q1'!Y74+'Q2'!Y74+'Q3'!Y74+'Q4'!Y74</f>
        <v>0</v>
      </c>
      <c r="Z74" s="1122"/>
    </row>
    <row r="75" spans="1:26" ht="15" customHeight="1" x14ac:dyDescent="0.3">
      <c r="A75" s="320" t="s">
        <v>370</v>
      </c>
      <c r="B75" s="1913"/>
      <c r="C75" s="648" t="s">
        <v>529</v>
      </c>
      <c r="D75" s="1420">
        <f>+'Q1'!D75+'Q2'!D75+'Q3'!D75+'Q4'!D75</f>
        <v>0</v>
      </c>
      <c r="E75" s="382">
        <f>+'Emission Factors'!K58</f>
        <v>0.19900999999999999</v>
      </c>
      <c r="F75" s="85">
        <f t="shared" si="4"/>
        <v>0</v>
      </c>
      <c r="G75" s="148"/>
      <c r="H75" s="148"/>
      <c r="I75" s="1952"/>
      <c r="J75" s="1953"/>
      <c r="K75" s="1954"/>
      <c r="L75" s="49"/>
      <c r="M75" s="49"/>
      <c r="N75" s="49"/>
      <c r="O75" s="1965" t="s">
        <v>457</v>
      </c>
      <c r="P75" s="1965"/>
      <c r="Q75" s="1965"/>
      <c r="R75" s="1965"/>
      <c r="S75" s="1965"/>
      <c r="T75" s="1965"/>
      <c r="U75" s="1965"/>
      <c r="V75" s="1965"/>
      <c r="W75" s="1965"/>
      <c r="X75" s="49"/>
      <c r="Y75" s="49"/>
      <c r="Z75" s="49"/>
    </row>
    <row r="76" spans="1:26" ht="15" customHeight="1" x14ac:dyDescent="0.3">
      <c r="A76" s="320" t="s">
        <v>370</v>
      </c>
      <c r="B76" s="1913"/>
      <c r="C76" s="648" t="s">
        <v>102</v>
      </c>
      <c r="D76" s="1420">
        <f>+'Q1'!D76+'Q2'!D76+'Q3'!D76+'Q4'!D76</f>
        <v>108372</v>
      </c>
      <c r="E76" s="382">
        <f>+'Emission Factors'!K59</f>
        <v>0.17710000000000001</v>
      </c>
      <c r="F76" s="85">
        <f t="shared" si="4"/>
        <v>19.192681199999999</v>
      </c>
      <c r="G76" s="148"/>
      <c r="H76" s="148"/>
      <c r="I76" s="1952"/>
      <c r="J76" s="1953"/>
      <c r="K76" s="1954"/>
      <c r="L76" s="49"/>
      <c r="M76" s="49"/>
      <c r="N76" s="49"/>
      <c r="O76" s="1966"/>
      <c r="P76" s="1966"/>
      <c r="Q76" s="1966"/>
      <c r="R76" s="1966"/>
      <c r="S76" s="1966"/>
      <c r="T76" s="1966"/>
      <c r="U76" s="1966"/>
      <c r="V76" s="1966"/>
      <c r="W76" s="1966"/>
      <c r="X76" s="49"/>
      <c r="Y76" s="49"/>
      <c r="Z76" s="49"/>
    </row>
    <row r="77" spans="1:26" ht="15" customHeight="1" x14ac:dyDescent="0.3">
      <c r="A77" s="320" t="s">
        <v>370</v>
      </c>
      <c r="B77" s="1913"/>
      <c r="C77" s="648" t="s">
        <v>103</v>
      </c>
      <c r="D77" s="1420">
        <f>+'Q1'!D77+'Q2'!D77+'Q3'!D77+'Q4'!D77</f>
        <v>0</v>
      </c>
      <c r="E77" s="382">
        <f>+'Emission Factors'!K60</f>
        <v>8.4449999999999997E-2</v>
      </c>
      <c r="F77" s="85">
        <f t="shared" si="4"/>
        <v>0</v>
      </c>
      <c r="G77" s="148"/>
      <c r="H77" s="148"/>
      <c r="I77" s="1952"/>
      <c r="J77" s="1953"/>
      <c r="K77" s="1954"/>
      <c r="L77" s="49"/>
      <c r="M77" s="49"/>
      <c r="N77" s="49"/>
      <c r="O77" s="1966"/>
      <c r="P77" s="1966"/>
      <c r="Q77" s="1966"/>
      <c r="R77" s="1966"/>
      <c r="S77" s="1966"/>
      <c r="T77" s="1966"/>
      <c r="U77" s="1966"/>
      <c r="V77" s="1966"/>
      <c r="W77" s="1966"/>
      <c r="X77" s="49"/>
      <c r="Y77" s="49"/>
      <c r="Z77" s="49"/>
    </row>
    <row r="78" spans="1:26" ht="15" customHeight="1" x14ac:dyDescent="0.3">
      <c r="A78" s="320" t="s">
        <v>370</v>
      </c>
      <c r="B78" s="1913"/>
      <c r="C78" s="648" t="s">
        <v>104</v>
      </c>
      <c r="D78" s="1420">
        <f>+'Q1'!D78+'Q2'!D78+'Q3'!D78+'Q4'!D78</f>
        <v>0</v>
      </c>
      <c r="E78" s="382">
        <f>+'Emission Factors'!K61</f>
        <v>0.10289</v>
      </c>
      <c r="F78" s="85">
        <f t="shared" si="4"/>
        <v>0</v>
      </c>
      <c r="G78" s="148"/>
      <c r="H78" s="148"/>
      <c r="I78" s="1952"/>
      <c r="J78" s="1953"/>
      <c r="K78" s="1954"/>
      <c r="L78" s="49"/>
      <c r="M78" s="49"/>
      <c r="N78" s="49"/>
      <c r="O78" s="1966"/>
      <c r="P78" s="1966"/>
      <c r="Q78" s="1966"/>
      <c r="R78" s="1966"/>
      <c r="S78" s="1966"/>
      <c r="T78" s="1966"/>
      <c r="U78" s="1966"/>
      <c r="V78" s="1966"/>
      <c r="W78" s="1966"/>
      <c r="X78" s="49"/>
      <c r="Y78" s="49"/>
      <c r="Z78" s="49"/>
    </row>
    <row r="79" spans="1:26" ht="15" customHeight="1" x14ac:dyDescent="0.3">
      <c r="A79" s="320" t="s">
        <v>370</v>
      </c>
      <c r="B79" s="1913"/>
      <c r="C79" s="648" t="s">
        <v>105</v>
      </c>
      <c r="D79" s="1420">
        <f>+'Q1'!D79+'Q2'!D79+'Q3'!D79+'Q4'!D79</f>
        <v>0</v>
      </c>
      <c r="E79" s="382">
        <f>+'Emission Factors'!K62</f>
        <v>0.13500999999999999</v>
      </c>
      <c r="F79" s="85">
        <f t="shared" si="4"/>
        <v>0</v>
      </c>
      <c r="G79" s="148"/>
      <c r="H79" s="148"/>
      <c r="I79" s="1952"/>
      <c r="J79" s="1953"/>
      <c r="K79" s="1954"/>
      <c r="L79" s="49"/>
      <c r="M79" s="49"/>
      <c r="N79" s="49"/>
      <c r="O79" s="49"/>
      <c r="P79" s="49"/>
      <c r="Q79" s="49"/>
      <c r="R79" s="49"/>
      <c r="S79" s="49"/>
      <c r="T79" s="49"/>
      <c r="U79" s="49"/>
      <c r="V79" s="49"/>
      <c r="W79" s="49"/>
      <c r="X79" s="49"/>
      <c r="Y79" s="49"/>
      <c r="Z79" s="49"/>
    </row>
    <row r="80" spans="1:26" ht="15" customHeight="1" x14ac:dyDescent="0.3">
      <c r="A80" s="320" t="s">
        <v>370</v>
      </c>
      <c r="B80" s="1913"/>
      <c r="C80" s="648" t="s">
        <v>106</v>
      </c>
      <c r="D80" s="1420">
        <f>+'Q1'!D80+'Q2'!D80+'Q3'!D80+'Q4'!D80</f>
        <v>0</v>
      </c>
      <c r="E80" s="382">
        <f>+'Emission Factors'!K63</f>
        <v>0.11551</v>
      </c>
      <c r="F80" s="85">
        <f t="shared" si="4"/>
        <v>0</v>
      </c>
      <c r="G80" s="148"/>
      <c r="H80" s="148"/>
      <c r="I80" s="1952"/>
      <c r="J80" s="1953"/>
      <c r="K80" s="1954"/>
      <c r="L80" s="49"/>
      <c r="M80" s="49"/>
      <c r="N80" s="49"/>
      <c r="O80" s="49"/>
      <c r="P80" s="49"/>
      <c r="Q80" s="49"/>
      <c r="R80" s="49"/>
      <c r="S80" s="49"/>
      <c r="T80" s="49"/>
      <c r="U80" s="49"/>
      <c r="V80" s="49"/>
      <c r="W80" s="49"/>
      <c r="X80" s="49"/>
      <c r="Y80" s="49"/>
      <c r="Z80" s="49"/>
    </row>
    <row r="81" spans="1:26" ht="15" customHeight="1" x14ac:dyDescent="0.3">
      <c r="A81" s="320" t="s">
        <v>370</v>
      </c>
      <c r="B81" s="1913"/>
      <c r="C81" s="649" t="s">
        <v>410</v>
      </c>
      <c r="D81" s="1420">
        <f>+'Q1'!D81+'Q2'!D81+'Q3'!D81+'Q4'!D81</f>
        <v>5545301</v>
      </c>
      <c r="E81" s="1433">
        <f>IF(D81=0,0,1000*F81/D81)</f>
        <v>0.80745999999999996</v>
      </c>
      <c r="F81" s="85">
        <f>+'Q1'!F81+'Q2'!F81+'Q3'!F81+'Q4'!F81</f>
        <v>4477.6087454600001</v>
      </c>
      <c r="G81" s="148"/>
      <c r="H81" s="148"/>
      <c r="I81" s="1952"/>
      <c r="J81" s="1953"/>
      <c r="K81" s="1954"/>
      <c r="L81" s="49"/>
      <c r="M81" s="49"/>
      <c r="N81" s="49"/>
      <c r="O81" s="49"/>
      <c r="P81" s="49"/>
      <c r="Q81" s="49"/>
      <c r="R81" s="49"/>
      <c r="S81" s="49"/>
      <c r="T81" s="49"/>
      <c r="U81" s="49"/>
      <c r="V81" s="49"/>
      <c r="W81" s="49"/>
      <c r="X81" s="49"/>
      <c r="Y81" s="49"/>
      <c r="Z81" s="49"/>
    </row>
    <row r="82" spans="1:26" ht="15" customHeight="1" x14ac:dyDescent="0.3">
      <c r="A82" s="320" t="s">
        <v>370</v>
      </c>
      <c r="B82" s="1913"/>
      <c r="C82" s="649" t="s">
        <v>411</v>
      </c>
      <c r="D82" s="1420">
        <f>+'Q1'!D82+'Q2'!D82+'Q3'!D82+'Q4'!D82</f>
        <v>796464</v>
      </c>
      <c r="E82" s="1433">
        <f>IF(D82=0,0,1000*F82/D82)</f>
        <v>0.80746000000000007</v>
      </c>
      <c r="F82" s="85">
        <f>+'Q1'!F82+'Q2'!F82+'Q3'!F82+'Q4'!F82</f>
        <v>643.11282144000006</v>
      </c>
      <c r="G82" s="148"/>
      <c r="H82" s="148"/>
      <c r="I82" s="1952"/>
      <c r="J82" s="1953"/>
      <c r="K82" s="1954"/>
      <c r="L82" s="49"/>
      <c r="M82" s="49"/>
      <c r="N82" s="49"/>
      <c r="O82" s="49"/>
      <c r="P82" s="49"/>
      <c r="Q82" s="49"/>
      <c r="R82" s="49"/>
      <c r="S82" s="49"/>
      <c r="T82" s="49"/>
      <c r="U82" s="49"/>
      <c r="V82" s="49"/>
      <c r="W82" s="49"/>
      <c r="X82" s="49"/>
      <c r="Y82" s="49"/>
      <c r="Z82" s="49"/>
    </row>
    <row r="83" spans="1:26" ht="15" customHeight="1" x14ac:dyDescent="0.3">
      <c r="A83" s="320" t="s">
        <v>370</v>
      </c>
      <c r="B83" s="1913"/>
      <c r="C83" s="649" t="s">
        <v>412</v>
      </c>
      <c r="D83" s="1420">
        <f>+'Q1'!D83+'Q2'!D83+'Q3'!D83+'Q4'!D83</f>
        <v>0</v>
      </c>
      <c r="E83" s="1433">
        <f>IF(D83=0,0,1000*F83/D83)</f>
        <v>0</v>
      </c>
      <c r="F83" s="85">
        <f>+'Q1'!F83+'Q2'!F83+'Q3'!F83+'Q4'!F83</f>
        <v>0</v>
      </c>
      <c r="G83" s="148"/>
      <c r="H83" s="148"/>
      <c r="I83" s="1952"/>
      <c r="J83" s="1953"/>
      <c r="K83" s="1954"/>
      <c r="L83" s="49"/>
      <c r="M83" s="49"/>
      <c r="N83" s="49"/>
      <c r="O83" s="49"/>
      <c r="P83" s="49"/>
      <c r="Q83" s="49"/>
      <c r="R83" s="49"/>
      <c r="S83" s="49"/>
      <c r="T83" s="49"/>
      <c r="U83" s="49"/>
      <c r="V83" s="49"/>
      <c r="W83" s="49"/>
      <c r="X83" s="49"/>
      <c r="Y83" s="49"/>
      <c r="Z83" s="49"/>
    </row>
    <row r="84" spans="1:26" ht="15" customHeight="1" x14ac:dyDescent="0.3">
      <c r="A84" s="320"/>
      <c r="B84" s="1913"/>
      <c r="C84" s="649" t="s">
        <v>509</v>
      </c>
      <c r="D84" s="1420">
        <f>+'Q1'!D84+'Q2'!D84+'Q3'!D84+'Q4'!D84</f>
        <v>0</v>
      </c>
      <c r="E84" s="1433">
        <f t="shared" ref="E84:E85" si="7">IF(D84=0,0,1000*F84/D84)</f>
        <v>0</v>
      </c>
      <c r="F84" s="85">
        <f>+'Q1'!F84+'Q2'!F84+'Q3'!F84+'Q4'!F84</f>
        <v>0</v>
      </c>
      <c r="G84" s="148"/>
      <c r="H84" s="148"/>
      <c r="I84" s="1952"/>
      <c r="J84" s="1953"/>
      <c r="K84" s="1954"/>
      <c r="L84" s="49"/>
      <c r="M84" s="49"/>
      <c r="N84" s="49"/>
      <c r="O84" s="49"/>
      <c r="P84" s="49"/>
      <c r="Q84" s="49"/>
      <c r="R84" s="49"/>
      <c r="S84" s="49"/>
      <c r="T84" s="49"/>
      <c r="U84" s="49"/>
      <c r="V84" s="49"/>
      <c r="W84" s="49"/>
      <c r="X84" s="49"/>
      <c r="Y84" s="49"/>
      <c r="Z84" s="49"/>
    </row>
    <row r="85" spans="1:26" ht="15" customHeight="1" thickBot="1" x14ac:dyDescent="0.35">
      <c r="A85" s="320"/>
      <c r="B85" s="1914"/>
      <c r="C85" s="649" t="s">
        <v>510</v>
      </c>
      <c r="D85" s="1420">
        <f>+'Q1'!D85+'Q2'!D85+'Q3'!D85+'Q4'!D85</f>
        <v>0</v>
      </c>
      <c r="E85" s="1434">
        <f t="shared" si="7"/>
        <v>0</v>
      </c>
      <c r="F85" s="85">
        <f>+'Q1'!F85+'Q2'!F85+'Q3'!F85+'Q4'!F85</f>
        <v>0</v>
      </c>
      <c r="G85" s="148"/>
      <c r="H85" s="148"/>
      <c r="I85" s="1952"/>
      <c r="J85" s="1953"/>
      <c r="K85" s="1954"/>
      <c r="L85" s="49"/>
      <c r="M85" s="49"/>
      <c r="N85" s="49"/>
      <c r="O85" s="49"/>
      <c r="P85" s="49"/>
      <c r="Q85" s="49"/>
      <c r="R85" s="49"/>
      <c r="S85" s="49"/>
      <c r="T85" s="49"/>
      <c r="U85" s="49"/>
      <c r="V85" s="49"/>
      <c r="W85" s="49"/>
      <c r="X85" s="49"/>
      <c r="Y85" s="49"/>
      <c r="Z85" s="49"/>
    </row>
    <row r="86" spans="1:26" ht="29.25" customHeight="1" thickBot="1" x14ac:dyDescent="0.35">
      <c r="A86" s="320"/>
      <c r="B86" s="1955" t="s">
        <v>458</v>
      </c>
      <c r="C86" s="1956"/>
      <c r="D86" s="44">
        <f>SUM(D87:D105)</f>
        <v>27470690.170000002</v>
      </c>
      <c r="E86" s="481"/>
      <c r="F86" s="171">
        <f>SUM(F87:F105)</f>
        <v>4865.0592291070006</v>
      </c>
      <c r="G86" s="148"/>
      <c r="H86" s="148"/>
      <c r="I86" s="1957"/>
      <c r="J86" s="1958"/>
      <c r="K86" s="1959"/>
      <c r="L86" s="49"/>
      <c r="M86" s="49"/>
      <c r="N86" s="49"/>
      <c r="O86" s="1960" t="str">
        <f>B86</f>
        <v>TOTAL DOMESTIC FROM GREY FLEET/HIRE (i.e. employee owned or hire vehicles) (Scope 3)</v>
      </c>
      <c r="P86" s="1961"/>
      <c r="Q86" s="1961"/>
      <c r="R86" s="1961"/>
      <c r="S86" s="1961"/>
      <c r="T86" s="1961"/>
      <c r="U86" s="1961"/>
      <c r="V86" s="1961"/>
      <c r="W86" s="1962"/>
      <c r="X86" s="1963" t="s">
        <v>381</v>
      </c>
      <c r="Y86" s="1964"/>
      <c r="Z86" s="1909" t="s">
        <v>461</v>
      </c>
    </row>
    <row r="87" spans="1:26" ht="15" customHeight="1" x14ac:dyDescent="0.3">
      <c r="A87" s="320" t="s">
        <v>371</v>
      </c>
      <c r="B87" s="1912" t="s">
        <v>111</v>
      </c>
      <c r="C87" s="46" t="s">
        <v>85</v>
      </c>
      <c r="D87" s="1420">
        <f>+'Q1'!D87+'Q2'!D87+'Q3'!D87+'Q4'!D87</f>
        <v>0</v>
      </c>
      <c r="E87" s="382">
        <f t="shared" ref="E87:E102" si="8">+E65</f>
        <v>0.15371000000000001</v>
      </c>
      <c r="F87" s="356">
        <f>(D87*E87)/1000</f>
        <v>0</v>
      </c>
      <c r="G87" s="148"/>
      <c r="H87" s="148"/>
      <c r="I87" s="1915"/>
      <c r="J87" s="1916"/>
      <c r="K87" s="1917"/>
      <c r="L87" s="49"/>
      <c r="M87" s="49"/>
      <c r="N87" s="49"/>
      <c r="O87" s="479"/>
      <c r="P87" s="480"/>
      <c r="Q87" s="1918" t="s">
        <v>78</v>
      </c>
      <c r="R87" s="1918" t="s">
        <v>80</v>
      </c>
      <c r="S87" s="1921" t="s">
        <v>27</v>
      </c>
      <c r="T87" s="1936" t="s">
        <v>374</v>
      </c>
      <c r="U87" s="1938" t="s">
        <v>24</v>
      </c>
      <c r="V87" s="1939"/>
      <c r="W87" s="1940"/>
      <c r="X87" s="1947" t="s">
        <v>27</v>
      </c>
      <c r="Y87" s="1967" t="s">
        <v>374</v>
      </c>
      <c r="Z87" s="1910"/>
    </row>
    <row r="88" spans="1:26" ht="15" customHeight="1" thickBot="1" x14ac:dyDescent="0.35">
      <c r="A88" s="320" t="s">
        <v>371</v>
      </c>
      <c r="B88" s="1913"/>
      <c r="C88" s="648" t="s">
        <v>87</v>
      </c>
      <c r="D88" s="1420">
        <f>+'Q1'!D88+'Q2'!D88+'Q3'!D88+'Q4'!D88</f>
        <v>0</v>
      </c>
      <c r="E88" s="382">
        <f t="shared" si="8"/>
        <v>0.19228000000000001</v>
      </c>
      <c r="F88" s="85">
        <f t="shared" ref="F88:F102" si="9">(D88*E88)/1000</f>
        <v>0</v>
      </c>
      <c r="G88" s="148"/>
      <c r="H88" s="148"/>
      <c r="I88" s="1952"/>
      <c r="J88" s="1953"/>
      <c r="K88" s="1954"/>
      <c r="L88" s="49"/>
      <c r="M88" s="49"/>
      <c r="N88" s="49"/>
      <c r="O88" s="1101"/>
      <c r="P88" s="1102"/>
      <c r="Q88" s="1919"/>
      <c r="R88" s="1919"/>
      <c r="S88" s="1922"/>
      <c r="T88" s="1937"/>
      <c r="U88" s="1941"/>
      <c r="V88" s="1942"/>
      <c r="W88" s="1943"/>
      <c r="X88" s="1948"/>
      <c r="Y88" s="1968"/>
      <c r="Z88" s="1910"/>
    </row>
    <row r="89" spans="1:26" ht="15" customHeight="1" thickBot="1" x14ac:dyDescent="0.35">
      <c r="A89" s="320" t="s">
        <v>371</v>
      </c>
      <c r="B89" s="1913"/>
      <c r="C89" s="648" t="s">
        <v>89</v>
      </c>
      <c r="D89" s="1420">
        <f>+'Q1'!D89+'Q2'!D89+'Q3'!D89+'Q4'!D89</f>
        <v>0</v>
      </c>
      <c r="E89" s="382">
        <f t="shared" si="8"/>
        <v>0.28294999999999998</v>
      </c>
      <c r="F89" s="85">
        <f t="shared" si="9"/>
        <v>0</v>
      </c>
      <c r="G89" s="148"/>
      <c r="H89" s="148"/>
      <c r="I89" s="1952"/>
      <c r="J89" s="1953"/>
      <c r="K89" s="1954"/>
      <c r="L89" s="49"/>
      <c r="M89" s="49"/>
      <c r="N89" s="49"/>
      <c r="O89" s="1103"/>
      <c r="P89" s="1104"/>
      <c r="Q89" s="1920"/>
      <c r="R89" s="1920"/>
      <c r="S89" s="1923"/>
      <c r="T89" s="171">
        <f>SUM(T90:T96)</f>
        <v>0</v>
      </c>
      <c r="U89" s="1944"/>
      <c r="V89" s="1945"/>
      <c r="W89" s="1946"/>
      <c r="X89" s="1949"/>
      <c r="Y89" s="171">
        <f>SUM(Y90:Y96)</f>
        <v>0</v>
      </c>
      <c r="Z89" s="1911"/>
    </row>
    <row r="90" spans="1:26" ht="15" customHeight="1" x14ac:dyDescent="0.3">
      <c r="A90" s="320" t="s">
        <v>371</v>
      </c>
      <c r="B90" s="1913"/>
      <c r="C90" s="648" t="s">
        <v>91</v>
      </c>
      <c r="D90" s="1420">
        <f>+'Q1'!D90+'Q2'!D90+'Q3'!D90+'Q4'!D90</f>
        <v>0</v>
      </c>
      <c r="E90" s="382">
        <f t="shared" si="8"/>
        <v>0.18084</v>
      </c>
      <c r="F90" s="85">
        <f t="shared" si="9"/>
        <v>0</v>
      </c>
      <c r="G90" s="148"/>
      <c r="H90" s="148"/>
      <c r="I90" s="1952"/>
      <c r="J90" s="1953"/>
      <c r="K90" s="1954"/>
      <c r="L90" s="49"/>
      <c r="M90" s="49"/>
      <c r="N90" s="49"/>
      <c r="O90" s="1289" t="s">
        <v>82</v>
      </c>
      <c r="P90" s="1290"/>
      <c r="Q90" s="1231" t="s">
        <v>83</v>
      </c>
      <c r="R90" s="1425">
        <f>+'Q1'!R90+'Q2'!R90+'Q3'!R90+'Q4'!R90</f>
        <v>0</v>
      </c>
      <c r="S90" s="166">
        <f>+'Emission Factors'!K36</f>
        <v>2.2090399999999999</v>
      </c>
      <c r="T90" s="145">
        <f t="shared" ref="T90:T95" si="10">(R90*S90)/1000</f>
        <v>0</v>
      </c>
      <c r="U90" s="1972"/>
      <c r="V90" s="1973"/>
      <c r="W90" s="1974"/>
      <c r="X90" s="185">
        <f>+'Q1'!X90+'Q2'!X90+'Q3'!X90+'Q4'!X90</f>
        <v>0.28039999999999998</v>
      </c>
      <c r="Y90" s="76">
        <f t="shared" ref="Y90:Y95" si="11">+X90*R90</f>
        <v>0</v>
      </c>
      <c r="Z90" s="1121" t="str">
        <f t="shared" ref="Z90:Z96" si="12">IF(R90&lt;0,"Error - negative number","")</f>
        <v/>
      </c>
    </row>
    <row r="91" spans="1:26" ht="15" customHeight="1" x14ac:dyDescent="0.3">
      <c r="A91" s="320" t="s">
        <v>371</v>
      </c>
      <c r="B91" s="1913"/>
      <c r="C91" s="648" t="s">
        <v>94</v>
      </c>
      <c r="D91" s="1420">
        <f>+'Q1'!D91+'Q2'!D91+'Q3'!D91+'Q4'!D91</f>
        <v>0</v>
      </c>
      <c r="E91" s="382">
        <f t="shared" si="8"/>
        <v>0.14208000000000001</v>
      </c>
      <c r="F91" s="85">
        <f t="shared" si="9"/>
        <v>0</v>
      </c>
      <c r="G91" s="148"/>
      <c r="H91" s="148"/>
      <c r="I91" s="1952"/>
      <c r="J91" s="1953"/>
      <c r="K91" s="1954"/>
      <c r="L91" s="49"/>
      <c r="M91" s="49"/>
      <c r="N91" s="49"/>
      <c r="O91" s="1287" t="s">
        <v>86</v>
      </c>
      <c r="P91" s="1288"/>
      <c r="Q91" s="1232" t="s">
        <v>83</v>
      </c>
      <c r="R91" s="1426">
        <f>+'Q1'!R91+'Q2'!R91+'Q3'!R91+'Q4'!R91</f>
        <v>0</v>
      </c>
      <c r="S91" s="167">
        <f>+'Emission Factors'!K37</f>
        <v>2.3149500000000001</v>
      </c>
      <c r="T91" s="146">
        <f t="shared" si="10"/>
        <v>0</v>
      </c>
      <c r="U91" s="1969"/>
      <c r="V91" s="1970"/>
      <c r="W91" s="1971"/>
      <c r="X91" s="185">
        <f>+'Q1'!X91+'Q2'!X91+'Q3'!X91+'Q4'!X91</f>
        <v>0</v>
      </c>
      <c r="Y91" s="77">
        <f t="shared" si="11"/>
        <v>0</v>
      </c>
      <c r="Z91" s="1056" t="str">
        <f t="shared" si="12"/>
        <v/>
      </c>
    </row>
    <row r="92" spans="1:26" ht="15" customHeight="1" x14ac:dyDescent="0.3">
      <c r="A92" s="320" t="s">
        <v>371</v>
      </c>
      <c r="B92" s="1913"/>
      <c r="C92" s="648" t="s">
        <v>96</v>
      </c>
      <c r="D92" s="1420">
        <f>+'Q1'!D92+'Q2'!D92+'Q3'!D92+'Q4'!D92</f>
        <v>0</v>
      </c>
      <c r="E92" s="382">
        <f t="shared" si="8"/>
        <v>0.17061000000000001</v>
      </c>
      <c r="F92" s="85">
        <f t="shared" si="9"/>
        <v>0</v>
      </c>
      <c r="G92" s="148"/>
      <c r="H92" s="148"/>
      <c r="I92" s="1952"/>
      <c r="J92" s="1953"/>
      <c r="K92" s="1954"/>
      <c r="L92" s="49"/>
      <c r="M92" s="49"/>
      <c r="N92" s="49"/>
      <c r="O92" s="1287" t="s">
        <v>88</v>
      </c>
      <c r="P92" s="1288"/>
      <c r="Q92" s="1232" t="s">
        <v>83</v>
      </c>
      <c r="R92" s="1426">
        <f>+'Q1'!R92+'Q2'!R92+'Q3'!R92+'Q4'!R92</f>
        <v>0</v>
      </c>
      <c r="S92" s="167">
        <f>+'Emission Factors'!K38</f>
        <v>2.5941100000000001</v>
      </c>
      <c r="T92" s="146">
        <f t="shared" si="10"/>
        <v>0</v>
      </c>
      <c r="U92" s="1969"/>
      <c r="V92" s="1970"/>
      <c r="W92" s="1971"/>
      <c r="X92" s="185">
        <f>+'Q1'!X92+'Q2'!X92+'Q3'!X92+'Q4'!X92</f>
        <v>0.3488</v>
      </c>
      <c r="Y92" s="77">
        <f t="shared" si="11"/>
        <v>0</v>
      </c>
      <c r="Z92" s="1056" t="str">
        <f t="shared" si="12"/>
        <v/>
      </c>
    </row>
    <row r="93" spans="1:26" ht="15" customHeight="1" x14ac:dyDescent="0.3">
      <c r="A93" s="320" t="s">
        <v>371</v>
      </c>
      <c r="B93" s="1913"/>
      <c r="C93" s="648" t="s">
        <v>97</v>
      </c>
      <c r="D93" s="1420">
        <f>+'Q1'!D93+'Q2'!D93+'Q3'!D93+'Q4'!D93</f>
        <v>0</v>
      </c>
      <c r="E93" s="382">
        <f t="shared" si="8"/>
        <v>0.20946999999999999</v>
      </c>
      <c r="F93" s="85">
        <f t="shared" si="9"/>
        <v>0</v>
      </c>
      <c r="G93" s="148"/>
      <c r="H93" s="148"/>
      <c r="I93" s="1952"/>
      <c r="J93" s="1953"/>
      <c r="K93" s="1954"/>
      <c r="L93" s="49"/>
      <c r="M93" s="49"/>
      <c r="N93" s="49"/>
      <c r="O93" s="1287" t="s">
        <v>90</v>
      </c>
      <c r="P93" s="1288"/>
      <c r="Q93" s="1232" t="s">
        <v>83</v>
      </c>
      <c r="R93" s="1426">
        <f>+'Q1'!R93+'Q2'!R93+'Q3'!R93+'Q4'!R93</f>
        <v>0</v>
      </c>
      <c r="S93" s="167">
        <f>+'Emission Factors'!K39</f>
        <v>2.6869700000000001</v>
      </c>
      <c r="T93" s="146">
        <f t="shared" si="10"/>
        <v>0</v>
      </c>
      <c r="U93" s="1969"/>
      <c r="V93" s="1970"/>
      <c r="W93" s="1971"/>
      <c r="X93" s="185">
        <f>+'Q1'!X93+'Q2'!X93+'Q3'!X93+'Q4'!X93</f>
        <v>0</v>
      </c>
      <c r="Y93" s="77">
        <f t="shared" si="11"/>
        <v>0</v>
      </c>
      <c r="Z93" s="1056" t="str">
        <f t="shared" si="12"/>
        <v/>
      </c>
    </row>
    <row r="94" spans="1:26" ht="15" customHeight="1" x14ac:dyDescent="0.3">
      <c r="A94" s="320" t="s">
        <v>371</v>
      </c>
      <c r="B94" s="1913"/>
      <c r="C94" s="648" t="s">
        <v>98</v>
      </c>
      <c r="D94" s="1420">
        <f>+'Q1'!D94+'Q2'!D94+'Q3'!D94+'Q4'!D94</f>
        <v>0</v>
      </c>
      <c r="E94" s="382">
        <f t="shared" si="8"/>
        <v>0.17335999999999999</v>
      </c>
      <c r="F94" s="85">
        <f t="shared" si="9"/>
        <v>0</v>
      </c>
      <c r="G94" s="148"/>
      <c r="H94" s="148"/>
      <c r="I94" s="1952"/>
      <c r="J94" s="1953"/>
      <c r="K94" s="1954"/>
      <c r="L94" s="49"/>
      <c r="M94" s="49"/>
      <c r="N94" s="49"/>
      <c r="O94" s="1287" t="s">
        <v>92</v>
      </c>
      <c r="P94" s="1288"/>
      <c r="Q94" s="1232" t="s">
        <v>93</v>
      </c>
      <c r="R94" s="1426">
        <f>+'Q1'!R94+'Q2'!R94+'Q3'!R94+'Q4'!R94</f>
        <v>0</v>
      </c>
      <c r="S94" s="167">
        <f>+'Emission Factors'!K40</f>
        <v>2.5420400000000001</v>
      </c>
      <c r="T94" s="146">
        <f t="shared" si="10"/>
        <v>0</v>
      </c>
      <c r="U94" s="1969"/>
      <c r="V94" s="1970"/>
      <c r="W94" s="1971"/>
      <c r="X94" s="185">
        <f>+'Q1'!X94+'Q2'!X94+'Q3'!X94+'Q4'!X94</f>
        <v>0</v>
      </c>
      <c r="Y94" s="77">
        <f t="shared" si="11"/>
        <v>0</v>
      </c>
      <c r="Z94" s="1056" t="str">
        <f t="shared" si="12"/>
        <v/>
      </c>
    </row>
    <row r="95" spans="1:26" ht="15" customHeight="1" x14ac:dyDescent="0.3">
      <c r="A95" s="320" t="s">
        <v>371</v>
      </c>
      <c r="B95" s="1913"/>
      <c r="C95" s="648" t="s">
        <v>99</v>
      </c>
      <c r="D95" s="1420">
        <f>+'Q1'!D95+'Q2'!D95+'Q3'!D95+'Q4'!D95</f>
        <v>0</v>
      </c>
      <c r="E95" s="382">
        <f t="shared" si="8"/>
        <v>0.10895000000000001</v>
      </c>
      <c r="F95" s="85">
        <f t="shared" si="9"/>
        <v>0</v>
      </c>
      <c r="G95" s="148"/>
      <c r="H95" s="148"/>
      <c r="I95" s="1952"/>
      <c r="J95" s="1953"/>
      <c r="K95" s="1954"/>
      <c r="L95" s="49"/>
      <c r="M95" s="49"/>
      <c r="N95" s="49"/>
      <c r="O95" s="1287" t="s">
        <v>95</v>
      </c>
      <c r="P95" s="1288"/>
      <c r="Q95" s="1232" t="s">
        <v>83</v>
      </c>
      <c r="R95" s="1426">
        <f>+'Q1'!R95+'Q2'!R95+'Q3'!R95+'Q4'!R95</f>
        <v>0</v>
      </c>
      <c r="S95" s="167">
        <f>+'Emission Factors'!K41</f>
        <v>1.5226</v>
      </c>
      <c r="T95" s="146">
        <f t="shared" si="10"/>
        <v>0</v>
      </c>
      <c r="U95" s="1969"/>
      <c r="V95" s="1970"/>
      <c r="W95" s="1971"/>
      <c r="X95" s="185">
        <f>+'Q1'!X95+'Q2'!X95+'Q3'!X95+'Q4'!X95</f>
        <v>0</v>
      </c>
      <c r="Y95" s="77">
        <f t="shared" si="11"/>
        <v>0</v>
      </c>
      <c r="Z95" s="1056" t="str">
        <f t="shared" si="12"/>
        <v/>
      </c>
    </row>
    <row r="96" spans="1:26" ht="15" customHeight="1" thickBot="1" x14ac:dyDescent="0.35">
      <c r="A96" s="320" t="s">
        <v>371</v>
      </c>
      <c r="B96" s="1913"/>
      <c r="C96" s="648" t="s">
        <v>100</v>
      </c>
      <c r="D96" s="1420">
        <f>+'Q1'!D96+'Q2'!D96+'Q3'!D96+'Q4'!D96</f>
        <v>0</v>
      </c>
      <c r="E96" s="382">
        <f t="shared" si="8"/>
        <v>0.13177</v>
      </c>
      <c r="F96" s="85">
        <f t="shared" si="9"/>
        <v>0</v>
      </c>
      <c r="G96" s="148"/>
      <c r="H96" s="148"/>
      <c r="I96" s="1952"/>
      <c r="J96" s="1953"/>
      <c r="K96" s="1954"/>
      <c r="L96" s="49"/>
      <c r="M96" s="49"/>
      <c r="N96" s="49"/>
      <c r="O96" s="1284" t="s">
        <v>409</v>
      </c>
      <c r="P96" s="1285"/>
      <c r="Q96" s="1286"/>
      <c r="R96" s="1427">
        <f>+'Q1'!R96+'Q2'!R96+'Q3'!R96+'Q4'!R96</f>
        <v>0</v>
      </c>
      <c r="S96" s="1428">
        <f>IF(R96=0,0,1000*T96/R96)</f>
        <v>0</v>
      </c>
      <c r="T96" s="147">
        <f>+'Q1'!T96+'Q2'!T96+'Q3'!T96+'Q4'!T96</f>
        <v>0</v>
      </c>
      <c r="U96" s="1975"/>
      <c r="V96" s="1976"/>
      <c r="W96" s="1977"/>
      <c r="X96" s="1428">
        <f>IF(R96=0,0,1000*Y96/W96)</f>
        <v>0</v>
      </c>
      <c r="Y96" s="80">
        <f>+'Q1'!Y96+'Q2'!Y96+'Q3'!Y96+'Q4'!Y96</f>
        <v>0</v>
      </c>
      <c r="Z96" s="1122" t="str">
        <f t="shared" si="12"/>
        <v/>
      </c>
    </row>
    <row r="97" spans="1:26" ht="15" customHeight="1" x14ac:dyDescent="0.3">
      <c r="A97" s="320" t="s">
        <v>371</v>
      </c>
      <c r="B97" s="1913"/>
      <c r="C97" s="648" t="s">
        <v>529</v>
      </c>
      <c r="D97" s="1420">
        <f>+'Q1'!D97+'Q2'!D97+'Q3'!D97+'Q4'!D97</f>
        <v>0</v>
      </c>
      <c r="E97" s="382">
        <f t="shared" si="8"/>
        <v>0.19900999999999999</v>
      </c>
      <c r="F97" s="85">
        <f t="shared" si="9"/>
        <v>0</v>
      </c>
      <c r="G97" s="148"/>
      <c r="H97" s="148"/>
      <c r="I97" s="1952"/>
      <c r="J97" s="1953"/>
      <c r="K97" s="1954"/>
      <c r="L97" s="49"/>
      <c r="M97" s="49"/>
      <c r="N97" s="49"/>
      <c r="O97" s="1965" t="s">
        <v>367</v>
      </c>
      <c r="P97" s="1965"/>
      <c r="Q97" s="1965"/>
      <c r="R97" s="1965"/>
      <c r="S97" s="1965"/>
      <c r="T97" s="1965"/>
      <c r="U97" s="1965"/>
      <c r="V97" s="1965"/>
      <c r="W97" s="1965"/>
      <c r="X97" s="49"/>
      <c r="Y97" s="49"/>
      <c r="Z97" s="49"/>
    </row>
    <row r="98" spans="1:26" ht="15" customHeight="1" x14ac:dyDescent="0.3">
      <c r="A98" s="320" t="s">
        <v>371</v>
      </c>
      <c r="B98" s="1913"/>
      <c r="C98" s="648" t="s">
        <v>102</v>
      </c>
      <c r="D98" s="1420">
        <f>+'Q1'!D98+'Q2'!D98+'Q3'!D98+'Q4'!D98</f>
        <v>27470690.170000002</v>
      </c>
      <c r="E98" s="382">
        <f t="shared" si="8"/>
        <v>0.17710000000000001</v>
      </c>
      <c r="F98" s="85">
        <f t="shared" si="9"/>
        <v>4865.0592291070006</v>
      </c>
      <c r="G98" s="148"/>
      <c r="H98" s="148"/>
      <c r="I98" s="1952"/>
      <c r="J98" s="1953"/>
      <c r="K98" s="1954"/>
      <c r="L98" s="49"/>
      <c r="M98" s="49"/>
      <c r="N98" s="49"/>
      <c r="O98" s="1966"/>
      <c r="P98" s="1966"/>
      <c r="Q98" s="1966"/>
      <c r="R98" s="1966"/>
      <c r="S98" s="1966"/>
      <c r="T98" s="1966"/>
      <c r="U98" s="1966"/>
      <c r="V98" s="1966"/>
      <c r="W98" s="1966"/>
      <c r="X98" s="49"/>
      <c r="Y98" s="49"/>
      <c r="Z98" s="49"/>
    </row>
    <row r="99" spans="1:26" ht="15" customHeight="1" x14ac:dyDescent="0.3">
      <c r="A99" s="320" t="s">
        <v>371</v>
      </c>
      <c r="B99" s="1913"/>
      <c r="C99" s="648" t="s">
        <v>103</v>
      </c>
      <c r="D99" s="1420">
        <f>+'Q1'!D99+'Q2'!D99+'Q3'!D99+'Q4'!D99</f>
        <v>0</v>
      </c>
      <c r="E99" s="382">
        <f t="shared" si="8"/>
        <v>8.4449999999999997E-2</v>
      </c>
      <c r="F99" s="85">
        <f t="shared" si="9"/>
        <v>0</v>
      </c>
      <c r="G99" s="148"/>
      <c r="H99" s="148"/>
      <c r="I99" s="1952"/>
      <c r="J99" s="1953"/>
      <c r="K99" s="1954"/>
      <c r="L99" s="49"/>
      <c r="M99" s="49"/>
      <c r="N99" s="49"/>
      <c r="O99" s="1966"/>
      <c r="P99" s="1966"/>
      <c r="Q99" s="1966"/>
      <c r="R99" s="1966"/>
      <c r="S99" s="1966"/>
      <c r="T99" s="1966"/>
      <c r="U99" s="1966"/>
      <c r="V99" s="1966"/>
      <c r="W99" s="1966"/>
      <c r="X99" s="49"/>
      <c r="Y99" s="49"/>
      <c r="Z99" s="49"/>
    </row>
    <row r="100" spans="1:26" ht="15" customHeight="1" x14ac:dyDescent="0.3">
      <c r="A100" s="320" t="s">
        <v>371</v>
      </c>
      <c r="B100" s="1913"/>
      <c r="C100" s="648" t="s">
        <v>104</v>
      </c>
      <c r="D100" s="1420">
        <f>+'Q1'!D100+'Q2'!D100+'Q3'!D100+'Q4'!D100</f>
        <v>0</v>
      </c>
      <c r="E100" s="382">
        <f t="shared" si="8"/>
        <v>0.10289</v>
      </c>
      <c r="F100" s="85">
        <f t="shared" si="9"/>
        <v>0</v>
      </c>
      <c r="G100" s="148"/>
      <c r="H100" s="148"/>
      <c r="I100" s="1952"/>
      <c r="J100" s="1953"/>
      <c r="K100" s="1954"/>
      <c r="L100" s="49"/>
      <c r="M100" s="49"/>
      <c r="N100" s="49"/>
      <c r="O100" s="1966"/>
      <c r="P100" s="1966"/>
      <c r="Q100" s="1966"/>
      <c r="R100" s="1966"/>
      <c r="S100" s="1966"/>
      <c r="T100" s="1966"/>
      <c r="U100" s="1966"/>
      <c r="V100" s="1966"/>
      <c r="W100" s="1966"/>
      <c r="X100" s="49"/>
      <c r="Y100" s="49"/>
      <c r="Z100" s="49"/>
    </row>
    <row r="101" spans="1:26" ht="15" customHeight="1" x14ac:dyDescent="0.3">
      <c r="A101" s="320" t="s">
        <v>371</v>
      </c>
      <c r="B101" s="1913"/>
      <c r="C101" s="648" t="s">
        <v>105</v>
      </c>
      <c r="D101" s="1420">
        <f>+'Q1'!D101+'Q2'!D101+'Q3'!D101+'Q4'!D101</f>
        <v>0</v>
      </c>
      <c r="E101" s="382">
        <f t="shared" si="8"/>
        <v>0.13500999999999999</v>
      </c>
      <c r="F101" s="85">
        <f t="shared" si="9"/>
        <v>0</v>
      </c>
      <c r="G101" s="148"/>
      <c r="H101" s="148"/>
      <c r="I101" s="1952"/>
      <c r="J101" s="1953"/>
      <c r="K101" s="1954"/>
      <c r="L101" s="49"/>
      <c r="M101" s="49"/>
      <c r="N101" s="49"/>
      <c r="O101" s="49"/>
      <c r="P101" s="49"/>
      <c r="Q101" s="49"/>
      <c r="R101" s="49"/>
      <c r="S101" s="49"/>
      <c r="T101" s="49"/>
      <c r="U101" s="49"/>
      <c r="V101" s="49"/>
      <c r="W101" s="49"/>
      <c r="X101" s="49"/>
      <c r="Y101" s="49"/>
      <c r="Z101" s="49"/>
    </row>
    <row r="102" spans="1:26" ht="15" customHeight="1" x14ac:dyDescent="0.3">
      <c r="A102" s="320" t="s">
        <v>371</v>
      </c>
      <c r="B102" s="1913"/>
      <c r="C102" s="648" t="s">
        <v>106</v>
      </c>
      <c r="D102" s="1420">
        <f>+'Q1'!D102+'Q2'!D102+'Q3'!D102+'Q4'!D102</f>
        <v>0</v>
      </c>
      <c r="E102" s="382">
        <f t="shared" si="8"/>
        <v>0.11551</v>
      </c>
      <c r="F102" s="85">
        <f t="shared" si="9"/>
        <v>0</v>
      </c>
      <c r="G102" s="148"/>
      <c r="H102" s="148"/>
      <c r="I102" s="1952"/>
      <c r="J102" s="1953"/>
      <c r="K102" s="1954"/>
      <c r="L102" s="49"/>
      <c r="M102" s="49"/>
      <c r="N102" s="49"/>
      <c r="O102" s="49"/>
      <c r="P102" s="49"/>
      <c r="Q102" s="49"/>
      <c r="R102" s="49"/>
      <c r="S102" s="49"/>
      <c r="T102" s="49"/>
      <c r="U102" s="49"/>
      <c r="V102" s="49"/>
      <c r="W102" s="49"/>
      <c r="X102" s="49"/>
      <c r="Y102" s="49"/>
      <c r="Z102" s="49"/>
    </row>
    <row r="103" spans="1:26" ht="15" customHeight="1" x14ac:dyDescent="0.3">
      <c r="A103" s="320" t="s">
        <v>371</v>
      </c>
      <c r="B103" s="1913"/>
      <c r="C103" s="649" t="s">
        <v>410</v>
      </c>
      <c r="D103" s="1420">
        <f>+'Q1'!D103+'Q2'!D103+'Q3'!D103+'Q4'!D103</f>
        <v>0</v>
      </c>
      <c r="E103" s="1433">
        <f>IF(D103=0,0,1000*F103/D103)</f>
        <v>0</v>
      </c>
      <c r="F103" s="85">
        <f>+'Q1'!F103+'Q2'!F103+'Q3'!F103+'Q4'!F103</f>
        <v>0</v>
      </c>
      <c r="G103" s="148"/>
      <c r="H103" s="148"/>
      <c r="I103" s="1952"/>
      <c r="J103" s="1953"/>
      <c r="K103" s="1954"/>
      <c r="L103" s="49"/>
      <c r="M103" s="49"/>
      <c r="N103" s="49"/>
      <c r="O103" s="49"/>
      <c r="P103" s="49"/>
      <c r="Q103" s="49"/>
      <c r="R103" s="49"/>
      <c r="S103" s="49"/>
      <c r="T103" s="49"/>
      <c r="U103" s="49"/>
      <c r="V103" s="49"/>
      <c r="W103" s="49"/>
      <c r="X103" s="49"/>
      <c r="Y103" s="49"/>
      <c r="Z103" s="49"/>
    </row>
    <row r="104" spans="1:26" ht="15" customHeight="1" x14ac:dyDescent="0.3">
      <c r="A104" s="320" t="s">
        <v>371</v>
      </c>
      <c r="B104" s="1913"/>
      <c r="C104" s="649" t="s">
        <v>411</v>
      </c>
      <c r="D104" s="1420">
        <f>+'Q1'!D104+'Q2'!D104+'Q3'!D104+'Q4'!D104</f>
        <v>0</v>
      </c>
      <c r="E104" s="1433">
        <f>IF(D104=0,0,1000*F104/D104)</f>
        <v>0</v>
      </c>
      <c r="F104" s="85">
        <f>+'Q1'!F104+'Q2'!F104+'Q3'!F104+'Q4'!F104</f>
        <v>0</v>
      </c>
      <c r="G104" s="148"/>
      <c r="H104" s="148"/>
      <c r="I104" s="1952"/>
      <c r="J104" s="1953"/>
      <c r="K104" s="1954"/>
      <c r="L104" s="49"/>
      <c r="M104" s="49"/>
      <c r="N104" s="49"/>
      <c r="O104" s="49"/>
      <c r="P104" s="49"/>
      <c r="Q104" s="49"/>
      <c r="R104" s="49"/>
      <c r="S104" s="49"/>
      <c r="T104" s="49"/>
      <c r="U104" s="49"/>
      <c r="V104" s="49"/>
      <c r="W104" s="49"/>
      <c r="X104" s="49"/>
      <c r="Y104" s="49"/>
      <c r="Z104" s="49"/>
    </row>
    <row r="105" spans="1:26" ht="15" customHeight="1" x14ac:dyDescent="0.3">
      <c r="A105" s="320" t="s">
        <v>371</v>
      </c>
      <c r="B105" s="1913"/>
      <c r="C105" s="649" t="s">
        <v>412</v>
      </c>
      <c r="D105" s="1420">
        <f>+'Q1'!D105+'Q2'!D105+'Q3'!D105+'Q4'!D105</f>
        <v>0</v>
      </c>
      <c r="E105" s="1433">
        <f>IF(D105=0,0,1000*F105/D105)</f>
        <v>0</v>
      </c>
      <c r="F105" s="85">
        <f>+'Q1'!F105+'Q2'!F105+'Q3'!F105+'Q4'!F105</f>
        <v>0</v>
      </c>
      <c r="G105" s="148"/>
      <c r="H105" s="148"/>
      <c r="I105" s="1952"/>
      <c r="J105" s="1953"/>
      <c r="K105" s="1954"/>
      <c r="L105" s="49"/>
      <c r="M105" s="49"/>
      <c r="N105" s="49"/>
      <c r="O105" s="49"/>
      <c r="P105" s="49"/>
      <c r="Q105" s="49"/>
      <c r="R105" s="49"/>
      <c r="S105" s="49"/>
      <c r="T105" s="49"/>
      <c r="U105" s="49"/>
      <c r="V105" s="49"/>
      <c r="W105" s="49"/>
      <c r="X105" s="49"/>
      <c r="Y105" s="49"/>
      <c r="Z105" s="49"/>
    </row>
    <row r="106" spans="1:26" ht="15" customHeight="1" x14ac:dyDescent="0.3">
      <c r="A106" s="320"/>
      <c r="B106" s="1913"/>
      <c r="C106" s="649" t="s">
        <v>509</v>
      </c>
      <c r="D106" s="1420">
        <f>+'Q1'!D106+'Q2'!D106+'Q3'!D106+'Q4'!D106</f>
        <v>0</v>
      </c>
      <c r="E106" s="1433">
        <f t="shared" ref="E106:E107" si="13">IF(D106=0,0,1000*F106/D106)</f>
        <v>0</v>
      </c>
      <c r="F106" s="85">
        <f>+'Q1'!F106+'Q2'!F106+'Q3'!F106+'Q4'!F106</f>
        <v>0</v>
      </c>
      <c r="G106" s="148"/>
      <c r="H106" s="148"/>
      <c r="I106" s="1952"/>
      <c r="J106" s="1953"/>
      <c r="K106" s="1954"/>
      <c r="L106" s="49"/>
      <c r="M106" s="49"/>
      <c r="N106" s="49"/>
      <c r="O106" s="49"/>
      <c r="P106" s="49"/>
      <c r="Q106" s="49"/>
      <c r="R106" s="49"/>
      <c r="S106" s="49"/>
      <c r="T106" s="49"/>
      <c r="U106" s="49"/>
      <c r="V106" s="49"/>
      <c r="W106" s="49"/>
      <c r="X106" s="49"/>
      <c r="Y106" s="49"/>
      <c r="Z106" s="49"/>
    </row>
    <row r="107" spans="1:26" ht="15" customHeight="1" thickBot="1" x14ac:dyDescent="0.35">
      <c r="A107" s="320"/>
      <c r="B107" s="1913"/>
      <c r="C107" s="649" t="s">
        <v>510</v>
      </c>
      <c r="D107" s="1435">
        <f>+'Q1'!D107+'Q2'!D107+'Q3'!D107+'Q4'!D107</f>
        <v>0</v>
      </c>
      <c r="E107" s="1436">
        <f t="shared" si="13"/>
        <v>0</v>
      </c>
      <c r="F107" s="1139">
        <f>+'Q1'!F107+'Q2'!F107+'Q3'!F107+'Q4'!F107</f>
        <v>0</v>
      </c>
      <c r="G107" s="148"/>
      <c r="H107" s="148"/>
      <c r="I107" s="1981"/>
      <c r="J107" s="1982"/>
      <c r="K107" s="1983"/>
      <c r="L107" s="49"/>
      <c r="M107" s="49"/>
      <c r="N107" s="49"/>
      <c r="O107" s="49"/>
      <c r="P107" s="49"/>
      <c r="Q107" s="49"/>
      <c r="R107" s="49"/>
      <c r="S107" s="49"/>
      <c r="T107" s="49"/>
      <c r="U107" s="49"/>
      <c r="V107" s="49"/>
      <c r="W107" s="49"/>
      <c r="X107" s="49"/>
      <c r="Y107" s="49"/>
      <c r="Z107" s="49"/>
    </row>
    <row r="108" spans="1:26" ht="15.75" customHeight="1" thickBot="1" x14ac:dyDescent="0.35">
      <c r="A108" s="320"/>
      <c r="B108" s="1955" t="s">
        <v>459</v>
      </c>
      <c r="C108" s="1956"/>
      <c r="D108" s="1431">
        <f>SUM(D109:D121)</f>
        <v>33269062.087675303</v>
      </c>
      <c r="E108" s="1432"/>
      <c r="F108" s="171">
        <f>SUM(F109:F121)</f>
        <v>1442.5037667812605</v>
      </c>
      <c r="G108" s="1112"/>
      <c r="H108" s="1112"/>
      <c r="I108" s="1984"/>
      <c r="J108" s="1985"/>
      <c r="K108" s="1986"/>
      <c r="L108" s="49"/>
      <c r="M108" s="49"/>
      <c r="N108" s="49"/>
      <c r="O108" s="49"/>
      <c r="P108" s="49"/>
      <c r="Q108" s="49"/>
      <c r="R108" s="49"/>
      <c r="S108" s="49"/>
      <c r="T108" s="49"/>
      <c r="U108" s="49"/>
      <c r="V108" s="49"/>
      <c r="W108" s="49"/>
      <c r="X108" s="49"/>
      <c r="Y108" s="49"/>
      <c r="Z108" s="49"/>
    </row>
    <row r="109" spans="1:26" ht="15" customHeight="1" x14ac:dyDescent="0.3">
      <c r="A109" s="320" t="s">
        <v>371</v>
      </c>
      <c r="B109" s="1884" t="s">
        <v>113</v>
      </c>
      <c r="C109" s="648" t="s">
        <v>114</v>
      </c>
      <c r="D109" s="1429">
        <f>+'Q1'!D109+'Q2'!D109+'Q3'!D109+'Q4'!D109</f>
        <v>790952.72767529893</v>
      </c>
      <c r="E109" s="1430">
        <f>+'Emission Factors'!K88</f>
        <v>0.13483000000000001</v>
      </c>
      <c r="F109" s="85">
        <f t="shared" ref="F109:F118" si="14">(D109*E109)/1000</f>
        <v>106.64415627246056</v>
      </c>
      <c r="G109" s="148"/>
      <c r="H109" s="148"/>
      <c r="I109" s="1987"/>
      <c r="J109" s="1988"/>
      <c r="K109" s="1989"/>
      <c r="L109" s="49"/>
      <c r="M109" s="49"/>
      <c r="N109" s="49"/>
      <c r="O109" s="49"/>
      <c r="P109" s="49"/>
      <c r="Q109" s="49"/>
      <c r="R109" s="49"/>
      <c r="S109" s="49"/>
      <c r="T109" s="49"/>
      <c r="U109" s="49"/>
      <c r="V109" s="49"/>
      <c r="W109" s="49"/>
      <c r="X109" s="49"/>
      <c r="Y109" s="49"/>
      <c r="Z109" s="49"/>
    </row>
    <row r="110" spans="1:26" ht="15" customHeight="1" x14ac:dyDescent="0.3">
      <c r="A110" s="320" t="s">
        <v>371</v>
      </c>
      <c r="B110" s="1884"/>
      <c r="C110" s="648" t="s">
        <v>115</v>
      </c>
      <c r="D110" s="348">
        <f>+'Q1'!D110+'Q2'!D110+'Q3'!D110+'Q4'!D110</f>
        <v>32393183.440000001</v>
      </c>
      <c r="E110" s="382">
        <f>+'Emission Factors'!K89</f>
        <v>4.1149999999999999E-2</v>
      </c>
      <c r="F110" s="85">
        <f t="shared" si="14"/>
        <v>1332.979498556</v>
      </c>
      <c r="G110" s="148"/>
      <c r="H110" s="148"/>
      <c r="I110" s="1978"/>
      <c r="J110" s="1979"/>
      <c r="K110" s="1980"/>
      <c r="L110" s="49"/>
      <c r="M110" s="49"/>
      <c r="N110" s="49"/>
      <c r="O110" s="49"/>
      <c r="P110" s="49"/>
      <c r="Q110" s="49"/>
      <c r="R110" s="49"/>
      <c r="S110" s="49"/>
      <c r="T110" s="49"/>
      <c r="U110" s="49"/>
      <c r="V110" s="49"/>
      <c r="W110" s="49"/>
      <c r="X110" s="49"/>
      <c r="Y110" s="49"/>
      <c r="Z110" s="49"/>
    </row>
    <row r="111" spans="1:26" ht="15" customHeight="1" x14ac:dyDescent="0.3">
      <c r="A111" s="320" t="s">
        <v>371</v>
      </c>
      <c r="B111" s="1884"/>
      <c r="C111" s="648" t="s">
        <v>116</v>
      </c>
      <c r="D111" s="348">
        <f>+'Q1'!D111+'Q2'!D111+'Q3'!D111+'Q4'!D111</f>
        <v>0</v>
      </c>
      <c r="E111" s="382">
        <f>+'Emission Factors'!K90</f>
        <v>3.508E-2</v>
      </c>
      <c r="F111" s="85">
        <f t="shared" si="14"/>
        <v>0</v>
      </c>
      <c r="G111" s="148"/>
      <c r="H111" s="148"/>
      <c r="I111" s="1978"/>
      <c r="J111" s="1979"/>
      <c r="K111" s="1980"/>
      <c r="L111" s="49"/>
      <c r="M111" s="49"/>
      <c r="N111" s="49"/>
      <c r="O111" s="49"/>
      <c r="P111" s="49"/>
      <c r="Q111" s="49"/>
      <c r="R111" s="49"/>
      <c r="S111" s="49"/>
      <c r="T111" s="49"/>
      <c r="U111" s="49"/>
      <c r="V111" s="49"/>
      <c r="W111" s="49"/>
      <c r="X111" s="49"/>
      <c r="Y111" s="49"/>
      <c r="Z111" s="49"/>
    </row>
    <row r="112" spans="1:26" ht="15" customHeight="1" x14ac:dyDescent="0.3">
      <c r="A112" s="320" t="s">
        <v>371</v>
      </c>
      <c r="B112" s="1884"/>
      <c r="C112" s="648" t="s">
        <v>117</v>
      </c>
      <c r="D112" s="348">
        <f>+'Q1'!D112+'Q2'!D112+'Q3'!D112+'Q4'!D112</f>
        <v>82738.92</v>
      </c>
      <c r="E112" s="382">
        <f>+'Emission Factors'!K91</f>
        <v>3.0839999999999999E-2</v>
      </c>
      <c r="F112" s="85">
        <f t="shared" si="14"/>
        <v>2.5516682928000001</v>
      </c>
      <c r="G112" s="148"/>
      <c r="H112" s="148"/>
      <c r="I112" s="1978"/>
      <c r="J112" s="1979"/>
      <c r="K112" s="1980"/>
      <c r="L112" s="49"/>
      <c r="M112" s="49"/>
      <c r="N112" s="49"/>
      <c r="O112" s="49"/>
      <c r="P112" s="49"/>
      <c r="Q112" s="49"/>
      <c r="R112" s="49"/>
      <c r="S112" s="49"/>
      <c r="T112" s="49"/>
      <c r="U112" s="49"/>
      <c r="V112" s="49"/>
      <c r="W112" s="49"/>
      <c r="X112" s="49"/>
      <c r="Y112" s="49"/>
      <c r="Z112" s="49"/>
    </row>
    <row r="113" spans="1:26" ht="15" customHeight="1" x14ac:dyDescent="0.3">
      <c r="A113" s="320" t="s">
        <v>371</v>
      </c>
      <c r="B113" s="1884"/>
      <c r="C113" s="648" t="s">
        <v>118</v>
      </c>
      <c r="D113" s="348">
        <f>+'Q1'!D113+'Q2'!D113+'Q3'!D113+'Q4'!D113</f>
        <v>2187</v>
      </c>
      <c r="E113" s="382">
        <f>+'Emission Factors'!K92</f>
        <v>0.15018000000000001</v>
      </c>
      <c r="F113" s="85">
        <f t="shared" si="14"/>
        <v>0.32844366000000003</v>
      </c>
      <c r="G113" s="148"/>
      <c r="H113" s="148"/>
      <c r="I113" s="1978"/>
      <c r="J113" s="1979"/>
      <c r="K113" s="1980"/>
      <c r="L113" s="49"/>
      <c r="M113" s="49"/>
      <c r="N113" s="49"/>
      <c r="O113" s="49"/>
      <c r="P113" s="49"/>
      <c r="Q113" s="49"/>
      <c r="R113" s="49"/>
      <c r="S113" s="49"/>
      <c r="T113" s="49"/>
      <c r="U113" s="49"/>
      <c r="V113" s="49"/>
      <c r="W113" s="49"/>
      <c r="X113" s="49"/>
      <c r="Y113" s="49"/>
      <c r="Z113" s="49"/>
    </row>
    <row r="114" spans="1:26" ht="15" customHeight="1" x14ac:dyDescent="0.3">
      <c r="A114" s="320" t="s">
        <v>371</v>
      </c>
      <c r="B114" s="1884"/>
      <c r="C114" s="648" t="s">
        <v>119</v>
      </c>
      <c r="D114" s="348">
        <f>+'Q1'!D114+'Q2'!D114+'Q3'!D114+'Q4'!D114</f>
        <v>0</v>
      </c>
      <c r="E114" s="382">
        <f>+'Emission Factors'!K93</f>
        <v>0.21176</v>
      </c>
      <c r="F114" s="85">
        <f t="shared" si="14"/>
        <v>0</v>
      </c>
      <c r="G114" s="148"/>
      <c r="H114" s="148"/>
      <c r="I114" s="1978"/>
      <c r="J114" s="1979"/>
      <c r="K114" s="1980"/>
      <c r="L114" s="49"/>
      <c r="M114" s="49"/>
      <c r="N114" s="49"/>
      <c r="O114" s="49"/>
      <c r="P114" s="49"/>
      <c r="Q114" s="49"/>
      <c r="R114" s="49"/>
      <c r="S114" s="49"/>
      <c r="T114" s="49"/>
      <c r="U114" s="49"/>
      <c r="V114" s="49"/>
      <c r="W114" s="49"/>
      <c r="X114" s="49"/>
      <c r="Y114" s="49"/>
      <c r="Z114" s="49"/>
    </row>
    <row r="115" spans="1:26" ht="15" customHeight="1" x14ac:dyDescent="0.3">
      <c r="A115" s="320" t="s">
        <v>371</v>
      </c>
      <c r="B115" s="1884"/>
      <c r="C115" s="648" t="s">
        <v>120</v>
      </c>
      <c r="D115" s="348">
        <f>+'Q1'!D115+'Q2'!D115+'Q3'!D115+'Q4'!D115</f>
        <v>0</v>
      </c>
      <c r="E115" s="382">
        <f>+'Emission Factors'!K94</f>
        <v>0.12076000000000001</v>
      </c>
      <c r="F115" s="85">
        <f t="shared" si="14"/>
        <v>0</v>
      </c>
      <c r="G115" s="148"/>
      <c r="H115" s="148"/>
      <c r="I115" s="1978"/>
      <c r="J115" s="1979"/>
      <c r="K115" s="1980"/>
      <c r="L115" s="49"/>
      <c r="M115" s="49"/>
      <c r="N115" s="49"/>
      <c r="O115" s="49"/>
      <c r="P115" s="49"/>
      <c r="Q115" s="49"/>
      <c r="R115" s="49"/>
      <c r="S115" s="49"/>
      <c r="T115" s="49"/>
      <c r="U115" s="49"/>
      <c r="V115" s="49"/>
      <c r="W115" s="49"/>
      <c r="X115" s="49"/>
      <c r="Y115" s="49"/>
      <c r="Z115" s="49"/>
    </row>
    <row r="116" spans="1:26" ht="15" customHeight="1" x14ac:dyDescent="0.3">
      <c r="A116" s="320" t="s">
        <v>371</v>
      </c>
      <c r="B116" s="1884"/>
      <c r="C116" s="648" t="s">
        <v>121</v>
      </c>
      <c r="D116" s="348">
        <f>+'Q1'!D116+'Q2'!D116+'Q3'!D116+'Q4'!D116</f>
        <v>0</v>
      </c>
      <c r="E116" s="382">
        <f>+'Emission Factors'!K95</f>
        <v>8.208E-2</v>
      </c>
      <c r="F116" s="85">
        <f t="shared" si="14"/>
        <v>0</v>
      </c>
      <c r="G116" s="148"/>
      <c r="H116" s="148"/>
      <c r="I116" s="1978"/>
      <c r="J116" s="1979"/>
      <c r="K116" s="1980"/>
      <c r="L116" s="49"/>
      <c r="M116" s="49"/>
      <c r="N116" s="49"/>
      <c r="O116" s="49"/>
      <c r="P116" s="49"/>
      <c r="Q116" s="49"/>
      <c r="R116" s="49"/>
      <c r="S116" s="49"/>
      <c r="T116" s="49"/>
      <c r="U116" s="49"/>
      <c r="V116" s="49"/>
      <c r="W116" s="49"/>
      <c r="X116" s="49"/>
      <c r="Y116" s="49"/>
      <c r="Z116" s="49"/>
    </row>
    <row r="117" spans="1:26" ht="15" customHeight="1" x14ac:dyDescent="0.3">
      <c r="A117" s="320" t="s">
        <v>371</v>
      </c>
      <c r="B117" s="1884"/>
      <c r="C117" s="648" t="s">
        <v>122</v>
      </c>
      <c r="D117" s="348">
        <f>+'Q1'!D117+'Q2'!D117+'Q3'!D117+'Q4'!D117</f>
        <v>0</v>
      </c>
      <c r="E117" s="382">
        <f>+'Emission Factors'!K96</f>
        <v>0.10471</v>
      </c>
      <c r="F117" s="85">
        <f t="shared" si="14"/>
        <v>0</v>
      </c>
      <c r="G117" s="148"/>
      <c r="H117" s="148"/>
      <c r="I117" s="1978"/>
      <c r="J117" s="1979"/>
      <c r="K117" s="1980"/>
      <c r="L117" s="49"/>
      <c r="M117" s="49"/>
      <c r="N117" s="49"/>
      <c r="O117" s="49"/>
      <c r="P117" s="49"/>
      <c r="Q117" s="49"/>
      <c r="R117" s="49"/>
      <c r="S117" s="49"/>
      <c r="T117" s="49"/>
      <c r="U117" s="49"/>
      <c r="V117" s="49"/>
      <c r="W117" s="49"/>
      <c r="X117" s="49"/>
      <c r="Y117" s="49"/>
      <c r="Z117" s="49"/>
    </row>
    <row r="118" spans="1:26" ht="15" customHeight="1" x14ac:dyDescent="0.3">
      <c r="A118" s="320" t="s">
        <v>371</v>
      </c>
      <c r="B118" s="1884"/>
      <c r="C118" s="648" t="s">
        <v>123</v>
      </c>
      <c r="D118" s="348">
        <f>+'Q1'!D118+'Q2'!D118+'Q3'!D118+'Q4'!D118</f>
        <v>0</v>
      </c>
      <c r="E118" s="382">
        <f>+'Emission Factors'!K97</f>
        <v>2.7789999999999999E-2</v>
      </c>
      <c r="F118" s="85">
        <f t="shared" si="14"/>
        <v>0</v>
      </c>
      <c r="G118" s="148"/>
      <c r="H118" s="148"/>
      <c r="I118" s="1978"/>
      <c r="J118" s="1979"/>
      <c r="K118" s="1980"/>
      <c r="L118" s="49"/>
      <c r="M118" s="49"/>
      <c r="N118" s="49"/>
      <c r="O118" s="49"/>
      <c r="P118" s="49"/>
      <c r="Q118" s="49"/>
      <c r="R118" s="49"/>
      <c r="S118" s="49"/>
      <c r="T118" s="49"/>
      <c r="U118" s="49"/>
      <c r="V118" s="49"/>
      <c r="W118" s="49"/>
      <c r="X118" s="49"/>
      <c r="Y118" s="49"/>
      <c r="Z118" s="49"/>
    </row>
    <row r="119" spans="1:26" ht="15" customHeight="1" x14ac:dyDescent="0.3">
      <c r="A119" s="320" t="s">
        <v>371</v>
      </c>
      <c r="B119" s="1884"/>
      <c r="C119" s="649" t="s">
        <v>410</v>
      </c>
      <c r="D119" s="348">
        <f>+'Q1'!D119+'Q2'!D119+'Q3'!D119+'Q4'!D119</f>
        <v>0</v>
      </c>
      <c r="E119" s="69">
        <f>IF(D119=0,0,1000*F119/D119)</f>
        <v>0</v>
      </c>
      <c r="F119" s="40">
        <f>+'Q1'!F119+'Q2'!F119+'Q3'!F119+'Q4'!F119</f>
        <v>0</v>
      </c>
      <c r="G119" s="148"/>
      <c r="H119" s="148"/>
      <c r="I119" s="1978"/>
      <c r="J119" s="1979"/>
      <c r="K119" s="1980"/>
      <c r="L119" s="49"/>
      <c r="M119" s="49"/>
      <c r="N119" s="49"/>
      <c r="O119" s="49"/>
      <c r="P119" s="49"/>
      <c r="Q119" s="49"/>
      <c r="R119" s="49"/>
      <c r="S119" s="49"/>
      <c r="T119" s="49"/>
      <c r="U119" s="49"/>
      <c r="V119" s="49"/>
      <c r="W119" s="49"/>
      <c r="X119" s="49"/>
      <c r="Y119" s="49"/>
      <c r="Z119" s="49"/>
    </row>
    <row r="120" spans="1:26" ht="15" customHeight="1" x14ac:dyDescent="0.3">
      <c r="A120" s="320" t="s">
        <v>371</v>
      </c>
      <c r="B120" s="1884"/>
      <c r="C120" s="649" t="s">
        <v>411</v>
      </c>
      <c r="D120" s="348">
        <f>+'Q1'!D120+'Q2'!D120+'Q3'!D120+'Q4'!D120</f>
        <v>0</v>
      </c>
      <c r="E120" s="69">
        <f>IF(D120=0,0,1000*F120/D120)</f>
        <v>0</v>
      </c>
      <c r="F120" s="40">
        <f>+'Q1'!F120+'Q2'!F120+'Q3'!F120+'Q4'!F120</f>
        <v>0</v>
      </c>
      <c r="G120" s="148"/>
      <c r="H120" s="148"/>
      <c r="I120" s="1978"/>
      <c r="J120" s="1979"/>
      <c r="K120" s="1980"/>
      <c r="L120" s="49"/>
      <c r="M120" s="49"/>
      <c r="N120" s="49"/>
      <c r="O120" s="49"/>
      <c r="P120" s="49"/>
      <c r="Q120" s="49"/>
      <c r="R120" s="49"/>
      <c r="S120" s="49"/>
      <c r="T120" s="49"/>
      <c r="U120" s="49"/>
      <c r="V120" s="49"/>
      <c r="W120" s="49"/>
      <c r="X120" s="49"/>
      <c r="Y120" s="49"/>
      <c r="Z120" s="49"/>
    </row>
    <row r="121" spans="1:26" ht="15" customHeight="1" thickBot="1" x14ac:dyDescent="0.35">
      <c r="A121" s="320" t="s">
        <v>371</v>
      </c>
      <c r="B121" s="1884"/>
      <c r="C121" s="649" t="s">
        <v>412</v>
      </c>
      <c r="D121" s="1053">
        <f>+'Q1'!D121+'Q2'!D121+'Q3'!D121+'Q4'!D121</f>
        <v>0</v>
      </c>
      <c r="E121" s="172">
        <f>IF(D121=0,0,1000*F121/D121)</f>
        <v>0</v>
      </c>
      <c r="F121" s="190">
        <f>+'Q1'!F121+'Q2'!F121+'Q3'!F121+'Q4'!F121</f>
        <v>0</v>
      </c>
      <c r="G121" s="173"/>
      <c r="H121" s="173"/>
      <c r="I121" s="1993"/>
      <c r="J121" s="1994"/>
      <c r="K121" s="1995"/>
      <c r="L121" s="49"/>
      <c r="M121" s="49"/>
      <c r="N121" s="49"/>
      <c r="O121" s="49"/>
      <c r="P121" s="49"/>
      <c r="Q121" s="49"/>
      <c r="R121" s="49"/>
      <c r="S121" s="49"/>
      <c r="T121" s="49"/>
      <c r="U121" s="49"/>
      <c r="V121" s="49"/>
      <c r="W121" s="49"/>
      <c r="X121" s="49"/>
      <c r="Y121" s="49"/>
      <c r="Z121" s="49"/>
    </row>
    <row r="122" spans="1:26" ht="14.4" thickBot="1" x14ac:dyDescent="0.35">
      <c r="A122" s="320"/>
      <c r="B122" s="656" t="s">
        <v>406</v>
      </c>
      <c r="C122" s="658" t="s">
        <v>405</v>
      </c>
      <c r="D122" s="1439">
        <f>+'Q1'!D122+'Q2'!D122+'Q3'!D122+'Q4'!D122</f>
        <v>0</v>
      </c>
      <c r="E122" s="389"/>
      <c r="F122" s="389"/>
      <c r="G122" s="1112"/>
      <c r="H122" s="1113"/>
      <c r="I122" s="1996"/>
      <c r="J122" s="1997"/>
      <c r="K122" s="1998"/>
      <c r="L122" s="49"/>
      <c r="M122" s="49"/>
      <c r="N122" s="49"/>
      <c r="O122" s="49"/>
      <c r="P122" s="49"/>
      <c r="Q122" s="49"/>
      <c r="R122" s="49"/>
      <c r="S122" s="49"/>
      <c r="T122" s="49"/>
      <c r="U122" s="49"/>
      <c r="V122" s="49"/>
      <c r="W122" s="49"/>
      <c r="X122" s="49"/>
      <c r="Y122" s="49"/>
      <c r="Z122" s="49"/>
    </row>
    <row r="123" spans="1:26" ht="13.5" customHeight="1" thickBot="1" x14ac:dyDescent="0.35">
      <c r="A123" s="320"/>
      <c r="B123" s="657" t="s">
        <v>460</v>
      </c>
      <c r="C123" s="655"/>
      <c r="D123" s="654"/>
      <c r="E123" s="389"/>
      <c r="F123" s="1111">
        <f>+F19+F53+F64+T67+F86+T89+F108</f>
        <v>127140.63081037508</v>
      </c>
      <c r="G123" s="49"/>
      <c r="H123" s="49"/>
      <c r="I123" s="49"/>
      <c r="J123" s="49"/>
      <c r="K123" s="49"/>
      <c r="L123" s="49"/>
      <c r="M123" s="49"/>
      <c r="N123" s="49"/>
      <c r="O123" s="49"/>
      <c r="P123" s="49"/>
      <c r="Q123" s="49"/>
      <c r="R123" s="49"/>
      <c r="S123" s="49"/>
      <c r="T123" s="49"/>
      <c r="U123" s="49"/>
      <c r="V123" s="49"/>
      <c r="W123" s="49"/>
      <c r="X123" s="49"/>
      <c r="Y123" s="49"/>
      <c r="Z123" s="49"/>
    </row>
    <row r="124" spans="1:26" s="589" customFormat="1" ht="15" thickBot="1" x14ac:dyDescent="0.35">
      <c r="A124" s="391"/>
      <c r="B124" s="392" t="s">
        <v>125</v>
      </c>
      <c r="C124" s="393"/>
      <c r="D124" s="393"/>
      <c r="E124" s="393"/>
      <c r="F124" s="393"/>
      <c r="G124" s="393"/>
      <c r="H124" s="394"/>
      <c r="I124" s="395"/>
      <c r="J124" s="396"/>
      <c r="K124" s="396"/>
      <c r="L124" s="396"/>
      <c r="M124" s="396"/>
      <c r="N124" s="396"/>
      <c r="O124" s="396"/>
      <c r="P124" s="396"/>
      <c r="Q124" s="396"/>
      <c r="R124" s="396"/>
      <c r="S124" s="396"/>
      <c r="T124" s="396"/>
      <c r="U124" s="396"/>
      <c r="V124" s="396"/>
      <c r="W124" s="396"/>
      <c r="X124" s="396"/>
      <c r="Y124" s="396"/>
      <c r="Z124" s="396"/>
    </row>
    <row r="125" spans="1:26" ht="15.75" customHeight="1" thickBot="1" x14ac:dyDescent="0.35">
      <c r="A125" s="320"/>
      <c r="B125" s="397"/>
      <c r="C125" s="398"/>
      <c r="D125" s="1999" t="s">
        <v>23</v>
      </c>
      <c r="E125" s="2000"/>
      <c r="F125" s="2001"/>
      <c r="G125" s="376"/>
      <c r="H125" s="376"/>
      <c r="I125" s="2002" t="s">
        <v>24</v>
      </c>
      <c r="J125" s="2003"/>
      <c r="K125" s="2004"/>
      <c r="L125" s="361" t="s">
        <v>408</v>
      </c>
      <c r="M125" s="49"/>
      <c r="N125" s="49"/>
      <c r="O125" s="49"/>
      <c r="P125" s="49"/>
      <c r="Q125" s="49"/>
      <c r="R125" s="49"/>
      <c r="S125" s="49"/>
      <c r="T125" s="49"/>
      <c r="U125" s="49"/>
      <c r="V125" s="49"/>
      <c r="W125" s="49"/>
      <c r="X125" s="49"/>
      <c r="Y125" s="49"/>
      <c r="Z125" s="49"/>
    </row>
    <row r="126" spans="1:26" ht="15.75" customHeight="1" thickBot="1" x14ac:dyDescent="0.35">
      <c r="A126" s="320"/>
      <c r="B126" s="397"/>
      <c r="C126" s="398"/>
      <c r="D126" s="399" t="s">
        <v>81</v>
      </c>
      <c r="E126" s="1438" t="s">
        <v>171</v>
      </c>
      <c r="F126" s="401" t="s">
        <v>174</v>
      </c>
      <c r="G126" s="148"/>
      <c r="H126" s="148"/>
      <c r="I126" s="2005"/>
      <c r="J126" s="2006"/>
      <c r="K126" s="2007"/>
      <c r="L126" s="663" t="s">
        <v>28</v>
      </c>
      <c r="M126" s="49"/>
      <c r="N126" s="49"/>
      <c r="O126" s="49"/>
      <c r="P126" s="49"/>
      <c r="Q126" s="49"/>
      <c r="R126" s="49"/>
      <c r="S126" s="49"/>
      <c r="T126" s="49"/>
      <c r="U126" s="49"/>
      <c r="V126" s="49"/>
      <c r="W126" s="49"/>
      <c r="X126" s="49"/>
      <c r="Y126" s="49"/>
      <c r="Z126" s="49"/>
    </row>
    <row r="127" spans="1:26" ht="13.5" customHeight="1" thickBot="1" x14ac:dyDescent="0.35">
      <c r="A127" s="320"/>
      <c r="B127" s="402" t="s">
        <v>126</v>
      </c>
      <c r="C127" s="403"/>
      <c r="D127" s="1437">
        <f>SUM(D128:D136)</f>
        <v>2161173.54</v>
      </c>
      <c r="E127" s="405"/>
      <c r="F127" s="406">
        <f>SUM(F128:F136)</f>
        <v>425.11037490750005</v>
      </c>
      <c r="G127" s="148"/>
      <c r="H127" s="148"/>
      <c r="I127" s="2008"/>
      <c r="J127" s="2009"/>
      <c r="K127" s="2010"/>
      <c r="L127" s="660">
        <f>SUM(L128:L136)</f>
        <v>888.05166132846898</v>
      </c>
      <c r="M127" s="49"/>
      <c r="N127" s="49"/>
      <c r="O127" s="49"/>
      <c r="P127" s="49"/>
      <c r="Q127" s="49"/>
      <c r="R127" s="49"/>
      <c r="S127" s="49"/>
      <c r="T127" s="49"/>
      <c r="U127" s="49"/>
      <c r="V127" s="49"/>
      <c r="W127" s="49"/>
      <c r="X127" s="49"/>
      <c r="Y127" s="49"/>
      <c r="Z127" s="49"/>
    </row>
    <row r="128" spans="1:26" ht="15" customHeight="1" x14ac:dyDescent="0.3">
      <c r="A128" s="320" t="s">
        <v>373</v>
      </c>
      <c r="B128" s="407" t="s">
        <v>127</v>
      </c>
      <c r="C128" s="408"/>
      <c r="D128" s="1429">
        <f>+'Q1'!D128+'Q2'!D128+'Q3'!D128+'Q4'!D128</f>
        <v>0</v>
      </c>
      <c r="E128" s="381">
        <f>+'Emission Factors'!K107</f>
        <v>0.15831999999999999</v>
      </c>
      <c r="F128" s="563">
        <f>(D128*E128)/1000</f>
        <v>0</v>
      </c>
      <c r="G128" s="376"/>
      <c r="H128" s="376"/>
      <c r="I128" s="2011"/>
      <c r="J128" s="2012"/>
      <c r="K128" s="2013"/>
      <c r="L128" s="559">
        <f>+F128*2.09</f>
        <v>0</v>
      </c>
      <c r="M128" s="49"/>
      <c r="N128" s="49"/>
      <c r="O128" s="49"/>
      <c r="P128" s="49"/>
      <c r="Q128" s="49"/>
      <c r="R128" s="49"/>
      <c r="S128" s="49"/>
      <c r="T128" s="49"/>
      <c r="U128" s="49"/>
      <c r="V128" s="49"/>
      <c r="W128" s="49"/>
      <c r="X128" s="49"/>
      <c r="Y128" s="49"/>
      <c r="Z128" s="49"/>
    </row>
    <row r="129" spans="1:30" ht="15.75" customHeight="1" x14ac:dyDescent="0.3">
      <c r="A129" s="320" t="s">
        <v>373</v>
      </c>
      <c r="B129" s="111" t="s">
        <v>128</v>
      </c>
      <c r="C129" s="112"/>
      <c r="D129" s="348">
        <f>+'Q1'!D129+'Q2'!D129+'Q3'!D129+'Q4'!D129</f>
        <v>638207</v>
      </c>
      <c r="E129" s="382">
        <f>+'Emission Factors'!K108</f>
        <v>0.15573000000000001</v>
      </c>
      <c r="F129" s="564">
        <f t="shared" ref="F129:F136" si="15">(D129*E129)/1000</f>
        <v>99.387976109999997</v>
      </c>
      <c r="G129" s="148"/>
      <c r="H129" s="148"/>
      <c r="I129" s="1990"/>
      <c r="J129" s="1991"/>
      <c r="K129" s="1992"/>
      <c r="L129" s="661">
        <f t="shared" ref="L129:L135" si="16">+F129*2.09</f>
        <v>207.72087006989997</v>
      </c>
      <c r="M129" s="49"/>
      <c r="N129" s="49"/>
      <c r="O129" s="49"/>
      <c r="P129" s="49"/>
      <c r="Q129" s="49"/>
      <c r="R129" s="49"/>
      <c r="S129" s="49"/>
      <c r="T129" s="49"/>
      <c r="U129" s="49"/>
      <c r="V129" s="49"/>
      <c r="W129" s="49"/>
      <c r="X129" s="49"/>
      <c r="Y129" s="49"/>
      <c r="Z129" s="49"/>
    </row>
    <row r="130" spans="1:30" ht="15" customHeight="1" x14ac:dyDescent="0.3">
      <c r="A130" s="320" t="s">
        <v>373</v>
      </c>
      <c r="B130" s="111" t="s">
        <v>129</v>
      </c>
      <c r="C130" s="112"/>
      <c r="D130" s="348">
        <f>+'Q1'!D130+'Q2'!D130+'Q3'!D130+'Q4'!D130</f>
        <v>8510</v>
      </c>
      <c r="E130" s="382">
        <f>+'Emission Factors'!K109</f>
        <v>0.2336</v>
      </c>
      <c r="F130" s="564">
        <f t="shared" si="15"/>
        <v>1.9879359999999999</v>
      </c>
      <c r="G130" s="148"/>
      <c r="H130" s="148"/>
      <c r="I130" s="1990"/>
      <c r="J130" s="1991"/>
      <c r="K130" s="1992"/>
      <c r="L130" s="661">
        <f t="shared" si="16"/>
        <v>4.15478624</v>
      </c>
      <c r="M130" s="49"/>
      <c r="N130" s="49"/>
      <c r="O130" s="49"/>
      <c r="P130" s="49"/>
      <c r="Q130" s="49"/>
      <c r="R130" s="49"/>
      <c r="S130" s="49"/>
      <c r="T130" s="49"/>
      <c r="U130" s="49"/>
      <c r="V130" s="49"/>
      <c r="W130" s="49"/>
      <c r="X130" s="49"/>
      <c r="Y130" s="49"/>
      <c r="Z130" s="49"/>
    </row>
    <row r="131" spans="1:30" ht="15.75" customHeight="1" x14ac:dyDescent="0.3">
      <c r="A131" s="320" t="s">
        <v>373</v>
      </c>
      <c r="B131" s="111" t="s">
        <v>130</v>
      </c>
      <c r="C131" s="112"/>
      <c r="D131" s="348">
        <f>+'Q1'!D131+'Q2'!D131+'Q3'!D131+'Q4'!D131</f>
        <v>0</v>
      </c>
      <c r="E131" s="382">
        <f>+'Emission Factors'!K110</f>
        <v>0.19561999999999999</v>
      </c>
      <c r="F131" s="564">
        <f t="shared" si="15"/>
        <v>0</v>
      </c>
      <c r="G131" s="148"/>
      <c r="H131" s="148"/>
      <c r="I131" s="1990"/>
      <c r="J131" s="1991"/>
      <c r="K131" s="1992"/>
      <c r="L131" s="661">
        <f t="shared" si="16"/>
        <v>0</v>
      </c>
      <c r="M131" s="49"/>
      <c r="N131" s="49"/>
      <c r="O131" s="49"/>
      <c r="P131" s="49"/>
      <c r="Q131" s="49"/>
      <c r="R131" s="49"/>
      <c r="S131" s="49"/>
      <c r="T131" s="49"/>
      <c r="U131" s="49"/>
      <c r="V131" s="49"/>
      <c r="W131" s="49"/>
      <c r="X131" s="49"/>
      <c r="Y131" s="49"/>
      <c r="Z131" s="49"/>
    </row>
    <row r="132" spans="1:30" ht="15" customHeight="1" x14ac:dyDescent="0.3">
      <c r="A132" s="320" t="s">
        <v>373</v>
      </c>
      <c r="B132" s="111" t="s">
        <v>131</v>
      </c>
      <c r="C132" s="112"/>
      <c r="D132" s="348">
        <f>+'Q1'!D132+'Q2'!D132+'Q3'!D132+'Q4'!D132</f>
        <v>925376.14</v>
      </c>
      <c r="E132" s="382">
        <f>+'Emission Factors'!K111</f>
        <v>0.14981</v>
      </c>
      <c r="F132" s="564">
        <f t="shared" si="15"/>
        <v>138.63059953340002</v>
      </c>
      <c r="G132" s="148"/>
      <c r="H132" s="148"/>
      <c r="I132" s="1990"/>
      <c r="J132" s="1991"/>
      <c r="K132" s="1992"/>
      <c r="L132" s="661">
        <f t="shared" si="16"/>
        <v>289.73795302480602</v>
      </c>
      <c r="M132" s="49"/>
      <c r="N132" s="49"/>
      <c r="O132" s="49"/>
      <c r="P132" s="49"/>
      <c r="Q132" s="49"/>
      <c r="R132" s="49"/>
      <c r="S132" s="49"/>
      <c r="T132" s="49"/>
      <c r="U132" s="49"/>
      <c r="V132" s="49"/>
      <c r="W132" s="49"/>
      <c r="X132" s="49"/>
      <c r="Y132" s="49"/>
      <c r="Z132" s="49"/>
    </row>
    <row r="133" spans="1:30" ht="15.75" customHeight="1" x14ac:dyDescent="0.3">
      <c r="A133" s="320" t="s">
        <v>373</v>
      </c>
      <c r="B133" s="111" t="s">
        <v>132</v>
      </c>
      <c r="C133" s="112"/>
      <c r="D133" s="348">
        <f>+'Q1'!D133+'Q2'!D133+'Q3'!D133+'Q4'!D133</f>
        <v>299904.74</v>
      </c>
      <c r="E133" s="382">
        <f>+'Emission Factors'!K112</f>
        <v>0.2397</v>
      </c>
      <c r="F133" s="564">
        <f t="shared" si="15"/>
        <v>71.887166178000001</v>
      </c>
      <c r="G133" s="148"/>
      <c r="H133" s="148"/>
      <c r="I133" s="1990"/>
      <c r="J133" s="1991"/>
      <c r="K133" s="1992"/>
      <c r="L133" s="661">
        <f t="shared" si="16"/>
        <v>150.24417731201999</v>
      </c>
      <c r="M133" s="49"/>
      <c r="N133" s="49"/>
      <c r="O133" s="49"/>
      <c r="P133" s="49"/>
      <c r="Q133" s="49"/>
      <c r="R133" s="49"/>
      <c r="S133" s="49"/>
      <c r="T133" s="49"/>
      <c r="U133" s="49"/>
      <c r="V133" s="49"/>
      <c r="W133" s="49"/>
      <c r="X133" s="49"/>
      <c r="Y133" s="49"/>
      <c r="Z133" s="49"/>
    </row>
    <row r="134" spans="1:30" ht="15" customHeight="1" x14ac:dyDescent="0.3">
      <c r="A134" s="320" t="s">
        <v>373</v>
      </c>
      <c r="B134" s="111" t="s">
        <v>133</v>
      </c>
      <c r="C134" s="112"/>
      <c r="D134" s="348">
        <f>+'Q1'!D134+'Q2'!D134+'Q3'!D134+'Q4'!D134</f>
        <v>240744.87</v>
      </c>
      <c r="E134" s="382">
        <f>+'Emission Factors'!K113</f>
        <v>0.43446000000000001</v>
      </c>
      <c r="F134" s="564">
        <f t="shared" si="15"/>
        <v>104.5940162202</v>
      </c>
      <c r="G134" s="148"/>
      <c r="H134" s="148"/>
      <c r="I134" s="1990" t="s">
        <v>587</v>
      </c>
      <c r="J134" s="1991"/>
      <c r="K134" s="1992"/>
      <c r="L134" s="661">
        <f t="shared" si="16"/>
        <v>218.601493900218</v>
      </c>
      <c r="M134" s="49"/>
      <c r="N134" s="49"/>
      <c r="O134" s="49"/>
      <c r="P134" s="49"/>
      <c r="Q134" s="49"/>
      <c r="R134" s="49"/>
      <c r="S134" s="49"/>
      <c r="T134" s="49"/>
      <c r="U134" s="49"/>
      <c r="V134" s="49"/>
      <c r="W134" s="49"/>
      <c r="X134" s="49"/>
      <c r="Y134" s="49"/>
      <c r="Z134" s="49"/>
    </row>
    <row r="135" spans="1:30" ht="15.75" customHeight="1" thickBot="1" x14ac:dyDescent="0.35">
      <c r="A135" s="320" t="s">
        <v>373</v>
      </c>
      <c r="B135" s="111" t="s">
        <v>134</v>
      </c>
      <c r="C135" s="112"/>
      <c r="D135" s="348">
        <f>+'Q1'!D135+'Q2'!D135+'Q3'!D135+'Q4'!D135</f>
        <v>14046.57</v>
      </c>
      <c r="E135" s="382">
        <f>+'Emission Factors'!K114</f>
        <v>0.59924999999999995</v>
      </c>
      <c r="F135" s="564">
        <f>(D135*E135)/1000</f>
        <v>8.4174070724999979</v>
      </c>
      <c r="G135" s="148"/>
      <c r="H135" s="148"/>
      <c r="I135" s="1990"/>
      <c r="J135" s="1991"/>
      <c r="K135" s="1992"/>
      <c r="L135" s="662">
        <f t="shared" si="16"/>
        <v>17.592380781524994</v>
      </c>
      <c r="M135" s="49"/>
      <c r="N135" s="49"/>
      <c r="O135" s="49"/>
      <c r="P135" s="49"/>
      <c r="Q135" s="49"/>
      <c r="R135" s="49"/>
      <c r="S135" s="49"/>
      <c r="T135" s="49"/>
      <c r="U135" s="49"/>
      <c r="V135" s="49"/>
      <c r="W135" s="49"/>
      <c r="X135" s="49"/>
      <c r="Y135" s="49"/>
      <c r="Z135" s="49"/>
    </row>
    <row r="136" spans="1:30" ht="15" customHeight="1" thickBot="1" x14ac:dyDescent="0.35">
      <c r="A136" s="320" t="s">
        <v>373</v>
      </c>
      <c r="B136" s="409" t="s">
        <v>135</v>
      </c>
      <c r="C136" s="410"/>
      <c r="D136" s="354">
        <f>+'Q1'!D136+'Q2'!D136+'Q3'!D136+'Q4'!D136</f>
        <v>34384.22</v>
      </c>
      <c r="E136" s="411">
        <f>+'Emission Factors'!K115</f>
        <v>5.9699999999999996E-3</v>
      </c>
      <c r="F136" s="565">
        <f t="shared" si="15"/>
        <v>0.20527379339999999</v>
      </c>
      <c r="G136" s="173"/>
      <c r="H136" s="173"/>
      <c r="I136" s="2028"/>
      <c r="J136" s="2029"/>
      <c r="K136" s="2030"/>
      <c r="L136" s="49"/>
      <c r="M136" s="49"/>
      <c r="N136" s="49"/>
      <c r="O136" s="49"/>
      <c r="P136" s="49"/>
      <c r="Q136" s="49"/>
      <c r="R136" s="49"/>
      <c r="S136" s="49"/>
      <c r="T136" s="49"/>
      <c r="U136" s="49"/>
      <c r="V136" s="49"/>
      <c r="W136" s="49"/>
      <c r="X136" s="49"/>
      <c r="Y136" s="49"/>
      <c r="Z136" s="49"/>
    </row>
    <row r="137" spans="1:30" ht="15" customHeight="1" x14ac:dyDescent="0.3">
      <c r="A137" s="49"/>
      <c r="B137" s="659" t="s">
        <v>407</v>
      </c>
      <c r="C137" s="650"/>
      <c r="D137" s="412"/>
      <c r="E137" s="413"/>
      <c r="F137" s="414"/>
      <c r="G137" s="414"/>
      <c r="H137" s="414"/>
      <c r="I137" s="415"/>
      <c r="J137" s="415"/>
      <c r="K137" s="415"/>
      <c r="L137" s="345"/>
      <c r="M137" s="420"/>
      <c r="N137" s="49"/>
      <c r="O137" s="49"/>
      <c r="P137" s="49"/>
      <c r="Q137" s="49"/>
      <c r="R137" s="49"/>
      <c r="S137" s="49"/>
      <c r="T137" s="49"/>
      <c r="U137" s="49"/>
      <c r="V137" s="49"/>
      <c r="W137" s="49"/>
      <c r="X137" s="49"/>
      <c r="Y137" s="49"/>
      <c r="Z137" s="49"/>
      <c r="AA137" s="49"/>
      <c r="AB137" s="49"/>
      <c r="AC137" s="49"/>
      <c r="AD137" s="49"/>
    </row>
    <row r="138" spans="1:30" s="594" customFormat="1" ht="23.4" x14ac:dyDescent="0.3">
      <c r="A138" s="331"/>
      <c r="B138" s="327" t="s">
        <v>136</v>
      </c>
      <c r="C138" s="333"/>
      <c r="D138" s="1848" t="str">
        <f>+$A$1</f>
        <v>Annual - 2019-2020</v>
      </c>
      <c r="E138" s="1848"/>
      <c r="F138" s="1848"/>
      <c r="G138" s="1848"/>
      <c r="H138" s="1848"/>
      <c r="I138" s="1848"/>
      <c r="J138" s="1848"/>
      <c r="K138" s="334"/>
      <c r="L138" s="334"/>
      <c r="M138" s="334"/>
      <c r="N138" s="334"/>
      <c r="O138" s="334"/>
      <c r="P138" s="334"/>
      <c r="Q138" s="334"/>
      <c r="R138" s="334"/>
      <c r="S138" s="334"/>
      <c r="T138" s="334"/>
      <c r="U138" s="334"/>
      <c r="V138" s="334"/>
      <c r="W138" s="334"/>
      <c r="X138" s="334"/>
      <c r="Y138" s="335"/>
      <c r="Z138" s="335"/>
    </row>
    <row r="139" spans="1:30" ht="15" customHeight="1" thickBot="1" x14ac:dyDescent="0.35">
      <c r="A139" s="320"/>
      <c r="B139" s="43" t="s">
        <v>137</v>
      </c>
      <c r="C139" s="650"/>
      <c r="D139" s="412"/>
      <c r="E139" s="413"/>
      <c r="F139" s="414"/>
      <c r="G139" s="414"/>
      <c r="H139" s="414"/>
      <c r="I139" s="415"/>
      <c r="J139" s="415"/>
      <c r="K139" s="415"/>
      <c r="L139" s="49"/>
      <c r="M139" s="49"/>
      <c r="N139" s="49"/>
      <c r="O139" s="49"/>
      <c r="P139" s="49"/>
      <c r="Q139" s="49"/>
      <c r="R139" s="49"/>
      <c r="S139" s="49"/>
      <c r="T139" s="49"/>
      <c r="U139" s="49"/>
      <c r="V139" s="49"/>
      <c r="W139" s="49"/>
      <c r="X139" s="49"/>
      <c r="Y139" s="49"/>
      <c r="Z139" s="49"/>
    </row>
    <row r="140" spans="1:30" ht="30.75" customHeight="1" thickBot="1" x14ac:dyDescent="0.35">
      <c r="A140" s="320"/>
      <c r="B140" s="49"/>
      <c r="C140" s="49"/>
      <c r="D140" s="416"/>
      <c r="E140" s="650"/>
      <c r="F140" s="417" t="s">
        <v>23</v>
      </c>
      <c r="G140" s="418"/>
      <c r="H140" s="419" t="s">
        <v>144</v>
      </c>
      <c r="I140" s="2031" t="s">
        <v>24</v>
      </c>
      <c r="J140" s="2032"/>
      <c r="K140" s="2033"/>
      <c r="L140" s="49"/>
      <c r="M140" s="49"/>
      <c r="N140" s="49"/>
      <c r="O140" s="415"/>
      <c r="P140" s="49"/>
      <c r="Q140" s="49"/>
      <c r="R140" s="49"/>
      <c r="S140" s="49"/>
      <c r="T140" s="49"/>
      <c r="U140" s="49"/>
      <c r="V140" s="49"/>
      <c r="W140" s="49"/>
      <c r="X140" s="49"/>
      <c r="Y140" s="49"/>
      <c r="Z140" s="49"/>
    </row>
    <row r="141" spans="1:30" ht="15" customHeight="1" thickBot="1" x14ac:dyDescent="0.35">
      <c r="A141" s="320"/>
      <c r="B141" s="49"/>
      <c r="C141" s="49"/>
      <c r="D141" s="43" t="str">
        <f>IF(D33&gt;0,"Please add F7 to relevant to total for relevant scope","")</f>
        <v/>
      </c>
      <c r="E141" s="650"/>
      <c r="F141" s="51" t="s">
        <v>28</v>
      </c>
      <c r="G141" s="418"/>
      <c r="H141" s="433" t="s">
        <v>28</v>
      </c>
      <c r="I141" s="2034"/>
      <c r="J141" s="2035"/>
      <c r="K141" s="2036"/>
      <c r="L141" s="49"/>
      <c r="M141" s="49"/>
      <c r="N141" s="49"/>
      <c r="O141" s="415"/>
      <c r="P141" s="49"/>
      <c r="Q141" s="49"/>
      <c r="R141" s="49"/>
      <c r="S141" s="49"/>
      <c r="T141" s="49"/>
      <c r="U141" s="49"/>
      <c r="V141" s="49"/>
      <c r="W141" s="49"/>
      <c r="X141" s="49"/>
      <c r="Y141" s="49"/>
      <c r="Z141" s="49"/>
    </row>
    <row r="142" spans="1:30" ht="15" customHeight="1" thickBot="1" x14ac:dyDescent="0.35">
      <c r="A142" s="420"/>
      <c r="B142" s="420"/>
      <c r="C142" s="420"/>
      <c r="D142" s="1502" t="s">
        <v>513</v>
      </c>
      <c r="E142" s="1503"/>
      <c r="F142" s="42">
        <f>F143+F144+F145</f>
        <v>127140.63081037506</v>
      </c>
      <c r="G142" s="418"/>
      <c r="H142" s="651">
        <f>H143+H144+H145</f>
        <v>1670.7065949952803</v>
      </c>
      <c r="I142" s="2037"/>
      <c r="J142" s="2038"/>
      <c r="K142" s="2039"/>
      <c r="L142" s="420"/>
      <c r="M142" s="420"/>
      <c r="N142" s="49"/>
      <c r="O142" s="415"/>
      <c r="P142" s="49"/>
      <c r="Q142" s="49"/>
      <c r="R142" s="49"/>
      <c r="S142" s="49"/>
      <c r="T142" s="49"/>
      <c r="U142" s="49"/>
      <c r="V142" s="49"/>
      <c r="W142" s="49"/>
      <c r="X142" s="49"/>
      <c r="Y142" s="49"/>
      <c r="Z142" s="49"/>
    </row>
    <row r="143" spans="1:30" ht="15" customHeight="1" x14ac:dyDescent="0.3">
      <c r="A143" s="420"/>
      <c r="B143" s="420"/>
      <c r="C143" s="420"/>
      <c r="D143" s="52" t="s">
        <v>139</v>
      </c>
      <c r="E143" s="53"/>
      <c r="F143" s="177">
        <f>+'Q1'!F143+'Q2'!F143+'Q3'!F143+'Q4'!F143</f>
        <v>63147.972452200309</v>
      </c>
      <c r="G143" s="421"/>
      <c r="H143" s="652">
        <f>+'Q1'!H143+'Q2'!H143+'Q3'!H143+'Q4'!H143</f>
        <v>249.98533453863953</v>
      </c>
      <c r="I143" s="2040"/>
      <c r="J143" s="2041"/>
      <c r="K143" s="2042"/>
      <c r="L143" s="420"/>
      <c r="M143" s="420"/>
      <c r="N143" s="49"/>
      <c r="O143" s="415"/>
      <c r="P143" s="49"/>
      <c r="Q143" s="49"/>
      <c r="R143" s="49"/>
      <c r="S143" s="49"/>
      <c r="T143" s="49"/>
      <c r="U143" s="49"/>
      <c r="V143" s="49"/>
      <c r="W143" s="49"/>
      <c r="X143" s="49"/>
      <c r="Y143" s="49"/>
      <c r="Z143" s="49"/>
    </row>
    <row r="144" spans="1:30" ht="15" customHeight="1" x14ac:dyDescent="0.3">
      <c r="A144" s="420"/>
      <c r="B144" s="420"/>
      <c r="C144" s="420"/>
      <c r="D144" s="54" t="s">
        <v>140</v>
      </c>
      <c r="E144" s="55"/>
      <c r="F144" s="177">
        <f>+'Q1'!F144+'Q2'!F144+'Q3'!F144+'Q4'!F144</f>
        <v>53170.971419402907</v>
      </c>
      <c r="G144" s="422"/>
      <c r="H144" s="652">
        <f>+'Q1'!H144+'Q2'!H144+'Q3'!H144+'Q4'!H144</f>
        <v>1309.5432894796877</v>
      </c>
      <c r="I144" s="2043"/>
      <c r="J144" s="2044"/>
      <c r="K144" s="2045"/>
      <c r="L144" s="420"/>
      <c r="M144" s="420"/>
      <c r="N144" s="49"/>
      <c r="O144" s="415"/>
      <c r="P144" s="49"/>
      <c r="Q144" s="49"/>
      <c r="R144" s="49"/>
      <c r="S144" s="49"/>
      <c r="T144" s="49"/>
      <c r="U144" s="49"/>
      <c r="V144" s="49"/>
      <c r="W144" s="49"/>
      <c r="X144" s="49"/>
      <c r="Y144" s="49"/>
      <c r="Z144" s="49"/>
    </row>
    <row r="145" spans="1:26" ht="15" customHeight="1" thickBot="1" x14ac:dyDescent="0.35">
      <c r="A145" s="420"/>
      <c r="B145" s="420"/>
      <c r="C145" s="420"/>
      <c r="D145" s="56" t="s">
        <v>141</v>
      </c>
      <c r="E145" s="57"/>
      <c r="F145" s="178">
        <f>+'Q1'!F145+'Q2'!F145+'Q3'!F145+'Q4'!F145</f>
        <v>10821.68693877184</v>
      </c>
      <c r="G145" s="423"/>
      <c r="H145" s="180">
        <f>+'Q1'!H145+'Q2'!H145+'Q3'!H145+'Q4'!H145</f>
        <v>111.17797097695313</v>
      </c>
      <c r="I145" s="2014"/>
      <c r="J145" s="2015"/>
      <c r="K145" s="2016"/>
      <c r="L145" s="420"/>
      <c r="M145" s="420"/>
      <c r="N145" s="49"/>
      <c r="O145" s="415"/>
      <c r="P145" s="49"/>
      <c r="Q145" s="49"/>
      <c r="R145" s="49"/>
      <c r="S145" s="49"/>
      <c r="T145" s="49"/>
      <c r="U145" s="49"/>
      <c r="V145" s="49"/>
      <c r="W145" s="49"/>
      <c r="X145" s="49"/>
      <c r="Y145" s="49"/>
      <c r="Z145" s="49"/>
    </row>
    <row r="146" spans="1:26" ht="15" customHeight="1" thickBot="1" x14ac:dyDescent="0.35">
      <c r="A146" s="420"/>
      <c r="B146" s="420"/>
      <c r="C146" s="420"/>
      <c r="D146" s="2017" t="s">
        <v>172</v>
      </c>
      <c r="E146" s="2018"/>
      <c r="F146" s="42">
        <f>+'Q1'!F146+'Q2'!F146+'Q3'!F146+'Q4'!F146</f>
        <v>75734.289174907492</v>
      </c>
      <c r="G146" s="424"/>
      <c r="H146" s="651">
        <f>+'Q1'!H146+'Q2'!H146+'Q3'!H146+'Q4'!H146</f>
        <v>0</v>
      </c>
      <c r="I146" s="1505"/>
      <c r="J146" s="1506"/>
      <c r="K146" s="1507"/>
      <c r="L146" s="420"/>
      <c r="M146" s="420"/>
      <c r="N146" s="49"/>
      <c r="O146" s="415"/>
      <c r="P146" s="49"/>
      <c r="Q146" s="49"/>
      <c r="R146" s="49"/>
      <c r="S146" s="49"/>
      <c r="T146" s="49"/>
      <c r="U146" s="49"/>
      <c r="V146" s="49"/>
      <c r="W146" s="49"/>
      <c r="X146" s="49"/>
      <c r="Y146" s="49"/>
      <c r="Z146" s="49"/>
    </row>
    <row r="147" spans="1:26" ht="27.75" customHeight="1" x14ac:dyDescent="0.3">
      <c r="A147" s="320"/>
      <c r="B147" s="2019" t="s">
        <v>142</v>
      </c>
      <c r="C147" s="2019"/>
      <c r="D147" s="2019"/>
      <c r="E147" s="2019"/>
      <c r="F147" s="2019"/>
      <c r="G147" s="2019"/>
      <c r="H147" s="2019"/>
      <c r="I147" s="2019"/>
      <c r="J147" s="2019"/>
      <c r="K147" s="2019"/>
      <c r="L147" s="2019"/>
      <c r="M147" s="49"/>
      <c r="N147" s="49"/>
      <c r="O147" s="49"/>
      <c r="P147" s="49"/>
      <c r="Q147" s="49"/>
      <c r="R147" s="49"/>
      <c r="S147" s="49"/>
      <c r="T147" s="49"/>
      <c r="U147" s="49"/>
      <c r="V147" s="49"/>
      <c r="W147" s="49"/>
      <c r="X147" s="49"/>
      <c r="Y147" s="49"/>
      <c r="Z147" s="49"/>
    </row>
    <row r="148" spans="1:26" ht="27.75" customHeight="1" x14ac:dyDescent="0.3">
      <c r="A148" s="320"/>
      <c r="B148" s="1509"/>
      <c r="C148" s="1509"/>
      <c r="D148" s="1509"/>
      <c r="E148" s="1509"/>
      <c r="F148" s="1509"/>
      <c r="G148" s="1509"/>
      <c r="H148" s="1509"/>
      <c r="I148" s="1509"/>
      <c r="J148" s="1509"/>
      <c r="K148" s="1509"/>
      <c r="L148" s="1509"/>
      <c r="M148" s="49"/>
      <c r="N148" s="49"/>
      <c r="O148" s="49"/>
      <c r="P148" s="49"/>
      <c r="Q148" s="49"/>
      <c r="R148" s="49"/>
      <c r="S148" s="49"/>
      <c r="T148" s="49"/>
      <c r="U148" s="49"/>
      <c r="V148" s="49"/>
      <c r="W148" s="49"/>
      <c r="X148" s="49"/>
      <c r="Y148" s="49"/>
      <c r="Z148" s="49"/>
    </row>
    <row r="149" spans="1:26" s="594" customFormat="1" ht="23.25" customHeight="1" x14ac:dyDescent="0.3">
      <c r="A149" s="331"/>
      <c r="B149" s="327" t="s">
        <v>462</v>
      </c>
      <c r="C149" s="327"/>
      <c r="D149" s="327" t="str">
        <f>+$A$1</f>
        <v>Annual - 2019-2020</v>
      </c>
      <c r="E149" s="331"/>
      <c r="F149" s="331"/>
      <c r="G149" s="331"/>
      <c r="H149" s="331"/>
      <c r="I149" s="331"/>
      <c r="J149" s="331"/>
      <c r="K149" s="331"/>
      <c r="L149" s="331"/>
      <c r="M149" s="331"/>
      <c r="N149" s="331"/>
      <c r="O149" s="331"/>
      <c r="P149" s="331"/>
      <c r="Q149" s="331"/>
      <c r="R149" s="331"/>
      <c r="S149" s="331"/>
      <c r="T149" s="331"/>
      <c r="U149" s="331"/>
      <c r="V149" s="331"/>
      <c r="W149" s="331"/>
      <c r="X149" s="331"/>
      <c r="Y149" s="331"/>
      <c r="Z149" s="331"/>
    </row>
    <row r="150" spans="1:26" ht="15" customHeight="1" x14ac:dyDescent="0.3">
      <c r="A150" s="320"/>
      <c r="B150" s="43" t="s">
        <v>467</v>
      </c>
      <c r="C150" s="650"/>
      <c r="D150" s="412"/>
      <c r="E150" s="413"/>
      <c r="F150" s="414"/>
      <c r="G150" s="414"/>
      <c r="H150" s="414"/>
      <c r="I150" s="415"/>
      <c r="J150" s="415"/>
      <c r="K150" s="415"/>
      <c r="L150" s="49"/>
      <c r="M150" s="49"/>
      <c r="N150" s="49"/>
      <c r="O150" s="49"/>
      <c r="P150" s="49"/>
      <c r="Q150" s="49"/>
      <c r="R150" s="49"/>
      <c r="S150" s="49"/>
      <c r="T150" s="49"/>
      <c r="U150" s="49"/>
      <c r="V150" s="49"/>
      <c r="W150" s="49"/>
      <c r="X150" s="49"/>
      <c r="Y150" s="49"/>
      <c r="Z150" s="49"/>
    </row>
    <row r="151" spans="1:26" ht="15" customHeight="1" thickBot="1" x14ac:dyDescent="0.35">
      <c r="A151" s="320"/>
      <c r="B151" s="49"/>
      <c r="C151" s="49"/>
      <c r="D151" s="416"/>
      <c r="E151" s="650"/>
      <c r="F151" s="650"/>
      <c r="G151" s="650"/>
      <c r="H151" s="650"/>
      <c r="I151" s="650"/>
      <c r="J151" s="650"/>
      <c r="K151" s="650"/>
      <c r="L151" s="49"/>
      <c r="M151" s="49"/>
      <c r="N151" s="49"/>
      <c r="O151" s="415"/>
      <c r="P151" s="49"/>
      <c r="Q151" s="49"/>
      <c r="R151" s="49"/>
      <c r="S151" s="49"/>
      <c r="T151" s="49"/>
      <c r="U151" s="49"/>
      <c r="V151" s="49"/>
      <c r="W151" s="49"/>
      <c r="X151" s="49"/>
      <c r="Y151" s="49"/>
      <c r="Z151" s="49"/>
    </row>
    <row r="152" spans="1:26" ht="15" customHeight="1" thickBot="1" x14ac:dyDescent="0.35">
      <c r="A152" s="320"/>
      <c r="B152" s="49"/>
      <c r="C152" s="49"/>
      <c r="D152" s="1860" t="s">
        <v>23</v>
      </c>
      <c r="E152" s="1861"/>
      <c r="F152" s="1862"/>
      <c r="G152" s="1860" t="s">
        <v>24</v>
      </c>
      <c r="H152" s="1861"/>
      <c r="I152" s="1862"/>
      <c r="J152" s="650"/>
      <c r="K152" s="650"/>
      <c r="L152" s="49"/>
      <c r="M152" s="49"/>
      <c r="N152" s="49"/>
      <c r="O152" s="415"/>
      <c r="P152" s="49"/>
      <c r="Q152" s="49"/>
      <c r="R152" s="49"/>
      <c r="S152" s="49"/>
      <c r="T152" s="49"/>
      <c r="U152" s="49"/>
      <c r="V152" s="49"/>
      <c r="W152" s="49"/>
      <c r="X152" s="49"/>
      <c r="Y152" s="49"/>
      <c r="Z152" s="49"/>
    </row>
    <row r="153" spans="1:26" ht="15" customHeight="1" thickBot="1" x14ac:dyDescent="0.35">
      <c r="A153" s="320"/>
      <c r="B153" s="2020" t="s">
        <v>486</v>
      </c>
      <c r="C153" s="2021"/>
      <c r="D153" s="2022" t="str">
        <f>IF(OR('Q1'!D153:F153="yes",'Q2'!D153:F153="yes",'Q3'!D153:F153="yes",'Q4'!D153:F153="yes"),"yes","no")</f>
        <v>no</v>
      </c>
      <c r="E153" s="2023"/>
      <c r="F153" s="2024"/>
      <c r="G153" s="2025"/>
      <c r="H153" s="2026"/>
      <c r="I153" s="2027"/>
      <c r="J153" s="650"/>
      <c r="K153" s="650"/>
      <c r="L153" s="487"/>
      <c r="M153" s="420"/>
      <c r="N153" s="49"/>
      <c r="O153" s="415"/>
      <c r="P153" s="49"/>
      <c r="Q153" s="49"/>
      <c r="R153" s="49"/>
      <c r="S153" s="49"/>
      <c r="T153" s="49"/>
      <c r="U153" s="49"/>
      <c r="V153" s="49"/>
      <c r="W153" s="49"/>
      <c r="X153" s="49"/>
      <c r="Y153" s="49"/>
      <c r="Z153" s="49"/>
    </row>
    <row r="154" spans="1:26" ht="15" customHeight="1" thickBot="1" x14ac:dyDescent="0.35">
      <c r="A154" s="320"/>
      <c r="B154" s="2020" t="s">
        <v>464</v>
      </c>
      <c r="C154" s="2021"/>
      <c r="D154" s="1172" t="s">
        <v>466</v>
      </c>
      <c r="E154" s="2052">
        <f>'Q1'!E154:F154+'Q2'!E154:F154+'Q3'!E154:F154+'Q4'!E154:F154</f>
        <v>0</v>
      </c>
      <c r="F154" s="2053"/>
      <c r="G154" s="2025"/>
      <c r="H154" s="2026"/>
      <c r="I154" s="2027"/>
      <c r="J154" s="650"/>
      <c r="K154" s="650"/>
      <c r="L154" s="420"/>
      <c r="M154" s="420"/>
      <c r="N154" s="49"/>
      <c r="O154" s="415"/>
      <c r="P154" s="49"/>
      <c r="Q154" s="49"/>
      <c r="R154" s="49"/>
      <c r="S154" s="49"/>
      <c r="T154" s="49"/>
      <c r="U154" s="49"/>
      <c r="V154" s="49"/>
      <c r="W154" s="49"/>
      <c r="X154" s="49"/>
      <c r="Y154" s="49"/>
      <c r="Z154" s="49"/>
    </row>
    <row r="155" spans="1:26" ht="56.25" customHeight="1" thickBot="1" x14ac:dyDescent="0.35">
      <c r="A155" s="320"/>
      <c r="B155" s="2020" t="s">
        <v>465</v>
      </c>
      <c r="C155" s="2021"/>
      <c r="D155" s="2054" t="str">
        <f>CONCATENATE("Q1: ",'Q1'!D155:F155,CHAR(10),"Q2: ",'Q2'!D155:F155,CHAR(10),"Q3: ",'Q3'!D155:F155,CHAR(10),"Q4: ",'Q4'!D155:F155)</f>
        <v xml:space="preserve">Q1: 
Q2: 
Q3: 
Q4: </v>
      </c>
      <c r="E155" s="2055"/>
      <c r="F155" s="2056"/>
      <c r="G155" s="1857"/>
      <c r="H155" s="1858"/>
      <c r="I155" s="1859"/>
      <c r="J155" s="650"/>
      <c r="K155" s="650"/>
      <c r="L155" s="489"/>
      <c r="M155" s="420"/>
      <c r="N155" s="49"/>
      <c r="O155" s="415"/>
      <c r="P155" s="49"/>
      <c r="Q155" s="49"/>
      <c r="R155" s="49"/>
      <c r="S155" s="49"/>
      <c r="T155" s="49"/>
      <c r="U155" s="49"/>
      <c r="V155" s="49"/>
      <c r="W155" s="49"/>
      <c r="X155" s="49"/>
      <c r="Y155" s="49"/>
      <c r="Z155" s="49"/>
    </row>
    <row r="156" spans="1:26" ht="18" customHeight="1" x14ac:dyDescent="0.3">
      <c r="A156" s="320"/>
      <c r="B156" s="43"/>
      <c r="C156" s="1508"/>
      <c r="D156" s="1508"/>
      <c r="E156" s="1508"/>
      <c r="F156" s="1508"/>
      <c r="G156" s="1508"/>
      <c r="H156" s="1508"/>
      <c r="I156" s="1508"/>
      <c r="J156" s="386"/>
      <c r="K156" s="425"/>
      <c r="L156" s="1508"/>
      <c r="M156" s="1508"/>
      <c r="N156" s="49"/>
      <c r="O156" s="49"/>
      <c r="P156" s="49"/>
      <c r="Q156" s="49"/>
      <c r="R156" s="49"/>
      <c r="S156" s="49"/>
      <c r="T156" s="49"/>
      <c r="U156" s="49"/>
      <c r="V156" s="49"/>
      <c r="W156" s="49"/>
      <c r="X156" s="49"/>
      <c r="Y156" s="49"/>
      <c r="Z156" s="49"/>
    </row>
    <row r="157" spans="1:26" ht="27.75" customHeight="1" x14ac:dyDescent="0.3">
      <c r="A157" s="326">
        <v>3</v>
      </c>
      <c r="B157" s="327" t="s">
        <v>143</v>
      </c>
      <c r="C157" s="328"/>
      <c r="D157" s="1848" t="str">
        <f>+$A$1</f>
        <v>Annual - 2019-2020</v>
      </c>
      <c r="E157" s="1848"/>
      <c r="F157" s="1848"/>
      <c r="G157" s="1848"/>
      <c r="H157" s="1848"/>
      <c r="I157" s="1848"/>
      <c r="J157" s="1848"/>
      <c r="K157" s="329"/>
      <c r="L157" s="329"/>
      <c r="M157" s="329"/>
      <c r="N157" s="317"/>
      <c r="O157" s="317"/>
      <c r="P157" s="330"/>
      <c r="Q157" s="330"/>
      <c r="R157" s="317"/>
      <c r="S157" s="317"/>
      <c r="T157" s="317"/>
      <c r="U157" s="317"/>
      <c r="V157" s="317"/>
      <c r="W157" s="317"/>
      <c r="X157" s="317"/>
      <c r="Y157" s="317"/>
      <c r="Z157" s="317"/>
    </row>
    <row r="158" spans="1:26" x14ac:dyDescent="0.3">
      <c r="A158" s="320"/>
      <c r="B158" s="49"/>
      <c r="C158" s="49"/>
      <c r="D158" s="336"/>
      <c r="E158" s="1508"/>
      <c r="F158" s="1508"/>
      <c r="G158" s="1508"/>
      <c r="H158" s="1508"/>
      <c r="I158" s="1508"/>
      <c r="J158" s="386"/>
      <c r="K158" s="426"/>
      <c r="L158" s="1508"/>
      <c r="M158" s="1508"/>
      <c r="N158" s="49"/>
      <c r="O158" s="49"/>
      <c r="P158" s="49"/>
      <c r="Q158" s="49"/>
      <c r="R158" s="49"/>
      <c r="S158" s="49"/>
      <c r="T158" s="49"/>
      <c r="U158" s="49"/>
      <c r="V158" s="49"/>
      <c r="W158" s="49"/>
      <c r="X158" s="49"/>
      <c r="Y158" s="49"/>
      <c r="Z158" s="49"/>
    </row>
    <row r="159" spans="1:26" x14ac:dyDescent="0.3">
      <c r="A159" s="320"/>
      <c r="B159" s="49"/>
      <c r="C159" s="49"/>
      <c r="D159" s="336"/>
      <c r="E159" s="415"/>
      <c r="F159" s="415"/>
      <c r="G159" s="415"/>
      <c r="H159" s="415"/>
      <c r="I159" s="415"/>
      <c r="J159" s="415"/>
      <c r="K159" s="415"/>
      <c r="L159" s="1508"/>
      <c r="M159" s="1508"/>
      <c r="N159" s="49"/>
      <c r="O159" s="49"/>
      <c r="P159" s="49"/>
      <c r="Q159" s="49"/>
      <c r="R159" s="49"/>
      <c r="S159" s="49"/>
      <c r="T159" s="49"/>
      <c r="U159" s="49"/>
      <c r="V159" s="49"/>
      <c r="W159" s="49"/>
      <c r="X159" s="49"/>
      <c r="Y159" s="49"/>
      <c r="Z159" s="49"/>
    </row>
    <row r="160" spans="1:26" ht="18.75" customHeight="1" x14ac:dyDescent="0.3">
      <c r="A160" s="320"/>
      <c r="B160" s="43"/>
      <c r="C160" s="30"/>
      <c r="D160" s="43"/>
      <c r="E160" s="415"/>
      <c r="F160" s="427"/>
      <c r="G160" s="415"/>
      <c r="H160" s="415"/>
      <c r="I160" s="415"/>
      <c r="J160" s="415"/>
      <c r="K160" s="415"/>
      <c r="L160" s="415"/>
      <c r="M160" s="415"/>
      <c r="N160" s="415"/>
      <c r="O160" s="415"/>
      <c r="P160" s="415"/>
      <c r="Q160" s="415"/>
      <c r="R160" s="415"/>
      <c r="S160" s="415"/>
      <c r="T160" s="415"/>
      <c r="U160" s="415"/>
      <c r="V160" s="415"/>
      <c r="W160" s="415"/>
      <c r="X160" s="415"/>
      <c r="Y160" s="415"/>
      <c r="Z160" s="415"/>
    </row>
    <row r="161" spans="1:26" ht="15.75" customHeight="1" thickBot="1" x14ac:dyDescent="0.35">
      <c r="A161" s="320"/>
      <c r="B161" s="49"/>
      <c r="C161" s="49"/>
      <c r="D161" s="43"/>
      <c r="E161" s="49"/>
      <c r="F161" s="336"/>
      <c r="G161" s="336"/>
      <c r="H161" s="336"/>
      <c r="I161" s="415"/>
      <c r="J161" s="415"/>
      <c r="K161" s="415"/>
      <c r="L161" s="415"/>
      <c r="M161" s="415"/>
      <c r="N161" s="415"/>
      <c r="O161" s="415"/>
      <c r="P161" s="415"/>
      <c r="Q161" s="415"/>
      <c r="R161" s="415"/>
      <c r="S161" s="415"/>
      <c r="T161" s="415"/>
      <c r="U161" s="415"/>
      <c r="V161" s="415"/>
      <c r="W161" s="415"/>
      <c r="X161" s="415"/>
      <c r="Y161" s="415"/>
      <c r="Z161" s="415"/>
    </row>
    <row r="162" spans="1:26" ht="15.75" customHeight="1" thickBot="1" x14ac:dyDescent="0.35">
      <c r="A162" s="320"/>
      <c r="B162" s="49"/>
      <c r="C162" s="43"/>
      <c r="D162" s="428" t="s">
        <v>23</v>
      </c>
      <c r="E162" s="2046" t="s">
        <v>144</v>
      </c>
      <c r="F162" s="2047"/>
      <c r="G162" s="2047"/>
      <c r="H162" s="2048"/>
      <c r="I162" s="1849" t="s">
        <v>24</v>
      </c>
      <c r="J162" s="1850"/>
      <c r="K162" s="1851"/>
      <c r="L162" s="415"/>
      <c r="M162" s="427"/>
      <c r="N162" s="415"/>
      <c r="O162" s="415"/>
      <c r="P162" s="415"/>
      <c r="Q162" s="415"/>
      <c r="R162" s="415"/>
      <c r="S162" s="415"/>
      <c r="T162" s="415"/>
      <c r="U162" s="415"/>
      <c r="V162" s="415"/>
      <c r="W162" s="415"/>
      <c r="X162" s="415"/>
      <c r="Y162" s="415"/>
      <c r="Z162" s="415"/>
    </row>
    <row r="163" spans="1:26" ht="39.75" customHeight="1" thickBot="1" x14ac:dyDescent="0.35">
      <c r="A163" s="320"/>
      <c r="B163" s="359"/>
      <c r="C163" s="49"/>
      <c r="D163" s="490" t="s">
        <v>145</v>
      </c>
      <c r="E163" s="432" t="s">
        <v>173</v>
      </c>
      <c r="F163" s="432" t="s">
        <v>376</v>
      </c>
      <c r="G163" s="433" t="s">
        <v>145</v>
      </c>
      <c r="H163" s="432" t="s">
        <v>469</v>
      </c>
      <c r="I163" s="1871"/>
      <c r="J163" s="1872"/>
      <c r="K163" s="1873"/>
      <c r="L163" s="415"/>
      <c r="M163" s="415"/>
      <c r="N163" s="415"/>
      <c r="O163" s="415"/>
      <c r="P163" s="415"/>
      <c r="Q163" s="415"/>
      <c r="R163" s="415"/>
      <c r="S163" s="415"/>
      <c r="T163" s="415"/>
      <c r="U163" s="415"/>
      <c r="V163" s="415"/>
      <c r="W163" s="415"/>
      <c r="X163" s="415"/>
      <c r="Y163" s="415"/>
      <c r="Z163" s="415"/>
    </row>
    <row r="164" spans="1:26" ht="15.75" customHeight="1" thickBot="1" x14ac:dyDescent="0.35">
      <c r="A164" s="320"/>
      <c r="B164" s="1855" t="s">
        <v>146</v>
      </c>
      <c r="C164" s="1856"/>
      <c r="D164" s="363">
        <f>+'Q1'!D164+'Q2'!D164+'Q3'!D164+'Q4'!D164</f>
        <v>4457074.52624935</v>
      </c>
      <c r="E164" s="363">
        <f>(+'Q1'!E164+'Q2'!E164+'Q3'!E164+'Q4'!E164)/4</f>
        <v>1652</v>
      </c>
      <c r="F164" s="363">
        <f>+'Q1'!F164+'Q2'!F164+'Q3'!F164+'Q4'!F164</f>
        <v>12026.5442018181</v>
      </c>
      <c r="G164" s="566">
        <f>IF(Performance!$L$2="Y",D164,F164)</f>
        <v>12026.5442018181</v>
      </c>
      <c r="H164" s="566">
        <f>IF(AND(E164&lt;&gt;0,E164&lt;&gt;""),G164/E164,"")</f>
        <v>7.2799904369358961</v>
      </c>
      <c r="I164" s="2049"/>
      <c r="J164" s="2050"/>
      <c r="K164" s="2051"/>
      <c r="L164" s="415"/>
      <c r="M164" s="415"/>
      <c r="N164" s="415"/>
      <c r="O164" s="415"/>
      <c r="P164" s="415"/>
      <c r="Q164" s="415"/>
      <c r="R164" s="415"/>
      <c r="S164" s="415"/>
      <c r="T164" s="415"/>
      <c r="U164" s="415"/>
      <c r="V164" s="415"/>
      <c r="W164" s="415"/>
      <c r="X164" s="415"/>
      <c r="Y164" s="415"/>
      <c r="Z164" s="415"/>
    </row>
    <row r="165" spans="1:26" ht="13.5" customHeight="1" x14ac:dyDescent="0.3">
      <c r="A165" s="320"/>
      <c r="B165" s="49" t="s">
        <v>175</v>
      </c>
      <c r="C165" s="49"/>
      <c r="D165" s="49"/>
      <c r="E165" s="49"/>
      <c r="F165" s="49"/>
      <c r="G165" s="49"/>
      <c r="H165" s="49"/>
      <c r="I165" s="415"/>
      <c r="J165" s="415"/>
      <c r="K165" s="415"/>
      <c r="L165" s="415"/>
      <c r="M165" s="415"/>
      <c r="N165" s="415"/>
      <c r="O165" s="415"/>
      <c r="P165" s="415"/>
      <c r="Q165" s="415"/>
      <c r="R165" s="415"/>
      <c r="S165" s="415"/>
      <c r="T165" s="415"/>
      <c r="U165" s="415"/>
      <c r="V165" s="415"/>
      <c r="W165" s="415"/>
      <c r="X165" s="415"/>
      <c r="Y165" s="415"/>
      <c r="Z165" s="415"/>
    </row>
    <row r="166" spans="1:26" x14ac:dyDescent="0.3">
      <c r="A166" s="320"/>
      <c r="B166" s="49"/>
      <c r="C166" s="49"/>
      <c r="D166" s="360"/>
      <c r="E166" s="1508"/>
      <c r="F166" s="1508"/>
      <c r="G166" s="1508"/>
      <c r="H166" s="1508"/>
      <c r="I166" s="1508"/>
      <c r="J166" s="415"/>
      <c r="K166" s="415"/>
      <c r="L166" s="1508"/>
      <c r="M166" s="1508"/>
      <c r="N166" s="437"/>
      <c r="O166" s="1508"/>
      <c r="P166" s="49"/>
      <c r="Q166" s="49"/>
      <c r="R166" s="320"/>
      <c r="S166" s="49"/>
      <c r="T166" s="49"/>
      <c r="U166" s="49"/>
      <c r="V166" s="49"/>
      <c r="W166" s="49"/>
      <c r="X166" s="49"/>
      <c r="Y166" s="49"/>
      <c r="Z166" s="49"/>
    </row>
    <row r="167" spans="1:26" ht="27.75" customHeight="1" x14ac:dyDescent="0.3">
      <c r="A167" s="326">
        <v>4</v>
      </c>
      <c r="B167" s="327" t="s">
        <v>147</v>
      </c>
      <c r="C167" s="328"/>
      <c r="D167" s="1848" t="str">
        <f>+$A$1</f>
        <v>Annual - 2019-2020</v>
      </c>
      <c r="E167" s="1848"/>
      <c r="F167" s="1848"/>
      <c r="G167" s="1848"/>
      <c r="H167" s="1848"/>
      <c r="I167" s="1848"/>
      <c r="J167" s="1848"/>
      <c r="K167" s="329"/>
      <c r="L167" s="329"/>
      <c r="M167" s="317"/>
      <c r="N167" s="317"/>
      <c r="O167" s="317"/>
      <c r="P167" s="330"/>
      <c r="Q167" s="317"/>
      <c r="R167" s="317"/>
      <c r="S167" s="317"/>
      <c r="T167" s="317"/>
      <c r="U167" s="317"/>
      <c r="V167" s="317"/>
      <c r="W167" s="317"/>
      <c r="X167" s="317"/>
      <c r="Y167" s="317"/>
      <c r="Z167" s="317"/>
    </row>
    <row r="168" spans="1:26" ht="15.75" customHeight="1" thickBot="1" x14ac:dyDescent="0.35">
      <c r="A168" s="320"/>
      <c r="B168" s="49"/>
      <c r="C168" s="49"/>
      <c r="D168" s="336"/>
      <c r="E168" s="336"/>
      <c r="F168" s="336"/>
      <c r="G168" s="336"/>
      <c r="H168" s="336"/>
      <c r="I168" s="336"/>
      <c r="J168" s="336"/>
      <c r="K168" s="336"/>
      <c r="L168" s="49"/>
      <c r="M168" s="49"/>
      <c r="N168" s="49"/>
      <c r="O168" s="49"/>
      <c r="P168" s="49"/>
      <c r="Q168" s="49"/>
      <c r="R168" s="49"/>
      <c r="S168" s="49"/>
      <c r="T168" s="49"/>
      <c r="U168" s="49"/>
      <c r="V168" s="49"/>
      <c r="W168" s="49"/>
      <c r="X168" s="49"/>
      <c r="Y168" s="49"/>
      <c r="Z168" s="49"/>
    </row>
    <row r="169" spans="1:26" ht="13.5" customHeight="1" thickBot="1" x14ac:dyDescent="0.35">
      <c r="A169" s="320"/>
      <c r="B169" s="49"/>
      <c r="C169" s="43"/>
      <c r="D169" s="1508"/>
      <c r="E169" s="2060" t="s">
        <v>23</v>
      </c>
      <c r="F169" s="2061"/>
      <c r="G169" s="2062" t="s">
        <v>144</v>
      </c>
      <c r="H169" s="2063"/>
      <c r="I169" s="1849" t="s">
        <v>24</v>
      </c>
      <c r="J169" s="1850"/>
      <c r="K169" s="1851"/>
      <c r="L169" s="49"/>
      <c r="M169" s="49"/>
      <c r="N169" s="49"/>
      <c r="O169" s="49"/>
      <c r="P169" s="49"/>
      <c r="Q169" s="49"/>
      <c r="R169" s="49"/>
      <c r="S169" s="49"/>
      <c r="T169" s="49"/>
      <c r="U169" s="49"/>
      <c r="V169" s="49"/>
      <c r="W169" s="49"/>
      <c r="X169" s="49"/>
      <c r="Y169" s="49"/>
      <c r="Z169" s="49"/>
    </row>
    <row r="170" spans="1:26" ht="16.5" customHeight="1" thickBot="1" x14ac:dyDescent="0.35">
      <c r="A170" s="320"/>
      <c r="B170" s="49"/>
      <c r="C170" s="359"/>
      <c r="D170" s="49"/>
      <c r="E170" s="438" t="s">
        <v>148</v>
      </c>
      <c r="F170" s="439" t="s">
        <v>149</v>
      </c>
      <c r="G170" s="1510" t="s">
        <v>148</v>
      </c>
      <c r="H170" s="1510" t="s">
        <v>149</v>
      </c>
      <c r="I170" s="1871"/>
      <c r="J170" s="1872"/>
      <c r="K170" s="1873"/>
      <c r="L170" s="49"/>
      <c r="M170" s="49"/>
      <c r="N170" s="49"/>
      <c r="O170" s="49"/>
      <c r="P170" s="49"/>
      <c r="Q170" s="49"/>
      <c r="R170" s="49"/>
      <c r="S170" s="49"/>
      <c r="T170" s="49"/>
      <c r="U170" s="49"/>
      <c r="V170" s="49"/>
      <c r="W170" s="49"/>
      <c r="X170" s="49"/>
      <c r="Y170" s="49"/>
      <c r="Z170" s="49"/>
    </row>
    <row r="171" spans="1:26" ht="15.75" customHeight="1" x14ac:dyDescent="0.3">
      <c r="A171" s="320"/>
      <c r="B171" s="2064" t="s">
        <v>150</v>
      </c>
      <c r="C171" s="2065"/>
      <c r="D171" s="2066"/>
      <c r="E171" s="350">
        <f>+'Q1'!E171+'Q2'!E171+'Q3'!E171+'Q4'!E171</f>
        <v>19794.72</v>
      </c>
      <c r="F171" s="440">
        <f>IF($E$184&gt;0,E171/$E$184,"")</f>
        <v>0.75883078996291009</v>
      </c>
      <c r="G171" s="441">
        <f>+'Q1'!G171+'Q2'!G171+'Q3'!G171+'Q4'!G171</f>
        <v>242.24</v>
      </c>
      <c r="H171" s="442">
        <f>IF($G$184&gt;0,G171/$G$184,"")</f>
        <v>0.8915153131109137</v>
      </c>
      <c r="I171" s="1886"/>
      <c r="J171" s="1887"/>
      <c r="K171" s="1888"/>
      <c r="L171" s="49"/>
      <c r="M171" s="49"/>
      <c r="N171" s="49"/>
      <c r="O171" s="49"/>
      <c r="P171" s="49"/>
      <c r="Q171" s="49"/>
      <c r="R171" s="49"/>
      <c r="S171" s="49"/>
      <c r="T171" s="49"/>
      <c r="U171" s="49"/>
      <c r="V171" s="49"/>
      <c r="W171" s="49"/>
      <c r="X171" s="49"/>
      <c r="Y171" s="49"/>
      <c r="Z171" s="49"/>
    </row>
    <row r="172" spans="1:26" ht="15.75" customHeight="1" x14ac:dyDescent="0.3">
      <c r="A172" s="320"/>
      <c r="B172" s="2067" t="s">
        <v>365</v>
      </c>
      <c r="C172" s="2068"/>
      <c r="D172" s="2069"/>
      <c r="E172" s="348">
        <f>+'Q1'!E172+'Q2'!E172+'Q3'!E172+'Q4'!E172</f>
        <v>190.07723019409178</v>
      </c>
      <c r="F172" s="443"/>
      <c r="G172" s="435">
        <f>+'Q1'!G172+'Q2'!G172+'Q3'!G172+'Q4'!G172</f>
        <v>0</v>
      </c>
      <c r="H172" s="444"/>
      <c r="I172" s="1878"/>
      <c r="J172" s="1879"/>
      <c r="K172" s="1880"/>
      <c r="L172" s="49"/>
      <c r="M172" s="49"/>
      <c r="N172" s="49"/>
      <c r="O172" s="49"/>
      <c r="P172" s="49"/>
      <c r="Q172" s="49"/>
      <c r="R172" s="49"/>
      <c r="S172" s="49"/>
      <c r="T172" s="49"/>
      <c r="U172" s="49"/>
      <c r="V172" s="49"/>
      <c r="W172" s="49"/>
      <c r="X172" s="49"/>
      <c r="Y172" s="49"/>
      <c r="Z172" s="49"/>
    </row>
    <row r="173" spans="1:26" ht="15.75" customHeight="1" x14ac:dyDescent="0.3">
      <c r="A173" s="320"/>
      <c r="B173" s="2057" t="s">
        <v>151</v>
      </c>
      <c r="C173" s="2058"/>
      <c r="D173" s="2059"/>
      <c r="E173" s="348">
        <f>+'Q1'!E173+'Q2'!E173+'Q3'!E173+'Q4'!E173</f>
        <v>3.3351999511718802</v>
      </c>
      <c r="F173" s="445">
        <f>IF($E$184&gt;0,E173/$E$184,"")</f>
        <v>1.2785492361761202E-4</v>
      </c>
      <c r="G173" s="435">
        <f>+'Q1'!G173+'Q2'!G173+'Q3'!G173+'Q4'!G173</f>
        <v>1.12719995117188</v>
      </c>
      <c r="H173" s="446">
        <f>IF($G$184&gt;0,G173/$G$184,"")</f>
        <v>4.1484313796549092E-3</v>
      </c>
      <c r="I173" s="1878"/>
      <c r="J173" s="1879"/>
      <c r="K173" s="1880"/>
      <c r="L173" s="49"/>
      <c r="M173" s="49"/>
      <c r="N173" s="49"/>
      <c r="O173" s="49"/>
      <c r="P173" s="49"/>
      <c r="Q173" s="49"/>
      <c r="R173" s="49"/>
      <c r="S173" s="49"/>
      <c r="T173" s="49"/>
      <c r="U173" s="49"/>
      <c r="V173" s="49"/>
      <c r="W173" s="49"/>
      <c r="X173" s="49"/>
      <c r="Y173" s="49"/>
      <c r="Z173" s="49"/>
    </row>
    <row r="174" spans="1:26" ht="15.75" customHeight="1" x14ac:dyDescent="0.3">
      <c r="A174" s="320"/>
      <c r="B174" s="2057" t="s">
        <v>185</v>
      </c>
      <c r="C174" s="2058"/>
      <c r="D174" s="2059"/>
      <c r="E174" s="348">
        <f>+'Q1'!E174+'Q2'!E174+'Q3'!E174+'Q4'!E174</f>
        <v>0</v>
      </c>
      <c r="F174" s="443"/>
      <c r="G174" s="435">
        <f>+'Q1'!G174+'Q2'!G174+'Q3'!G174+'Q4'!G174</f>
        <v>0</v>
      </c>
      <c r="H174" s="444"/>
      <c r="I174" s="1878"/>
      <c r="J174" s="1879"/>
      <c r="K174" s="1880"/>
      <c r="L174" s="49"/>
      <c r="M174" s="49"/>
      <c r="N174" s="49"/>
      <c r="O174" s="49"/>
      <c r="P174" s="49"/>
      <c r="Q174" s="49"/>
      <c r="R174" s="49"/>
      <c r="S174" s="49"/>
      <c r="T174" s="49"/>
      <c r="U174" s="49"/>
      <c r="V174" s="49"/>
      <c r="W174" s="49"/>
      <c r="X174" s="49"/>
      <c r="Y174" s="49"/>
      <c r="Z174" s="49"/>
    </row>
    <row r="175" spans="1:26" ht="15.75" customHeight="1" x14ac:dyDescent="0.3">
      <c r="A175" s="320"/>
      <c r="B175" s="2057" t="s">
        <v>152</v>
      </c>
      <c r="C175" s="2058"/>
      <c r="D175" s="2059"/>
      <c r="E175" s="348">
        <f>+'Q1'!E175+'Q2'!E175+'Q3'!E175+'Q4'!E175</f>
        <v>0</v>
      </c>
      <c r="F175" s="445">
        <f>IF($E$184&gt;0,E175/$E$184,"")</f>
        <v>0</v>
      </c>
      <c r="G175" s="435">
        <f>+'Q1'!G175+'Q2'!G175+'Q3'!G175+'Q4'!G175</f>
        <v>0</v>
      </c>
      <c r="H175" s="446">
        <f>IF($G$184&gt;0,G175/$G$184,"")</f>
        <v>0</v>
      </c>
      <c r="I175" s="1878"/>
      <c r="J175" s="1879"/>
      <c r="K175" s="1880"/>
      <c r="L175" s="49"/>
      <c r="M175" s="49"/>
      <c r="N175" s="49"/>
      <c r="O175" s="49"/>
      <c r="P175" s="49"/>
      <c r="Q175" s="49"/>
      <c r="R175" s="49"/>
      <c r="S175" s="49"/>
      <c r="T175" s="49"/>
      <c r="U175" s="49"/>
      <c r="V175" s="49"/>
      <c r="W175" s="49"/>
      <c r="X175" s="49"/>
      <c r="Y175" s="49"/>
      <c r="Z175" s="49"/>
    </row>
    <row r="176" spans="1:26" ht="15.75" customHeight="1" x14ac:dyDescent="0.3">
      <c r="A176" s="320"/>
      <c r="B176" s="2067" t="s">
        <v>153</v>
      </c>
      <c r="C176" s="2068"/>
      <c r="D176" s="2069"/>
      <c r="E176" s="348">
        <f>+'Q1'!E176+'Q2'!E176+'Q3'!E176+'Q4'!E176</f>
        <v>1608.3779758064511</v>
      </c>
      <c r="F176" s="445">
        <f>IF($E$184&gt;0,E176/$E$184,"")</f>
        <v>6.1657185852598849E-2</v>
      </c>
      <c r="G176" s="435">
        <f>+'Q1'!G176+'Q2'!G176+'Q3'!G176+'Q4'!G176</f>
        <v>12.308749999999989</v>
      </c>
      <c r="H176" s="446">
        <f>IF($G$184&gt;0,G176/$G$184,"")</f>
        <v>4.5299864226609761E-2</v>
      </c>
      <c r="I176" s="1878"/>
      <c r="J176" s="1879"/>
      <c r="K176" s="1880"/>
      <c r="L176" s="49"/>
      <c r="M176" s="49"/>
      <c r="N176" s="49"/>
      <c r="O176" s="49"/>
      <c r="P176" s="49"/>
      <c r="Q176" s="49"/>
      <c r="R176" s="49"/>
      <c r="S176" s="49"/>
      <c r="T176" s="49"/>
      <c r="U176" s="49"/>
      <c r="V176" s="49"/>
      <c r="W176" s="49"/>
      <c r="X176" s="49"/>
      <c r="Y176" s="49"/>
      <c r="Z176" s="49"/>
    </row>
    <row r="177" spans="1:26" ht="15.75" customHeight="1" x14ac:dyDescent="0.3">
      <c r="A177" s="320"/>
      <c r="B177" s="2067" t="s">
        <v>154</v>
      </c>
      <c r="C177" s="2068"/>
      <c r="D177" s="2069"/>
      <c r="E177" s="348">
        <f>+'Q1'!E177+'Q2'!E177+'Q3'!E177+'Q4'!E177</f>
        <v>3979.7868270991203</v>
      </c>
      <c r="F177" s="445">
        <f>IF($E$184&gt;0,E177/$E$184,"")</f>
        <v>0.15256516797871397</v>
      </c>
      <c r="G177" s="435">
        <f>+'Q1'!G177+'Q2'!G177+'Q3'!G177+'Q4'!G177</f>
        <v>5.66</v>
      </c>
      <c r="H177" s="446">
        <f>IF($G$184&gt;0,G177/$G$184,"")</f>
        <v>2.0830484941412531E-2</v>
      </c>
      <c r="I177" s="1878"/>
      <c r="J177" s="1879"/>
      <c r="K177" s="1880"/>
      <c r="L177" s="49"/>
      <c r="M177" s="49"/>
      <c r="N177" s="49"/>
      <c r="O177" s="49"/>
      <c r="P177" s="49"/>
      <c r="Q177" s="49"/>
      <c r="R177" s="49"/>
      <c r="S177" s="49"/>
      <c r="T177" s="49"/>
      <c r="U177" s="49"/>
      <c r="V177" s="49"/>
      <c r="W177" s="49"/>
      <c r="X177" s="49"/>
      <c r="Y177" s="49"/>
      <c r="Z177" s="49"/>
    </row>
    <row r="178" spans="1:26" ht="15.75" customHeight="1" thickBot="1" x14ac:dyDescent="0.35">
      <c r="A178" s="320"/>
      <c r="B178" s="2073" t="s">
        <v>155</v>
      </c>
      <c r="C178" s="2074"/>
      <c r="D178" s="2075"/>
      <c r="E178" s="354">
        <f>+'Q1'!E178+'Q2'!E178+'Q3'!E178+'Q4'!E178</f>
        <v>0</v>
      </c>
      <c r="F178" s="447">
        <f>IF($E$184&gt;0,E178/$E$184,"")</f>
        <v>0</v>
      </c>
      <c r="G178" s="448">
        <f>+'Q1'!G178+'Q2'!G178+'Q3'!G178+'Q4'!G178</f>
        <v>0</v>
      </c>
      <c r="H178" s="449">
        <f>IF($G$184&gt;0,G178/$G$184,"")</f>
        <v>0</v>
      </c>
      <c r="I178" s="1895"/>
      <c r="J178" s="1896"/>
      <c r="K178" s="1897"/>
      <c r="L178" s="49"/>
      <c r="M178" s="49"/>
      <c r="N178" s="49"/>
      <c r="O178" s="49"/>
      <c r="P178" s="49"/>
      <c r="Q178" s="49"/>
      <c r="R178" s="49"/>
      <c r="S178" s="49"/>
      <c r="T178" s="49"/>
      <c r="U178" s="49"/>
      <c r="V178" s="49"/>
      <c r="W178" s="49"/>
      <c r="X178" s="49"/>
      <c r="Y178" s="49"/>
      <c r="Z178" s="49"/>
    </row>
    <row r="179" spans="1:26" ht="15.75" customHeight="1" thickBot="1" x14ac:dyDescent="0.35">
      <c r="A179" s="320"/>
      <c r="B179" s="2070" t="s">
        <v>156</v>
      </c>
      <c r="C179" s="2071"/>
      <c r="D179" s="2072"/>
      <c r="E179" s="450">
        <f>+'Q1'!E179+'Q2'!E179+'Q3'!E179+'Q4'!E179</f>
        <v>0</v>
      </c>
      <c r="F179" s="451"/>
      <c r="G179" s="452">
        <f>+'Q1'!G179+'Q2'!G179+'Q3'!G179+'Q4'!G179</f>
        <v>0</v>
      </c>
      <c r="H179" s="453"/>
      <c r="I179" s="2049"/>
      <c r="J179" s="2050"/>
      <c r="K179" s="2051"/>
      <c r="L179" s="49"/>
      <c r="M179" s="49"/>
      <c r="N179" s="49"/>
      <c r="O179" s="49"/>
      <c r="P179" s="49"/>
      <c r="Q179" s="49"/>
      <c r="R179" s="49"/>
      <c r="S179" s="49"/>
      <c r="T179" s="49"/>
      <c r="U179" s="49"/>
      <c r="V179" s="49"/>
      <c r="W179" s="49"/>
      <c r="X179" s="49"/>
      <c r="Y179" s="49"/>
      <c r="Z179" s="49"/>
    </row>
    <row r="180" spans="1:26" ht="15.75" customHeight="1" thickBot="1" x14ac:dyDescent="0.35">
      <c r="A180" s="320"/>
      <c r="B180" s="1296" t="s">
        <v>157</v>
      </c>
      <c r="C180" s="1352"/>
      <c r="D180" s="1353"/>
      <c r="E180" s="454">
        <f>+E171+E173+E176</f>
        <v>21406.433175757626</v>
      </c>
      <c r="F180" s="60">
        <f>IF(E184=0,"",+E180/E184)</f>
        <v>0.82061583073912658</v>
      </c>
      <c r="G180" s="455">
        <f>IF(Performance!$L$2="y",E180,G171+G173+G176)</f>
        <v>255.6759499511719</v>
      </c>
      <c r="H180" s="456">
        <f>IF($G$184&gt;0,G180/$G$184,"")</f>
        <v>0.94096360871717843</v>
      </c>
      <c r="I180" s="2049"/>
      <c r="J180" s="2050"/>
      <c r="K180" s="2051"/>
      <c r="L180" s="49"/>
      <c r="M180" s="49"/>
      <c r="N180" s="49"/>
      <c r="O180" s="49"/>
      <c r="P180" s="49"/>
      <c r="Q180" s="49"/>
      <c r="R180" s="49"/>
      <c r="S180" s="49"/>
      <c r="T180" s="49"/>
      <c r="U180" s="49"/>
      <c r="V180" s="49"/>
      <c r="W180" s="49"/>
      <c r="X180" s="49"/>
      <c r="Y180" s="49"/>
      <c r="Z180" s="49"/>
    </row>
    <row r="181" spans="1:26" ht="15.75" customHeight="1" thickBot="1" x14ac:dyDescent="0.35">
      <c r="A181" s="320"/>
      <c r="B181" s="1297" t="s">
        <v>521</v>
      </c>
      <c r="C181" s="1352"/>
      <c r="D181" s="1353"/>
      <c r="E181" s="174">
        <f>E173+E175</f>
        <v>3.3351999511718802</v>
      </c>
      <c r="F181" s="451">
        <f>IF($E$184&gt;0,E181/$E$184,"")</f>
        <v>1.2785492361761202E-4</v>
      </c>
      <c r="G181" s="182">
        <f>IF(Performance!$L$2="y",E181,G173+G175)</f>
        <v>1.12719995117188</v>
      </c>
      <c r="H181" s="456">
        <f>IF($G$184&gt;0,G181/$G$184,"")</f>
        <v>4.1484313796549092E-3</v>
      </c>
      <c r="I181" s="2049"/>
      <c r="J181" s="2050"/>
      <c r="K181" s="2051"/>
      <c r="L181" s="49"/>
      <c r="M181" s="49"/>
      <c r="N181" s="49"/>
      <c r="O181" s="49"/>
      <c r="P181" s="49"/>
      <c r="Q181" s="49"/>
      <c r="R181" s="49"/>
      <c r="S181" s="49"/>
      <c r="T181" s="49"/>
      <c r="U181" s="49"/>
      <c r="V181" s="49"/>
      <c r="W181" s="49"/>
      <c r="X181" s="49"/>
      <c r="Y181" s="49"/>
      <c r="Z181" s="49"/>
    </row>
    <row r="182" spans="1:26" ht="15.75" customHeight="1" thickBot="1" x14ac:dyDescent="0.35">
      <c r="A182" s="320"/>
      <c r="B182" s="1296" t="s">
        <v>522</v>
      </c>
      <c r="C182" s="1352"/>
      <c r="D182" s="1353"/>
      <c r="E182" s="164">
        <f>SUM(E171:E178)-E172-E174</f>
        <v>25386.220002856746</v>
      </c>
      <c r="F182" s="60">
        <f>IF($E$184&gt;0,E182/$E$184,"")</f>
        <v>0.97318099871784058</v>
      </c>
      <c r="G182" s="183">
        <f>IF(Performance!$L$2="y",E182,SUM(G171:G178)-G172-G174)</f>
        <v>261.33594995117193</v>
      </c>
      <c r="H182" s="150">
        <f>IF($G$184&gt;0,G182/$G$184,"")</f>
        <v>0.96179409365859114</v>
      </c>
      <c r="I182" s="2049"/>
      <c r="J182" s="2050"/>
      <c r="K182" s="2051"/>
      <c r="L182" s="49"/>
      <c r="M182" s="49"/>
      <c r="N182" s="49"/>
      <c r="O182" s="49"/>
      <c r="P182" s="49"/>
      <c r="Q182" s="49"/>
      <c r="R182" s="49"/>
      <c r="S182" s="49"/>
      <c r="T182" s="49"/>
      <c r="U182" s="49"/>
      <c r="V182" s="49"/>
      <c r="W182" s="49"/>
      <c r="X182" s="49"/>
      <c r="Y182" s="49"/>
      <c r="Z182" s="49"/>
    </row>
    <row r="183" spans="1:26" ht="15.75" customHeight="1" thickBot="1" x14ac:dyDescent="0.35">
      <c r="A183" s="320"/>
      <c r="B183" s="1297" t="s">
        <v>160</v>
      </c>
      <c r="C183" s="1352"/>
      <c r="D183" s="1353"/>
      <c r="E183" s="450">
        <f>+'Q1'!E183+'Q2'!E183+'Q3'!E183+'Q4'!E183</f>
        <v>699.59551995239201</v>
      </c>
      <c r="F183" s="451">
        <f>IF($E$184&gt;0,E183/$E$184,"")</f>
        <v>2.6819001282159406E-2</v>
      </c>
      <c r="G183" s="452">
        <f>+'Q1'!G183+'Q2'!G183+'Q3'!G183+'Q4'!G183</f>
        <v>10.38119998168945</v>
      </c>
      <c r="H183" s="453">
        <f>IF($G$184&gt;0,G183/$G$184,"")</f>
        <v>3.8205906341408857E-2</v>
      </c>
      <c r="I183" s="2049"/>
      <c r="J183" s="2050"/>
      <c r="K183" s="2051"/>
      <c r="L183" s="49"/>
      <c r="M183" s="49"/>
      <c r="N183" s="49"/>
      <c r="O183" s="49"/>
      <c r="P183" s="49"/>
      <c r="Q183" s="49"/>
      <c r="R183" s="49"/>
      <c r="S183" s="49"/>
      <c r="T183" s="49"/>
      <c r="U183" s="49"/>
      <c r="V183" s="49"/>
      <c r="W183" s="49"/>
      <c r="X183" s="49"/>
      <c r="Y183" s="49"/>
      <c r="Z183" s="49"/>
    </row>
    <row r="184" spans="1:26" ht="15.75" customHeight="1" thickBot="1" x14ac:dyDescent="0.35">
      <c r="A184" s="320"/>
      <c r="B184" s="1298" t="s">
        <v>523</v>
      </c>
      <c r="C184" s="1354"/>
      <c r="D184" s="1355"/>
      <c r="E184" s="164">
        <f>E183+E182</f>
        <v>26085.815522809138</v>
      </c>
      <c r="F184" s="59"/>
      <c r="G184" s="183">
        <f>IF(Performance!L2="y",E184,G183+G182)</f>
        <v>271.71714993286139</v>
      </c>
      <c r="H184" s="149"/>
      <c r="I184" s="2049"/>
      <c r="J184" s="2050"/>
      <c r="K184" s="2051"/>
      <c r="L184" s="49"/>
      <c r="M184" s="49"/>
      <c r="N184" s="49"/>
      <c r="O184" s="49"/>
      <c r="P184" s="49"/>
      <c r="Q184" s="49"/>
      <c r="R184" s="49"/>
      <c r="S184" s="49"/>
      <c r="T184" s="49"/>
      <c r="U184" s="49"/>
      <c r="V184" s="49"/>
      <c r="W184" s="49"/>
      <c r="X184" s="49"/>
      <c r="Y184" s="49"/>
      <c r="Z184" s="49"/>
    </row>
    <row r="185" spans="1:26" ht="17.25" customHeight="1" thickBot="1" x14ac:dyDescent="0.35">
      <c r="A185" s="320"/>
      <c r="B185" s="1299" t="s">
        <v>162</v>
      </c>
      <c r="C185" s="1354"/>
      <c r="D185" s="1355"/>
      <c r="E185" s="363">
        <f>+'Q1'!E185+'Q2'!E185+'Q3'!E185+'Q4'!E185</f>
        <v>0</v>
      </c>
      <c r="F185" s="60">
        <f>IF($E$184&gt;0,E185/$E$184,"")</f>
        <v>0</v>
      </c>
      <c r="G185" s="566">
        <f>+'Q1'!G185+'Q2'!G185+'Q3'!G185+'Q4'!G185</f>
        <v>0</v>
      </c>
      <c r="H185" s="456">
        <f>IF($E$184&gt;0,G185/$E$184,"")</f>
        <v>0</v>
      </c>
      <c r="I185" s="2049"/>
      <c r="J185" s="2050"/>
      <c r="K185" s="2051"/>
      <c r="L185" s="49"/>
      <c r="M185" s="49"/>
      <c r="N185" s="49"/>
      <c r="O185" s="49"/>
      <c r="P185" s="49"/>
      <c r="Q185" s="49"/>
      <c r="R185" s="49"/>
      <c r="S185" s="49"/>
      <c r="T185" s="49"/>
      <c r="U185" s="49"/>
      <c r="V185" s="49"/>
      <c r="W185" s="49"/>
      <c r="X185" s="49"/>
      <c r="Y185" s="49"/>
      <c r="Z185" s="49"/>
    </row>
    <row r="186" spans="1:26" ht="31.5" customHeight="1" x14ac:dyDescent="0.3">
      <c r="A186" s="320"/>
      <c r="B186" s="49"/>
      <c r="C186" s="2076" t="s">
        <v>163</v>
      </c>
      <c r="D186" s="2076"/>
      <c r="E186" s="2076"/>
      <c r="F186" s="2076"/>
      <c r="G186" s="2076"/>
      <c r="H186" s="2076"/>
      <c r="I186" s="2076"/>
      <c r="J186" s="2076"/>
      <c r="K186" s="386"/>
      <c r="L186" s="426"/>
      <c r="M186" s="1508"/>
      <c r="N186" s="1508"/>
      <c r="O186" s="49"/>
      <c r="P186" s="49"/>
      <c r="Q186" s="49"/>
      <c r="R186" s="49"/>
      <c r="S186" s="49"/>
      <c r="T186" s="49"/>
      <c r="U186" s="49"/>
      <c r="V186" s="49"/>
      <c r="W186" s="49"/>
      <c r="X186" s="49"/>
      <c r="Y186" s="49"/>
      <c r="Z186" s="49"/>
    </row>
    <row r="187" spans="1:26" ht="27.75" customHeight="1" x14ac:dyDescent="0.3">
      <c r="A187" s="326">
        <v>5</v>
      </c>
      <c r="B187" s="327" t="s">
        <v>164</v>
      </c>
      <c r="C187" s="328"/>
      <c r="D187" s="1848" t="str">
        <f>+$A$1</f>
        <v>Annual - 2019-2020</v>
      </c>
      <c r="E187" s="1848"/>
      <c r="F187" s="1848"/>
      <c r="G187" s="1848"/>
      <c r="H187" s="1848"/>
      <c r="I187" s="1848"/>
      <c r="J187" s="1848"/>
      <c r="K187" s="329"/>
      <c r="L187" s="329"/>
      <c r="M187" s="329"/>
      <c r="N187" s="317"/>
      <c r="O187" s="317"/>
      <c r="P187" s="330"/>
      <c r="Q187" s="330"/>
      <c r="R187" s="317"/>
      <c r="S187" s="317"/>
      <c r="T187" s="317"/>
      <c r="U187" s="317"/>
      <c r="V187" s="317"/>
      <c r="W187" s="317"/>
      <c r="X187" s="317"/>
      <c r="Y187" s="317"/>
      <c r="Z187" s="317"/>
    </row>
    <row r="188" spans="1:26" ht="15.75" customHeight="1" thickBot="1" x14ac:dyDescent="0.35">
      <c r="A188" s="320"/>
      <c r="B188" s="43"/>
      <c r="C188" s="49"/>
      <c r="D188" s="336"/>
      <c r="E188" s="336"/>
      <c r="F188" s="336"/>
      <c r="G188" s="336"/>
      <c r="H188" s="336"/>
      <c r="I188" s="336"/>
      <c r="J188" s="336"/>
      <c r="K188" s="336"/>
      <c r="L188" s="49"/>
      <c r="M188" s="49"/>
      <c r="N188" s="49"/>
      <c r="O188" s="49"/>
      <c r="P188" s="49"/>
      <c r="Q188" s="49"/>
      <c r="R188" s="49"/>
      <c r="S188" s="49"/>
      <c r="T188" s="49"/>
      <c r="U188" s="49"/>
      <c r="V188" s="49"/>
      <c r="W188" s="49"/>
      <c r="X188" s="49"/>
      <c r="Y188" s="49"/>
      <c r="Z188" s="49"/>
    </row>
    <row r="189" spans="1:26" ht="14.4" thickBot="1" x14ac:dyDescent="0.35">
      <c r="A189" s="320"/>
      <c r="B189" s="1860" t="s">
        <v>23</v>
      </c>
      <c r="C189" s="1861"/>
      <c r="D189" s="1861"/>
      <c r="E189" s="1862"/>
      <c r="F189" s="1849" t="s">
        <v>24</v>
      </c>
      <c r="G189" s="1850"/>
      <c r="H189" s="1851"/>
      <c r="I189" s="49"/>
      <c r="J189" s="49"/>
      <c r="K189" s="49"/>
      <c r="L189" s="49"/>
      <c r="M189" s="49"/>
      <c r="N189" s="49"/>
      <c r="O189" s="49"/>
      <c r="P189" s="49"/>
      <c r="Q189" s="49"/>
      <c r="R189" s="49"/>
      <c r="S189" s="49"/>
      <c r="T189" s="49"/>
      <c r="U189" s="49"/>
      <c r="V189" s="49"/>
      <c r="W189" s="49"/>
      <c r="X189" s="49"/>
      <c r="Y189" s="49"/>
      <c r="Z189" s="49"/>
    </row>
    <row r="190" spans="1:26" ht="24.6" thickBot="1" x14ac:dyDescent="0.35">
      <c r="A190" s="320"/>
      <c r="B190" s="458" t="s">
        <v>165</v>
      </c>
      <c r="C190" s="346" t="s">
        <v>166</v>
      </c>
      <c r="D190" s="459" t="s">
        <v>167</v>
      </c>
      <c r="E190" s="460" t="s">
        <v>168</v>
      </c>
      <c r="F190" s="1852"/>
      <c r="G190" s="1853"/>
      <c r="H190" s="1854"/>
      <c r="I190" s="49"/>
      <c r="J190" s="49"/>
      <c r="K190" s="49"/>
      <c r="L190" s="49"/>
      <c r="M190" s="49"/>
      <c r="N190" s="49"/>
      <c r="O190" s="49"/>
      <c r="P190" s="49"/>
      <c r="Q190" s="49"/>
      <c r="R190" s="49"/>
      <c r="S190" s="49"/>
      <c r="T190" s="49"/>
      <c r="U190" s="49"/>
      <c r="V190" s="49"/>
      <c r="W190" s="49"/>
      <c r="X190" s="49"/>
      <c r="Y190" s="49"/>
      <c r="Z190" s="49"/>
    </row>
    <row r="191" spans="1:26" ht="14.4" thickBot="1" x14ac:dyDescent="0.35">
      <c r="A191" s="320"/>
      <c r="B191" s="363">
        <f>+'Q1'!B191+'Q2'!B191+'Q3'!B191+'Q4'!B191</f>
        <v>528135</v>
      </c>
      <c r="C191" s="461">
        <f>+'Q1'!C191+'Q2'!C191+'Q3'!C191+'Q4'!C191</f>
        <v>3484</v>
      </c>
      <c r="D191" s="462">
        <f>+'Q1'!D191+'Q2'!D191+'Q3'!D191+'Q4'!D191</f>
        <v>821</v>
      </c>
      <c r="E191" s="463">
        <f>B191+(C191*2)+(D191/2)</f>
        <v>535513.5</v>
      </c>
      <c r="F191" s="1857"/>
      <c r="G191" s="1858"/>
      <c r="H191" s="1859"/>
      <c r="I191" s="49"/>
      <c r="J191" s="49"/>
      <c r="K191" s="49"/>
      <c r="L191" s="49"/>
      <c r="M191" s="49"/>
      <c r="N191" s="49"/>
      <c r="O191" s="49"/>
      <c r="P191" s="49"/>
      <c r="Q191" s="49"/>
      <c r="R191" s="49"/>
      <c r="S191" s="49"/>
      <c r="T191" s="49"/>
      <c r="U191" s="49"/>
      <c r="V191" s="49"/>
      <c r="W191" s="49"/>
      <c r="X191" s="49"/>
      <c r="Y191" s="49"/>
      <c r="Z191" s="49"/>
    </row>
    <row r="192" spans="1:26" x14ac:dyDescent="0.3">
      <c r="A192" s="320"/>
      <c r="B192" s="1508"/>
      <c r="C192" s="1508"/>
      <c r="D192" s="1508"/>
      <c r="E192" s="1508"/>
      <c r="F192" s="1508"/>
      <c r="G192" s="1508"/>
      <c r="H192" s="1508"/>
      <c r="I192" s="1508"/>
      <c r="J192" s="1508"/>
      <c r="K192" s="1508"/>
      <c r="L192" s="1508"/>
      <c r="M192" s="1508"/>
      <c r="N192" s="49"/>
      <c r="O192" s="49"/>
      <c r="P192" s="49"/>
      <c r="Q192" s="49"/>
      <c r="R192" s="49"/>
      <c r="S192" s="49"/>
      <c r="T192" s="49"/>
      <c r="U192" s="49"/>
      <c r="V192" s="49"/>
      <c r="W192" s="49"/>
      <c r="X192" s="49"/>
      <c r="Y192" s="49"/>
      <c r="Z192" s="49"/>
    </row>
    <row r="193" spans="1:26" ht="27.75" customHeight="1" x14ac:dyDescent="0.3">
      <c r="A193" s="326">
        <v>6</v>
      </c>
      <c r="B193" s="327" t="s">
        <v>169</v>
      </c>
      <c r="C193" s="328"/>
      <c r="D193" s="1848" t="str">
        <f>+$A$1</f>
        <v>Annual - 2019-2020</v>
      </c>
      <c r="E193" s="1848"/>
      <c r="F193" s="1848"/>
      <c r="G193" s="1848"/>
      <c r="H193" s="1848"/>
      <c r="I193" s="1848"/>
      <c r="J193" s="1848"/>
      <c r="K193" s="329"/>
      <c r="L193" s="329"/>
      <c r="M193" s="329"/>
      <c r="N193" s="317"/>
      <c r="O193" s="317"/>
      <c r="P193" s="330"/>
      <c r="Q193" s="330"/>
      <c r="R193" s="317"/>
      <c r="S193" s="317"/>
      <c r="T193" s="317"/>
      <c r="U193" s="317"/>
      <c r="V193" s="317"/>
      <c r="W193" s="317"/>
      <c r="X193" s="317"/>
      <c r="Y193" s="317"/>
      <c r="Z193" s="317"/>
    </row>
    <row r="194" spans="1:26" ht="27.75" customHeight="1" x14ac:dyDescent="0.3">
      <c r="A194" s="320"/>
      <c r="B194" s="49"/>
      <c r="C194" s="49"/>
      <c r="D194" s="49"/>
      <c r="E194" s="49"/>
      <c r="F194" s="49"/>
      <c r="G194" s="49"/>
      <c r="H194" s="49"/>
      <c r="I194" s="49"/>
      <c r="J194" s="49"/>
      <c r="K194" s="49"/>
      <c r="L194" s="49"/>
      <c r="M194" s="49"/>
      <c r="N194" s="49"/>
      <c r="O194" s="49"/>
      <c r="P194" s="464"/>
      <c r="Q194" s="464"/>
      <c r="R194" s="49"/>
      <c r="S194" s="49"/>
      <c r="T194" s="49"/>
      <c r="U194" s="49"/>
      <c r="V194" s="49"/>
      <c r="W194" s="49"/>
      <c r="X194" s="49"/>
      <c r="Y194" s="49"/>
      <c r="Z194" s="49"/>
    </row>
    <row r="195" spans="1:26" ht="14.4" thickBot="1" x14ac:dyDescent="0.35">
      <c r="A195" s="320"/>
      <c r="B195" s="43"/>
      <c r="C195" s="1508"/>
      <c r="D195" s="1508"/>
      <c r="E195" s="1508"/>
      <c r="F195" s="1508"/>
      <c r="G195" s="1508"/>
      <c r="H195" s="1508"/>
      <c r="I195" s="1508"/>
      <c r="J195" s="1508"/>
      <c r="K195" s="1508"/>
      <c r="L195" s="1508"/>
      <c r="M195" s="1508"/>
      <c r="N195" s="1508"/>
      <c r="O195" s="1508"/>
      <c r="P195" s="1508"/>
      <c r="Q195" s="1508"/>
      <c r="R195" s="1508"/>
      <c r="S195" s="1508"/>
      <c r="T195" s="1508"/>
      <c r="U195" s="1508"/>
      <c r="V195" s="1508"/>
      <c r="W195" s="1508"/>
      <c r="X195" s="1508"/>
      <c r="Y195" s="49"/>
      <c r="Z195" s="49"/>
    </row>
    <row r="196" spans="1:26" ht="15.75" customHeight="1" thickBot="1" x14ac:dyDescent="0.35">
      <c r="A196" s="320"/>
      <c r="B196" s="1860" t="s">
        <v>23</v>
      </c>
      <c r="C196" s="1861"/>
      <c r="D196" s="1862"/>
      <c r="E196" s="1860" t="s">
        <v>24</v>
      </c>
      <c r="F196" s="1861"/>
      <c r="G196" s="1862"/>
      <c r="H196" s="1508"/>
      <c r="I196" s="1508"/>
      <c r="J196" s="1508"/>
      <c r="K196" s="1508"/>
      <c r="L196" s="1508"/>
      <c r="M196" s="1508"/>
      <c r="N196" s="1508"/>
      <c r="O196" s="1508"/>
      <c r="P196" s="1508"/>
      <c r="Q196" s="1508"/>
      <c r="R196" s="1508"/>
      <c r="S196" s="1508"/>
      <c r="T196" s="1508"/>
      <c r="U196" s="1508"/>
      <c r="V196" s="1508"/>
      <c r="W196" s="1508"/>
      <c r="X196" s="1508"/>
      <c r="Y196" s="49"/>
      <c r="Z196" s="49"/>
    </row>
    <row r="197" spans="1:26" ht="13.5" customHeight="1" thickBot="1" x14ac:dyDescent="0.35">
      <c r="A197" s="320"/>
      <c r="B197" s="2070" t="s">
        <v>170</v>
      </c>
      <c r="C197" s="2072"/>
      <c r="D197" s="461">
        <f>+'Q1'!D197+'Q2'!D197+'Q3'!D197+'Q4'!D197</f>
        <v>1748</v>
      </c>
      <c r="E197" s="2025"/>
      <c r="F197" s="2026"/>
      <c r="G197" s="2027"/>
      <c r="H197" s="1508"/>
      <c r="I197" s="1508"/>
      <c r="J197" s="1508"/>
      <c r="K197" s="1508"/>
      <c r="L197" s="1508"/>
      <c r="M197" s="1508"/>
      <c r="N197" s="1508"/>
      <c r="O197" s="1508"/>
      <c r="P197" s="1508"/>
      <c r="Q197" s="1508"/>
      <c r="R197" s="1508"/>
      <c r="S197" s="1508"/>
      <c r="T197" s="1508"/>
      <c r="U197" s="1508"/>
      <c r="V197" s="1508"/>
      <c r="W197" s="1508"/>
      <c r="X197" s="1508"/>
      <c r="Y197" s="49"/>
      <c r="Z197" s="49"/>
    </row>
    <row r="198" spans="1:26" ht="14.4" thickBot="1" x14ac:dyDescent="0.35">
      <c r="A198" s="320"/>
      <c r="B198" s="2020" t="s">
        <v>468</v>
      </c>
      <c r="C198" s="2021"/>
      <c r="D198" s="58">
        <f>IF(D197=0,"",+D109/D197)</f>
        <v>452.49011880737925</v>
      </c>
      <c r="E198" s="1857"/>
      <c r="F198" s="1858"/>
      <c r="G198" s="1859"/>
      <c r="H198" s="1508"/>
      <c r="I198" s="1508"/>
      <c r="J198" s="1508"/>
      <c r="K198" s="1508"/>
      <c r="L198" s="1508"/>
      <c r="M198" s="1508"/>
      <c r="N198" s="1508"/>
      <c r="O198" s="1508"/>
      <c r="P198" s="1508"/>
      <c r="Q198" s="1508"/>
      <c r="R198" s="1508"/>
      <c r="S198" s="1508"/>
      <c r="T198" s="1508"/>
      <c r="U198" s="1508"/>
      <c r="V198" s="1508"/>
      <c r="W198" s="1508"/>
      <c r="X198" s="1508"/>
      <c r="Y198" s="49"/>
      <c r="Z198" s="49"/>
    </row>
    <row r="199" spans="1:26" x14ac:dyDescent="0.3">
      <c r="A199" s="320"/>
      <c r="B199" s="1508"/>
      <c r="C199" s="1508"/>
      <c r="D199" s="1508"/>
      <c r="E199" s="1508"/>
      <c r="F199" s="1508"/>
      <c r="G199" s="1508"/>
      <c r="H199" s="1508"/>
      <c r="I199" s="1508"/>
      <c r="J199" s="386"/>
      <c r="K199" s="425"/>
      <c r="L199" s="1508"/>
      <c r="M199" s="1508"/>
      <c r="N199" s="49"/>
      <c r="O199" s="49"/>
      <c r="P199" s="49"/>
      <c r="Q199" s="49"/>
      <c r="R199" s="49"/>
      <c r="S199" s="49"/>
      <c r="T199" s="49"/>
      <c r="U199" s="49"/>
      <c r="V199" s="49"/>
      <c r="W199" s="49"/>
      <c r="X199" s="49"/>
      <c r="Y199" s="49"/>
      <c r="Z199" s="49"/>
    </row>
    <row r="200" spans="1:26" ht="27.75" customHeight="1" x14ac:dyDescent="0.3">
      <c r="A200" s="362"/>
      <c r="J200" s="362"/>
      <c r="K200" s="362"/>
    </row>
    <row r="201" spans="1:26" x14ac:dyDescent="0.3">
      <c r="A201" s="362"/>
      <c r="J201" s="362"/>
      <c r="K201" s="362"/>
    </row>
    <row r="202" spans="1:26" ht="15.75" customHeight="1" x14ac:dyDescent="0.3">
      <c r="A202" s="362"/>
      <c r="J202" s="362"/>
      <c r="K202" s="362"/>
    </row>
    <row r="203" spans="1:26" ht="13.5" customHeight="1" x14ac:dyDescent="0.3">
      <c r="A203" s="362"/>
      <c r="J203" s="362"/>
      <c r="K203" s="362"/>
    </row>
    <row r="204" spans="1:26" ht="13.5" customHeight="1" x14ac:dyDescent="0.3">
      <c r="A204" s="362"/>
      <c r="J204" s="362"/>
      <c r="K204" s="362"/>
    </row>
    <row r="205" spans="1:26" x14ac:dyDescent="0.3">
      <c r="A205" s="362"/>
      <c r="J205" s="362"/>
      <c r="K205" s="362"/>
    </row>
    <row r="206" spans="1:26" x14ac:dyDescent="0.3">
      <c r="A206" s="362"/>
      <c r="J206" s="362"/>
      <c r="K206" s="362"/>
    </row>
  </sheetData>
  <sheetProtection algorithmName="SHA-512" hashValue="CCKwYCt0VvFUrN4JkrJGfo0rbGgpDzK+sUhjM09JhHMeYLA4F3TzRUiU4z/ipaexaMPaaSD+HwuHjHpkyod8bA==" saltValue="hBhuj1EQF7znolqtagXUHw==" spinCount="100000" sheet="1" objects="1" scenarios="1"/>
  <mergeCells count="243">
    <mergeCell ref="B198:C198"/>
    <mergeCell ref="E198:G198"/>
    <mergeCell ref="F191:H191"/>
    <mergeCell ref="D193:J193"/>
    <mergeCell ref="B196:D196"/>
    <mergeCell ref="E196:G196"/>
    <mergeCell ref="B197:C197"/>
    <mergeCell ref="E197:G197"/>
    <mergeCell ref="I184:K184"/>
    <mergeCell ref="I185:K185"/>
    <mergeCell ref="C186:J186"/>
    <mergeCell ref="D187:J187"/>
    <mergeCell ref="B189:E189"/>
    <mergeCell ref="F189:H190"/>
    <mergeCell ref="B179:D179"/>
    <mergeCell ref="I179:K179"/>
    <mergeCell ref="I180:K180"/>
    <mergeCell ref="I181:K181"/>
    <mergeCell ref="I182:K182"/>
    <mergeCell ref="I183:K183"/>
    <mergeCell ref="B176:D176"/>
    <mergeCell ref="I176:K176"/>
    <mergeCell ref="B177:D177"/>
    <mergeCell ref="I177:K177"/>
    <mergeCell ref="B178:D178"/>
    <mergeCell ref="I178:K178"/>
    <mergeCell ref="B173:D173"/>
    <mergeCell ref="I173:K173"/>
    <mergeCell ref="B174:D174"/>
    <mergeCell ref="I174:K174"/>
    <mergeCell ref="B175:D175"/>
    <mergeCell ref="I175:K175"/>
    <mergeCell ref="E169:F169"/>
    <mergeCell ref="G169:H169"/>
    <mergeCell ref="I169:K170"/>
    <mergeCell ref="B171:D171"/>
    <mergeCell ref="I171:K171"/>
    <mergeCell ref="B172:D172"/>
    <mergeCell ref="I172:K172"/>
    <mergeCell ref="D157:J157"/>
    <mergeCell ref="E162:H162"/>
    <mergeCell ref="I162:K163"/>
    <mergeCell ref="B164:C164"/>
    <mergeCell ref="I164:K164"/>
    <mergeCell ref="D167:J167"/>
    <mergeCell ref="B154:C154"/>
    <mergeCell ref="E154:F154"/>
    <mergeCell ref="G154:I154"/>
    <mergeCell ref="B155:C155"/>
    <mergeCell ref="D155:F155"/>
    <mergeCell ref="G155:I155"/>
    <mergeCell ref="I145:K145"/>
    <mergeCell ref="D146:E146"/>
    <mergeCell ref="B147:L147"/>
    <mergeCell ref="D152:F152"/>
    <mergeCell ref="G152:I152"/>
    <mergeCell ref="B153:C153"/>
    <mergeCell ref="D153:F153"/>
    <mergeCell ref="G153:I153"/>
    <mergeCell ref="I136:K136"/>
    <mergeCell ref="D138:J138"/>
    <mergeCell ref="I140:K141"/>
    <mergeCell ref="I142:K142"/>
    <mergeCell ref="I143:K143"/>
    <mergeCell ref="I144:K144"/>
    <mergeCell ref="I130:K130"/>
    <mergeCell ref="I131:K131"/>
    <mergeCell ref="I132:K132"/>
    <mergeCell ref="I133:K133"/>
    <mergeCell ref="I134:K134"/>
    <mergeCell ref="I135:K135"/>
    <mergeCell ref="I121:K121"/>
    <mergeCell ref="I122:K122"/>
    <mergeCell ref="D125:F125"/>
    <mergeCell ref="I125:K127"/>
    <mergeCell ref="I128:K128"/>
    <mergeCell ref="I129:K129"/>
    <mergeCell ref="I115:K115"/>
    <mergeCell ref="I116:K116"/>
    <mergeCell ref="I117:K117"/>
    <mergeCell ref="I118:K118"/>
    <mergeCell ref="I119:K119"/>
    <mergeCell ref="I120:K120"/>
    <mergeCell ref="I107:K107"/>
    <mergeCell ref="B108:C108"/>
    <mergeCell ref="I108:K108"/>
    <mergeCell ref="B109:B121"/>
    <mergeCell ref="I109:K109"/>
    <mergeCell ref="I110:K110"/>
    <mergeCell ref="I111:K111"/>
    <mergeCell ref="I112:K112"/>
    <mergeCell ref="I113:K113"/>
    <mergeCell ref="I114:K114"/>
    <mergeCell ref="I101:K101"/>
    <mergeCell ref="I102:K102"/>
    <mergeCell ref="I103:K103"/>
    <mergeCell ref="I104:K104"/>
    <mergeCell ref="I105:K105"/>
    <mergeCell ref="I106:K106"/>
    <mergeCell ref="I96:K96"/>
    <mergeCell ref="U96:W96"/>
    <mergeCell ref="I97:K97"/>
    <mergeCell ref="O97:W100"/>
    <mergeCell ref="I98:K98"/>
    <mergeCell ref="I99:K99"/>
    <mergeCell ref="I100:K100"/>
    <mergeCell ref="U93:W93"/>
    <mergeCell ref="I94:K94"/>
    <mergeCell ref="U94:W94"/>
    <mergeCell ref="I95:K95"/>
    <mergeCell ref="U95:W95"/>
    <mergeCell ref="I90:K90"/>
    <mergeCell ref="U90:W90"/>
    <mergeCell ref="I91:K91"/>
    <mergeCell ref="U91:W91"/>
    <mergeCell ref="I92:K92"/>
    <mergeCell ref="U92:W92"/>
    <mergeCell ref="Z86:Z89"/>
    <mergeCell ref="B87:B107"/>
    <mergeCell ref="I87:K87"/>
    <mergeCell ref="Q87:Q89"/>
    <mergeCell ref="R87:R89"/>
    <mergeCell ref="I79:K79"/>
    <mergeCell ref="I80:K80"/>
    <mergeCell ref="I81:K81"/>
    <mergeCell ref="I82:K82"/>
    <mergeCell ref="I83:K83"/>
    <mergeCell ref="I84:K84"/>
    <mergeCell ref="S87:S89"/>
    <mergeCell ref="T87:T88"/>
    <mergeCell ref="U87:W89"/>
    <mergeCell ref="X87:X89"/>
    <mergeCell ref="Y87:Y88"/>
    <mergeCell ref="I88:K88"/>
    <mergeCell ref="I89:K89"/>
    <mergeCell ref="I85:K85"/>
    <mergeCell ref="B86:C86"/>
    <mergeCell ref="I86:K86"/>
    <mergeCell ref="O86:W86"/>
    <mergeCell ref="X86:Y86"/>
    <mergeCell ref="I93:K93"/>
    <mergeCell ref="I67:K67"/>
    <mergeCell ref="B64:C64"/>
    <mergeCell ref="I64:K64"/>
    <mergeCell ref="O64:W64"/>
    <mergeCell ref="X64:Y64"/>
    <mergeCell ref="I74:K74"/>
    <mergeCell ref="I75:K75"/>
    <mergeCell ref="O75:W78"/>
    <mergeCell ref="I76:K76"/>
    <mergeCell ref="I77:K77"/>
    <mergeCell ref="I78:K78"/>
    <mergeCell ref="I68:K68"/>
    <mergeCell ref="I69:K69"/>
    <mergeCell ref="I70:K70"/>
    <mergeCell ref="I71:K71"/>
    <mergeCell ref="I72:K72"/>
    <mergeCell ref="I73:K73"/>
    <mergeCell ref="D49:J49"/>
    <mergeCell ref="D51:F51"/>
    <mergeCell ref="G51:H51"/>
    <mergeCell ref="I51:K52"/>
    <mergeCell ref="I33:K33"/>
    <mergeCell ref="I34:K34"/>
    <mergeCell ref="I35:K35"/>
    <mergeCell ref="Z64:Z67"/>
    <mergeCell ref="B65:B85"/>
    <mergeCell ref="I65:K65"/>
    <mergeCell ref="Q65:Q67"/>
    <mergeCell ref="R65:R67"/>
    <mergeCell ref="S65:S67"/>
    <mergeCell ref="B53:C53"/>
    <mergeCell ref="I53:K53"/>
    <mergeCell ref="D55:J55"/>
    <mergeCell ref="B62:C63"/>
    <mergeCell ref="D62:F62"/>
    <mergeCell ref="I62:K63"/>
    <mergeCell ref="T65:T66"/>
    <mergeCell ref="U65:W67"/>
    <mergeCell ref="X65:X67"/>
    <mergeCell ref="Y65:Y66"/>
    <mergeCell ref="I66:K66"/>
    <mergeCell ref="I29:K29"/>
    <mergeCell ref="I30:K30"/>
    <mergeCell ref="I27:K27"/>
    <mergeCell ref="O27:O28"/>
    <mergeCell ref="P27:P28"/>
    <mergeCell ref="Q27:Q28"/>
    <mergeCell ref="R27:R28"/>
    <mergeCell ref="U27:U28"/>
    <mergeCell ref="B36:B47"/>
    <mergeCell ref="I36:K36"/>
    <mergeCell ref="I37:K37"/>
    <mergeCell ref="I38:K38"/>
    <mergeCell ref="I39:K39"/>
    <mergeCell ref="I42:K42"/>
    <mergeCell ref="I43:K43"/>
    <mergeCell ref="I31:K31"/>
    <mergeCell ref="O31:P31"/>
    <mergeCell ref="I44:K44"/>
    <mergeCell ref="I45:K45"/>
    <mergeCell ref="I46:K46"/>
    <mergeCell ref="I47:K47"/>
    <mergeCell ref="U25:X25"/>
    <mergeCell ref="I26:K26"/>
    <mergeCell ref="O26:P26"/>
    <mergeCell ref="Q26:R26"/>
    <mergeCell ref="U26:V26"/>
    <mergeCell ref="W26:X26"/>
    <mergeCell ref="W18:X18"/>
    <mergeCell ref="B19:C19"/>
    <mergeCell ref="B20:B35"/>
    <mergeCell ref="I20:K20"/>
    <mergeCell ref="I21:K21"/>
    <mergeCell ref="I22:K22"/>
    <mergeCell ref="I23:K23"/>
    <mergeCell ref="I24:K24"/>
    <mergeCell ref="I25:K25"/>
    <mergeCell ref="O25:R25"/>
    <mergeCell ref="Q31:R31"/>
    <mergeCell ref="U31:V31"/>
    <mergeCell ref="W31:X31"/>
    <mergeCell ref="I32:K32"/>
    <mergeCell ref="V27:V28"/>
    <mergeCell ref="W27:W28"/>
    <mergeCell ref="X27:X28"/>
    <mergeCell ref="I28:K28"/>
    <mergeCell ref="D6:J6"/>
    <mergeCell ref="F8:H9"/>
    <mergeCell ref="B10:C10"/>
    <mergeCell ref="F10:H10"/>
    <mergeCell ref="D13:J13"/>
    <mergeCell ref="D14:J14"/>
    <mergeCell ref="O16:R16"/>
    <mergeCell ref="U16:X16"/>
    <mergeCell ref="D17:F17"/>
    <mergeCell ref="G17:H17"/>
    <mergeCell ref="I17:K19"/>
    <mergeCell ref="O17:R17"/>
    <mergeCell ref="U17:X17"/>
    <mergeCell ref="O18:P18"/>
    <mergeCell ref="Q18:R18"/>
    <mergeCell ref="U18:V18"/>
  </mergeCells>
  <conditionalFormatting sqref="Z68:Z72">
    <cfRule type="expression" dxfId="1328" priority="6">
      <formula>Z68&lt;&gt;""</formula>
    </cfRule>
  </conditionalFormatting>
  <conditionalFormatting sqref="Z74">
    <cfRule type="expression" dxfId="1327" priority="5">
      <formula>Z74&lt;&gt;""</formula>
    </cfRule>
  </conditionalFormatting>
  <conditionalFormatting sqref="Z73">
    <cfRule type="expression" dxfId="1326" priority="4">
      <formula>Z73&lt;&gt;""</formula>
    </cfRule>
  </conditionalFormatting>
  <conditionalFormatting sqref="Z95">
    <cfRule type="expression" dxfId="1325" priority="1">
      <formula>Z95&lt;&gt;""</formula>
    </cfRule>
  </conditionalFormatting>
  <conditionalFormatting sqref="Z90:Z94">
    <cfRule type="expression" dxfId="1324" priority="3">
      <formula>Z90&lt;&gt;""</formula>
    </cfRule>
  </conditionalFormatting>
  <conditionalFormatting sqref="Z96">
    <cfRule type="expression" dxfId="1323" priority="2">
      <formula>Z96&lt;&gt;""</formula>
    </cfRule>
  </conditionalFormatting>
  <dataValidations count="2">
    <dataValidation type="list" allowBlank="1" sqref="D153:F153">
      <formula1>"yes,no"</formula1>
    </dataValidation>
    <dataValidation allowBlank="1" sqref="D108 H50 N189:V189 J189:J191 K190:V194 J50 E184 I50:I51 E50:F50 I17 F142:I146 I191 F10 E140:E145 I139:I140 F191:F192 D187:J187 B169:E170 B186:E186 G188:J188 Z68:Z86 J139 A163:A165 F170:F186 B163:B164 W18 O13:R14 A166:XFD168 P15:R15 E138:J138 F140:H141 E49:J49 E139:H139 F48:H48 G169:G170 B187:B190 C190:D190 E196:E198 I20:I48 K48:K50 J48 P24:X24 H52:H54 H170 I53:I54 J54 D48:D52 U19:X23 K186:V188 G186:J186 C187:C188 D188:E188 D154:D155 C192:D195 E190:E192 G192:J192 G194:J194 E193:J193 H171:I185 E52:F53 E181:E182 L169:V185 K137:K139 J124:K124 I62 Z90:Z123 I122:K123 E55:J60 K54:K60 E61:K61 H164:I164 B86:B87 C163:H163 I169 R19:R23 B165:K165 I162 F32:F41 I64:I125 P26:R59 L124:XFD148 B108:B109 E54:G54 G17:G19 B36:B62 E63:E124 T67:T74 F63:F80 D86 G184 E42:E48 G50:G52 F86:F102 G181:G182 C20:C61 A207:XFD1048576 L156:XFD165 I128:I137 U68:U73 O65:U65 A137:D146 B122:B136 F108:F118 E13:K16 R96:S96 G137:H137 J137 E126:F137 A147:K148 F156:K161 G152:G155 E149:J149 K149:XFD155 E150:I151 J150:J155 A149:C155 D149:D152 F188:F189 E194:F195 G195 C109:C136 D199:G199 H195:V199 C197:C199 B8:F8 K7:V10 E6:V6 C9:E9 C6:D7 E7:J7 A156:E162 C1:Z5 B1:B7 B192:B199 W6:Z12 W169:XFD199 AA200:XFD206 A169:A199 C11:V12 P19:P23 Q18:Q23 W29:W59 U29:U59 V25 V32:V59 X25 S25:T59 U25:U27 V27 W25:W27 X27 V29:V30 X29:X30 B171:B185 A1:A136 B9:B20 H18:H41 AA1:XFD123 Y13:Z59 L13:N123 S13:T23 V13:X15 U13:U18 C13:C18 F122:H124 F18:F30 O64 O15:O59 X64:X65 X32:X59 U74:W74 Y67:Y85 O79:W85 O101:Y123 Y89:Y100 S90:S95 Q90:Q95 U90:U95 O87:U87 T89:T96 X87:Y87 U96:W96 O86 X90:X100 O90:O97 B64:B65 O75 Y65 O68:Q74 S68:S74 X68:X86 Z60:Z64 E18:E19 D13:D19 D54:D64 D123:D127 C64:C107"/>
  </dataValidations>
  <hyperlinks>
    <hyperlink ref="C42:C47" location="CHP!A1" display="CHP1 Electricity"/>
    <hyperlink ref="B60" location="'conversion factors'!A1" display="If you need to convert from miles to km, go to the Conversions tab or click here"/>
    <hyperlink ref="C42" location="CHP!K4" display="CHP1 Electricity"/>
    <hyperlink ref="C43" location="CHP!K4" display="CHP1 Heat"/>
    <hyperlink ref="C44" location="CHP!K31" display="CHP2 Electricity"/>
    <hyperlink ref="C45" location="CHP!K31" display="CHP2 Heat"/>
    <hyperlink ref="C46" location="CHP!K58" display="CHP3 Electricity"/>
    <hyperlink ref="C47" location="CHP!K58" display="CHP3 Heat"/>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4151ED"/>
  </sheetPr>
  <dimension ref="A1:AD208"/>
  <sheetViews>
    <sheetView topLeftCell="A136" zoomScale="80" zoomScaleNormal="80" workbookViewId="0">
      <selection activeCell="J35" sqref="J35:K35"/>
    </sheetView>
  </sheetViews>
  <sheetFormatPr defaultColWidth="9.109375" defaultRowHeight="13.8" x14ac:dyDescent="0.3"/>
  <cols>
    <col min="1" max="1" width="10.33203125" style="592" customWidth="1"/>
    <col min="2" max="2" width="12.6640625" style="362" customWidth="1"/>
    <col min="3" max="3" width="44.109375" style="362" bestFit="1" customWidth="1"/>
    <col min="4" max="4" width="16.33203125" style="362" customWidth="1"/>
    <col min="5" max="8" width="14" style="362" customWidth="1"/>
    <col min="9" max="9" width="13.109375" style="362" customWidth="1"/>
    <col min="10" max="10" width="12.33203125" style="590" customWidth="1"/>
    <col min="11" max="11" width="14.33203125" style="591" customWidth="1"/>
    <col min="12" max="12" width="29.77734375" style="362" customWidth="1"/>
    <col min="13" max="13" width="25.77734375" style="362" customWidth="1"/>
    <col min="14" max="14" width="11.77734375" style="362" customWidth="1"/>
    <col min="15" max="15" width="11" style="362" customWidth="1"/>
    <col min="16" max="16" width="19.109375" style="362" customWidth="1"/>
    <col min="17" max="17" width="11" style="362" customWidth="1"/>
    <col min="18" max="18" width="14" style="362" customWidth="1"/>
    <col min="19" max="20" width="9.109375" style="362"/>
    <col min="21" max="21" width="9.109375" style="362" customWidth="1"/>
    <col min="22" max="22" width="15.77734375" style="362" customWidth="1"/>
    <col min="23" max="23" width="9.109375" style="362" customWidth="1"/>
    <col min="24" max="24" width="13.77734375" style="362" customWidth="1"/>
    <col min="25" max="25" width="9.109375" style="362"/>
    <col min="26" max="26" width="22.77734375" style="362" customWidth="1"/>
    <col min="27" max="16384" width="9.109375" style="362"/>
  </cols>
  <sheetData>
    <row r="1" spans="1:30" ht="23.4" x14ac:dyDescent="0.45">
      <c r="A1" s="312" t="s">
        <v>572</v>
      </c>
      <c r="B1" s="313"/>
      <c r="C1" s="49"/>
      <c r="D1" s="49"/>
      <c r="E1" s="49"/>
      <c r="F1" s="49"/>
      <c r="G1" s="49"/>
      <c r="H1" s="49"/>
      <c r="I1" s="49"/>
      <c r="J1" s="314"/>
      <c r="K1" s="315"/>
      <c r="L1" s="49"/>
      <c r="M1" s="49"/>
      <c r="N1" s="49"/>
      <c r="O1" s="49"/>
      <c r="P1" s="49"/>
      <c r="Q1" s="49"/>
      <c r="R1" s="49"/>
      <c r="S1" s="49"/>
      <c r="T1" s="49"/>
      <c r="U1" s="49"/>
      <c r="V1" s="49"/>
      <c r="W1" s="49"/>
      <c r="X1" s="49"/>
      <c r="Y1" s="49"/>
      <c r="Z1" s="49"/>
      <c r="AA1" s="49"/>
      <c r="AB1" s="49"/>
      <c r="AC1" s="49"/>
      <c r="AD1" s="49"/>
    </row>
    <row r="2" spans="1:30" x14ac:dyDescent="0.3">
      <c r="A2" s="465"/>
      <c r="B2" s="466"/>
      <c r="C2" s="466"/>
      <c r="D2" s="466"/>
      <c r="E2" s="466"/>
      <c r="F2" s="466"/>
      <c r="G2" s="466"/>
      <c r="H2" s="466"/>
      <c r="I2" s="466"/>
      <c r="J2" s="467"/>
      <c r="K2" s="468"/>
      <c r="L2" s="468"/>
      <c r="M2" s="468"/>
      <c r="N2" s="468"/>
      <c r="O2" s="466"/>
      <c r="P2" s="466"/>
      <c r="Q2" s="466"/>
      <c r="R2" s="466"/>
      <c r="S2" s="466"/>
      <c r="T2" s="466"/>
      <c r="U2" s="466"/>
      <c r="V2" s="466"/>
      <c r="W2" s="466"/>
      <c r="X2" s="466"/>
      <c r="Y2" s="466"/>
      <c r="Z2" s="466"/>
      <c r="AA2" s="466"/>
      <c r="AB2" s="466"/>
      <c r="AC2" s="466"/>
      <c r="AD2" s="466"/>
    </row>
    <row r="3" spans="1:30" x14ac:dyDescent="0.3">
      <c r="A3" s="320"/>
      <c r="B3" s="49"/>
      <c r="C3" s="49"/>
      <c r="D3" s="49"/>
      <c r="E3" s="49"/>
      <c r="F3" s="49"/>
      <c r="G3" s="49"/>
      <c r="H3" s="49"/>
      <c r="I3" s="49"/>
      <c r="J3" s="314"/>
      <c r="K3" s="321"/>
      <c r="L3" s="49"/>
      <c r="M3" s="49"/>
      <c r="N3" s="49"/>
      <c r="O3" s="49"/>
      <c r="P3" s="49"/>
      <c r="Q3" s="49"/>
      <c r="R3" s="49"/>
      <c r="S3" s="49"/>
      <c r="T3" s="49"/>
      <c r="U3" s="49"/>
      <c r="V3" s="49"/>
      <c r="W3" s="49"/>
      <c r="X3" s="49"/>
      <c r="Y3" s="49"/>
      <c r="Z3" s="49"/>
      <c r="AA3" s="49"/>
      <c r="AB3" s="49"/>
      <c r="AC3" s="49"/>
      <c r="AD3" s="49"/>
    </row>
    <row r="4" spans="1:30" s="593" customFormat="1" ht="21" x14ac:dyDescent="0.3">
      <c r="A4" s="469" t="s">
        <v>20</v>
      </c>
      <c r="B4" s="470" t="str">
        <f>+Performance!C2</f>
        <v>MINISTRY OF JUSTICE (MoJ)</v>
      </c>
      <c r="C4" s="470"/>
      <c r="D4" s="470"/>
      <c r="E4" s="470"/>
      <c r="F4" s="470"/>
      <c r="G4" s="470"/>
      <c r="H4" s="470"/>
      <c r="I4" s="470"/>
      <c r="J4" s="470"/>
      <c r="K4" s="470"/>
      <c r="L4" s="470"/>
      <c r="M4" s="470"/>
      <c r="N4" s="470"/>
      <c r="O4" s="470"/>
      <c r="P4" s="470"/>
      <c r="Q4" s="470"/>
      <c r="R4" s="470"/>
      <c r="S4" s="470"/>
      <c r="T4" s="470"/>
      <c r="U4" s="470"/>
      <c r="V4" s="470"/>
      <c r="W4" s="470"/>
      <c r="X4" s="470"/>
      <c r="Y4" s="470"/>
      <c r="Z4" s="470"/>
      <c r="AA4" s="470"/>
      <c r="AB4" s="470"/>
      <c r="AC4" s="470"/>
      <c r="AD4" s="470"/>
    </row>
    <row r="5" spans="1:30" ht="21" x14ac:dyDescent="0.3">
      <c r="A5" s="320"/>
      <c r="B5" s="324"/>
      <c r="C5" s="324"/>
      <c r="D5" s="324"/>
      <c r="E5" s="324"/>
      <c r="F5" s="324"/>
      <c r="G5" s="324"/>
      <c r="H5" s="324"/>
      <c r="I5" s="324"/>
      <c r="J5" s="324"/>
      <c r="K5" s="325"/>
      <c r="L5" s="325"/>
      <c r="M5" s="325"/>
      <c r="N5" s="325"/>
      <c r="O5" s="49"/>
      <c r="P5" s="49"/>
      <c r="Q5" s="49"/>
      <c r="R5" s="49"/>
      <c r="S5" s="49"/>
      <c r="T5" s="49"/>
      <c r="U5" s="49"/>
      <c r="V5" s="49"/>
      <c r="W5" s="49"/>
      <c r="X5" s="49"/>
      <c r="Y5" s="49"/>
      <c r="Z5" s="49"/>
      <c r="AA5" s="49"/>
      <c r="AB5" s="49"/>
      <c r="AC5" s="49"/>
      <c r="AD5" s="49"/>
    </row>
    <row r="6" spans="1:30" ht="23.4" x14ac:dyDescent="0.3">
      <c r="A6" s="1209">
        <v>1</v>
      </c>
      <c r="B6" s="471" t="s">
        <v>476</v>
      </c>
      <c r="C6" s="472"/>
      <c r="D6" s="2090" t="str">
        <f>+$A$1</f>
        <v>Quarter 1 - 2019-2020</v>
      </c>
      <c r="E6" s="2090"/>
      <c r="F6" s="2090"/>
      <c r="G6" s="2090"/>
      <c r="H6" s="2090"/>
      <c r="I6" s="2090"/>
      <c r="J6" s="2090"/>
      <c r="K6" s="473"/>
      <c r="L6" s="473"/>
      <c r="M6" s="473"/>
      <c r="N6" s="466"/>
      <c r="O6" s="466"/>
      <c r="P6" s="474"/>
      <c r="Q6" s="474"/>
      <c r="R6" s="466"/>
      <c r="S6" s="466"/>
      <c r="T6" s="466"/>
      <c r="U6" s="466"/>
      <c r="V6" s="466"/>
      <c r="W6" s="466"/>
      <c r="X6" s="466"/>
      <c r="Y6" s="466"/>
      <c r="Z6" s="466"/>
      <c r="AA6" s="466"/>
      <c r="AB6" s="466"/>
      <c r="AC6" s="466"/>
      <c r="AD6" s="466"/>
    </row>
    <row r="7" spans="1:30" ht="14.4" thickBot="1" x14ac:dyDescent="0.35">
      <c r="A7" s="320"/>
      <c r="B7" s="43"/>
      <c r="C7" s="337"/>
      <c r="D7" s="337"/>
      <c r="E7" s="337"/>
      <c r="F7" s="337"/>
      <c r="G7" s="337"/>
      <c r="H7" s="337"/>
      <c r="I7" s="337"/>
      <c r="J7" s="337"/>
      <c r="K7" s="337"/>
      <c r="L7" s="337"/>
      <c r="M7" s="337"/>
      <c r="N7" s="337"/>
      <c r="O7" s="337"/>
      <c r="P7" s="337"/>
      <c r="Q7" s="337"/>
      <c r="R7" s="337"/>
      <c r="S7" s="337"/>
      <c r="T7" s="337"/>
      <c r="U7" s="337"/>
      <c r="V7" s="337"/>
      <c r="W7" s="337"/>
      <c r="X7" s="337"/>
      <c r="Y7" s="49"/>
      <c r="Z7" s="49"/>
      <c r="AA7" s="49"/>
      <c r="AB7" s="49"/>
      <c r="AC7" s="49"/>
      <c r="AD7" s="49"/>
    </row>
    <row r="8" spans="1:30" ht="14.4" thickBot="1" x14ac:dyDescent="0.35">
      <c r="A8" s="320"/>
      <c r="B8" s="49"/>
      <c r="C8" s="43"/>
      <c r="D8" s="428" t="s">
        <v>23</v>
      </c>
      <c r="E8" s="1083" t="s">
        <v>144</v>
      </c>
      <c r="F8" s="1849" t="s">
        <v>24</v>
      </c>
      <c r="G8" s="1850"/>
      <c r="H8" s="1851"/>
      <c r="I8" s="2086" t="s">
        <v>461</v>
      </c>
      <c r="J8" s="2087"/>
      <c r="K8" s="337"/>
      <c r="L8" s="337"/>
      <c r="M8" s="337"/>
      <c r="N8" s="337"/>
      <c r="O8" s="337"/>
      <c r="P8" s="337"/>
      <c r="Q8" s="337"/>
      <c r="R8" s="337"/>
      <c r="S8" s="337"/>
      <c r="T8" s="337"/>
      <c r="U8" s="337"/>
      <c r="V8" s="337"/>
      <c r="W8" s="337"/>
      <c r="X8" s="337"/>
      <c r="Y8" s="49"/>
      <c r="Z8" s="49"/>
      <c r="AA8" s="337"/>
      <c r="AB8" s="337"/>
      <c r="AC8" s="337"/>
      <c r="AD8" s="337"/>
    </row>
    <row r="9" spans="1:30" ht="14.4" thickBot="1" x14ac:dyDescent="0.35">
      <c r="A9" s="320"/>
      <c r="B9" s="359"/>
      <c r="C9" s="49"/>
      <c r="D9" s="490" t="s">
        <v>477</v>
      </c>
      <c r="E9" s="432" t="s">
        <v>477</v>
      </c>
      <c r="F9" s="1852"/>
      <c r="G9" s="1853"/>
      <c r="H9" s="1854"/>
      <c r="I9" s="2088"/>
      <c r="J9" s="2089"/>
      <c r="K9" s="337"/>
      <c r="L9" s="337"/>
      <c r="M9" s="337"/>
      <c r="N9" s="337"/>
      <c r="O9" s="337"/>
      <c r="P9" s="337"/>
      <c r="Q9" s="337"/>
      <c r="R9" s="337"/>
      <c r="S9" s="337"/>
      <c r="T9" s="337"/>
      <c r="U9" s="337"/>
      <c r="V9" s="337"/>
      <c r="W9" s="337"/>
      <c r="X9" s="337"/>
      <c r="Y9" s="49"/>
      <c r="Z9" s="49"/>
      <c r="AA9" s="337"/>
      <c r="AB9" s="337"/>
      <c r="AC9" s="337"/>
      <c r="AD9" s="337"/>
    </row>
    <row r="10" spans="1:30" ht="14.4" thickBot="1" x14ac:dyDescent="0.35">
      <c r="A10" s="320"/>
      <c r="B10" s="1855" t="s">
        <v>478</v>
      </c>
      <c r="C10" s="1856"/>
      <c r="D10" s="1042"/>
      <c r="E10" s="1043"/>
      <c r="F10" s="1857"/>
      <c r="G10" s="1858"/>
      <c r="H10" s="1859"/>
      <c r="I10" s="2129" t="str">
        <f>IF(OR(D10&lt;0,E10&lt;0),"Error - Negative number",IF(E10&gt;D10,"Offices only&gt;Total Estate",""))</f>
        <v/>
      </c>
      <c r="J10" s="2130"/>
      <c r="K10" s="337"/>
      <c r="L10" s="337"/>
      <c r="M10" s="337"/>
      <c r="N10" s="337"/>
      <c r="O10" s="337"/>
      <c r="P10" s="337"/>
      <c r="Q10" s="337"/>
      <c r="R10" s="337"/>
      <c r="S10" s="337"/>
      <c r="T10" s="337"/>
      <c r="U10" s="337"/>
      <c r="V10" s="337"/>
      <c r="W10" s="337"/>
      <c r="X10" s="337"/>
      <c r="Y10" s="49"/>
      <c r="Z10" s="49"/>
      <c r="AA10" s="337"/>
      <c r="AB10" s="337"/>
      <c r="AC10" s="337"/>
      <c r="AD10" s="337"/>
    </row>
    <row r="11" spans="1:30" x14ac:dyDescent="0.3">
      <c r="A11" s="320"/>
      <c r="B11" s="337"/>
      <c r="C11" s="337"/>
      <c r="D11" s="337"/>
      <c r="E11" s="337"/>
      <c r="F11" s="337"/>
      <c r="G11" s="337"/>
      <c r="H11" s="337"/>
      <c r="I11" s="337"/>
      <c r="J11" s="386"/>
      <c r="K11" s="425"/>
      <c r="L11" s="337"/>
      <c r="M11" s="337"/>
      <c r="N11" s="49"/>
      <c r="O11" s="49"/>
      <c r="P11" s="49"/>
      <c r="Q11" s="49"/>
      <c r="R11" s="49"/>
      <c r="S11" s="49"/>
      <c r="T11" s="49"/>
      <c r="U11" s="49"/>
      <c r="V11" s="49"/>
      <c r="W11" s="49"/>
      <c r="X11" s="49"/>
      <c r="Y11" s="49"/>
      <c r="Z11" s="49"/>
      <c r="AA11" s="49"/>
      <c r="AB11" s="49"/>
      <c r="AC11" s="49"/>
      <c r="AD11" s="49"/>
    </row>
    <row r="12" spans="1:30" x14ac:dyDescent="0.3">
      <c r="A12" s="320"/>
      <c r="B12" s="337"/>
      <c r="C12" s="337"/>
      <c r="D12" s="337"/>
      <c r="E12" s="337"/>
      <c r="F12" s="337"/>
      <c r="G12" s="337"/>
      <c r="H12" s="337"/>
      <c r="I12" s="337"/>
      <c r="J12" s="386"/>
      <c r="K12" s="425"/>
      <c r="L12" s="337"/>
      <c r="M12" s="337"/>
      <c r="N12" s="49"/>
      <c r="O12" s="49"/>
      <c r="P12" s="49"/>
      <c r="Q12" s="49"/>
      <c r="R12" s="49"/>
      <c r="S12" s="49"/>
      <c r="T12" s="49"/>
      <c r="U12" s="49"/>
      <c r="V12" s="49"/>
      <c r="W12" s="49"/>
      <c r="X12" s="49"/>
      <c r="Y12" s="49"/>
      <c r="Z12" s="49"/>
      <c r="AA12" s="49"/>
      <c r="AB12" s="49"/>
      <c r="AC12" s="49"/>
      <c r="AD12" s="49"/>
    </row>
    <row r="13" spans="1:30" ht="27.75" customHeight="1" x14ac:dyDescent="0.3">
      <c r="A13" s="1209">
        <v>2</v>
      </c>
      <c r="B13" s="471" t="s">
        <v>21</v>
      </c>
      <c r="C13" s="472"/>
      <c r="D13" s="2090" t="str">
        <f>+$A$1</f>
        <v>Quarter 1 - 2019-2020</v>
      </c>
      <c r="E13" s="2090"/>
      <c r="F13" s="2090"/>
      <c r="G13" s="2090"/>
      <c r="H13" s="2090"/>
      <c r="I13" s="2090"/>
      <c r="J13" s="2090"/>
      <c r="K13" s="473"/>
      <c r="L13" s="473"/>
      <c r="M13" s="473"/>
      <c r="N13" s="473"/>
      <c r="O13" s="466"/>
      <c r="P13" s="474"/>
      <c r="Q13" s="474"/>
      <c r="R13" s="466"/>
      <c r="S13" s="466"/>
      <c r="T13" s="466"/>
      <c r="U13" s="466"/>
      <c r="V13" s="466"/>
      <c r="W13" s="466"/>
      <c r="X13" s="466"/>
      <c r="Y13" s="466"/>
      <c r="Z13" s="466"/>
      <c r="AA13" s="466"/>
      <c r="AB13" s="466"/>
      <c r="AC13" s="466"/>
      <c r="AD13" s="466"/>
    </row>
    <row r="14" spans="1:30" s="594" customFormat="1" ht="23.4" x14ac:dyDescent="0.3">
      <c r="A14" s="1210" t="s">
        <v>505</v>
      </c>
      <c r="B14" s="475" t="s">
        <v>22</v>
      </c>
      <c r="C14" s="476"/>
      <c r="D14" s="2090"/>
      <c r="E14" s="2090"/>
      <c r="F14" s="2090"/>
      <c r="G14" s="2090"/>
      <c r="H14" s="2090"/>
      <c r="I14" s="2090"/>
      <c r="J14" s="2090"/>
      <c r="K14" s="477"/>
      <c r="L14" s="477"/>
      <c r="M14" s="477"/>
      <c r="N14" s="477"/>
      <c r="O14" s="477"/>
      <c r="P14" s="477"/>
      <c r="Q14" s="477"/>
      <c r="R14" s="477"/>
      <c r="S14" s="477"/>
      <c r="T14" s="477"/>
      <c r="U14" s="477"/>
      <c r="V14" s="477"/>
      <c r="W14" s="477"/>
      <c r="X14" s="477"/>
      <c r="Y14" s="478"/>
      <c r="Z14" s="478"/>
      <c r="AA14" s="478"/>
      <c r="AB14" s="478"/>
      <c r="AC14" s="478"/>
      <c r="AD14" s="478"/>
    </row>
    <row r="15" spans="1:30" ht="15.75" customHeight="1" thickBot="1" x14ac:dyDescent="0.35">
      <c r="A15" s="320"/>
      <c r="B15" s="43"/>
      <c r="C15" s="30"/>
      <c r="D15" s="43"/>
      <c r="E15" s="336"/>
      <c r="F15" s="336"/>
      <c r="G15" s="336"/>
      <c r="H15" s="336"/>
      <c r="I15" s="336"/>
      <c r="J15" s="336"/>
      <c r="K15" s="336"/>
      <c r="L15" s="49"/>
      <c r="M15" s="49"/>
      <c r="N15" s="49"/>
      <c r="O15" s="49"/>
      <c r="P15" s="49"/>
      <c r="Q15" s="49"/>
      <c r="R15" s="49"/>
      <c r="S15" s="49"/>
      <c r="T15" s="49"/>
      <c r="U15" s="49"/>
      <c r="V15" s="49"/>
      <c r="W15" s="49"/>
      <c r="X15" s="49"/>
      <c r="Y15" s="49"/>
      <c r="Z15" s="49"/>
      <c r="AA15" s="49"/>
      <c r="AB15" s="49"/>
      <c r="AC15" s="49"/>
      <c r="AD15" s="49"/>
    </row>
    <row r="16" spans="1:30" ht="15.75" customHeight="1" thickBot="1" x14ac:dyDescent="0.35">
      <c r="A16" s="320"/>
      <c r="B16" s="337"/>
      <c r="C16" s="337"/>
      <c r="D16" s="337"/>
      <c r="E16" s="337"/>
      <c r="F16" s="337"/>
      <c r="G16" s="337"/>
      <c r="H16" s="337"/>
      <c r="I16" s="337"/>
      <c r="J16" s="337"/>
      <c r="K16" s="337"/>
      <c r="L16" s="49"/>
      <c r="M16" s="49"/>
      <c r="N16" s="49"/>
      <c r="O16" s="1963" t="s">
        <v>23</v>
      </c>
      <c r="P16" s="2091"/>
      <c r="Q16" s="2091"/>
      <c r="R16" s="1964"/>
      <c r="S16" s="49"/>
      <c r="T16" s="49"/>
      <c r="U16" s="2092" t="s">
        <v>144</v>
      </c>
      <c r="V16" s="2093"/>
      <c r="W16" s="2093"/>
      <c r="X16" s="2094"/>
      <c r="Y16" s="49"/>
      <c r="Z16" s="49"/>
      <c r="AA16" s="49"/>
      <c r="AB16" s="49"/>
      <c r="AC16" s="49"/>
      <c r="AD16" s="49"/>
    </row>
    <row r="17" spans="1:30" ht="28.2" customHeight="1" thickBot="1" x14ac:dyDescent="0.35">
      <c r="A17" s="320"/>
      <c r="B17" s="337"/>
      <c r="C17" s="337"/>
      <c r="D17" s="1866" t="s">
        <v>23</v>
      </c>
      <c r="E17" s="1867"/>
      <c r="F17" s="1868"/>
      <c r="G17" s="1869" t="s">
        <v>144</v>
      </c>
      <c r="H17" s="1870"/>
      <c r="I17" s="1849" t="s">
        <v>24</v>
      </c>
      <c r="J17" s="1850"/>
      <c r="K17" s="1851"/>
      <c r="L17" s="1909" t="s">
        <v>461</v>
      </c>
      <c r="M17" s="49"/>
      <c r="N17" s="49"/>
      <c r="O17" s="1963" t="s">
        <v>25</v>
      </c>
      <c r="P17" s="2091"/>
      <c r="Q17" s="2091"/>
      <c r="R17" s="1964"/>
      <c r="S17" s="49"/>
      <c r="T17" s="49"/>
      <c r="U17" s="2092" t="s">
        <v>25</v>
      </c>
      <c r="V17" s="2093"/>
      <c r="W17" s="2093"/>
      <c r="X17" s="2094"/>
      <c r="Y17" s="49"/>
      <c r="Z17" s="49"/>
      <c r="AA17" s="49"/>
      <c r="AB17" s="49"/>
      <c r="AC17" s="49"/>
      <c r="AD17" s="49"/>
    </row>
    <row r="18" spans="1:30" ht="15.75" customHeight="1" thickBot="1" x14ac:dyDescent="0.35">
      <c r="A18" s="320"/>
      <c r="B18" s="337"/>
      <c r="C18" s="337"/>
      <c r="D18" s="338" t="s">
        <v>26</v>
      </c>
      <c r="E18" s="1087" t="s">
        <v>27</v>
      </c>
      <c r="F18" s="339" t="s">
        <v>28</v>
      </c>
      <c r="G18" s="433" t="s">
        <v>29</v>
      </c>
      <c r="H18" s="433" t="s">
        <v>28</v>
      </c>
      <c r="I18" s="1852"/>
      <c r="J18" s="1853"/>
      <c r="K18" s="1854"/>
      <c r="L18" s="1911"/>
      <c r="M18" s="49"/>
      <c r="N18" s="49"/>
      <c r="O18" s="2095" t="s">
        <v>30</v>
      </c>
      <c r="P18" s="2096"/>
      <c r="Q18" s="2095" t="s">
        <v>31</v>
      </c>
      <c r="R18" s="2096"/>
      <c r="S18" s="49"/>
      <c r="T18" s="49"/>
      <c r="U18" s="1869" t="s">
        <v>30</v>
      </c>
      <c r="V18" s="1870"/>
      <c r="W18" s="1869" t="s">
        <v>31</v>
      </c>
      <c r="X18" s="1870"/>
      <c r="Y18" s="49"/>
      <c r="Z18" s="49"/>
      <c r="AA18" s="49"/>
      <c r="AB18" s="49"/>
      <c r="AC18" s="49"/>
      <c r="AD18" s="49"/>
    </row>
    <row r="19" spans="1:30" ht="28.95" customHeight="1" thickBot="1" x14ac:dyDescent="0.35">
      <c r="A19" s="320"/>
      <c r="B19" s="1881" t="s">
        <v>32</v>
      </c>
      <c r="C19" s="1882"/>
      <c r="D19" s="340">
        <f>SUM(D20:D47)</f>
        <v>303985370.11227977</v>
      </c>
      <c r="E19" s="1107">
        <f>IF(D19&lt;&gt;0,F19*1000/D19,"")</f>
        <v>0.2187336787202297</v>
      </c>
      <c r="F19" s="342">
        <f>SUM(F20:F47)</f>
        <v>66491.838281789518</v>
      </c>
      <c r="G19" s="343">
        <f>SUM(G20:G47)</f>
        <v>3408011.6600585929</v>
      </c>
      <c r="H19" s="343">
        <f>SUM(H20:H47)</f>
        <v>876.05685648478016</v>
      </c>
      <c r="I19" s="1871"/>
      <c r="J19" s="1872"/>
      <c r="K19" s="1873"/>
      <c r="L19" s="1119" t="str">
        <f>IF(OR(D19&lt;0,G19&lt;0),"Error - negative number",IF(G19&gt;D19,"Offices only &gt; Total Estate",IF(AND(D19&gt;0,E19=""),"Please enter CO2e factor","")))</f>
        <v/>
      </c>
      <c r="M19" s="49"/>
      <c r="N19" s="49"/>
      <c r="O19" s="1218" t="s">
        <v>33</v>
      </c>
      <c r="P19" s="1233" t="s">
        <v>34</v>
      </c>
      <c r="Q19" s="1218" t="s">
        <v>35</v>
      </c>
      <c r="R19" s="1233" t="s">
        <v>34</v>
      </c>
      <c r="S19" s="31"/>
      <c r="T19" s="49"/>
      <c r="U19" s="1234" t="s">
        <v>33</v>
      </c>
      <c r="V19" s="1235" t="s">
        <v>34</v>
      </c>
      <c r="W19" s="1234" t="s">
        <v>35</v>
      </c>
      <c r="X19" s="1235" t="s">
        <v>34</v>
      </c>
      <c r="Y19" s="49"/>
      <c r="Z19" s="49"/>
      <c r="AA19" s="49"/>
      <c r="AB19" s="49"/>
      <c r="AC19" s="49"/>
      <c r="AD19" s="49"/>
    </row>
    <row r="20" spans="1:30" ht="15" customHeight="1" thickBot="1" x14ac:dyDescent="0.35">
      <c r="A20" s="320" t="s">
        <v>372</v>
      </c>
      <c r="B20" s="1883" t="s">
        <v>36</v>
      </c>
      <c r="C20" s="649" t="s">
        <v>37</v>
      </c>
      <c r="D20" s="1039">
        <v>85866883.833344698</v>
      </c>
      <c r="E20" s="151">
        <f>+O20+Q20</f>
        <v>0.27729999999999999</v>
      </c>
      <c r="F20" s="349">
        <f>P20+R20</f>
        <v>23810.886886986482</v>
      </c>
      <c r="G20" s="1048">
        <v>447893.80078125</v>
      </c>
      <c r="H20" s="561">
        <f>IF(Performance!$L$2="y",F20,E20*G20/1000)</f>
        <v>124.20095095664063</v>
      </c>
      <c r="I20" s="2025" t="s">
        <v>634</v>
      </c>
      <c r="J20" s="2026"/>
      <c r="K20" s="2027"/>
      <c r="L20" s="1120" t="str">
        <f t="shared" ref="L20:L47" si="0">IF(OR(D20&lt;0,G20&lt;0),"Error - negative number",IF(G20&gt;D20,"Offices only &gt; Total Estate",IF(AND(D20&gt;0,E20=""),"Please enter CO2e factor","")))</f>
        <v/>
      </c>
      <c r="M20" s="49"/>
      <c r="N20" s="49"/>
      <c r="O20" s="62">
        <f>+'Emission Factors'!K7</f>
        <v>0.25559999999999999</v>
      </c>
      <c r="P20" s="32">
        <f>(D20*O20)/1000</f>
        <v>21947.575507802903</v>
      </c>
      <c r="Q20" s="63">
        <f>+'Emission Factors'!K8</f>
        <v>2.1700000000000001E-2</v>
      </c>
      <c r="R20" s="32">
        <f>(D20*Q20)/1000</f>
        <v>1863.3113791835799</v>
      </c>
      <c r="S20" s="31"/>
      <c r="T20" s="49"/>
      <c r="U20" s="64">
        <f>+O20</f>
        <v>0.25559999999999999</v>
      </c>
      <c r="V20" s="82">
        <f>IF(Performance!$L$2="y",P20,$G20*U20/1000)</f>
        <v>114.4816554796875</v>
      </c>
      <c r="W20" s="64">
        <f>+Q20</f>
        <v>2.1700000000000001E-2</v>
      </c>
      <c r="X20" s="33">
        <f>IF(Performance!$L$2="y",R20,$G20*W20/1000)</f>
        <v>9.7192954769531266</v>
      </c>
      <c r="Y20" s="49"/>
      <c r="Z20" s="49"/>
      <c r="AA20" s="49"/>
      <c r="AB20" s="49"/>
      <c r="AC20" s="49"/>
      <c r="AD20" s="49"/>
    </row>
    <row r="21" spans="1:30" ht="15" customHeight="1" x14ac:dyDescent="0.3">
      <c r="A21" s="320" t="s">
        <v>372</v>
      </c>
      <c r="B21" s="1884"/>
      <c r="C21" s="649" t="s">
        <v>38</v>
      </c>
      <c r="D21" s="1039">
        <v>20428376</v>
      </c>
      <c r="E21" s="61">
        <f>+O21+Q21</f>
        <v>0.27729999999999999</v>
      </c>
      <c r="F21" s="349">
        <f>P21+R21</f>
        <v>5664.7886648000003</v>
      </c>
      <c r="G21" s="1048">
        <v>2221918</v>
      </c>
      <c r="H21" s="1171">
        <f>IF(Performance!$L$2="y",F21,E21*G21/1000)</f>
        <v>616.13786139999991</v>
      </c>
      <c r="I21" s="2025" t="s">
        <v>635</v>
      </c>
      <c r="J21" s="2026"/>
      <c r="K21" s="2027"/>
      <c r="L21" s="1056" t="str">
        <f t="shared" si="0"/>
        <v/>
      </c>
      <c r="M21" s="49"/>
      <c r="N21" s="49"/>
      <c r="O21" s="62">
        <f>+O20</f>
        <v>0.25559999999999999</v>
      </c>
      <c r="P21" s="32">
        <f>(D21*O21)/1000</f>
        <v>5221.4929056000001</v>
      </c>
      <c r="Q21" s="63">
        <f>+Q20</f>
        <v>2.1700000000000001E-2</v>
      </c>
      <c r="R21" s="32">
        <f>(D21*Q21)/1000</f>
        <v>443.29575920000002</v>
      </c>
      <c r="S21" s="31"/>
      <c r="T21" s="49"/>
      <c r="U21" s="65">
        <f>+O21</f>
        <v>0.25559999999999999</v>
      </c>
      <c r="V21" s="83">
        <f>IF(Performance!$L$2="y",P21,$G21*U21/1000)</f>
        <v>567.92224080000005</v>
      </c>
      <c r="W21" s="65">
        <f>+Q21</f>
        <v>2.1700000000000001E-2</v>
      </c>
      <c r="X21" s="34">
        <f>IF(Performance!$L$2="y",R21,$G21*W21/1000)</f>
        <v>48.215620600000001</v>
      </c>
      <c r="Y21" s="49"/>
      <c r="Z21" s="49"/>
      <c r="AA21" s="49"/>
      <c r="AB21" s="49"/>
      <c r="AC21" s="49"/>
      <c r="AD21" s="49"/>
    </row>
    <row r="22" spans="1:30" ht="17.25" customHeight="1" x14ac:dyDescent="0.3">
      <c r="A22" s="320" t="s">
        <v>372</v>
      </c>
      <c r="B22" s="1884"/>
      <c r="C22" s="649" t="s">
        <v>39</v>
      </c>
      <c r="D22" s="1039"/>
      <c r="E22" s="61">
        <f>+O22+Q22</f>
        <v>0.27729999999999999</v>
      </c>
      <c r="F22" s="349">
        <f>P22+R22</f>
        <v>0</v>
      </c>
      <c r="G22" s="1048"/>
      <c r="H22" s="1171">
        <f>IF(Performance!$L$2="y",F22,E22*G22/1000)</f>
        <v>0</v>
      </c>
      <c r="I22" s="2098"/>
      <c r="J22" s="2099"/>
      <c r="K22" s="2100"/>
      <c r="L22" s="1056" t="str">
        <f t="shared" si="0"/>
        <v/>
      </c>
      <c r="M22" s="49"/>
      <c r="N22" s="49"/>
      <c r="O22" s="62">
        <f>+O21</f>
        <v>0.25559999999999999</v>
      </c>
      <c r="P22" s="32">
        <f>(D22*O22)/1000</f>
        <v>0</v>
      </c>
      <c r="Q22" s="63">
        <f>+Q21</f>
        <v>2.1700000000000001E-2</v>
      </c>
      <c r="R22" s="32">
        <f>(D22*Q22)/1000</f>
        <v>0</v>
      </c>
      <c r="S22" s="31"/>
      <c r="T22" s="49"/>
      <c r="U22" s="65">
        <f>+O22</f>
        <v>0.25559999999999999</v>
      </c>
      <c r="V22" s="83">
        <f>IF(Performance!$L$2="y",P22,$G22*U22/1000)</f>
        <v>0</v>
      </c>
      <c r="W22" s="65">
        <f>+Q22</f>
        <v>2.1700000000000001E-2</v>
      </c>
      <c r="X22" s="34">
        <f>IF(Performance!$L$2="y",R22,$G22*W22/1000)</f>
        <v>0</v>
      </c>
      <c r="Y22" s="49"/>
      <c r="Z22" s="49"/>
      <c r="AA22" s="49"/>
      <c r="AB22" s="49"/>
      <c r="AC22" s="49"/>
      <c r="AD22" s="49"/>
    </row>
    <row r="23" spans="1:30" ht="17.25" customHeight="1" thickBot="1" x14ac:dyDescent="0.35">
      <c r="A23" s="320" t="s">
        <v>372</v>
      </c>
      <c r="B23" s="1884"/>
      <c r="C23" s="649" t="s">
        <v>40</v>
      </c>
      <c r="D23" s="1039"/>
      <c r="E23" s="61">
        <f>+O23+Q23</f>
        <v>0.27729999999999999</v>
      </c>
      <c r="F23" s="349">
        <f>P23+R23</f>
        <v>0</v>
      </c>
      <c r="G23" s="1048"/>
      <c r="H23" s="1171">
        <f>IF(Performance!$L$2="y",F23,E23*G23/1000)</f>
        <v>0</v>
      </c>
      <c r="I23" s="2098"/>
      <c r="J23" s="2099"/>
      <c r="K23" s="2100"/>
      <c r="L23" s="1056" t="str">
        <f t="shared" si="0"/>
        <v/>
      </c>
      <c r="M23" s="49"/>
      <c r="N23" s="49"/>
      <c r="O23" s="66">
        <f>+O22</f>
        <v>0.25559999999999999</v>
      </c>
      <c r="P23" s="35">
        <f>(D23*O23)/1000</f>
        <v>0</v>
      </c>
      <c r="Q23" s="67">
        <f>+Q22</f>
        <v>2.1700000000000001E-2</v>
      </c>
      <c r="R23" s="35">
        <f>(D23*Q23)/1000</f>
        <v>0</v>
      </c>
      <c r="S23" s="31"/>
      <c r="T23" s="49"/>
      <c r="U23" s="68">
        <f>+O23</f>
        <v>0.25559999999999999</v>
      </c>
      <c r="V23" s="84">
        <f>IF(Performance!$L$2="y",P23,$G23*U23/1000)</f>
        <v>0</v>
      </c>
      <c r="W23" s="68">
        <f>+Q23</f>
        <v>2.1700000000000001E-2</v>
      </c>
      <c r="X23" s="36">
        <f>IF(Performance!$L$2="y",R23,$G23*W23/1000)</f>
        <v>0</v>
      </c>
      <c r="Y23" s="49"/>
      <c r="Z23" s="49"/>
      <c r="AA23" s="49"/>
      <c r="AB23" s="49"/>
      <c r="AC23" s="49"/>
      <c r="AD23" s="49"/>
    </row>
    <row r="24" spans="1:30" ht="15.75" customHeight="1" thickBot="1" x14ac:dyDescent="0.35">
      <c r="A24" s="320" t="s">
        <v>370</v>
      </c>
      <c r="B24" s="1884"/>
      <c r="C24" s="37" t="s">
        <v>41</v>
      </c>
      <c r="D24" s="1039">
        <v>187582302.541558</v>
      </c>
      <c r="E24" s="69">
        <f>+'Emission Factors'!K11</f>
        <v>0.18385000000000001</v>
      </c>
      <c r="F24" s="349">
        <f>(D24*E24)/1000</f>
        <v>34487.006322265435</v>
      </c>
      <c r="G24" s="1048">
        <v>738199.85927734303</v>
      </c>
      <c r="H24" s="1171">
        <f>IF(Performance!$L$2="y",F24,E24*G24/1000)</f>
        <v>135.71804412813952</v>
      </c>
      <c r="I24" s="2025" t="s">
        <v>636</v>
      </c>
      <c r="J24" s="2026"/>
      <c r="K24" s="2027"/>
      <c r="L24" s="1056" t="str">
        <f t="shared" si="0"/>
        <v/>
      </c>
      <c r="M24" s="49"/>
      <c r="N24" s="49"/>
      <c r="O24" s="1860" t="s">
        <v>23</v>
      </c>
      <c r="P24" s="1861"/>
      <c r="Q24" s="1861"/>
      <c r="R24" s="1862"/>
      <c r="S24" s="49"/>
      <c r="T24" s="49"/>
      <c r="U24" s="2097" t="s">
        <v>144</v>
      </c>
      <c r="V24" s="1864"/>
      <c r="W24" s="1864"/>
      <c r="X24" s="1865"/>
      <c r="Y24" s="49"/>
      <c r="Z24" s="49"/>
      <c r="AA24" s="49"/>
      <c r="AB24" s="49"/>
      <c r="AC24" s="49"/>
      <c r="AD24" s="49"/>
    </row>
    <row r="25" spans="1:30" ht="15.75" customHeight="1" thickBot="1" x14ac:dyDescent="0.35">
      <c r="A25" s="320" t="s">
        <v>370</v>
      </c>
      <c r="B25" s="1884"/>
      <c r="C25" s="37" t="s">
        <v>42</v>
      </c>
      <c r="D25" s="1039">
        <v>9674252.3800000008</v>
      </c>
      <c r="E25" s="69">
        <f>+'Emission Factors'!K12</f>
        <v>0.25675999999999999</v>
      </c>
      <c r="F25" s="349">
        <f t="shared" ref="F25:F47" si="1">(D25*E25)/1000</f>
        <v>2483.9610410887999</v>
      </c>
      <c r="G25" s="1048"/>
      <c r="H25" s="1171">
        <f>IF(Performance!$L$2="y",F25,E25*G25/1000)</f>
        <v>0</v>
      </c>
      <c r="I25" s="2098" t="s">
        <v>586</v>
      </c>
      <c r="J25" s="2099"/>
      <c r="K25" s="2100"/>
      <c r="L25" s="1056" t="str">
        <f t="shared" si="0"/>
        <v/>
      </c>
      <c r="M25" s="49"/>
      <c r="N25" s="49"/>
      <c r="O25" s="49"/>
      <c r="P25" s="49"/>
      <c r="Q25" s="49"/>
      <c r="R25" s="49"/>
      <c r="S25" s="49"/>
      <c r="T25" s="49"/>
      <c r="U25" s="49"/>
      <c r="V25" s="49"/>
      <c r="W25" s="49"/>
      <c r="X25" s="49"/>
      <c r="Y25" s="49"/>
      <c r="Z25" s="49"/>
      <c r="AA25" s="49"/>
      <c r="AB25" s="49"/>
      <c r="AC25" s="49"/>
      <c r="AD25" s="49"/>
    </row>
    <row r="26" spans="1:30" ht="13.5" customHeight="1" thickBot="1" x14ac:dyDescent="0.35">
      <c r="A26" s="320" t="s">
        <v>370</v>
      </c>
      <c r="B26" s="1884"/>
      <c r="C26" s="37" t="s">
        <v>43</v>
      </c>
      <c r="D26" s="1039">
        <v>185170.3</v>
      </c>
      <c r="E26" s="69">
        <f>+'Emission Factors'!K13</f>
        <v>0.21446999999999999</v>
      </c>
      <c r="F26" s="349">
        <f t="shared" si="1"/>
        <v>39.713474240999993</v>
      </c>
      <c r="G26" s="1048"/>
      <c r="H26" s="1171">
        <f>IF(Performance!$L$2="y",F26,E26*G26/1000)</f>
        <v>0</v>
      </c>
      <c r="I26" s="2098" t="s">
        <v>585</v>
      </c>
      <c r="J26" s="2099"/>
      <c r="K26" s="2100"/>
      <c r="L26" s="1056" t="str">
        <f t="shared" si="0"/>
        <v/>
      </c>
      <c r="M26" s="49"/>
      <c r="N26" s="49"/>
      <c r="O26" s="2095" t="s">
        <v>44</v>
      </c>
      <c r="P26" s="2096"/>
      <c r="Q26" s="2095" t="s">
        <v>45</v>
      </c>
      <c r="R26" s="2096"/>
      <c r="S26" s="49"/>
      <c r="T26" s="49"/>
      <c r="U26" s="1869" t="s">
        <v>44</v>
      </c>
      <c r="V26" s="1870"/>
      <c r="W26" s="1869" t="s">
        <v>45</v>
      </c>
      <c r="X26" s="1870"/>
      <c r="Y26" s="49"/>
      <c r="Z26" s="49"/>
      <c r="AA26" s="49"/>
      <c r="AB26" s="49"/>
      <c r="AC26" s="49"/>
      <c r="AD26" s="49"/>
    </row>
    <row r="27" spans="1:30" ht="15.75" customHeight="1" x14ac:dyDescent="0.3">
      <c r="A27" s="320" t="s">
        <v>370</v>
      </c>
      <c r="B27" s="1884"/>
      <c r="C27" s="37" t="s">
        <v>46</v>
      </c>
      <c r="D27" s="1039"/>
      <c r="E27" s="69">
        <f>+'Emission Factors'!K14</f>
        <v>0.34472999999999998</v>
      </c>
      <c r="F27" s="349">
        <f t="shared" si="1"/>
        <v>0</v>
      </c>
      <c r="G27" s="1048"/>
      <c r="H27" s="1171">
        <f>IF(Performance!$L$2="y",F27,E27*G27/1000)</f>
        <v>0</v>
      </c>
      <c r="I27" s="2098"/>
      <c r="J27" s="2099"/>
      <c r="K27" s="2100"/>
      <c r="L27" s="1056" t="str">
        <f t="shared" si="0"/>
        <v/>
      </c>
      <c r="M27" s="49"/>
      <c r="N27" s="49"/>
      <c r="O27" s="2105" t="s">
        <v>33</v>
      </c>
      <c r="P27" s="2107" t="s">
        <v>34</v>
      </c>
      <c r="Q27" s="2105" t="s">
        <v>35</v>
      </c>
      <c r="R27" s="2107" t="s">
        <v>34</v>
      </c>
      <c r="S27" s="49"/>
      <c r="T27" s="49"/>
      <c r="U27" s="2103" t="s">
        <v>33</v>
      </c>
      <c r="V27" s="2101" t="s">
        <v>34</v>
      </c>
      <c r="W27" s="2103" t="s">
        <v>35</v>
      </c>
      <c r="X27" s="2101" t="s">
        <v>34</v>
      </c>
      <c r="Y27" s="49"/>
      <c r="Z27" s="49"/>
      <c r="AA27" s="49"/>
      <c r="AB27" s="49"/>
      <c r="AC27" s="49"/>
      <c r="AD27" s="49"/>
    </row>
    <row r="28" spans="1:30" ht="15.75" customHeight="1" thickBot="1" x14ac:dyDescent="0.35">
      <c r="A28" s="320" t="s">
        <v>370</v>
      </c>
      <c r="B28" s="1884"/>
      <c r="C28" s="37" t="s">
        <v>47</v>
      </c>
      <c r="D28" s="1039">
        <v>229500</v>
      </c>
      <c r="E28" s="69">
        <f>+'Emission Factors'!K15</f>
        <v>1.5630000000000002E-2</v>
      </c>
      <c r="F28" s="349">
        <f t="shared" si="1"/>
        <v>3.5870850000000005</v>
      </c>
      <c r="G28" s="1048"/>
      <c r="H28" s="1171">
        <f>IF(Performance!$L$2="y",F28,E28*G28/1000)</f>
        <v>0</v>
      </c>
      <c r="I28" s="2098"/>
      <c r="J28" s="2099"/>
      <c r="K28" s="2100"/>
      <c r="L28" s="1056" t="str">
        <f t="shared" si="0"/>
        <v/>
      </c>
      <c r="M28" s="49"/>
      <c r="N28" s="49"/>
      <c r="O28" s="2106"/>
      <c r="P28" s="2108"/>
      <c r="Q28" s="2106"/>
      <c r="R28" s="2108"/>
      <c r="S28" s="49"/>
      <c r="T28" s="49"/>
      <c r="U28" s="2104"/>
      <c r="V28" s="2102"/>
      <c r="W28" s="2104"/>
      <c r="X28" s="2102"/>
      <c r="Y28" s="49"/>
      <c r="Z28" s="49"/>
      <c r="AA28" s="49"/>
      <c r="AB28" s="49"/>
      <c r="AC28" s="49"/>
      <c r="AD28" s="49"/>
    </row>
    <row r="29" spans="1:30" ht="15.75" customHeight="1" thickBot="1" x14ac:dyDescent="0.35">
      <c r="A29" s="320" t="s">
        <v>372</v>
      </c>
      <c r="B29" s="1884"/>
      <c r="C29" s="649" t="s">
        <v>48</v>
      </c>
      <c r="D29" s="1039"/>
      <c r="E29" s="69">
        <f>+O29+Q29</f>
        <v>0.18532999999999999</v>
      </c>
      <c r="F29" s="349">
        <f>P29+R29</f>
        <v>0</v>
      </c>
      <c r="G29" s="1048"/>
      <c r="H29" s="1171">
        <f>IF(Performance!$L$2="y",F29,E29*G29/1000)</f>
        <v>0</v>
      </c>
      <c r="I29" s="2098"/>
      <c r="J29" s="2099"/>
      <c r="K29" s="2100"/>
      <c r="L29" s="1056" t="str">
        <f t="shared" si="0"/>
        <v/>
      </c>
      <c r="M29" s="49"/>
      <c r="N29" s="49"/>
      <c r="O29" s="70">
        <f>+'Emission Factors'!K33</f>
        <v>0.17605999999999999</v>
      </c>
      <c r="P29" s="38">
        <f>(D29*O29)/1000</f>
        <v>0</v>
      </c>
      <c r="Q29" s="71">
        <f>+'Emission Factors'!K34</f>
        <v>9.2700000000000005E-3</v>
      </c>
      <c r="R29" s="38">
        <f>(D29*Q29)/1000</f>
        <v>0</v>
      </c>
      <c r="S29" s="49"/>
      <c r="T29" s="49"/>
      <c r="U29" s="72">
        <f>+O29</f>
        <v>0.17605999999999999</v>
      </c>
      <c r="V29" s="39">
        <f>IF(Performance!$L$2="y",P29,$G29*U29/1000)</f>
        <v>0</v>
      </c>
      <c r="W29" s="73">
        <f>+Q29</f>
        <v>9.2700000000000005E-3</v>
      </c>
      <c r="X29" s="39">
        <f>IF(Performance!$L$2="y",R29,$G29*W29/1000)</f>
        <v>0</v>
      </c>
      <c r="Y29" s="49"/>
      <c r="Z29" s="49"/>
      <c r="AA29" s="49"/>
      <c r="AB29" s="49"/>
      <c r="AC29" s="49"/>
      <c r="AD29" s="49"/>
    </row>
    <row r="30" spans="1:30" ht="15.75" customHeight="1" thickBot="1" x14ac:dyDescent="0.35">
      <c r="A30" s="320" t="s">
        <v>372</v>
      </c>
      <c r="B30" s="1884"/>
      <c r="C30" s="37" t="s">
        <v>49</v>
      </c>
      <c r="D30" s="1039"/>
      <c r="E30" s="69">
        <f>+'Emission Factors'!K17</f>
        <v>0</v>
      </c>
      <c r="F30" s="349">
        <f>(D30*E30)/1000</f>
        <v>0</v>
      </c>
      <c r="G30" s="1048"/>
      <c r="H30" s="1171">
        <f>IF(Performance!$L$2="y",F30,E30*G30/1000)</f>
        <v>0</v>
      </c>
      <c r="I30" s="2098"/>
      <c r="J30" s="2099"/>
      <c r="K30" s="2100"/>
      <c r="L30" s="1056" t="str">
        <f t="shared" si="0"/>
        <v/>
      </c>
      <c r="M30" s="49"/>
      <c r="N30" s="49"/>
      <c r="O30" s="49"/>
      <c r="P30" s="49"/>
      <c r="Q30" s="49"/>
      <c r="R30" s="49"/>
      <c r="S30" s="49"/>
      <c r="T30" s="49"/>
      <c r="U30" s="49"/>
      <c r="V30" s="49"/>
      <c r="W30" s="49"/>
      <c r="X30" s="49"/>
      <c r="Y30" s="49"/>
      <c r="Z30" s="49"/>
      <c r="AA30" s="49"/>
      <c r="AB30" s="49"/>
      <c r="AC30" s="49"/>
      <c r="AD30" s="49"/>
    </row>
    <row r="31" spans="1:30" ht="23.25" customHeight="1" thickBot="1" x14ac:dyDescent="0.35">
      <c r="A31" s="320" t="s">
        <v>372</v>
      </c>
      <c r="B31" s="1884"/>
      <c r="C31" s="37" t="s">
        <v>50</v>
      </c>
      <c r="D31" s="1039"/>
      <c r="E31" s="1031"/>
      <c r="F31" s="349">
        <f t="shared" si="1"/>
        <v>0</v>
      </c>
      <c r="G31" s="1048"/>
      <c r="H31" s="1171">
        <f>IF(Performance!$L$2="y",F31,E31*G31/1000)</f>
        <v>0</v>
      </c>
      <c r="I31" s="2098"/>
      <c r="J31" s="2099"/>
      <c r="K31" s="2100"/>
      <c r="L31" s="1056" t="str">
        <f>IF(OR(D31&lt;0,G31&lt;0),"Error - negative number",IF(G31&gt;D31,"Offices only &gt; Total Estate",IF(AND(D31&gt;0,E31=""),"Please enter CO2e factor","")))</f>
        <v/>
      </c>
      <c r="M31" s="49"/>
      <c r="N31" s="49"/>
      <c r="O31" s="2095" t="s">
        <v>511</v>
      </c>
      <c r="P31" s="2096"/>
      <c r="Q31" s="2095" t="s">
        <v>512</v>
      </c>
      <c r="R31" s="2096"/>
      <c r="S31" s="49"/>
      <c r="T31" s="49"/>
      <c r="U31" s="1869" t="s">
        <v>511</v>
      </c>
      <c r="V31" s="1870"/>
      <c r="W31" s="1869" t="s">
        <v>512</v>
      </c>
      <c r="X31" s="1870"/>
      <c r="Y31" s="49"/>
      <c r="Z31" s="49"/>
      <c r="AA31" s="49"/>
      <c r="AB31" s="49"/>
      <c r="AC31" s="49"/>
      <c r="AD31" s="49"/>
    </row>
    <row r="32" spans="1:30" ht="15" customHeight="1" thickBot="1" x14ac:dyDescent="0.35">
      <c r="A32" s="320" t="s">
        <v>372</v>
      </c>
      <c r="B32" s="1884"/>
      <c r="C32" s="37" t="s">
        <v>369</v>
      </c>
      <c r="D32" s="1039"/>
      <c r="E32" s="69">
        <f>+O32+Q32</f>
        <v>0.26563604119443424</v>
      </c>
      <c r="F32" s="349">
        <f>P32+R32</f>
        <v>0</v>
      </c>
      <c r="G32" s="1048"/>
      <c r="H32" s="1171">
        <f>IF(Performance!$L$2="y",F32,E32*G32/1000)</f>
        <v>0</v>
      </c>
      <c r="I32" s="2098"/>
      <c r="J32" s="2099"/>
      <c r="K32" s="2100"/>
      <c r="L32" s="1056" t="str">
        <f t="shared" si="0"/>
        <v/>
      </c>
      <c r="M32" s="49"/>
      <c r="N32" s="49"/>
      <c r="O32" s="70">
        <f>+'Emission Factors'!K31</f>
        <v>0.26563604119443424</v>
      </c>
      <c r="P32" s="38">
        <f>(D32*O32)/1000</f>
        <v>0</v>
      </c>
      <c r="Q32" s="71">
        <f>+'Emission Factors'!K32</f>
        <v>0</v>
      </c>
      <c r="R32" s="38">
        <f>(D32*Q32)/1000</f>
        <v>0</v>
      </c>
      <c r="S32" s="49"/>
      <c r="T32" s="49"/>
      <c r="U32" s="72">
        <f>+O32</f>
        <v>0.26563604119443424</v>
      </c>
      <c r="V32" s="39">
        <f>IF(Performance!$L$2="y",P32,$G32*U32/1000)</f>
        <v>0</v>
      </c>
      <c r="W32" s="73">
        <f>+Q32</f>
        <v>0</v>
      </c>
      <c r="X32" s="39">
        <f>IF(Performance!$L$2="y",R32,$G32*W32/1000)</f>
        <v>0</v>
      </c>
      <c r="Y32" s="49"/>
      <c r="Z32" s="49"/>
      <c r="AA32" s="49"/>
      <c r="AB32" s="49"/>
      <c r="AC32" s="49"/>
      <c r="AD32" s="49"/>
    </row>
    <row r="33" spans="1:30" ht="15.75" customHeight="1" x14ac:dyDescent="0.3">
      <c r="A33" s="320" t="s">
        <v>370</v>
      </c>
      <c r="B33" s="1884"/>
      <c r="C33" s="37" t="s">
        <v>514</v>
      </c>
      <c r="D33" s="1039"/>
      <c r="E33" s="1039"/>
      <c r="F33" s="349">
        <f>(D33*E33)/1000</f>
        <v>0</v>
      </c>
      <c r="G33" s="1048"/>
      <c r="H33" s="1171">
        <f>IF(Performance!$L$2="y",F33,E33*G33/1000)</f>
        <v>0</v>
      </c>
      <c r="I33" s="1226"/>
      <c r="J33" s="2112"/>
      <c r="K33" s="1880"/>
      <c r="L33" s="1056" t="str">
        <f t="shared" si="0"/>
        <v/>
      </c>
      <c r="M33" s="49"/>
      <c r="N33" s="49"/>
      <c r="O33" s="49"/>
      <c r="P33" s="49"/>
      <c r="Q33" s="49"/>
      <c r="R33" s="49"/>
      <c r="S33" s="49"/>
      <c r="T33" s="49"/>
      <c r="U33" s="49"/>
      <c r="V33" s="49"/>
      <c r="W33" s="49"/>
      <c r="X33" s="49"/>
      <c r="Y33" s="49"/>
      <c r="Z33" s="49"/>
      <c r="AA33" s="49"/>
      <c r="AB33" s="49"/>
      <c r="AC33" s="49"/>
      <c r="AD33" s="49"/>
    </row>
    <row r="34" spans="1:30" ht="15.75" customHeight="1" x14ac:dyDescent="0.3">
      <c r="A34" s="320"/>
      <c r="B34" s="1884"/>
      <c r="C34" s="37" t="s">
        <v>515</v>
      </c>
      <c r="D34" s="1039"/>
      <c r="E34" s="1039"/>
      <c r="F34" s="349">
        <f t="shared" ref="F34:F35" si="2">(D34*E34)/1000</f>
        <v>0</v>
      </c>
      <c r="G34" s="1048"/>
      <c r="H34" s="1171">
        <f>IF(Performance!$L$2="y",F34,E34*G34/1000)</f>
        <v>0</v>
      </c>
      <c r="I34" s="1226"/>
      <c r="J34" s="1879"/>
      <c r="K34" s="1880"/>
      <c r="L34" s="1056" t="str">
        <f t="shared" si="0"/>
        <v/>
      </c>
      <c r="M34" s="49"/>
      <c r="N34" s="49"/>
      <c r="O34" s="49"/>
      <c r="P34" s="49"/>
      <c r="Q34" s="49"/>
      <c r="R34" s="49"/>
      <c r="S34" s="49"/>
      <c r="T34" s="49"/>
      <c r="U34" s="49"/>
      <c r="V34" s="49"/>
      <c r="W34" s="49"/>
      <c r="X34" s="49"/>
      <c r="Y34" s="49"/>
      <c r="Z34" s="49"/>
      <c r="AA34" s="49"/>
      <c r="AB34" s="49"/>
      <c r="AC34" s="49"/>
      <c r="AD34" s="49"/>
    </row>
    <row r="35" spans="1:30" ht="15.75" customHeight="1" thickBot="1" x14ac:dyDescent="0.35">
      <c r="A35" s="320"/>
      <c r="B35" s="1885"/>
      <c r="C35" s="649" t="s">
        <v>516</v>
      </c>
      <c r="D35" s="1039">
        <v>7679.0573770491701</v>
      </c>
      <c r="E35" s="1039">
        <v>0.24675</v>
      </c>
      <c r="F35" s="349">
        <f t="shared" si="2"/>
        <v>1.8948074077868828</v>
      </c>
      <c r="G35" s="1048"/>
      <c r="H35" s="1171">
        <f>IF(Performance!$L$2="y",F35,E35*G35/1000)</f>
        <v>0</v>
      </c>
      <c r="I35" s="1227" t="s">
        <v>139</v>
      </c>
      <c r="J35" s="1896" t="s">
        <v>578</v>
      </c>
      <c r="K35" s="1897"/>
      <c r="L35" s="1056" t="str">
        <f t="shared" si="0"/>
        <v/>
      </c>
      <c r="M35" s="49"/>
      <c r="N35" s="49"/>
      <c r="O35" s="49"/>
      <c r="P35" s="49"/>
      <c r="Q35" s="49"/>
      <c r="R35" s="49"/>
      <c r="S35" s="49"/>
      <c r="T35" s="49"/>
      <c r="U35" s="49"/>
      <c r="V35" s="49"/>
      <c r="W35" s="49"/>
      <c r="X35" s="49"/>
      <c r="Y35" s="49"/>
      <c r="Z35" s="49"/>
      <c r="AA35" s="49"/>
      <c r="AB35" s="49"/>
      <c r="AC35" s="49"/>
      <c r="AD35" s="49"/>
    </row>
    <row r="36" spans="1:30" ht="15" customHeight="1" x14ac:dyDescent="0.3">
      <c r="A36" s="320" t="s">
        <v>370</v>
      </c>
      <c r="B36" s="1883" t="s">
        <v>53</v>
      </c>
      <c r="C36" s="184" t="s">
        <v>54</v>
      </c>
      <c r="D36" s="1037">
        <v>11206</v>
      </c>
      <c r="E36" s="151">
        <f>+'Emission Factors'!K21</f>
        <v>0</v>
      </c>
      <c r="F36" s="356">
        <f t="shared" si="1"/>
        <v>0</v>
      </c>
      <c r="G36" s="1114"/>
      <c r="H36" s="561">
        <f>IF(Performance!$L$2="y",F36,E36*G36/1000)</f>
        <v>0</v>
      </c>
      <c r="I36" s="2025" t="s">
        <v>579</v>
      </c>
      <c r="J36" s="2026"/>
      <c r="K36" s="2027"/>
      <c r="L36" s="1121" t="str">
        <f t="shared" si="0"/>
        <v/>
      </c>
      <c r="M36" s="49"/>
      <c r="N36" s="49"/>
      <c r="O36" s="49"/>
      <c r="P36" s="49"/>
      <c r="Q36" s="49"/>
      <c r="R36" s="49"/>
      <c r="S36" s="49"/>
      <c r="T36" s="49"/>
      <c r="U36" s="49"/>
      <c r="V36" s="49"/>
      <c r="W36" s="49"/>
      <c r="X36" s="49"/>
      <c r="Y36" s="49"/>
      <c r="Z36" s="49"/>
      <c r="AA36" s="49"/>
      <c r="AB36" s="49"/>
      <c r="AC36" s="49"/>
      <c r="AD36" s="49"/>
    </row>
    <row r="37" spans="1:30" ht="15" customHeight="1" x14ac:dyDescent="0.3">
      <c r="A37" s="320" t="s">
        <v>370</v>
      </c>
      <c r="B37" s="1884"/>
      <c r="C37" s="37" t="s">
        <v>55</v>
      </c>
      <c r="D37" s="1038"/>
      <c r="E37" s="69">
        <f>+'Emission Factors'!K22</f>
        <v>0</v>
      </c>
      <c r="F37" s="85">
        <f t="shared" si="1"/>
        <v>0</v>
      </c>
      <c r="G37" s="1115"/>
      <c r="H37" s="1171">
        <f>IF(Performance!$L$2="y",F37,E37*G37/1000)</f>
        <v>0</v>
      </c>
      <c r="I37" s="2098"/>
      <c r="J37" s="2099"/>
      <c r="K37" s="2100"/>
      <c r="L37" s="1056" t="str">
        <f t="shared" si="0"/>
        <v/>
      </c>
      <c r="M37" s="49"/>
      <c r="N37" s="49"/>
      <c r="O37" s="49"/>
      <c r="P37" s="49"/>
      <c r="Q37" s="49"/>
      <c r="R37" s="49"/>
      <c r="S37" s="49"/>
      <c r="T37" s="49"/>
      <c r="U37" s="49"/>
      <c r="V37" s="49"/>
      <c r="W37" s="49"/>
      <c r="X37" s="49"/>
      <c r="Y37" s="49"/>
      <c r="Z37" s="49"/>
      <c r="AA37" s="49"/>
      <c r="AB37" s="49"/>
      <c r="AC37" s="49"/>
      <c r="AD37" s="49"/>
    </row>
    <row r="38" spans="1:30" ht="15" customHeight="1" x14ac:dyDescent="0.3">
      <c r="A38" s="320" t="s">
        <v>370</v>
      </c>
      <c r="B38" s="1884"/>
      <c r="C38" s="37" t="s">
        <v>56</v>
      </c>
      <c r="D38" s="1038"/>
      <c r="E38" s="69">
        <f>+'Emission Factors'!K23</f>
        <v>0</v>
      </c>
      <c r="F38" s="85">
        <f t="shared" si="1"/>
        <v>0</v>
      </c>
      <c r="G38" s="1115"/>
      <c r="H38" s="1171">
        <f>IF(Performance!$L$2="y",F38,E38*G38/1000)</f>
        <v>0</v>
      </c>
      <c r="I38" s="2098"/>
      <c r="J38" s="2099"/>
      <c r="K38" s="2100"/>
      <c r="L38" s="1056" t="str">
        <f t="shared" si="0"/>
        <v/>
      </c>
      <c r="M38" s="49"/>
      <c r="N38" s="49"/>
      <c r="O38" s="49"/>
      <c r="P38" s="49"/>
      <c r="Q38" s="49"/>
      <c r="R38" s="49"/>
      <c r="S38" s="49"/>
      <c r="T38" s="49"/>
      <c r="U38" s="49"/>
      <c r="V38" s="49"/>
      <c r="W38" s="49"/>
      <c r="X38" s="49"/>
      <c r="Y38" s="49"/>
      <c r="Z38" s="49"/>
      <c r="AA38" s="49"/>
      <c r="AB38" s="49"/>
      <c r="AC38" s="49"/>
      <c r="AD38" s="49"/>
    </row>
    <row r="39" spans="1:30" ht="15" customHeight="1" x14ac:dyDescent="0.3">
      <c r="A39" s="320" t="s">
        <v>370</v>
      </c>
      <c r="B39" s="1884"/>
      <c r="C39" s="37" t="s">
        <v>410</v>
      </c>
      <c r="D39" s="1038"/>
      <c r="E39" s="74"/>
      <c r="F39" s="85">
        <f t="shared" si="1"/>
        <v>0</v>
      </c>
      <c r="G39" s="1115"/>
      <c r="H39" s="1171">
        <f>IF(Performance!$L$2="y",F39,E39*G39/1000)</f>
        <v>0</v>
      </c>
      <c r="I39" s="2098"/>
      <c r="J39" s="2099"/>
      <c r="K39" s="2100"/>
      <c r="L39" s="1056" t="str">
        <f t="shared" si="0"/>
        <v/>
      </c>
      <c r="M39" s="49"/>
      <c r="N39" s="49"/>
      <c r="O39" s="49"/>
      <c r="P39" s="49"/>
      <c r="Q39" s="49"/>
      <c r="R39" s="49"/>
      <c r="S39" s="49"/>
      <c r="T39" s="49"/>
      <c r="U39" s="49"/>
      <c r="V39" s="49"/>
      <c r="W39" s="49"/>
      <c r="X39" s="49"/>
      <c r="Y39" s="49"/>
      <c r="Z39" s="49"/>
      <c r="AA39" s="49"/>
      <c r="AB39" s="49"/>
      <c r="AC39" s="49"/>
      <c r="AD39" s="49"/>
    </row>
    <row r="40" spans="1:30" ht="15" customHeight="1" x14ac:dyDescent="0.3">
      <c r="A40" s="320"/>
      <c r="B40" s="1884"/>
      <c r="C40" s="37" t="s">
        <v>411</v>
      </c>
      <c r="D40" s="1038"/>
      <c r="E40" s="74"/>
      <c r="F40" s="85">
        <f t="shared" si="1"/>
        <v>0</v>
      </c>
      <c r="G40" s="1115"/>
      <c r="H40" s="1171">
        <f>IF(Performance!$L$2="y",F40,E40*G40/1000)</f>
        <v>0</v>
      </c>
      <c r="I40" s="2098"/>
      <c r="J40" s="2099"/>
      <c r="K40" s="2100"/>
      <c r="L40" s="1056"/>
      <c r="M40" s="49"/>
      <c r="N40" s="49"/>
      <c r="O40" s="49"/>
      <c r="P40" s="49"/>
      <c r="Q40" s="49"/>
      <c r="R40" s="49"/>
      <c r="S40" s="49"/>
      <c r="T40" s="49"/>
      <c r="U40" s="49"/>
      <c r="V40" s="49"/>
      <c r="W40" s="49"/>
      <c r="X40" s="49"/>
      <c r="Y40" s="49"/>
      <c r="Z40" s="49"/>
      <c r="AA40" s="49"/>
      <c r="AB40" s="49"/>
      <c r="AC40" s="49"/>
      <c r="AD40" s="49"/>
    </row>
    <row r="41" spans="1:30" ht="15" customHeight="1" x14ac:dyDescent="0.3">
      <c r="A41" s="320"/>
      <c r="B41" s="1884"/>
      <c r="C41" s="37" t="s">
        <v>412</v>
      </c>
      <c r="D41" s="1038"/>
      <c r="E41" s="74"/>
      <c r="F41" s="85">
        <f t="shared" si="1"/>
        <v>0</v>
      </c>
      <c r="G41" s="1115"/>
      <c r="H41" s="1171">
        <f>IF(Performance!$L$2="y",F41,E41*G41/1000)</f>
        <v>0</v>
      </c>
      <c r="I41" s="2098"/>
      <c r="J41" s="2099"/>
      <c r="K41" s="2100"/>
      <c r="L41" s="1056"/>
      <c r="M41" s="49"/>
      <c r="N41" s="49"/>
      <c r="O41" s="49"/>
      <c r="P41" s="49"/>
      <c r="Q41" s="49"/>
      <c r="R41" s="49"/>
      <c r="S41" s="49"/>
      <c r="T41" s="49"/>
      <c r="U41" s="49"/>
      <c r="V41" s="49"/>
      <c r="W41" s="49"/>
      <c r="X41" s="49"/>
      <c r="Y41" s="49"/>
      <c r="Z41" s="49"/>
      <c r="AA41" s="49"/>
      <c r="AB41" s="49"/>
      <c r="AC41" s="49"/>
      <c r="AD41" s="49"/>
    </row>
    <row r="42" spans="1:30" ht="15" customHeight="1" x14ac:dyDescent="0.3">
      <c r="A42" s="320" t="s">
        <v>370</v>
      </c>
      <c r="B42" s="1884"/>
      <c r="C42" s="357" t="s">
        <v>57</v>
      </c>
      <c r="D42" s="40">
        <f>+CHP!T22</f>
        <v>0</v>
      </c>
      <c r="E42" s="69">
        <f>+CHP!X17</f>
        <v>0</v>
      </c>
      <c r="F42" s="85">
        <f>(D42*E42)/1000</f>
        <v>0</v>
      </c>
      <c r="G42" s="1115"/>
      <c r="H42" s="652">
        <f>IF(Performance!$L$2="y",F42,E42*G42/1000)</f>
        <v>0</v>
      </c>
      <c r="I42" s="2098"/>
      <c r="J42" s="2099"/>
      <c r="K42" s="2100"/>
      <c r="L42" s="1056" t="str">
        <f t="shared" si="0"/>
        <v/>
      </c>
      <c r="M42" s="49"/>
      <c r="N42" s="49"/>
      <c r="O42" s="49"/>
      <c r="P42" s="49"/>
      <c r="Q42" s="49"/>
      <c r="R42" s="49"/>
      <c r="S42" s="49"/>
      <c r="T42" s="49"/>
      <c r="U42" s="49"/>
      <c r="V42" s="49"/>
      <c r="W42" s="49"/>
      <c r="X42" s="49"/>
      <c r="Y42" s="49"/>
      <c r="Z42" s="49"/>
      <c r="AA42" s="49"/>
      <c r="AB42" s="49"/>
      <c r="AC42" s="49"/>
      <c r="AD42" s="49"/>
    </row>
    <row r="43" spans="1:30" ht="15" customHeight="1" x14ac:dyDescent="0.3">
      <c r="A43" s="320" t="s">
        <v>370</v>
      </c>
      <c r="B43" s="1884"/>
      <c r="C43" s="357" t="s">
        <v>58</v>
      </c>
      <c r="D43" s="40">
        <f>+CHP!T23</f>
        <v>0</v>
      </c>
      <c r="E43" s="69">
        <f>+CHP!X18</f>
        <v>0</v>
      </c>
      <c r="F43" s="85">
        <f t="shared" si="1"/>
        <v>0</v>
      </c>
      <c r="G43" s="1115"/>
      <c r="H43" s="652">
        <f>IF(Performance!$L$2="y",F43,E43*G43/1000)</f>
        <v>0</v>
      </c>
      <c r="I43" s="2098"/>
      <c r="J43" s="2099"/>
      <c r="K43" s="2100"/>
      <c r="L43" s="1056" t="str">
        <f t="shared" si="0"/>
        <v/>
      </c>
      <c r="M43" s="49"/>
      <c r="N43" s="49"/>
      <c r="O43" s="49"/>
      <c r="P43" s="49"/>
      <c r="Q43" s="49"/>
      <c r="R43" s="49"/>
      <c r="S43" s="49"/>
      <c r="T43" s="49"/>
      <c r="U43" s="49"/>
      <c r="V43" s="49"/>
      <c r="W43" s="49"/>
      <c r="X43" s="49"/>
      <c r="Y43" s="49"/>
      <c r="Z43" s="49"/>
      <c r="AA43" s="49"/>
      <c r="AB43" s="49"/>
      <c r="AC43" s="49"/>
      <c r="AD43" s="49"/>
    </row>
    <row r="44" spans="1:30" ht="15" customHeight="1" x14ac:dyDescent="0.3">
      <c r="A44" s="320" t="s">
        <v>370</v>
      </c>
      <c r="B44" s="1884"/>
      <c r="C44" s="357" t="s">
        <v>59</v>
      </c>
      <c r="D44" s="40">
        <f>+CHP!T49</f>
        <v>0</v>
      </c>
      <c r="E44" s="69">
        <f>+CHP!X44</f>
        <v>0</v>
      </c>
      <c r="F44" s="85">
        <f t="shared" si="1"/>
        <v>0</v>
      </c>
      <c r="G44" s="1115"/>
      <c r="H44" s="652">
        <f>IF(Performance!$L$2="y",F44,E44*G44/1000)</f>
        <v>0</v>
      </c>
      <c r="I44" s="2098"/>
      <c r="J44" s="2099"/>
      <c r="K44" s="2100"/>
      <c r="L44" s="1056" t="str">
        <f t="shared" si="0"/>
        <v/>
      </c>
      <c r="M44" s="49"/>
      <c r="N44" s="49"/>
      <c r="O44" s="49"/>
      <c r="P44" s="49"/>
      <c r="Q44" s="49"/>
      <c r="R44" s="49"/>
      <c r="S44" s="49"/>
      <c r="T44" s="49"/>
      <c r="U44" s="49"/>
      <c r="V44" s="49"/>
      <c r="W44" s="49"/>
      <c r="X44" s="49"/>
      <c r="Y44" s="49"/>
      <c r="Z44" s="49"/>
      <c r="AA44" s="49"/>
      <c r="AB44" s="49"/>
      <c r="AC44" s="49"/>
      <c r="AD44" s="49"/>
    </row>
    <row r="45" spans="1:30" ht="15" customHeight="1" x14ac:dyDescent="0.3">
      <c r="A45" s="320" t="s">
        <v>370</v>
      </c>
      <c r="B45" s="1884"/>
      <c r="C45" s="357" t="s">
        <v>60</v>
      </c>
      <c r="D45" s="40">
        <f>+CHP!T50</f>
        <v>0</v>
      </c>
      <c r="E45" s="69">
        <f>+CHP!X45</f>
        <v>0</v>
      </c>
      <c r="F45" s="85">
        <f t="shared" si="1"/>
        <v>0</v>
      </c>
      <c r="G45" s="1115"/>
      <c r="H45" s="652">
        <f>IF(Performance!$L$2="y",F45,E45*G45/1000)</f>
        <v>0</v>
      </c>
      <c r="I45" s="2098"/>
      <c r="J45" s="2099"/>
      <c r="K45" s="2100"/>
      <c r="L45" s="1056" t="str">
        <f t="shared" si="0"/>
        <v/>
      </c>
      <c r="M45" s="49"/>
      <c r="N45" s="49"/>
      <c r="O45" s="49"/>
      <c r="P45" s="49"/>
      <c r="Q45" s="49"/>
      <c r="R45" s="49"/>
      <c r="S45" s="49"/>
      <c r="T45" s="49"/>
      <c r="U45" s="49"/>
      <c r="V45" s="49"/>
      <c r="W45" s="49"/>
      <c r="X45" s="49"/>
      <c r="Y45" s="49"/>
      <c r="Z45" s="49"/>
      <c r="AA45" s="49"/>
      <c r="AB45" s="49"/>
      <c r="AC45" s="49"/>
      <c r="AD45" s="49"/>
    </row>
    <row r="46" spans="1:30" ht="15" customHeight="1" x14ac:dyDescent="0.3">
      <c r="A46" s="320" t="s">
        <v>370</v>
      </c>
      <c r="B46" s="1884"/>
      <c r="C46" s="357" t="s">
        <v>61</v>
      </c>
      <c r="D46" s="40">
        <f>+CHP!T76</f>
        <v>0</v>
      </c>
      <c r="E46" s="69">
        <f>+CHP!X71</f>
        <v>0</v>
      </c>
      <c r="F46" s="85">
        <f t="shared" si="1"/>
        <v>0</v>
      </c>
      <c r="G46" s="1115"/>
      <c r="H46" s="652">
        <f>IF(Performance!$L$2="y",F46,E46*G46/1000)</f>
        <v>0</v>
      </c>
      <c r="I46" s="2098"/>
      <c r="J46" s="2099"/>
      <c r="K46" s="2100"/>
      <c r="L46" s="1056" t="str">
        <f t="shared" si="0"/>
        <v/>
      </c>
      <c r="M46" s="49"/>
      <c r="N46" s="49"/>
      <c r="O46" s="49"/>
      <c r="P46" s="49"/>
      <c r="Q46" s="49"/>
      <c r="R46" s="49"/>
      <c r="S46" s="49"/>
      <c r="T46" s="49"/>
      <c r="U46" s="49"/>
      <c r="V46" s="49"/>
      <c r="W46" s="49"/>
      <c r="X46" s="49"/>
      <c r="Y46" s="49"/>
      <c r="Z46" s="49"/>
      <c r="AA46" s="49"/>
      <c r="AB46" s="49"/>
      <c r="AC46" s="49"/>
      <c r="AD46" s="49"/>
    </row>
    <row r="47" spans="1:30" ht="15.75" customHeight="1" thickBot="1" x14ac:dyDescent="0.35">
      <c r="A47" s="320" t="s">
        <v>370</v>
      </c>
      <c r="B47" s="1885"/>
      <c r="C47" s="358" t="s">
        <v>62</v>
      </c>
      <c r="D47" s="190">
        <f>+CHP!T77</f>
        <v>0</v>
      </c>
      <c r="E47" s="172">
        <f>+CHP!X72</f>
        <v>0</v>
      </c>
      <c r="F47" s="86">
        <f t="shared" si="1"/>
        <v>0</v>
      </c>
      <c r="G47" s="1116"/>
      <c r="H47" s="355">
        <f>IF(Performance!$L$2="y",F47,E47*G47/1000)</f>
        <v>0</v>
      </c>
      <c r="I47" s="2113"/>
      <c r="J47" s="2114"/>
      <c r="K47" s="2115"/>
      <c r="L47" s="1122" t="str">
        <f t="shared" si="0"/>
        <v/>
      </c>
      <c r="M47" s="49"/>
      <c r="N47" s="49"/>
      <c r="O47" s="49"/>
      <c r="P47" s="49"/>
      <c r="Q47" s="49"/>
      <c r="R47" s="49"/>
      <c r="S47" s="49"/>
      <c r="T47" s="49"/>
      <c r="U47" s="49"/>
      <c r="V47" s="49"/>
      <c r="W47" s="49"/>
      <c r="X47" s="49"/>
      <c r="Y47" s="49"/>
      <c r="Z47" s="49"/>
      <c r="AA47" s="49"/>
      <c r="AB47" s="49"/>
      <c r="AC47" s="49"/>
      <c r="AD47" s="49"/>
    </row>
    <row r="48" spans="1:30" x14ac:dyDescent="0.3">
      <c r="A48" s="320"/>
      <c r="B48" s="49" t="s">
        <v>63</v>
      </c>
      <c r="C48" s="337"/>
      <c r="D48" s="337"/>
      <c r="E48" s="337"/>
      <c r="F48" s="337"/>
      <c r="G48" s="337"/>
      <c r="H48" s="337"/>
      <c r="I48" s="337"/>
      <c r="J48" s="337"/>
      <c r="K48" s="337"/>
      <c r="L48" s="49"/>
      <c r="M48" s="49"/>
      <c r="N48" s="49"/>
      <c r="O48" s="49"/>
      <c r="P48" s="49"/>
      <c r="Q48" s="49"/>
      <c r="R48" s="49"/>
      <c r="S48" s="49"/>
      <c r="T48" s="49"/>
      <c r="U48" s="49"/>
      <c r="V48" s="49"/>
      <c r="W48" s="49"/>
      <c r="X48" s="49"/>
      <c r="Y48" s="49"/>
      <c r="Z48" s="49"/>
      <c r="AA48" s="49"/>
      <c r="AB48" s="49"/>
      <c r="AC48" s="49"/>
      <c r="AD48" s="49"/>
    </row>
    <row r="49" spans="1:30" s="594" customFormat="1" ht="23.4" x14ac:dyDescent="0.3">
      <c r="A49" s="1210" t="s">
        <v>506</v>
      </c>
      <c r="B49" s="475" t="s">
        <v>65</v>
      </c>
      <c r="C49" s="476"/>
      <c r="D49" s="2090" t="str">
        <f>+$A$1</f>
        <v>Quarter 1 - 2019-2020</v>
      </c>
      <c r="E49" s="2090"/>
      <c r="F49" s="2090"/>
      <c r="G49" s="2090"/>
      <c r="H49" s="2090"/>
      <c r="I49" s="2090"/>
      <c r="J49" s="2090"/>
      <c r="K49" s="477"/>
      <c r="L49" s="477"/>
      <c r="M49" s="477"/>
      <c r="N49" s="477"/>
      <c r="O49" s="477"/>
      <c r="P49" s="477"/>
      <c r="Q49" s="477"/>
      <c r="R49" s="477"/>
      <c r="S49" s="477"/>
      <c r="T49" s="477"/>
      <c r="U49" s="477"/>
      <c r="V49" s="477"/>
      <c r="W49" s="477"/>
      <c r="X49" s="477"/>
      <c r="Y49" s="478"/>
      <c r="Z49" s="478"/>
      <c r="AA49" s="478"/>
      <c r="AB49" s="478"/>
      <c r="AC49" s="478"/>
      <c r="AD49" s="478"/>
    </row>
    <row r="50" spans="1:30" ht="14.4" thickBot="1" x14ac:dyDescent="0.35">
      <c r="A50" s="320"/>
      <c r="B50" s="43" t="s">
        <v>66</v>
      </c>
      <c r="C50" s="359"/>
      <c r="D50" s="337"/>
      <c r="E50" s="337"/>
      <c r="F50" s="337"/>
      <c r="G50" s="337"/>
      <c r="H50" s="337"/>
      <c r="I50" s="337"/>
      <c r="J50" s="337"/>
      <c r="K50" s="337"/>
      <c r="L50" s="49"/>
      <c r="M50" s="49"/>
      <c r="N50" s="49"/>
      <c r="O50" s="49"/>
      <c r="P50" s="49"/>
      <c r="Q50" s="49"/>
      <c r="R50" s="49"/>
      <c r="S50" s="49"/>
      <c r="T50" s="49"/>
      <c r="U50" s="49"/>
      <c r="V50" s="49"/>
      <c r="W50" s="49"/>
      <c r="X50" s="49"/>
      <c r="Y50" s="49"/>
      <c r="Z50" s="49"/>
      <c r="AA50" s="49"/>
      <c r="AB50" s="49"/>
      <c r="AC50" s="49"/>
      <c r="AD50" s="49"/>
    </row>
    <row r="51" spans="1:30" ht="30" customHeight="1" thickBot="1" x14ac:dyDescent="0.35">
      <c r="A51" s="320"/>
      <c r="B51" s="49"/>
      <c r="C51" s="49"/>
      <c r="D51" s="1898" t="s">
        <v>23</v>
      </c>
      <c r="E51" s="1899"/>
      <c r="F51" s="1900"/>
      <c r="G51" s="1901" t="s">
        <v>144</v>
      </c>
      <c r="H51" s="1902"/>
      <c r="I51" s="1903" t="s">
        <v>24</v>
      </c>
      <c r="J51" s="1904"/>
      <c r="K51" s="1905"/>
      <c r="L51" s="1909" t="s">
        <v>461</v>
      </c>
      <c r="M51" s="49"/>
      <c r="N51" s="49"/>
      <c r="O51" s="49"/>
      <c r="P51" s="49"/>
      <c r="Q51" s="49"/>
      <c r="R51" s="49"/>
      <c r="S51" s="49"/>
      <c r="T51" s="49"/>
      <c r="U51" s="49"/>
      <c r="V51" s="49"/>
      <c r="W51" s="49"/>
      <c r="X51" s="49"/>
      <c r="Y51" s="49"/>
      <c r="Z51" s="49"/>
      <c r="AA51" s="49"/>
      <c r="AB51" s="49"/>
      <c r="AC51" s="49"/>
      <c r="AD51" s="49"/>
    </row>
    <row r="52" spans="1:30" ht="39" customHeight="1" thickBot="1" x14ac:dyDescent="0.35">
      <c r="A52" s="320"/>
      <c r="B52" s="360"/>
      <c r="C52" s="359"/>
      <c r="D52" s="51" t="s">
        <v>67</v>
      </c>
      <c r="E52" s="41" t="s">
        <v>68</v>
      </c>
      <c r="F52" s="361" t="s">
        <v>28</v>
      </c>
      <c r="G52" s="433" t="s">
        <v>67</v>
      </c>
      <c r="H52" s="433" t="s">
        <v>28</v>
      </c>
      <c r="I52" s="1906"/>
      <c r="J52" s="1907"/>
      <c r="K52" s="1908"/>
      <c r="L52" s="1911"/>
      <c r="M52" s="49"/>
      <c r="N52" s="49"/>
      <c r="O52" s="49"/>
      <c r="P52" s="49"/>
      <c r="Q52" s="49"/>
      <c r="R52" s="49"/>
      <c r="S52" s="49"/>
      <c r="T52" s="49"/>
      <c r="U52" s="49"/>
      <c r="V52" s="49"/>
      <c r="W52" s="49"/>
      <c r="X52" s="49"/>
      <c r="Y52" s="49"/>
      <c r="Z52" s="49"/>
      <c r="AA52" s="49"/>
      <c r="AB52" s="49"/>
      <c r="AC52" s="49"/>
      <c r="AD52" s="49"/>
    </row>
    <row r="53" spans="1:30" ht="13.5" customHeight="1" thickBot="1" x14ac:dyDescent="0.35">
      <c r="A53" s="320" t="s">
        <v>370</v>
      </c>
      <c r="B53" s="1924" t="s">
        <v>69</v>
      </c>
      <c r="C53" s="1925"/>
      <c r="D53" s="1049"/>
      <c r="E53" s="1035"/>
      <c r="F53" s="42">
        <f>D53/1000</f>
        <v>0</v>
      </c>
      <c r="G53" s="1108"/>
      <c r="H53" s="651">
        <f>IF(Performance!L2="y",F53,G53/1000)</f>
        <v>0</v>
      </c>
      <c r="I53" s="1926"/>
      <c r="J53" s="1927"/>
      <c r="K53" s="1928"/>
      <c r="L53" s="1119" t="str">
        <f>IF(OR(D53&lt;0,G53&lt;0),"Error - negative number",IF(G53&gt;D53,"Offices only &gt; Total Estate",IF(AND(D53&gt;0,E53=""),"Please enter method used","")))</f>
        <v/>
      </c>
      <c r="M53" s="49"/>
      <c r="N53" s="49"/>
      <c r="O53" s="49"/>
      <c r="P53" s="49"/>
      <c r="Q53" s="49"/>
      <c r="R53" s="49"/>
      <c r="S53" s="49"/>
      <c r="T53" s="49"/>
      <c r="U53" s="49"/>
      <c r="V53" s="49"/>
      <c r="W53" s="49"/>
      <c r="X53" s="49"/>
      <c r="Y53" s="49"/>
      <c r="Z53" s="49"/>
      <c r="AA53" s="49"/>
      <c r="AB53" s="49"/>
      <c r="AC53" s="49"/>
      <c r="AD53" s="49"/>
    </row>
    <row r="54" spans="1:30" x14ac:dyDescent="0.3">
      <c r="A54" s="365"/>
      <c r="B54" s="337"/>
      <c r="C54" s="337"/>
      <c r="D54" s="337"/>
      <c r="E54" s="337"/>
      <c r="F54" s="366"/>
      <c r="G54" s="337"/>
      <c r="H54" s="337"/>
      <c r="I54" s="337"/>
      <c r="J54" s="337"/>
      <c r="K54" s="337"/>
      <c r="L54" s="49"/>
      <c r="M54" s="49"/>
      <c r="N54" s="49"/>
      <c r="O54" s="49"/>
      <c r="P54" s="49"/>
      <c r="Q54" s="49"/>
      <c r="R54" s="49"/>
      <c r="S54" s="49"/>
      <c r="T54" s="49"/>
      <c r="U54" s="49"/>
      <c r="V54" s="49"/>
      <c r="W54" s="49"/>
      <c r="X54" s="49"/>
      <c r="Y54" s="49"/>
      <c r="Z54" s="49"/>
      <c r="AA54" s="49"/>
      <c r="AB54" s="49"/>
      <c r="AC54" s="49"/>
      <c r="AD54" s="49"/>
    </row>
    <row r="55" spans="1:30" s="594" customFormat="1" ht="23.4" x14ac:dyDescent="0.3">
      <c r="A55" s="1210" t="s">
        <v>507</v>
      </c>
      <c r="B55" s="475" t="s">
        <v>71</v>
      </c>
      <c r="C55" s="476"/>
      <c r="D55" s="2090" t="str">
        <f>+$A$1</f>
        <v>Quarter 1 - 2019-2020</v>
      </c>
      <c r="E55" s="2090"/>
      <c r="F55" s="2090"/>
      <c r="G55" s="2090"/>
      <c r="H55" s="2090"/>
      <c r="I55" s="2090"/>
      <c r="J55" s="2090"/>
      <c r="K55" s="477"/>
      <c r="L55" s="477"/>
      <c r="M55" s="477"/>
      <c r="N55" s="477"/>
      <c r="O55" s="477"/>
      <c r="P55" s="477"/>
      <c r="Q55" s="477"/>
      <c r="R55" s="477"/>
      <c r="S55" s="477"/>
      <c r="T55" s="477"/>
      <c r="U55" s="477"/>
      <c r="V55" s="477"/>
      <c r="W55" s="477"/>
      <c r="X55" s="477"/>
      <c r="Y55" s="478"/>
      <c r="Z55" s="478"/>
      <c r="AA55" s="478"/>
      <c r="AB55" s="478"/>
      <c r="AC55" s="478"/>
      <c r="AD55" s="478"/>
    </row>
    <row r="56" spans="1:30" x14ac:dyDescent="0.3">
      <c r="A56" s="320"/>
      <c r="B56" s="43" t="s">
        <v>72</v>
      </c>
      <c r="C56" s="359"/>
      <c r="D56" s="337"/>
      <c r="E56" s="337"/>
      <c r="F56" s="337"/>
      <c r="G56" s="337"/>
      <c r="H56" s="337"/>
      <c r="I56" s="337"/>
      <c r="J56" s="337"/>
      <c r="K56" s="337"/>
      <c r="L56" s="49"/>
      <c r="M56" s="49"/>
      <c r="N56" s="49"/>
      <c r="O56" s="49"/>
      <c r="P56" s="49"/>
      <c r="Q56" s="49"/>
      <c r="R56" s="49"/>
      <c r="S56" s="49"/>
      <c r="T56" s="49"/>
      <c r="U56" s="49"/>
      <c r="V56" s="49"/>
      <c r="W56" s="49"/>
      <c r="X56" s="49"/>
      <c r="Y56" s="49"/>
      <c r="Z56" s="49"/>
      <c r="AA56" s="49"/>
      <c r="AB56" s="49"/>
      <c r="AC56" s="49"/>
      <c r="AD56" s="49"/>
    </row>
    <row r="57" spans="1:30" x14ac:dyDescent="0.3">
      <c r="A57" s="320"/>
      <c r="B57" s="43" t="s">
        <v>73</v>
      </c>
      <c r="C57" s="359"/>
      <c r="D57" s="337"/>
      <c r="E57" s="337"/>
      <c r="F57" s="337"/>
      <c r="G57" s="337"/>
      <c r="H57" s="337"/>
      <c r="I57" s="337"/>
      <c r="J57" s="337"/>
      <c r="K57" s="337"/>
      <c r="L57" s="49"/>
      <c r="M57" s="49"/>
      <c r="N57" s="49"/>
      <c r="O57" s="49"/>
      <c r="P57" s="49"/>
      <c r="Q57" s="49"/>
      <c r="R57" s="49"/>
      <c r="S57" s="49"/>
      <c r="T57" s="49"/>
      <c r="U57" s="49"/>
      <c r="V57" s="49"/>
      <c r="W57" s="49"/>
      <c r="X57" s="49"/>
      <c r="Y57" s="49"/>
      <c r="Z57" s="49"/>
      <c r="AA57" s="49"/>
      <c r="AB57" s="49"/>
      <c r="AC57" s="49"/>
      <c r="AD57" s="49"/>
    </row>
    <row r="58" spans="1:30" x14ac:dyDescent="0.3">
      <c r="A58" s="320"/>
      <c r="B58" s="43" t="s">
        <v>528</v>
      </c>
      <c r="C58" s="359"/>
      <c r="D58" s="337"/>
      <c r="E58" s="337"/>
      <c r="F58" s="337"/>
      <c r="G58" s="337"/>
      <c r="H58" s="337"/>
      <c r="I58" s="337"/>
      <c r="J58" s="337"/>
      <c r="K58" s="337"/>
      <c r="L58" s="49"/>
      <c r="M58" s="49"/>
      <c r="N58" s="49"/>
      <c r="O58" s="49"/>
      <c r="P58" s="49"/>
      <c r="Q58" s="49"/>
      <c r="R58" s="49"/>
      <c r="S58" s="49"/>
      <c r="T58" s="49"/>
      <c r="U58" s="49"/>
      <c r="V58" s="49"/>
      <c r="W58" s="49"/>
      <c r="X58" s="49"/>
      <c r="Y58" s="49"/>
      <c r="Z58" s="49"/>
      <c r="AA58" s="49"/>
      <c r="AB58" s="49"/>
      <c r="AC58" s="49"/>
      <c r="AD58" s="49"/>
    </row>
    <row r="59" spans="1:30" x14ac:dyDescent="0.3">
      <c r="A59" s="320"/>
      <c r="B59" s="43" t="s">
        <v>76</v>
      </c>
      <c r="C59" s="359"/>
      <c r="D59" s="337"/>
      <c r="E59" s="337"/>
      <c r="F59" s="337"/>
      <c r="G59" s="337"/>
      <c r="H59" s="337"/>
      <c r="I59" s="337"/>
      <c r="J59" s="337"/>
      <c r="K59" s="337"/>
      <c r="L59" s="49"/>
      <c r="M59" s="49"/>
      <c r="N59" s="49"/>
      <c r="O59" s="49"/>
      <c r="P59" s="49"/>
      <c r="Q59" s="49"/>
      <c r="R59" s="49"/>
      <c r="S59" s="49"/>
      <c r="T59" s="49"/>
      <c r="U59" s="49"/>
      <c r="V59" s="49"/>
      <c r="W59" s="49"/>
      <c r="X59" s="49"/>
      <c r="Y59" s="49"/>
      <c r="Z59" s="49"/>
      <c r="AA59" s="49"/>
      <c r="AB59" s="49"/>
      <c r="AC59" s="49"/>
      <c r="AD59" s="49"/>
    </row>
    <row r="60" spans="1:30" ht="13.5" customHeight="1" x14ac:dyDescent="0.3">
      <c r="A60" s="320"/>
      <c r="B60" s="143" t="s">
        <v>363</v>
      </c>
      <c r="C60" s="359"/>
      <c r="D60" s="337"/>
      <c r="E60" s="337"/>
      <c r="F60" s="337"/>
      <c r="G60" s="337"/>
      <c r="H60" s="337"/>
      <c r="I60" s="337"/>
      <c r="J60" s="337"/>
      <c r="K60" s="337"/>
      <c r="L60" s="49"/>
      <c r="M60" s="49"/>
      <c r="N60" s="49"/>
      <c r="O60" s="49"/>
      <c r="P60" s="49"/>
      <c r="Q60" s="49"/>
      <c r="R60" s="49"/>
      <c r="S60" s="49"/>
      <c r="T60" s="49"/>
      <c r="U60" s="49"/>
      <c r="V60" s="49"/>
      <c r="W60" s="49"/>
      <c r="X60" s="49"/>
      <c r="Y60" s="49"/>
      <c r="Z60" s="49"/>
      <c r="AA60" s="49"/>
      <c r="AB60" s="49"/>
      <c r="AC60" s="49"/>
      <c r="AD60" s="49"/>
    </row>
    <row r="61" spans="1:30" ht="15.75" customHeight="1" thickBot="1" x14ac:dyDescent="0.35">
      <c r="A61" s="320" t="s">
        <v>370</v>
      </c>
      <c r="B61" s="43"/>
      <c r="C61" s="359"/>
      <c r="D61" s="337"/>
      <c r="E61" s="337"/>
      <c r="F61" s="367"/>
      <c r="G61" s="337"/>
      <c r="H61" s="337"/>
      <c r="I61" s="337"/>
      <c r="J61" s="337"/>
      <c r="K61" s="49"/>
      <c r="L61" s="49"/>
      <c r="M61" s="49"/>
      <c r="N61" s="49"/>
      <c r="O61" s="49"/>
      <c r="P61" s="49"/>
      <c r="Q61" s="49"/>
      <c r="R61" s="49"/>
      <c r="S61" s="49"/>
      <c r="T61" s="49"/>
      <c r="U61" s="49"/>
      <c r="V61" s="49"/>
      <c r="W61" s="49"/>
      <c r="X61" s="49"/>
      <c r="Y61" s="49"/>
      <c r="Z61" s="49"/>
      <c r="AA61" s="49"/>
      <c r="AB61" s="49"/>
      <c r="AC61" s="49"/>
      <c r="AD61" s="49"/>
    </row>
    <row r="62" spans="1:30" ht="26.25" customHeight="1" thickBot="1" x14ac:dyDescent="0.35">
      <c r="A62" s="320"/>
      <c r="B62" s="1929" t="s">
        <v>79</v>
      </c>
      <c r="C62" s="1930"/>
      <c r="D62" s="1933" t="s">
        <v>23</v>
      </c>
      <c r="E62" s="1934"/>
      <c r="F62" s="1935"/>
      <c r="G62" s="148"/>
      <c r="H62" s="148"/>
      <c r="I62" s="1849" t="s">
        <v>24</v>
      </c>
      <c r="J62" s="1850"/>
      <c r="K62" s="1851"/>
      <c r="L62" s="1909" t="s">
        <v>461</v>
      </c>
      <c r="M62" s="49"/>
      <c r="N62" s="49"/>
      <c r="O62" s="49"/>
      <c r="P62" s="49"/>
      <c r="Q62" s="49"/>
      <c r="R62" s="49"/>
      <c r="S62" s="49"/>
      <c r="T62" s="49"/>
      <c r="U62" s="49"/>
      <c r="V62" s="49"/>
      <c r="W62" s="49"/>
      <c r="X62" s="49"/>
      <c r="Y62" s="49"/>
      <c r="Z62" s="49"/>
      <c r="AA62" s="49"/>
      <c r="AB62" s="49"/>
      <c r="AC62" s="49"/>
      <c r="AD62" s="49"/>
    </row>
    <row r="63" spans="1:30" ht="15.75" customHeight="1" thickBot="1" x14ac:dyDescent="0.35">
      <c r="A63" s="320"/>
      <c r="B63" s="1931"/>
      <c r="C63" s="1932"/>
      <c r="D63" s="368" t="s">
        <v>81</v>
      </c>
      <c r="E63" s="369" t="s">
        <v>27</v>
      </c>
      <c r="F63" s="370" t="s">
        <v>28</v>
      </c>
      <c r="G63" s="148"/>
      <c r="H63" s="148"/>
      <c r="I63" s="1852"/>
      <c r="J63" s="1853"/>
      <c r="K63" s="1854"/>
      <c r="L63" s="1911"/>
      <c r="M63" s="49"/>
      <c r="N63" s="49"/>
      <c r="O63" s="49"/>
      <c r="P63" s="49"/>
      <c r="Q63" s="49"/>
      <c r="R63" s="49"/>
      <c r="S63" s="49"/>
      <c r="T63" s="49"/>
      <c r="U63" s="49"/>
      <c r="V63" s="49"/>
      <c r="W63" s="49"/>
      <c r="X63" s="49"/>
      <c r="Y63" s="49"/>
      <c r="Z63" s="49"/>
      <c r="AA63" s="49"/>
      <c r="AB63" s="49"/>
      <c r="AC63" s="49"/>
      <c r="AD63" s="49"/>
    </row>
    <row r="64" spans="1:30" ht="31.5" customHeight="1" thickBot="1" x14ac:dyDescent="0.35">
      <c r="A64" s="320"/>
      <c r="B64" s="1955" t="s">
        <v>77</v>
      </c>
      <c r="C64" s="1956"/>
      <c r="D64" s="44">
        <f>SUM(D65:D85)</f>
        <v>5025581</v>
      </c>
      <c r="E64" s="1107">
        <f>IF(D64&lt;&gt;0,F64*1000/D64,"")</f>
        <v>0.57897024489904747</v>
      </c>
      <c r="F64" s="171">
        <f>SUM(F65:F85)</f>
        <v>2909.6618623300001</v>
      </c>
      <c r="G64" s="148"/>
      <c r="H64" s="148"/>
      <c r="I64" s="1957"/>
      <c r="J64" s="1958"/>
      <c r="K64" s="1959"/>
      <c r="L64" s="1119" t="str">
        <f t="shared" ref="L64:L122" si="3">IF(OR(D64&lt;0,G64&lt;0),"Error - negative number",IF(G64&gt;D64,"Offices only &gt; Total Estate",IF(AND(D64&gt;0,E64=""),"Please enter CO2e factor","")))</f>
        <v/>
      </c>
      <c r="M64" s="49"/>
      <c r="N64" s="49"/>
      <c r="O64" s="1960" t="str">
        <f>B64</f>
        <v>TOTAL DOMESTIC FROM FLEET (i.e. vehicles owned or leased by the department) (Scope 1)</v>
      </c>
      <c r="P64" s="1961"/>
      <c r="Q64" s="1961"/>
      <c r="R64" s="1961"/>
      <c r="S64" s="1961"/>
      <c r="T64" s="1961"/>
      <c r="U64" s="1961"/>
      <c r="V64" s="1961"/>
      <c r="W64" s="1962"/>
      <c r="X64" s="1963" t="s">
        <v>381</v>
      </c>
      <c r="Y64" s="1964"/>
      <c r="Z64" s="1909" t="s">
        <v>461</v>
      </c>
      <c r="AA64" s="49"/>
      <c r="AB64" s="49"/>
      <c r="AC64" s="49"/>
      <c r="AD64" s="49"/>
    </row>
    <row r="65" spans="1:30" ht="15" customHeight="1" x14ac:dyDescent="0.3">
      <c r="A65" s="320" t="s">
        <v>370</v>
      </c>
      <c r="B65" s="1912" t="s">
        <v>84</v>
      </c>
      <c r="C65" s="46" t="s">
        <v>85</v>
      </c>
      <c r="D65" s="1039">
        <v>18959</v>
      </c>
      <c r="E65" s="382">
        <f>+'Emission Factors'!K48</f>
        <v>0.15371000000000001</v>
      </c>
      <c r="F65" s="356">
        <f>(D65*E65)/1000</f>
        <v>2.91418789</v>
      </c>
      <c r="G65" s="148"/>
      <c r="H65" s="148"/>
      <c r="I65" s="1915"/>
      <c r="J65" s="1916"/>
      <c r="K65" s="1917"/>
      <c r="L65" s="1120" t="str">
        <f t="shared" si="3"/>
        <v/>
      </c>
      <c r="M65" s="49"/>
      <c r="N65" s="49"/>
      <c r="O65" s="479"/>
      <c r="P65" s="480"/>
      <c r="Q65" s="1918" t="s">
        <v>78</v>
      </c>
      <c r="R65" s="1918" t="s">
        <v>80</v>
      </c>
      <c r="S65" s="1921" t="s">
        <v>27</v>
      </c>
      <c r="T65" s="1936" t="s">
        <v>374</v>
      </c>
      <c r="U65" s="1938" t="s">
        <v>24</v>
      </c>
      <c r="V65" s="1939"/>
      <c r="W65" s="1940"/>
      <c r="X65" s="1947" t="s">
        <v>27</v>
      </c>
      <c r="Y65" s="1950" t="s">
        <v>374</v>
      </c>
      <c r="Z65" s="1910"/>
      <c r="AA65" s="49"/>
      <c r="AB65" s="49"/>
      <c r="AC65" s="49"/>
      <c r="AD65" s="49"/>
    </row>
    <row r="66" spans="1:30" ht="15" customHeight="1" thickBot="1" x14ac:dyDescent="0.35">
      <c r="A66" s="320" t="s">
        <v>370</v>
      </c>
      <c r="B66" s="1913"/>
      <c r="C66" s="648" t="s">
        <v>87</v>
      </c>
      <c r="D66" s="1039"/>
      <c r="E66" s="382">
        <f>+'Emission Factors'!K49</f>
        <v>0.19228000000000001</v>
      </c>
      <c r="F66" s="85">
        <f t="shared" ref="F66:F85" si="4">(D66*E66)/1000</f>
        <v>0</v>
      </c>
      <c r="G66" s="148"/>
      <c r="H66" s="148"/>
      <c r="I66" s="1952"/>
      <c r="J66" s="1953"/>
      <c r="K66" s="1954"/>
      <c r="L66" s="1056" t="str">
        <f t="shared" si="3"/>
        <v/>
      </c>
      <c r="M66" s="49"/>
      <c r="N66" s="49"/>
      <c r="O66" s="1101"/>
      <c r="P66" s="1102"/>
      <c r="Q66" s="1919"/>
      <c r="R66" s="1919"/>
      <c r="S66" s="1922"/>
      <c r="T66" s="1937"/>
      <c r="U66" s="1941"/>
      <c r="V66" s="1942"/>
      <c r="W66" s="1943"/>
      <c r="X66" s="1948"/>
      <c r="Y66" s="1951"/>
      <c r="Z66" s="1910"/>
      <c r="AA66" s="49"/>
      <c r="AB66" s="49"/>
      <c r="AC66" s="49"/>
      <c r="AD66" s="49"/>
    </row>
    <row r="67" spans="1:30" ht="15" customHeight="1" thickBot="1" x14ac:dyDescent="0.35">
      <c r="A67" s="320" t="s">
        <v>370</v>
      </c>
      <c r="B67" s="1913"/>
      <c r="C67" s="648" t="s">
        <v>89</v>
      </c>
      <c r="D67" s="1039"/>
      <c r="E67" s="382">
        <f>+'Emission Factors'!K50</f>
        <v>0.28294999999999998</v>
      </c>
      <c r="F67" s="85">
        <f t="shared" si="4"/>
        <v>0</v>
      </c>
      <c r="G67" s="148"/>
      <c r="H67" s="148"/>
      <c r="I67" s="1952"/>
      <c r="J67" s="1953"/>
      <c r="K67" s="1954"/>
      <c r="L67" s="1056" t="str">
        <f t="shared" si="3"/>
        <v/>
      </c>
      <c r="M67" s="49"/>
      <c r="N67" s="49"/>
      <c r="O67" s="1103"/>
      <c r="P67" s="1104"/>
      <c r="Q67" s="1920"/>
      <c r="R67" s="1920"/>
      <c r="S67" s="1923"/>
      <c r="T67" s="171">
        <f>SUM(T68:T74)</f>
        <v>1143.9932884100001</v>
      </c>
      <c r="U67" s="1944"/>
      <c r="V67" s="1945"/>
      <c r="W67" s="1946"/>
      <c r="X67" s="1949"/>
      <c r="Y67" s="171">
        <f>SUM(Y68:Y74)</f>
        <v>38268.799999999996</v>
      </c>
      <c r="Z67" s="1911"/>
      <c r="AA67" s="49"/>
      <c r="AB67" s="49"/>
      <c r="AC67" s="49"/>
      <c r="AD67" s="49"/>
    </row>
    <row r="68" spans="1:30" ht="15" customHeight="1" thickBot="1" x14ac:dyDescent="0.35">
      <c r="A68" s="320" t="s">
        <v>370</v>
      </c>
      <c r="B68" s="1913"/>
      <c r="C68" s="648" t="s">
        <v>91</v>
      </c>
      <c r="D68" s="1039"/>
      <c r="E68" s="382">
        <f>+'Emission Factors'!K51</f>
        <v>0.18084</v>
      </c>
      <c r="F68" s="85">
        <f t="shared" si="4"/>
        <v>0</v>
      </c>
      <c r="G68" s="148"/>
      <c r="H68" s="148"/>
      <c r="I68" s="1952"/>
      <c r="J68" s="1953"/>
      <c r="K68" s="1954"/>
      <c r="L68" s="1056" t="str">
        <f t="shared" si="3"/>
        <v/>
      </c>
      <c r="M68" s="49"/>
      <c r="N68" s="49"/>
      <c r="O68" s="1289" t="s">
        <v>82</v>
      </c>
      <c r="P68" s="1290"/>
      <c r="Q68" s="1231" t="s">
        <v>83</v>
      </c>
      <c r="R68" s="168">
        <v>44776</v>
      </c>
      <c r="S68" s="166">
        <f>+'Emission Factors'!K36</f>
        <v>2.2090399999999999</v>
      </c>
      <c r="T68" s="145">
        <f t="shared" ref="T68:T74" si="5">(R68*S68)/1000</f>
        <v>98.911975039999987</v>
      </c>
      <c r="U68" s="1972" t="s">
        <v>638</v>
      </c>
      <c r="V68" s="1973"/>
      <c r="W68" s="1974"/>
      <c r="X68" s="185">
        <f>+'Emission Factors'!K42</f>
        <v>7.0099999999999996E-2</v>
      </c>
      <c r="Y68" s="76">
        <f t="shared" ref="Y68:Y74" si="6">+X68*R68</f>
        <v>3138.7975999999999</v>
      </c>
      <c r="Z68" s="1121" t="str">
        <f t="shared" ref="Z68:Z74" si="7">IF(R68&lt;0,"Error - negative number","")</f>
        <v/>
      </c>
      <c r="AA68" s="49"/>
      <c r="AB68" s="49"/>
      <c r="AC68" s="49"/>
      <c r="AD68" s="49"/>
    </row>
    <row r="69" spans="1:30" ht="15" customHeight="1" thickBot="1" x14ac:dyDescent="0.35">
      <c r="A69" s="320" t="s">
        <v>370</v>
      </c>
      <c r="B69" s="1913"/>
      <c r="C69" s="648" t="s">
        <v>94</v>
      </c>
      <c r="D69" s="1039">
        <v>995648</v>
      </c>
      <c r="E69" s="382">
        <f>+'Emission Factors'!K52</f>
        <v>0.14208000000000001</v>
      </c>
      <c r="F69" s="85">
        <f t="shared" si="4"/>
        <v>141.46166784000002</v>
      </c>
      <c r="G69" s="148"/>
      <c r="H69" s="148"/>
      <c r="I69" s="1952" t="s">
        <v>583</v>
      </c>
      <c r="J69" s="1953"/>
      <c r="K69" s="1954"/>
      <c r="L69" s="1056" t="str">
        <f t="shared" si="3"/>
        <v/>
      </c>
      <c r="M69" s="49"/>
      <c r="N69" s="49"/>
      <c r="O69" s="1287" t="s">
        <v>86</v>
      </c>
      <c r="P69" s="1288"/>
      <c r="Q69" s="1232" t="s">
        <v>83</v>
      </c>
      <c r="R69" s="169"/>
      <c r="S69" s="167">
        <f>+'Emission Factors'!K37</f>
        <v>2.3149500000000001</v>
      </c>
      <c r="T69" s="146">
        <f t="shared" si="5"/>
        <v>0</v>
      </c>
      <c r="U69" s="1972"/>
      <c r="V69" s="1973"/>
      <c r="W69" s="1974"/>
      <c r="X69" s="167">
        <f>+'Emission Factors'!K43</f>
        <v>0</v>
      </c>
      <c r="Y69" s="77">
        <f t="shared" si="6"/>
        <v>0</v>
      </c>
      <c r="Z69" s="1056" t="str">
        <f t="shared" si="7"/>
        <v/>
      </c>
      <c r="AA69" s="49"/>
      <c r="AB69" s="49"/>
      <c r="AC69" s="49"/>
      <c r="AD69" s="49"/>
    </row>
    <row r="70" spans="1:30" ht="15" customHeight="1" x14ac:dyDescent="0.3">
      <c r="A70" s="320" t="s">
        <v>370</v>
      </c>
      <c r="B70" s="1913"/>
      <c r="C70" s="648" t="s">
        <v>96</v>
      </c>
      <c r="D70" s="1039">
        <v>338654</v>
      </c>
      <c r="E70" s="382">
        <f>+'Emission Factors'!K53</f>
        <v>0.17061000000000001</v>
      </c>
      <c r="F70" s="85">
        <f t="shared" si="4"/>
        <v>57.777758940000005</v>
      </c>
      <c r="G70" s="148"/>
      <c r="H70" s="148"/>
      <c r="I70" s="1952" t="s">
        <v>583</v>
      </c>
      <c r="J70" s="1953"/>
      <c r="K70" s="1954"/>
      <c r="L70" s="1056" t="str">
        <f t="shared" si="3"/>
        <v/>
      </c>
      <c r="M70" s="49"/>
      <c r="N70" s="49"/>
      <c r="O70" s="1287" t="s">
        <v>88</v>
      </c>
      <c r="P70" s="1288"/>
      <c r="Q70" s="1232" t="s">
        <v>83</v>
      </c>
      <c r="R70" s="168">
        <v>402867</v>
      </c>
      <c r="S70" s="167">
        <f>+'Emission Factors'!K38</f>
        <v>2.5941100000000001</v>
      </c>
      <c r="T70" s="146">
        <f t="shared" si="5"/>
        <v>1045.0813133700001</v>
      </c>
      <c r="U70" s="1972" t="s">
        <v>639</v>
      </c>
      <c r="V70" s="1973"/>
      <c r="W70" s="1974"/>
      <c r="X70" s="167">
        <f>+'Emission Factors'!K44</f>
        <v>8.72E-2</v>
      </c>
      <c r="Y70" s="77">
        <f t="shared" si="6"/>
        <v>35130.002399999998</v>
      </c>
      <c r="Z70" s="1056" t="str">
        <f t="shared" si="7"/>
        <v/>
      </c>
      <c r="AA70" s="49"/>
      <c r="AB70" s="49"/>
      <c r="AC70" s="49"/>
      <c r="AD70" s="49"/>
    </row>
    <row r="71" spans="1:30" ht="15" customHeight="1" x14ac:dyDescent="0.3">
      <c r="A71" s="320" t="s">
        <v>370</v>
      </c>
      <c r="B71" s="1913"/>
      <c r="C71" s="648" t="s">
        <v>97</v>
      </c>
      <c r="D71" s="1039">
        <v>4775</v>
      </c>
      <c r="E71" s="382">
        <f>+'Emission Factors'!K54</f>
        <v>0.20946999999999999</v>
      </c>
      <c r="F71" s="85">
        <f t="shared" si="4"/>
        <v>1.00021925</v>
      </c>
      <c r="G71" s="148"/>
      <c r="H71" s="148"/>
      <c r="I71" s="1952" t="s">
        <v>583</v>
      </c>
      <c r="J71" s="1953"/>
      <c r="K71" s="1954"/>
      <c r="L71" s="1056" t="str">
        <f t="shared" si="3"/>
        <v/>
      </c>
      <c r="M71" s="49"/>
      <c r="N71" s="49"/>
      <c r="O71" s="1287" t="s">
        <v>90</v>
      </c>
      <c r="P71" s="1288"/>
      <c r="Q71" s="1232" t="s">
        <v>83</v>
      </c>
      <c r="R71" s="169"/>
      <c r="S71" s="167">
        <f>+'Emission Factors'!K39</f>
        <v>2.6869700000000001</v>
      </c>
      <c r="T71" s="146">
        <f t="shared" si="5"/>
        <v>0</v>
      </c>
      <c r="U71" s="1969"/>
      <c r="V71" s="1970"/>
      <c r="W71" s="1971"/>
      <c r="X71" s="167">
        <f>+'Emission Factors'!K45</f>
        <v>0</v>
      </c>
      <c r="Y71" s="77">
        <f t="shared" si="6"/>
        <v>0</v>
      </c>
      <c r="Z71" s="1056" t="str">
        <f t="shared" si="7"/>
        <v/>
      </c>
      <c r="AA71" s="49"/>
      <c r="AB71" s="49"/>
      <c r="AC71" s="49"/>
      <c r="AD71" s="49"/>
    </row>
    <row r="72" spans="1:30" ht="15" customHeight="1" x14ac:dyDescent="0.3">
      <c r="A72" s="320" t="s">
        <v>370</v>
      </c>
      <c r="B72" s="1913"/>
      <c r="C72" s="648" t="s">
        <v>98</v>
      </c>
      <c r="D72" s="1039"/>
      <c r="E72" s="382">
        <f>+'Emission Factors'!K55</f>
        <v>0.17335999999999999</v>
      </c>
      <c r="F72" s="85">
        <f t="shared" si="4"/>
        <v>0</v>
      </c>
      <c r="G72" s="148"/>
      <c r="H72" s="148"/>
      <c r="I72" s="1952"/>
      <c r="J72" s="1953"/>
      <c r="K72" s="1954"/>
      <c r="L72" s="1056" t="str">
        <f t="shared" si="3"/>
        <v/>
      </c>
      <c r="M72" s="49"/>
      <c r="N72" s="49"/>
      <c r="O72" s="1287" t="s">
        <v>92</v>
      </c>
      <c r="P72" s="1288"/>
      <c r="Q72" s="1232" t="s">
        <v>93</v>
      </c>
      <c r="R72" s="169"/>
      <c r="S72" s="167">
        <f>+'Emission Factors'!K40</f>
        <v>2.5420400000000001</v>
      </c>
      <c r="T72" s="146">
        <f t="shared" si="5"/>
        <v>0</v>
      </c>
      <c r="U72" s="1969"/>
      <c r="V72" s="1970"/>
      <c r="W72" s="1971"/>
      <c r="X72" s="167">
        <f>+'Emission Factors'!K46</f>
        <v>0</v>
      </c>
      <c r="Y72" s="77">
        <f t="shared" si="6"/>
        <v>0</v>
      </c>
      <c r="Z72" s="1056" t="str">
        <f t="shared" si="7"/>
        <v/>
      </c>
      <c r="AA72" s="49"/>
      <c r="AB72" s="49"/>
      <c r="AC72" s="49"/>
      <c r="AD72" s="49"/>
    </row>
    <row r="73" spans="1:30" ht="15" customHeight="1" x14ac:dyDescent="0.3">
      <c r="A73" s="320" t="s">
        <v>370</v>
      </c>
      <c r="B73" s="1913"/>
      <c r="C73" s="648" t="s">
        <v>99</v>
      </c>
      <c r="D73" s="1039">
        <v>310267</v>
      </c>
      <c r="E73" s="382">
        <f>+'Emission Factors'!K56</f>
        <v>0.10895000000000001</v>
      </c>
      <c r="F73" s="85">
        <f t="shared" si="4"/>
        <v>33.803589649999999</v>
      </c>
      <c r="G73" s="148"/>
      <c r="H73" s="148"/>
      <c r="I73" s="1952" t="s">
        <v>584</v>
      </c>
      <c r="J73" s="1953"/>
      <c r="K73" s="1954"/>
      <c r="L73" s="1056" t="str">
        <f t="shared" si="3"/>
        <v/>
      </c>
      <c r="M73" s="49"/>
      <c r="N73" s="49"/>
      <c r="O73" s="1287" t="s">
        <v>95</v>
      </c>
      <c r="P73" s="1288"/>
      <c r="Q73" s="1232" t="s">
        <v>83</v>
      </c>
      <c r="R73" s="169"/>
      <c r="S73" s="167">
        <f>+'Emission Factors'!K41</f>
        <v>1.5226</v>
      </c>
      <c r="T73" s="146">
        <f t="shared" si="5"/>
        <v>0</v>
      </c>
      <c r="U73" s="1969"/>
      <c r="V73" s="1970"/>
      <c r="W73" s="1971"/>
      <c r="X73" s="167">
        <f>+'Emission Factors'!K47</f>
        <v>0</v>
      </c>
      <c r="Y73" s="77">
        <f t="shared" si="6"/>
        <v>0</v>
      </c>
      <c r="Z73" s="1056" t="str">
        <f t="shared" si="7"/>
        <v/>
      </c>
      <c r="AA73" s="49"/>
      <c r="AB73" s="49"/>
      <c r="AC73" s="49"/>
      <c r="AD73" s="49"/>
    </row>
    <row r="74" spans="1:30" ht="15" customHeight="1" thickBot="1" x14ac:dyDescent="0.35">
      <c r="A74" s="320" t="s">
        <v>370</v>
      </c>
      <c r="B74" s="1913"/>
      <c r="C74" s="648" t="s">
        <v>100</v>
      </c>
      <c r="D74" s="1039"/>
      <c r="E74" s="382">
        <f>+'Emission Factors'!K57</f>
        <v>0.13177</v>
      </c>
      <c r="F74" s="85">
        <f t="shared" si="4"/>
        <v>0</v>
      </c>
      <c r="G74" s="148"/>
      <c r="H74" s="148"/>
      <c r="I74" s="1952"/>
      <c r="J74" s="1953"/>
      <c r="K74" s="1954"/>
      <c r="L74" s="1056" t="str">
        <f t="shared" si="3"/>
        <v/>
      </c>
      <c r="M74" s="49"/>
      <c r="N74" s="49"/>
      <c r="O74" s="1284" t="s">
        <v>409</v>
      </c>
      <c r="P74" s="1285"/>
      <c r="Q74" s="1286"/>
      <c r="R74" s="170"/>
      <c r="S74" s="1488"/>
      <c r="T74" s="147">
        <f t="shared" si="5"/>
        <v>0</v>
      </c>
      <c r="U74" s="1975"/>
      <c r="V74" s="1976"/>
      <c r="W74" s="1977"/>
      <c r="X74" s="1488"/>
      <c r="Y74" s="80">
        <f t="shared" si="6"/>
        <v>0</v>
      </c>
      <c r="Z74" s="1122" t="str">
        <f t="shared" si="7"/>
        <v/>
      </c>
      <c r="AA74" s="49"/>
      <c r="AB74" s="49"/>
      <c r="AC74" s="49"/>
      <c r="AD74" s="49"/>
    </row>
    <row r="75" spans="1:30" ht="15" customHeight="1" x14ac:dyDescent="0.3">
      <c r="A75" s="320" t="s">
        <v>370</v>
      </c>
      <c r="B75" s="1913"/>
      <c r="C75" s="648" t="s">
        <v>529</v>
      </c>
      <c r="D75" s="1039"/>
      <c r="E75" s="382">
        <f>+'Emission Factors'!K58</f>
        <v>0.19900999999999999</v>
      </c>
      <c r="F75" s="85">
        <f t="shared" si="4"/>
        <v>0</v>
      </c>
      <c r="G75" s="148"/>
      <c r="H75" s="148"/>
      <c r="I75" s="1952"/>
      <c r="J75" s="1953"/>
      <c r="K75" s="1954"/>
      <c r="L75" s="1056" t="str">
        <f t="shared" si="3"/>
        <v/>
      </c>
      <c r="M75" s="49"/>
      <c r="N75" s="49"/>
      <c r="O75" s="1965" t="s">
        <v>367</v>
      </c>
      <c r="P75" s="1965"/>
      <c r="Q75" s="1965"/>
      <c r="R75" s="1965"/>
      <c r="S75" s="1965"/>
      <c r="T75" s="1965"/>
      <c r="U75" s="1965"/>
      <c r="V75" s="1965"/>
      <c r="W75" s="1965"/>
      <c r="X75" s="49"/>
      <c r="Y75" s="49"/>
      <c r="Z75" s="49"/>
      <c r="AA75" s="49"/>
      <c r="AB75" s="49"/>
      <c r="AC75" s="49"/>
      <c r="AD75" s="49"/>
    </row>
    <row r="76" spans="1:30" ht="15" customHeight="1" x14ac:dyDescent="0.3">
      <c r="A76" s="320" t="s">
        <v>370</v>
      </c>
      <c r="B76" s="1913"/>
      <c r="C76" s="648" t="s">
        <v>102</v>
      </c>
      <c r="D76" s="1039">
        <v>60542</v>
      </c>
      <c r="E76" s="382">
        <f>+'Emission Factors'!K59</f>
        <v>0.17710000000000001</v>
      </c>
      <c r="F76" s="85">
        <f t="shared" si="4"/>
        <v>10.7219882</v>
      </c>
      <c r="G76" s="148"/>
      <c r="H76" s="148"/>
      <c r="I76" s="1952"/>
      <c r="J76" s="1953"/>
      <c r="K76" s="1954"/>
      <c r="L76" s="1056" t="str">
        <f t="shared" si="3"/>
        <v/>
      </c>
      <c r="M76" s="49"/>
      <c r="N76" s="49"/>
      <c r="O76" s="1966"/>
      <c r="P76" s="1966"/>
      <c r="Q76" s="1966"/>
      <c r="R76" s="1966"/>
      <c r="S76" s="1966"/>
      <c r="T76" s="1966"/>
      <c r="U76" s="1966"/>
      <c r="V76" s="1966"/>
      <c r="W76" s="1966"/>
      <c r="X76" s="49"/>
      <c r="Y76" s="49"/>
      <c r="Z76" s="49"/>
      <c r="AA76" s="49"/>
      <c r="AB76" s="49"/>
      <c r="AC76" s="49"/>
      <c r="AD76" s="49"/>
    </row>
    <row r="77" spans="1:30" ht="15" customHeight="1" x14ac:dyDescent="0.3">
      <c r="A77" s="320" t="s">
        <v>370</v>
      </c>
      <c r="B77" s="1913"/>
      <c r="C77" s="648" t="s">
        <v>103</v>
      </c>
      <c r="D77" s="1039"/>
      <c r="E77" s="382">
        <f>+'Emission Factors'!K60</f>
        <v>8.4449999999999997E-2</v>
      </c>
      <c r="F77" s="85">
        <f t="shared" si="4"/>
        <v>0</v>
      </c>
      <c r="G77" s="148"/>
      <c r="H77" s="148"/>
      <c r="I77" s="1952"/>
      <c r="J77" s="1953"/>
      <c r="K77" s="1954"/>
      <c r="L77" s="1056" t="str">
        <f t="shared" si="3"/>
        <v/>
      </c>
      <c r="M77" s="49"/>
      <c r="N77" s="49"/>
      <c r="O77" s="1966"/>
      <c r="P77" s="1966"/>
      <c r="Q77" s="1966"/>
      <c r="R77" s="1966"/>
      <c r="S77" s="1966"/>
      <c r="T77" s="1966"/>
      <c r="U77" s="1966"/>
      <c r="V77" s="1966"/>
      <c r="W77" s="1966"/>
      <c r="X77" s="49"/>
      <c r="Y77" s="49"/>
      <c r="Z77" s="49"/>
      <c r="AA77" s="49"/>
      <c r="AB77" s="49"/>
      <c r="AC77" s="49"/>
      <c r="AD77" s="49"/>
    </row>
    <row r="78" spans="1:30" ht="15" customHeight="1" x14ac:dyDescent="0.3">
      <c r="A78" s="320" t="s">
        <v>370</v>
      </c>
      <c r="B78" s="1913"/>
      <c r="C78" s="648" t="s">
        <v>104</v>
      </c>
      <c r="D78" s="1039"/>
      <c r="E78" s="382">
        <f>+'Emission Factors'!K61</f>
        <v>0.10289</v>
      </c>
      <c r="F78" s="85">
        <f t="shared" si="4"/>
        <v>0</v>
      </c>
      <c r="G78" s="148"/>
      <c r="H78" s="148"/>
      <c r="I78" s="1952"/>
      <c r="J78" s="1953"/>
      <c r="K78" s="1954"/>
      <c r="L78" s="1056" t="str">
        <f t="shared" si="3"/>
        <v/>
      </c>
      <c r="M78" s="49"/>
      <c r="N78" s="49"/>
      <c r="O78" s="1966"/>
      <c r="P78" s="1966"/>
      <c r="Q78" s="1966"/>
      <c r="R78" s="1966"/>
      <c r="S78" s="1966"/>
      <c r="T78" s="1966"/>
      <c r="U78" s="1966"/>
      <c r="V78" s="1966"/>
      <c r="W78" s="1966"/>
      <c r="X78" s="49"/>
      <c r="Y78" s="49"/>
      <c r="Z78" s="49"/>
      <c r="AA78" s="49"/>
      <c r="AB78" s="49"/>
      <c r="AC78" s="49"/>
      <c r="AD78" s="49"/>
    </row>
    <row r="79" spans="1:30" ht="15" customHeight="1" x14ac:dyDescent="0.3">
      <c r="A79" s="320" t="s">
        <v>370</v>
      </c>
      <c r="B79" s="1913"/>
      <c r="C79" s="648" t="s">
        <v>105</v>
      </c>
      <c r="D79" s="1039"/>
      <c r="E79" s="382">
        <f>+'Emission Factors'!K62</f>
        <v>0.13500999999999999</v>
      </c>
      <c r="F79" s="85">
        <f t="shared" si="4"/>
        <v>0</v>
      </c>
      <c r="G79" s="148"/>
      <c r="H79" s="148"/>
      <c r="I79" s="1952"/>
      <c r="J79" s="1953"/>
      <c r="K79" s="1954"/>
      <c r="L79" s="1056" t="str">
        <f t="shared" si="3"/>
        <v/>
      </c>
      <c r="M79" s="49"/>
      <c r="N79" s="49"/>
      <c r="O79" s="49"/>
      <c r="P79" s="49"/>
      <c r="Q79" s="49"/>
      <c r="R79" s="49"/>
      <c r="S79" s="49"/>
      <c r="T79" s="49"/>
      <c r="U79" s="49"/>
      <c r="V79" s="49"/>
      <c r="W79" s="49"/>
      <c r="X79" s="49"/>
      <c r="Y79" s="49"/>
      <c r="Z79" s="49"/>
      <c r="AA79" s="49"/>
      <c r="AB79" s="49"/>
      <c r="AC79" s="49"/>
      <c r="AD79" s="49"/>
    </row>
    <row r="80" spans="1:30" ht="15" customHeight="1" x14ac:dyDescent="0.3">
      <c r="A80" s="320" t="s">
        <v>370</v>
      </c>
      <c r="B80" s="1913"/>
      <c r="C80" s="648" t="s">
        <v>106</v>
      </c>
      <c r="D80" s="1039"/>
      <c r="E80" s="382">
        <f>+'Emission Factors'!K63</f>
        <v>0.11551</v>
      </c>
      <c r="F80" s="85">
        <f t="shared" si="4"/>
        <v>0</v>
      </c>
      <c r="G80" s="148"/>
      <c r="H80" s="148"/>
      <c r="I80" s="1952"/>
      <c r="J80" s="1953"/>
      <c r="K80" s="1954"/>
      <c r="L80" s="1056" t="str">
        <f t="shared" si="3"/>
        <v/>
      </c>
      <c r="M80" s="49"/>
      <c r="N80" s="49"/>
      <c r="O80" s="49"/>
      <c r="P80" s="49"/>
      <c r="Q80" s="49"/>
      <c r="R80" s="49"/>
      <c r="S80" s="49"/>
      <c r="T80" s="49"/>
      <c r="U80" s="49"/>
      <c r="V80" s="49"/>
      <c r="W80" s="49"/>
      <c r="X80" s="49"/>
      <c r="Y80" s="49"/>
      <c r="Z80" s="49"/>
      <c r="AA80" s="49"/>
      <c r="AB80" s="49"/>
      <c r="AC80" s="49"/>
      <c r="AD80" s="49"/>
    </row>
    <row r="81" spans="1:30" ht="15" customHeight="1" x14ac:dyDescent="0.3">
      <c r="A81" s="320" t="s">
        <v>370</v>
      </c>
      <c r="B81" s="1913"/>
      <c r="C81" s="649" t="s">
        <v>410</v>
      </c>
      <c r="D81" s="1039">
        <v>2898749</v>
      </c>
      <c r="E81" s="1036">
        <v>0.80745999999999996</v>
      </c>
      <c r="F81" s="85">
        <f t="shared" si="4"/>
        <v>2340.62386754</v>
      </c>
      <c r="G81" s="148"/>
      <c r="H81" s="148"/>
      <c r="I81" s="1952" t="s">
        <v>637</v>
      </c>
      <c r="J81" s="1953"/>
      <c r="K81" s="1954"/>
      <c r="L81" s="1056" t="str">
        <f t="shared" si="3"/>
        <v/>
      </c>
      <c r="M81" s="49"/>
      <c r="N81" s="49"/>
      <c r="O81" s="49"/>
      <c r="P81" s="49"/>
      <c r="Q81" s="49"/>
      <c r="R81" s="49"/>
      <c r="S81" s="49"/>
      <c r="T81" s="49"/>
      <c r="U81" s="49"/>
      <c r="V81" s="49"/>
      <c r="W81" s="49"/>
      <c r="X81" s="49"/>
      <c r="Y81" s="49"/>
      <c r="Z81" s="49"/>
      <c r="AA81" s="49"/>
      <c r="AB81" s="49"/>
      <c r="AC81" s="49"/>
      <c r="AD81" s="49"/>
    </row>
    <row r="82" spans="1:30" ht="15" customHeight="1" x14ac:dyDescent="0.3">
      <c r="A82" s="320" t="s">
        <v>370</v>
      </c>
      <c r="B82" s="1913"/>
      <c r="C82" s="649" t="s">
        <v>411</v>
      </c>
      <c r="D82" s="1039">
        <v>397987</v>
      </c>
      <c r="E82" s="1036">
        <v>0.80745999999999996</v>
      </c>
      <c r="F82" s="85">
        <f t="shared" si="4"/>
        <v>321.35858301999997</v>
      </c>
      <c r="G82" s="148"/>
      <c r="H82" s="148"/>
      <c r="I82" s="1952" t="s">
        <v>577</v>
      </c>
      <c r="J82" s="1953"/>
      <c r="K82" s="1954"/>
      <c r="L82" s="1056" t="str">
        <f t="shared" si="3"/>
        <v/>
      </c>
      <c r="M82" s="49"/>
      <c r="N82" s="49"/>
      <c r="O82" s="49"/>
      <c r="P82" s="49"/>
      <c r="Q82" s="49"/>
      <c r="R82" s="49"/>
      <c r="S82" s="49"/>
      <c r="T82" s="49"/>
      <c r="U82" s="49"/>
      <c r="V82" s="49"/>
      <c r="W82" s="49"/>
      <c r="X82" s="49"/>
      <c r="Y82" s="49"/>
      <c r="Z82" s="49"/>
      <c r="AA82" s="49"/>
      <c r="AB82" s="49"/>
      <c r="AC82" s="49"/>
      <c r="AD82" s="49"/>
    </row>
    <row r="83" spans="1:30" ht="15" customHeight="1" x14ac:dyDescent="0.3">
      <c r="A83" s="320" t="s">
        <v>370</v>
      </c>
      <c r="B83" s="1913"/>
      <c r="C83" s="649" t="s">
        <v>412</v>
      </c>
      <c r="D83" s="1039"/>
      <c r="E83" s="1036"/>
      <c r="F83" s="85">
        <f t="shared" si="4"/>
        <v>0</v>
      </c>
      <c r="G83" s="148"/>
      <c r="H83" s="148"/>
      <c r="I83" s="1952"/>
      <c r="J83" s="1953"/>
      <c r="K83" s="1954"/>
      <c r="L83" s="1056" t="str">
        <f t="shared" si="3"/>
        <v/>
      </c>
      <c r="M83" s="49"/>
      <c r="N83" s="49"/>
      <c r="O83" s="49"/>
      <c r="P83" s="49"/>
      <c r="Q83" s="49"/>
      <c r="R83" s="49"/>
      <c r="S83" s="49"/>
      <c r="T83" s="49"/>
      <c r="U83" s="49"/>
      <c r="V83" s="49"/>
      <c r="W83" s="49"/>
      <c r="X83" s="49"/>
      <c r="Y83" s="49"/>
      <c r="Z83" s="49"/>
      <c r="AA83" s="49"/>
      <c r="AB83" s="49"/>
      <c r="AC83" s="49"/>
      <c r="AD83" s="49"/>
    </row>
    <row r="84" spans="1:30" ht="15" customHeight="1" x14ac:dyDescent="0.3">
      <c r="A84" s="320"/>
      <c r="B84" s="1913"/>
      <c r="C84" s="649" t="s">
        <v>509</v>
      </c>
      <c r="D84" s="1039"/>
      <c r="E84" s="1036"/>
      <c r="F84" s="85">
        <f t="shared" si="4"/>
        <v>0</v>
      </c>
      <c r="G84" s="148"/>
      <c r="H84" s="148"/>
      <c r="I84" s="1952"/>
      <c r="J84" s="1953"/>
      <c r="K84" s="1954"/>
      <c r="L84" s="1056" t="str">
        <f t="shared" si="3"/>
        <v/>
      </c>
      <c r="M84" s="49"/>
      <c r="N84" s="49"/>
      <c r="O84" s="49"/>
      <c r="P84" s="49"/>
      <c r="Q84" s="49"/>
      <c r="R84" s="49"/>
      <c r="S84" s="49"/>
      <c r="T84" s="49"/>
      <c r="U84" s="49"/>
      <c r="V84" s="49"/>
      <c r="W84" s="49"/>
      <c r="X84" s="49"/>
      <c r="Y84" s="49"/>
      <c r="Z84" s="49"/>
      <c r="AA84" s="49"/>
      <c r="AB84" s="49"/>
      <c r="AC84" s="49"/>
      <c r="AD84" s="49"/>
    </row>
    <row r="85" spans="1:30" ht="15" customHeight="1" thickBot="1" x14ac:dyDescent="0.35">
      <c r="A85" s="320"/>
      <c r="B85" s="1914"/>
      <c r="C85" s="649" t="s">
        <v>510</v>
      </c>
      <c r="D85" s="1039"/>
      <c r="E85" s="81"/>
      <c r="F85" s="85">
        <f t="shared" si="4"/>
        <v>0</v>
      </c>
      <c r="G85" s="148"/>
      <c r="H85" s="148"/>
      <c r="I85" s="1952"/>
      <c r="J85" s="1953"/>
      <c r="K85" s="1954"/>
      <c r="L85" s="1056" t="str">
        <f t="shared" si="3"/>
        <v/>
      </c>
      <c r="M85" s="49"/>
      <c r="N85" s="49"/>
      <c r="O85" s="49"/>
      <c r="P85" s="49"/>
      <c r="Q85" s="49"/>
      <c r="R85" s="49"/>
      <c r="S85" s="49"/>
      <c r="T85" s="49"/>
      <c r="U85" s="49"/>
      <c r="V85" s="49"/>
      <c r="W85" s="49"/>
      <c r="X85" s="49"/>
      <c r="Y85" s="49"/>
      <c r="Z85" s="49"/>
      <c r="AA85" s="49"/>
      <c r="AB85" s="49"/>
      <c r="AC85" s="49"/>
      <c r="AD85" s="49"/>
    </row>
    <row r="86" spans="1:30" ht="29.25" customHeight="1" thickBot="1" x14ac:dyDescent="0.35">
      <c r="A86" s="320"/>
      <c r="B86" s="1955" t="s">
        <v>110</v>
      </c>
      <c r="C86" s="1956"/>
      <c r="D86" s="44">
        <f>SUM(D87:D107)</f>
        <v>12714336.17</v>
      </c>
      <c r="E86" s="481">
        <f>IF(D86&lt;&gt;0,F86*1000/D86,"")</f>
        <v>0.17710000000000001</v>
      </c>
      <c r="F86" s="171">
        <f>SUM(F87:F107)</f>
        <v>2251.7089357069999</v>
      </c>
      <c r="G86" s="148"/>
      <c r="H86" s="148"/>
      <c r="I86" s="1957"/>
      <c r="J86" s="1958"/>
      <c r="K86" s="1959"/>
      <c r="L86" s="1119" t="str">
        <f t="shared" si="3"/>
        <v/>
      </c>
      <c r="M86" s="49"/>
      <c r="N86" s="49"/>
      <c r="O86" s="1960" t="str">
        <f>B86</f>
        <v>TOTAL DOMESTIC FROM GREY FLEET/HIRE (i.e. employee owned or hire vehicles) (Scope 3)</v>
      </c>
      <c r="P86" s="1961"/>
      <c r="Q86" s="1961"/>
      <c r="R86" s="1961"/>
      <c r="S86" s="1961"/>
      <c r="T86" s="1961"/>
      <c r="U86" s="1961"/>
      <c r="V86" s="1961"/>
      <c r="W86" s="1962"/>
      <c r="X86" s="1963" t="s">
        <v>381</v>
      </c>
      <c r="Y86" s="1964"/>
      <c r="Z86" s="1909" t="s">
        <v>461</v>
      </c>
      <c r="AA86" s="49"/>
      <c r="AB86" s="49"/>
      <c r="AC86" s="49"/>
      <c r="AD86" s="49"/>
    </row>
    <row r="87" spans="1:30" ht="15" customHeight="1" x14ac:dyDescent="0.3">
      <c r="A87" s="320" t="s">
        <v>371</v>
      </c>
      <c r="B87" s="1912" t="s">
        <v>111</v>
      </c>
      <c r="C87" s="46" t="s">
        <v>85</v>
      </c>
      <c r="D87" s="1039"/>
      <c r="E87" s="382">
        <f t="shared" ref="E87:E102" si="8">+E65</f>
        <v>0.15371000000000001</v>
      </c>
      <c r="F87" s="356">
        <f>(D87*E87)/1000</f>
        <v>0</v>
      </c>
      <c r="G87" s="148"/>
      <c r="H87" s="148"/>
      <c r="I87" s="1915"/>
      <c r="J87" s="1916"/>
      <c r="K87" s="1917"/>
      <c r="L87" s="1120" t="str">
        <f t="shared" si="3"/>
        <v/>
      </c>
      <c r="M87" s="49"/>
      <c r="N87" s="49"/>
      <c r="O87" s="479"/>
      <c r="P87" s="480"/>
      <c r="Q87" s="1918" t="s">
        <v>78</v>
      </c>
      <c r="R87" s="1918" t="s">
        <v>80</v>
      </c>
      <c r="S87" s="1921" t="s">
        <v>27</v>
      </c>
      <c r="T87" s="1936" t="s">
        <v>374</v>
      </c>
      <c r="U87" s="1938" t="s">
        <v>24</v>
      </c>
      <c r="V87" s="1939"/>
      <c r="W87" s="1940"/>
      <c r="X87" s="1947" t="s">
        <v>27</v>
      </c>
      <c r="Y87" s="1967" t="s">
        <v>374</v>
      </c>
      <c r="Z87" s="1910"/>
      <c r="AA87" s="49"/>
      <c r="AB87" s="49"/>
      <c r="AC87" s="49"/>
      <c r="AD87" s="49"/>
    </row>
    <row r="88" spans="1:30" ht="15" customHeight="1" thickBot="1" x14ac:dyDescent="0.35">
      <c r="A88" s="320" t="s">
        <v>371</v>
      </c>
      <c r="B88" s="1913"/>
      <c r="C88" s="648" t="s">
        <v>87</v>
      </c>
      <c r="D88" s="1039"/>
      <c r="E88" s="382">
        <f t="shared" si="8"/>
        <v>0.19228000000000001</v>
      </c>
      <c r="F88" s="85">
        <f t="shared" ref="F88:F107" si="9">(D88*E88)/1000</f>
        <v>0</v>
      </c>
      <c r="G88" s="148"/>
      <c r="H88" s="148"/>
      <c r="I88" s="1952"/>
      <c r="J88" s="1953"/>
      <c r="K88" s="1954"/>
      <c r="L88" s="1056" t="str">
        <f t="shared" si="3"/>
        <v/>
      </c>
      <c r="M88" s="49"/>
      <c r="N88" s="49"/>
      <c r="O88" s="1101"/>
      <c r="P88" s="1102"/>
      <c r="Q88" s="1919"/>
      <c r="R88" s="1919"/>
      <c r="S88" s="1922"/>
      <c r="T88" s="1937"/>
      <c r="U88" s="1941"/>
      <c r="V88" s="1942"/>
      <c r="W88" s="1943"/>
      <c r="X88" s="1948"/>
      <c r="Y88" s="1968"/>
      <c r="Z88" s="1910"/>
      <c r="AA88" s="49"/>
      <c r="AB88" s="49"/>
      <c r="AC88" s="49"/>
      <c r="AD88" s="49"/>
    </row>
    <row r="89" spans="1:30" ht="15" customHeight="1" thickBot="1" x14ac:dyDescent="0.35">
      <c r="A89" s="320" t="s">
        <v>371</v>
      </c>
      <c r="B89" s="1913"/>
      <c r="C89" s="648" t="s">
        <v>89</v>
      </c>
      <c r="D89" s="1039"/>
      <c r="E89" s="382">
        <f t="shared" si="8"/>
        <v>0.28294999999999998</v>
      </c>
      <c r="F89" s="85">
        <f t="shared" si="9"/>
        <v>0</v>
      </c>
      <c r="G89" s="148"/>
      <c r="H89" s="148"/>
      <c r="I89" s="1952"/>
      <c r="J89" s="1953"/>
      <c r="K89" s="1954"/>
      <c r="L89" s="1056" t="str">
        <f t="shared" si="3"/>
        <v/>
      </c>
      <c r="M89" s="49"/>
      <c r="N89" s="49"/>
      <c r="O89" s="1103"/>
      <c r="P89" s="1104"/>
      <c r="Q89" s="1920"/>
      <c r="R89" s="1920"/>
      <c r="S89" s="1923"/>
      <c r="T89" s="171">
        <f>SUM(T90:T96)</f>
        <v>0</v>
      </c>
      <c r="U89" s="1944"/>
      <c r="V89" s="1945"/>
      <c r="W89" s="1946"/>
      <c r="X89" s="1949"/>
      <c r="Y89" s="171">
        <f>SUM(Y90:Y96)</f>
        <v>0</v>
      </c>
      <c r="Z89" s="1911"/>
      <c r="AA89" s="49"/>
      <c r="AB89" s="49"/>
      <c r="AC89" s="49"/>
      <c r="AD89" s="49"/>
    </row>
    <row r="90" spans="1:30" ht="15" customHeight="1" x14ac:dyDescent="0.3">
      <c r="A90" s="320" t="s">
        <v>371</v>
      </c>
      <c r="B90" s="1913"/>
      <c r="C90" s="648" t="s">
        <v>91</v>
      </c>
      <c r="D90" s="1039"/>
      <c r="E90" s="382">
        <f t="shared" si="8"/>
        <v>0.18084</v>
      </c>
      <c r="F90" s="85">
        <f t="shared" si="9"/>
        <v>0</v>
      </c>
      <c r="G90" s="148"/>
      <c r="H90" s="148"/>
      <c r="I90" s="1952"/>
      <c r="J90" s="1953"/>
      <c r="K90" s="1954"/>
      <c r="L90" s="1056" t="str">
        <f t="shared" si="3"/>
        <v/>
      </c>
      <c r="M90" s="49"/>
      <c r="N90" s="49"/>
      <c r="O90" s="1289" t="s">
        <v>82</v>
      </c>
      <c r="P90" s="1290"/>
      <c r="Q90" s="1231" t="s">
        <v>83</v>
      </c>
      <c r="R90" s="168"/>
      <c r="S90" s="166">
        <f>+'Emission Factors'!K36</f>
        <v>2.2090399999999999</v>
      </c>
      <c r="T90" s="145">
        <f t="shared" ref="T90:T96" si="10">(R90*S90)/1000</f>
        <v>0</v>
      </c>
      <c r="U90" s="1972"/>
      <c r="V90" s="1973"/>
      <c r="W90" s="1974"/>
      <c r="X90" s="185">
        <f>+'Emission Factors'!K42</f>
        <v>7.0099999999999996E-2</v>
      </c>
      <c r="Y90" s="76">
        <f t="shared" ref="Y90:Y96" si="11">+X90*R90</f>
        <v>0</v>
      </c>
      <c r="Z90" s="1121" t="str">
        <f t="shared" ref="Z90:Z96" si="12">IF(R90&lt;0,"Error - negative number","")</f>
        <v/>
      </c>
      <c r="AA90" s="49"/>
      <c r="AB90" s="49"/>
      <c r="AC90" s="49"/>
      <c r="AD90" s="49"/>
    </row>
    <row r="91" spans="1:30" ht="15" customHeight="1" x14ac:dyDescent="0.3">
      <c r="A91" s="320" t="s">
        <v>371</v>
      </c>
      <c r="B91" s="1913"/>
      <c r="C91" s="648" t="s">
        <v>94</v>
      </c>
      <c r="D91" s="1039"/>
      <c r="E91" s="382">
        <f t="shared" si="8"/>
        <v>0.14208000000000001</v>
      </c>
      <c r="F91" s="85">
        <f t="shared" si="9"/>
        <v>0</v>
      </c>
      <c r="G91" s="148"/>
      <c r="H91" s="148"/>
      <c r="I91" s="1952"/>
      <c r="J91" s="1953"/>
      <c r="K91" s="1954"/>
      <c r="L91" s="1056" t="str">
        <f t="shared" si="3"/>
        <v/>
      </c>
      <c r="M91" s="49"/>
      <c r="N91" s="49"/>
      <c r="O91" s="1287" t="s">
        <v>86</v>
      </c>
      <c r="P91" s="1288"/>
      <c r="Q91" s="1232" t="s">
        <v>83</v>
      </c>
      <c r="R91" s="169"/>
      <c r="S91" s="167">
        <f>+'Emission Factors'!K37</f>
        <v>2.3149500000000001</v>
      </c>
      <c r="T91" s="146">
        <f t="shared" si="10"/>
        <v>0</v>
      </c>
      <c r="U91" s="1969"/>
      <c r="V91" s="1970"/>
      <c r="W91" s="1971"/>
      <c r="X91" s="185">
        <f>+'Emission Factors'!K43</f>
        <v>0</v>
      </c>
      <c r="Y91" s="77">
        <f t="shared" si="11"/>
        <v>0</v>
      </c>
      <c r="Z91" s="1056" t="str">
        <f t="shared" si="12"/>
        <v/>
      </c>
      <c r="AA91" s="49"/>
      <c r="AB91" s="49"/>
      <c r="AC91" s="49"/>
      <c r="AD91" s="49"/>
    </row>
    <row r="92" spans="1:30" ht="15" customHeight="1" x14ac:dyDescent="0.3">
      <c r="A92" s="320" t="s">
        <v>371</v>
      </c>
      <c r="B92" s="1913"/>
      <c r="C92" s="648" t="s">
        <v>96</v>
      </c>
      <c r="D92" s="1039"/>
      <c r="E92" s="382">
        <f t="shared" si="8"/>
        <v>0.17061000000000001</v>
      </c>
      <c r="F92" s="85">
        <f t="shared" si="9"/>
        <v>0</v>
      </c>
      <c r="G92" s="148"/>
      <c r="H92" s="148"/>
      <c r="I92" s="1952"/>
      <c r="J92" s="1953"/>
      <c r="K92" s="1954"/>
      <c r="L92" s="1056" t="str">
        <f t="shared" si="3"/>
        <v/>
      </c>
      <c r="M92" s="49"/>
      <c r="N92" s="49"/>
      <c r="O92" s="1287" t="s">
        <v>88</v>
      </c>
      <c r="P92" s="1288"/>
      <c r="Q92" s="1232" t="s">
        <v>83</v>
      </c>
      <c r="R92" s="169"/>
      <c r="S92" s="167">
        <f>+'Emission Factors'!K38</f>
        <v>2.5941100000000001</v>
      </c>
      <c r="T92" s="146">
        <f t="shared" si="10"/>
        <v>0</v>
      </c>
      <c r="U92" s="1969"/>
      <c r="V92" s="1970"/>
      <c r="W92" s="1971"/>
      <c r="X92" s="185">
        <f>+'Emission Factors'!K44</f>
        <v>8.72E-2</v>
      </c>
      <c r="Y92" s="77">
        <f t="shared" si="11"/>
        <v>0</v>
      </c>
      <c r="Z92" s="1056" t="str">
        <f t="shared" si="12"/>
        <v/>
      </c>
      <c r="AA92" s="49"/>
      <c r="AB92" s="49"/>
      <c r="AC92" s="49"/>
      <c r="AD92" s="49"/>
    </row>
    <row r="93" spans="1:30" ht="15" customHeight="1" x14ac:dyDescent="0.3">
      <c r="A93" s="320" t="s">
        <v>371</v>
      </c>
      <c r="B93" s="1913"/>
      <c r="C93" s="648" t="s">
        <v>97</v>
      </c>
      <c r="D93" s="1039"/>
      <c r="E93" s="382">
        <f t="shared" si="8"/>
        <v>0.20946999999999999</v>
      </c>
      <c r="F93" s="85">
        <f t="shared" si="9"/>
        <v>0</v>
      </c>
      <c r="G93" s="148"/>
      <c r="H93" s="148"/>
      <c r="I93" s="1952"/>
      <c r="J93" s="1953"/>
      <c r="K93" s="1954"/>
      <c r="L93" s="1056" t="str">
        <f t="shared" si="3"/>
        <v/>
      </c>
      <c r="M93" s="49"/>
      <c r="N93" s="49"/>
      <c r="O93" s="1287" t="s">
        <v>90</v>
      </c>
      <c r="P93" s="1288"/>
      <c r="Q93" s="1232" t="s">
        <v>83</v>
      </c>
      <c r="R93" s="169"/>
      <c r="S93" s="167">
        <f>+'Emission Factors'!K39</f>
        <v>2.6869700000000001</v>
      </c>
      <c r="T93" s="146">
        <f t="shared" si="10"/>
        <v>0</v>
      </c>
      <c r="U93" s="1969"/>
      <c r="V93" s="1970"/>
      <c r="W93" s="1971"/>
      <c r="X93" s="185">
        <f>+'Emission Factors'!K45</f>
        <v>0</v>
      </c>
      <c r="Y93" s="77">
        <f t="shared" si="11"/>
        <v>0</v>
      </c>
      <c r="Z93" s="1056" t="str">
        <f t="shared" si="12"/>
        <v/>
      </c>
      <c r="AA93" s="49"/>
      <c r="AB93" s="49"/>
      <c r="AC93" s="49"/>
      <c r="AD93" s="49"/>
    </row>
    <row r="94" spans="1:30" ht="15" customHeight="1" x14ac:dyDescent="0.3">
      <c r="A94" s="320" t="s">
        <v>371</v>
      </c>
      <c r="B94" s="1913"/>
      <c r="C94" s="648" t="s">
        <v>98</v>
      </c>
      <c r="D94" s="1039"/>
      <c r="E94" s="382">
        <f t="shared" si="8"/>
        <v>0.17335999999999999</v>
      </c>
      <c r="F94" s="85">
        <f t="shared" si="9"/>
        <v>0</v>
      </c>
      <c r="G94" s="148"/>
      <c r="H94" s="148"/>
      <c r="I94" s="1952"/>
      <c r="J94" s="1953"/>
      <c r="K94" s="1954"/>
      <c r="L94" s="1056" t="str">
        <f t="shared" si="3"/>
        <v/>
      </c>
      <c r="M94" s="49"/>
      <c r="N94" s="49"/>
      <c r="O94" s="1287" t="s">
        <v>92</v>
      </c>
      <c r="P94" s="1288"/>
      <c r="Q94" s="1232" t="s">
        <v>93</v>
      </c>
      <c r="R94" s="169"/>
      <c r="S94" s="167">
        <f>+'Emission Factors'!K40</f>
        <v>2.5420400000000001</v>
      </c>
      <c r="T94" s="146">
        <f t="shared" si="10"/>
        <v>0</v>
      </c>
      <c r="U94" s="1969"/>
      <c r="V94" s="1970"/>
      <c r="W94" s="1971"/>
      <c r="X94" s="185">
        <f>+'Emission Factors'!K46</f>
        <v>0</v>
      </c>
      <c r="Y94" s="77">
        <f t="shared" si="11"/>
        <v>0</v>
      </c>
      <c r="Z94" s="1056" t="str">
        <f t="shared" si="12"/>
        <v/>
      </c>
      <c r="AA94" s="49"/>
      <c r="AB94" s="49"/>
      <c r="AC94" s="49"/>
      <c r="AD94" s="49"/>
    </row>
    <row r="95" spans="1:30" ht="15" customHeight="1" x14ac:dyDescent="0.3">
      <c r="A95" s="320" t="s">
        <v>371</v>
      </c>
      <c r="B95" s="1913"/>
      <c r="C95" s="648" t="s">
        <v>99</v>
      </c>
      <c r="D95" s="1039"/>
      <c r="E95" s="382">
        <f t="shared" si="8"/>
        <v>0.10895000000000001</v>
      </c>
      <c r="F95" s="85">
        <f t="shared" si="9"/>
        <v>0</v>
      </c>
      <c r="G95" s="148"/>
      <c r="H95" s="148"/>
      <c r="I95" s="1952"/>
      <c r="J95" s="1953"/>
      <c r="K95" s="1954"/>
      <c r="L95" s="1056" t="str">
        <f t="shared" si="3"/>
        <v/>
      </c>
      <c r="M95" s="49"/>
      <c r="N95" s="49"/>
      <c r="O95" s="1287" t="s">
        <v>95</v>
      </c>
      <c r="P95" s="1288"/>
      <c r="Q95" s="1232" t="s">
        <v>83</v>
      </c>
      <c r="R95" s="169"/>
      <c r="S95" s="167">
        <f>+'Emission Factors'!K41</f>
        <v>1.5226</v>
      </c>
      <c r="T95" s="146">
        <f t="shared" si="10"/>
        <v>0</v>
      </c>
      <c r="U95" s="1969"/>
      <c r="V95" s="1970"/>
      <c r="W95" s="1971"/>
      <c r="X95" s="185">
        <f>+'Emission Factors'!K47</f>
        <v>0</v>
      </c>
      <c r="Y95" s="77">
        <f t="shared" si="11"/>
        <v>0</v>
      </c>
      <c r="Z95" s="1056" t="str">
        <f t="shared" si="12"/>
        <v/>
      </c>
      <c r="AA95" s="49"/>
      <c r="AB95" s="49"/>
      <c r="AC95" s="49"/>
      <c r="AD95" s="49"/>
    </row>
    <row r="96" spans="1:30" ht="15" customHeight="1" thickBot="1" x14ac:dyDescent="0.35">
      <c r="A96" s="320" t="s">
        <v>371</v>
      </c>
      <c r="B96" s="1913"/>
      <c r="C96" s="648" t="s">
        <v>100</v>
      </c>
      <c r="D96" s="1039"/>
      <c r="E96" s="382">
        <f t="shared" si="8"/>
        <v>0.13177</v>
      </c>
      <c r="F96" s="85">
        <f t="shared" si="9"/>
        <v>0</v>
      </c>
      <c r="G96" s="148"/>
      <c r="H96" s="148"/>
      <c r="I96" s="1952"/>
      <c r="J96" s="1953"/>
      <c r="K96" s="1954"/>
      <c r="L96" s="1056" t="str">
        <f t="shared" si="3"/>
        <v/>
      </c>
      <c r="M96" s="49"/>
      <c r="N96" s="49"/>
      <c r="O96" s="1284" t="s">
        <v>409</v>
      </c>
      <c r="P96" s="1285"/>
      <c r="Q96" s="1286"/>
      <c r="R96" s="170"/>
      <c r="S96" s="1488"/>
      <c r="T96" s="147">
        <f t="shared" si="10"/>
        <v>0</v>
      </c>
      <c r="U96" s="1975"/>
      <c r="V96" s="1976"/>
      <c r="W96" s="1977"/>
      <c r="X96" s="1488"/>
      <c r="Y96" s="80">
        <f t="shared" si="11"/>
        <v>0</v>
      </c>
      <c r="Z96" s="1122" t="str">
        <f t="shared" si="12"/>
        <v/>
      </c>
      <c r="AA96" s="49"/>
      <c r="AB96" s="49"/>
      <c r="AC96" s="49"/>
      <c r="AD96" s="49"/>
    </row>
    <row r="97" spans="1:30" ht="15" customHeight="1" x14ac:dyDescent="0.3">
      <c r="A97" s="320" t="s">
        <v>371</v>
      </c>
      <c r="B97" s="1913"/>
      <c r="C97" s="648" t="s">
        <v>529</v>
      </c>
      <c r="D97" s="1039"/>
      <c r="E97" s="382">
        <f t="shared" si="8"/>
        <v>0.19900999999999999</v>
      </c>
      <c r="F97" s="85">
        <f t="shared" si="9"/>
        <v>0</v>
      </c>
      <c r="G97" s="148"/>
      <c r="H97" s="148"/>
      <c r="I97" s="1952"/>
      <c r="J97" s="1953"/>
      <c r="K97" s="1954"/>
      <c r="L97" s="1056" t="str">
        <f t="shared" si="3"/>
        <v/>
      </c>
      <c r="M97" s="49"/>
      <c r="N97" s="49"/>
      <c r="O97" s="1965" t="s">
        <v>367</v>
      </c>
      <c r="P97" s="1965"/>
      <c r="Q97" s="1965"/>
      <c r="R97" s="1965"/>
      <c r="S97" s="1965"/>
      <c r="T97" s="1965"/>
      <c r="U97" s="1965"/>
      <c r="V97" s="1965"/>
      <c r="W97" s="1965"/>
      <c r="X97" s="49"/>
      <c r="Y97" s="49"/>
      <c r="Z97" s="49"/>
      <c r="AA97" s="49"/>
      <c r="AB97" s="49"/>
      <c r="AC97" s="49"/>
      <c r="AD97" s="49"/>
    </row>
    <row r="98" spans="1:30" ht="15" customHeight="1" x14ac:dyDescent="0.3">
      <c r="A98" s="320" t="s">
        <v>371</v>
      </c>
      <c r="B98" s="1913"/>
      <c r="C98" s="648" t="s">
        <v>102</v>
      </c>
      <c r="D98" s="1039">
        <v>12714336.17</v>
      </c>
      <c r="E98" s="382">
        <f t="shared" si="8"/>
        <v>0.17710000000000001</v>
      </c>
      <c r="F98" s="85">
        <f t="shared" si="9"/>
        <v>2251.7089357069999</v>
      </c>
      <c r="G98" s="148"/>
      <c r="H98" s="148"/>
      <c r="I98" s="1952"/>
      <c r="J98" s="1953"/>
      <c r="K98" s="1954"/>
      <c r="L98" s="1056" t="str">
        <f t="shared" si="3"/>
        <v/>
      </c>
      <c r="M98" s="49"/>
      <c r="N98" s="49"/>
      <c r="O98" s="1966"/>
      <c r="P98" s="1966"/>
      <c r="Q98" s="1966"/>
      <c r="R98" s="1966"/>
      <c r="S98" s="1966"/>
      <c r="T98" s="1966"/>
      <c r="U98" s="1966"/>
      <c r="V98" s="1966"/>
      <c r="W98" s="1966"/>
      <c r="X98" s="49"/>
      <c r="Y98" s="49"/>
      <c r="Z98" s="49"/>
      <c r="AA98" s="49"/>
      <c r="AB98" s="49"/>
      <c r="AC98" s="49"/>
      <c r="AD98" s="49"/>
    </row>
    <row r="99" spans="1:30" ht="15" customHeight="1" x14ac:dyDescent="0.3">
      <c r="A99" s="320" t="s">
        <v>371</v>
      </c>
      <c r="B99" s="1913"/>
      <c r="C99" s="648" t="s">
        <v>103</v>
      </c>
      <c r="D99" s="1039"/>
      <c r="E99" s="382">
        <f t="shared" si="8"/>
        <v>8.4449999999999997E-2</v>
      </c>
      <c r="F99" s="85">
        <f t="shared" si="9"/>
        <v>0</v>
      </c>
      <c r="G99" s="148"/>
      <c r="H99" s="148"/>
      <c r="I99" s="1952"/>
      <c r="J99" s="1953"/>
      <c r="K99" s="1954"/>
      <c r="L99" s="1056" t="str">
        <f t="shared" si="3"/>
        <v/>
      </c>
      <c r="M99" s="49"/>
      <c r="N99" s="49"/>
      <c r="O99" s="1966"/>
      <c r="P99" s="1966"/>
      <c r="Q99" s="1966"/>
      <c r="R99" s="1966"/>
      <c r="S99" s="1966"/>
      <c r="T99" s="1966"/>
      <c r="U99" s="1966"/>
      <c r="V99" s="1966"/>
      <c r="W99" s="1966"/>
      <c r="X99" s="49"/>
      <c r="Y99" s="49"/>
      <c r="Z99" s="49"/>
      <c r="AA99" s="49"/>
      <c r="AB99" s="49"/>
      <c r="AC99" s="49"/>
      <c r="AD99" s="49"/>
    </row>
    <row r="100" spans="1:30" ht="15" customHeight="1" x14ac:dyDescent="0.3">
      <c r="A100" s="320" t="s">
        <v>371</v>
      </c>
      <c r="B100" s="1913"/>
      <c r="C100" s="648" t="s">
        <v>104</v>
      </c>
      <c r="D100" s="1039"/>
      <c r="E100" s="382">
        <f t="shared" si="8"/>
        <v>0.10289</v>
      </c>
      <c r="F100" s="85">
        <f t="shared" si="9"/>
        <v>0</v>
      </c>
      <c r="G100" s="148"/>
      <c r="H100" s="148"/>
      <c r="I100" s="1952"/>
      <c r="J100" s="1953"/>
      <c r="K100" s="1954"/>
      <c r="L100" s="1056" t="str">
        <f t="shared" si="3"/>
        <v/>
      </c>
      <c r="M100" s="49"/>
      <c r="N100" s="49"/>
      <c r="O100" s="1966"/>
      <c r="P100" s="1966"/>
      <c r="Q100" s="1966"/>
      <c r="R100" s="1966"/>
      <c r="S100" s="1966"/>
      <c r="T100" s="1966"/>
      <c r="U100" s="1966"/>
      <c r="V100" s="1966"/>
      <c r="W100" s="1966"/>
      <c r="X100" s="49"/>
      <c r="Y100" s="49"/>
      <c r="Z100" s="49"/>
      <c r="AA100" s="49"/>
      <c r="AB100" s="49"/>
      <c r="AC100" s="49"/>
      <c r="AD100" s="49"/>
    </row>
    <row r="101" spans="1:30" ht="15" customHeight="1" x14ac:dyDescent="0.3">
      <c r="A101" s="320" t="s">
        <v>371</v>
      </c>
      <c r="B101" s="1913"/>
      <c r="C101" s="648" t="s">
        <v>105</v>
      </c>
      <c r="D101" s="1039"/>
      <c r="E101" s="382">
        <f t="shared" si="8"/>
        <v>0.13500999999999999</v>
      </c>
      <c r="F101" s="85">
        <f t="shared" si="9"/>
        <v>0</v>
      </c>
      <c r="G101" s="148"/>
      <c r="H101" s="148"/>
      <c r="I101" s="1952"/>
      <c r="J101" s="1953"/>
      <c r="K101" s="1954"/>
      <c r="L101" s="1056" t="str">
        <f t="shared" si="3"/>
        <v/>
      </c>
      <c r="M101" s="49"/>
      <c r="N101" s="49"/>
      <c r="O101" s="49"/>
      <c r="P101" s="49"/>
      <c r="Q101" s="49"/>
      <c r="R101" s="49"/>
      <c r="S101" s="49"/>
      <c r="T101" s="49"/>
      <c r="U101" s="49"/>
      <c r="V101" s="49"/>
      <c r="W101" s="49"/>
      <c r="X101" s="49"/>
      <c r="Y101" s="49"/>
      <c r="Z101" s="49"/>
      <c r="AA101" s="49"/>
      <c r="AB101" s="49"/>
      <c r="AC101" s="49"/>
      <c r="AD101" s="49"/>
    </row>
    <row r="102" spans="1:30" ht="15" customHeight="1" x14ac:dyDescent="0.3">
      <c r="A102" s="320" t="s">
        <v>371</v>
      </c>
      <c r="B102" s="1913"/>
      <c r="C102" s="648" t="s">
        <v>106</v>
      </c>
      <c r="D102" s="1039"/>
      <c r="E102" s="382">
        <f t="shared" si="8"/>
        <v>0.11551</v>
      </c>
      <c r="F102" s="85">
        <f t="shared" si="9"/>
        <v>0</v>
      </c>
      <c r="G102" s="148"/>
      <c r="H102" s="148"/>
      <c r="I102" s="1952"/>
      <c r="J102" s="1953"/>
      <c r="K102" s="1954"/>
      <c r="L102" s="1056" t="str">
        <f t="shared" si="3"/>
        <v/>
      </c>
      <c r="M102" s="49"/>
      <c r="N102" s="49"/>
      <c r="O102" s="49"/>
      <c r="P102" s="49"/>
      <c r="Q102" s="49"/>
      <c r="R102" s="49"/>
      <c r="S102" s="49"/>
      <c r="T102" s="49"/>
      <c r="U102" s="49"/>
      <c r="V102" s="49"/>
      <c r="W102" s="49"/>
      <c r="X102" s="49"/>
      <c r="Y102" s="49"/>
      <c r="Z102" s="49"/>
      <c r="AA102" s="49"/>
      <c r="AB102" s="49"/>
      <c r="AC102" s="49"/>
      <c r="AD102" s="49"/>
    </row>
    <row r="103" spans="1:30" ht="15" customHeight="1" x14ac:dyDescent="0.3">
      <c r="A103" s="320" t="s">
        <v>371</v>
      </c>
      <c r="B103" s="1913"/>
      <c r="C103" s="649" t="s">
        <v>410</v>
      </c>
      <c r="D103" s="1039"/>
      <c r="E103" s="1036"/>
      <c r="F103" s="85">
        <f t="shared" si="9"/>
        <v>0</v>
      </c>
      <c r="G103" s="148"/>
      <c r="H103" s="148"/>
      <c r="I103" s="1952"/>
      <c r="J103" s="1953"/>
      <c r="K103" s="1954"/>
      <c r="L103" s="1056" t="str">
        <f t="shared" si="3"/>
        <v/>
      </c>
      <c r="M103" s="49"/>
      <c r="N103" s="49"/>
      <c r="O103" s="49"/>
      <c r="P103" s="49"/>
      <c r="Q103" s="49"/>
      <c r="R103" s="49"/>
      <c r="S103" s="49"/>
      <c r="T103" s="49"/>
      <c r="U103" s="49"/>
      <c r="V103" s="49"/>
      <c r="W103" s="49"/>
      <c r="X103" s="49"/>
      <c r="Y103" s="49"/>
      <c r="Z103" s="49"/>
      <c r="AA103" s="49"/>
      <c r="AB103" s="49"/>
      <c r="AC103" s="49"/>
      <c r="AD103" s="49"/>
    </row>
    <row r="104" spans="1:30" ht="15" customHeight="1" x14ac:dyDescent="0.3">
      <c r="A104" s="320" t="s">
        <v>371</v>
      </c>
      <c r="B104" s="1913"/>
      <c r="C104" s="649" t="s">
        <v>411</v>
      </c>
      <c r="D104" s="1039"/>
      <c r="E104" s="1036"/>
      <c r="F104" s="85">
        <f t="shared" si="9"/>
        <v>0</v>
      </c>
      <c r="G104" s="148"/>
      <c r="H104" s="148"/>
      <c r="I104" s="1952"/>
      <c r="J104" s="1953"/>
      <c r="K104" s="1954"/>
      <c r="L104" s="1056" t="str">
        <f t="shared" si="3"/>
        <v/>
      </c>
      <c r="M104" s="49"/>
      <c r="N104" s="49"/>
      <c r="O104" s="49"/>
      <c r="P104" s="49"/>
      <c r="Q104" s="49"/>
      <c r="R104" s="49"/>
      <c r="S104" s="49"/>
      <c r="T104" s="49"/>
      <c r="U104" s="49"/>
      <c r="V104" s="49"/>
      <c r="W104" s="49"/>
      <c r="X104" s="49"/>
      <c r="Y104" s="49"/>
      <c r="Z104" s="49"/>
      <c r="AA104" s="49"/>
      <c r="AB104" s="49"/>
      <c r="AC104" s="49"/>
      <c r="AD104" s="49"/>
    </row>
    <row r="105" spans="1:30" ht="15" customHeight="1" x14ac:dyDescent="0.3">
      <c r="A105" s="320" t="s">
        <v>371</v>
      </c>
      <c r="B105" s="1913"/>
      <c r="C105" s="649" t="s">
        <v>412</v>
      </c>
      <c r="D105" s="1039"/>
      <c r="E105" s="1036"/>
      <c r="F105" s="85">
        <f t="shared" si="9"/>
        <v>0</v>
      </c>
      <c r="G105" s="148"/>
      <c r="H105" s="148"/>
      <c r="I105" s="1952"/>
      <c r="J105" s="1953"/>
      <c r="K105" s="1954"/>
      <c r="L105" s="1056" t="str">
        <f t="shared" si="3"/>
        <v/>
      </c>
      <c r="M105" s="49"/>
      <c r="N105" s="49"/>
      <c r="O105" s="49"/>
      <c r="P105" s="49"/>
      <c r="Q105" s="49"/>
      <c r="R105" s="49"/>
      <c r="S105" s="49"/>
      <c r="T105" s="49"/>
      <c r="U105" s="49"/>
      <c r="V105" s="49"/>
      <c r="W105" s="49"/>
      <c r="X105" s="49"/>
      <c r="Y105" s="49"/>
      <c r="Z105" s="49"/>
      <c r="AA105" s="49"/>
      <c r="AB105" s="49"/>
      <c r="AC105" s="49"/>
      <c r="AD105" s="49"/>
    </row>
    <row r="106" spans="1:30" ht="15" customHeight="1" x14ac:dyDescent="0.3">
      <c r="A106" s="320"/>
      <c r="B106" s="1913"/>
      <c r="C106" s="649" t="s">
        <v>509</v>
      </c>
      <c r="D106" s="1039"/>
      <c r="E106" s="1036"/>
      <c r="F106" s="85">
        <f t="shared" si="9"/>
        <v>0</v>
      </c>
      <c r="G106" s="148"/>
      <c r="H106" s="148"/>
      <c r="I106" s="1952"/>
      <c r="J106" s="1953"/>
      <c r="K106" s="1954"/>
      <c r="L106" s="1056" t="str">
        <f t="shared" si="3"/>
        <v/>
      </c>
      <c r="M106" s="49"/>
      <c r="N106" s="49"/>
      <c r="O106" s="49"/>
      <c r="P106" s="49"/>
      <c r="Q106" s="49"/>
      <c r="R106" s="49"/>
      <c r="S106" s="49"/>
      <c r="T106" s="49"/>
      <c r="U106" s="49"/>
      <c r="V106" s="49"/>
      <c r="W106" s="49"/>
      <c r="X106" s="49"/>
      <c r="Y106" s="49"/>
      <c r="Z106" s="49"/>
      <c r="AA106" s="49"/>
      <c r="AB106" s="49"/>
      <c r="AC106" s="49"/>
      <c r="AD106" s="49"/>
    </row>
    <row r="107" spans="1:30" ht="15" customHeight="1" thickBot="1" x14ac:dyDescent="0.35">
      <c r="A107" s="320"/>
      <c r="B107" s="1914"/>
      <c r="C107" s="649" t="s">
        <v>510</v>
      </c>
      <c r="D107" s="1039"/>
      <c r="E107" s="81"/>
      <c r="F107" s="85">
        <f t="shared" si="9"/>
        <v>0</v>
      </c>
      <c r="G107" s="148"/>
      <c r="H107" s="148"/>
      <c r="I107" s="2109"/>
      <c r="J107" s="2110"/>
      <c r="K107" s="2111"/>
      <c r="L107" s="1056" t="str">
        <f t="shared" si="3"/>
        <v/>
      </c>
      <c r="M107" s="49"/>
      <c r="N107" s="49"/>
      <c r="O107" s="49"/>
      <c r="P107" s="49"/>
      <c r="Q107" s="49"/>
      <c r="R107" s="49"/>
      <c r="S107" s="49"/>
      <c r="T107" s="49"/>
      <c r="U107" s="49"/>
      <c r="V107" s="49"/>
      <c r="W107" s="49"/>
      <c r="X107" s="49"/>
      <c r="Y107" s="49"/>
      <c r="Z107" s="49"/>
      <c r="AA107" s="49"/>
      <c r="AB107" s="49"/>
      <c r="AC107" s="49"/>
      <c r="AD107" s="49"/>
    </row>
    <row r="108" spans="1:30" ht="15.75" customHeight="1" thickBot="1" x14ac:dyDescent="0.35">
      <c r="A108" s="320"/>
      <c r="B108" s="1955" t="s">
        <v>112</v>
      </c>
      <c r="C108" s="1956"/>
      <c r="D108" s="44">
        <f>SUM(D109:D121)</f>
        <v>16674515.7476753</v>
      </c>
      <c r="E108" s="379">
        <f>IF(D108&lt;&gt;0,F108*1000/D108,"")</f>
        <v>4.3578264144514475E-2</v>
      </c>
      <c r="F108" s="171">
        <f>SUM(F109:F121)</f>
        <v>726.64645173406052</v>
      </c>
      <c r="G108" s="148"/>
      <c r="H108" s="148"/>
      <c r="I108" s="2083"/>
      <c r="J108" s="2084"/>
      <c r="K108" s="2085"/>
      <c r="L108" s="1119" t="str">
        <f t="shared" si="3"/>
        <v/>
      </c>
      <c r="M108" s="49"/>
      <c r="N108" s="49"/>
      <c r="O108" s="49"/>
      <c r="P108" s="49"/>
      <c r="Q108" s="49"/>
      <c r="R108" s="49"/>
      <c r="S108" s="49"/>
      <c r="T108" s="49"/>
      <c r="U108" s="49"/>
      <c r="V108" s="49"/>
      <c r="W108" s="49"/>
      <c r="X108" s="49"/>
      <c r="Y108" s="49"/>
      <c r="Z108" s="49"/>
      <c r="AA108" s="49"/>
      <c r="AB108" s="49"/>
      <c r="AC108" s="49"/>
      <c r="AD108" s="49"/>
    </row>
    <row r="109" spans="1:30" ht="15" customHeight="1" x14ac:dyDescent="0.3">
      <c r="A109" s="320" t="s">
        <v>371</v>
      </c>
      <c r="B109" s="1883" t="s">
        <v>113</v>
      </c>
      <c r="C109" s="46" t="s">
        <v>114</v>
      </c>
      <c r="D109" s="1037">
        <v>435237.56767529901</v>
      </c>
      <c r="E109" s="381">
        <f>+'Emission Factors'!K88</f>
        <v>0.13483000000000001</v>
      </c>
      <c r="F109" s="385">
        <f t="shared" ref="F109" si="13">(D109*E109)/1000</f>
        <v>58.683081249660567</v>
      </c>
      <c r="G109" s="148"/>
      <c r="H109" s="148"/>
      <c r="I109" s="1915" t="s">
        <v>640</v>
      </c>
      <c r="J109" s="1916"/>
      <c r="K109" s="1917"/>
      <c r="L109" s="1120" t="str">
        <f t="shared" si="3"/>
        <v/>
      </c>
      <c r="M109" s="49"/>
      <c r="N109" s="49"/>
      <c r="O109" s="49"/>
      <c r="P109" s="49"/>
      <c r="Q109" s="49"/>
      <c r="R109" s="49"/>
      <c r="S109" s="49"/>
      <c r="T109" s="49"/>
      <c r="U109" s="49"/>
      <c r="V109" s="49"/>
      <c r="W109" s="49"/>
      <c r="X109" s="49"/>
      <c r="Y109" s="49"/>
      <c r="Z109" s="49"/>
      <c r="AA109" s="49"/>
      <c r="AB109" s="49"/>
      <c r="AC109" s="49"/>
      <c r="AD109" s="49"/>
    </row>
    <row r="110" spans="1:30" ht="15" customHeight="1" x14ac:dyDescent="0.3">
      <c r="A110" s="320" t="s">
        <v>371</v>
      </c>
      <c r="B110" s="1884"/>
      <c r="C110" s="648" t="s">
        <v>115</v>
      </c>
      <c r="D110" s="1038">
        <v>16196591.720000001</v>
      </c>
      <c r="E110" s="382">
        <f>+'Emission Factors'!K89</f>
        <v>4.1149999999999999E-2</v>
      </c>
      <c r="F110" s="385">
        <f t="shared" ref="F110:F121" si="14">(D110*E110)/1000</f>
        <v>666.48974927799998</v>
      </c>
      <c r="G110" s="148"/>
      <c r="H110" s="148"/>
      <c r="I110" s="1952"/>
      <c r="J110" s="1953"/>
      <c r="K110" s="1954"/>
      <c r="L110" s="1056" t="str">
        <f t="shared" si="3"/>
        <v/>
      </c>
      <c r="M110" s="49"/>
      <c r="N110" s="49"/>
      <c r="O110" s="49"/>
      <c r="P110" s="49"/>
      <c r="Q110" s="49"/>
      <c r="R110" s="49"/>
      <c r="S110" s="49"/>
      <c r="T110" s="49"/>
      <c r="U110" s="49"/>
      <c r="V110" s="49"/>
      <c r="W110" s="49"/>
      <c r="X110" s="49"/>
      <c r="Y110" s="49"/>
      <c r="Z110" s="49"/>
      <c r="AA110" s="49"/>
      <c r="AB110" s="49"/>
      <c r="AC110" s="49"/>
      <c r="AD110" s="49"/>
    </row>
    <row r="111" spans="1:30" ht="15" customHeight="1" x14ac:dyDescent="0.3">
      <c r="A111" s="320" t="s">
        <v>371</v>
      </c>
      <c r="B111" s="1884"/>
      <c r="C111" s="648" t="s">
        <v>116</v>
      </c>
      <c r="D111" s="1038"/>
      <c r="E111" s="382">
        <f>+'Emission Factors'!K90</f>
        <v>3.508E-2</v>
      </c>
      <c r="F111" s="385">
        <f t="shared" si="14"/>
        <v>0</v>
      </c>
      <c r="G111" s="148"/>
      <c r="H111" s="148"/>
      <c r="I111" s="1952"/>
      <c r="J111" s="1953"/>
      <c r="K111" s="1954"/>
      <c r="L111" s="1056" t="str">
        <f t="shared" si="3"/>
        <v/>
      </c>
      <c r="M111" s="49"/>
      <c r="N111" s="49"/>
      <c r="O111" s="49"/>
      <c r="P111" s="49"/>
      <c r="Q111" s="49"/>
      <c r="R111" s="49"/>
      <c r="S111" s="49"/>
      <c r="T111" s="49"/>
      <c r="U111" s="49"/>
      <c r="V111" s="49"/>
      <c r="W111" s="49"/>
      <c r="X111" s="49"/>
      <c r="Y111" s="49"/>
      <c r="Z111" s="49"/>
      <c r="AA111" s="49"/>
      <c r="AB111" s="49"/>
      <c r="AC111" s="49"/>
      <c r="AD111" s="49"/>
    </row>
    <row r="112" spans="1:30" ht="15" customHeight="1" x14ac:dyDescent="0.3">
      <c r="A112" s="320" t="s">
        <v>371</v>
      </c>
      <c r="B112" s="1884"/>
      <c r="C112" s="648" t="s">
        <v>117</v>
      </c>
      <c r="D112" s="1038">
        <v>41369.46</v>
      </c>
      <c r="E112" s="382">
        <f>+'Emission Factors'!K91</f>
        <v>3.0839999999999999E-2</v>
      </c>
      <c r="F112" s="385">
        <f t="shared" si="14"/>
        <v>1.2758341464</v>
      </c>
      <c r="G112" s="148"/>
      <c r="H112" s="148"/>
      <c r="I112" s="1952"/>
      <c r="J112" s="1953"/>
      <c r="K112" s="1954"/>
      <c r="L112" s="1056" t="str">
        <f t="shared" si="3"/>
        <v/>
      </c>
      <c r="M112" s="49"/>
      <c r="N112" s="49"/>
      <c r="O112" s="49"/>
      <c r="P112" s="49"/>
      <c r="Q112" s="49"/>
      <c r="R112" s="49"/>
      <c r="S112" s="49"/>
      <c r="T112" s="49"/>
      <c r="U112" s="49"/>
      <c r="V112" s="49"/>
      <c r="W112" s="49"/>
      <c r="X112" s="49"/>
      <c r="Y112" s="49"/>
      <c r="Z112" s="49"/>
      <c r="AA112" s="49"/>
      <c r="AB112" s="49"/>
      <c r="AC112" s="49"/>
      <c r="AD112" s="49"/>
    </row>
    <row r="113" spans="1:30" ht="15" customHeight="1" x14ac:dyDescent="0.3">
      <c r="A113" s="320" t="s">
        <v>371</v>
      </c>
      <c r="B113" s="1884"/>
      <c r="C113" s="648" t="s">
        <v>118</v>
      </c>
      <c r="D113" s="1038">
        <v>1317</v>
      </c>
      <c r="E113" s="382">
        <f>+'Emission Factors'!K92</f>
        <v>0.15018000000000001</v>
      </c>
      <c r="F113" s="385">
        <f t="shared" si="14"/>
        <v>0.19778705999999999</v>
      </c>
      <c r="G113" s="148"/>
      <c r="H113" s="148"/>
      <c r="I113" s="1952"/>
      <c r="J113" s="1953"/>
      <c r="K113" s="1954"/>
      <c r="L113" s="1056" t="str">
        <f t="shared" si="3"/>
        <v/>
      </c>
      <c r="M113" s="49"/>
      <c r="N113" s="49"/>
      <c r="O113" s="49"/>
      <c r="P113" s="49"/>
      <c r="Q113" s="49"/>
      <c r="R113" s="49"/>
      <c r="S113" s="49"/>
      <c r="T113" s="49"/>
      <c r="U113" s="49"/>
      <c r="V113" s="49"/>
      <c r="W113" s="49"/>
      <c r="X113" s="49"/>
      <c r="Y113" s="49"/>
      <c r="Z113" s="49"/>
      <c r="AA113" s="49"/>
      <c r="AB113" s="49"/>
      <c r="AC113" s="49"/>
      <c r="AD113" s="49"/>
    </row>
    <row r="114" spans="1:30" ht="15" customHeight="1" x14ac:dyDescent="0.3">
      <c r="A114" s="320" t="s">
        <v>371</v>
      </c>
      <c r="B114" s="1884"/>
      <c r="C114" s="648" t="s">
        <v>119</v>
      </c>
      <c r="D114" s="1038"/>
      <c r="E114" s="382">
        <f>+'Emission Factors'!K93</f>
        <v>0.21176</v>
      </c>
      <c r="F114" s="385">
        <f t="shared" si="14"/>
        <v>0</v>
      </c>
      <c r="G114" s="148"/>
      <c r="H114" s="148"/>
      <c r="I114" s="1952"/>
      <c r="J114" s="1953"/>
      <c r="K114" s="1954"/>
      <c r="L114" s="1056" t="str">
        <f t="shared" si="3"/>
        <v/>
      </c>
      <c r="M114" s="49"/>
      <c r="N114" s="49"/>
      <c r="O114" s="49"/>
      <c r="P114" s="49"/>
      <c r="Q114" s="49"/>
      <c r="R114" s="49"/>
      <c r="S114" s="49"/>
      <c r="T114" s="49"/>
      <c r="U114" s="49"/>
      <c r="V114" s="49"/>
      <c r="W114" s="49"/>
      <c r="X114" s="49"/>
      <c r="Y114" s="49"/>
      <c r="Z114" s="49"/>
      <c r="AA114" s="49"/>
      <c r="AB114" s="49"/>
      <c r="AC114" s="49"/>
      <c r="AD114" s="49"/>
    </row>
    <row r="115" spans="1:30" ht="15" customHeight="1" x14ac:dyDescent="0.3">
      <c r="A115" s="320" t="s">
        <v>371</v>
      </c>
      <c r="B115" s="1884"/>
      <c r="C115" s="648" t="s">
        <v>120</v>
      </c>
      <c r="D115" s="1038"/>
      <c r="E115" s="382">
        <f>+'Emission Factors'!K94</f>
        <v>0.12076000000000001</v>
      </c>
      <c r="F115" s="385">
        <f t="shared" si="14"/>
        <v>0</v>
      </c>
      <c r="G115" s="148"/>
      <c r="H115" s="148"/>
      <c r="I115" s="1952"/>
      <c r="J115" s="1953"/>
      <c r="K115" s="1954"/>
      <c r="L115" s="1056" t="str">
        <f t="shared" si="3"/>
        <v/>
      </c>
      <c r="M115" s="49"/>
      <c r="N115" s="49"/>
      <c r="O115" s="49"/>
      <c r="P115" s="49"/>
      <c r="Q115" s="49"/>
      <c r="R115" s="49"/>
      <c r="S115" s="49"/>
      <c r="T115" s="49"/>
      <c r="U115" s="49"/>
      <c r="V115" s="49"/>
      <c r="W115" s="49"/>
      <c r="X115" s="49"/>
      <c r="Y115" s="49"/>
      <c r="Z115" s="49"/>
      <c r="AA115" s="49"/>
      <c r="AB115" s="49"/>
      <c r="AC115" s="49"/>
      <c r="AD115" s="49"/>
    </row>
    <row r="116" spans="1:30" ht="15" customHeight="1" x14ac:dyDescent="0.3">
      <c r="A116" s="320" t="s">
        <v>371</v>
      </c>
      <c r="B116" s="1884"/>
      <c r="C116" s="648" t="s">
        <v>121</v>
      </c>
      <c r="D116" s="1038"/>
      <c r="E116" s="382">
        <f>+'Emission Factors'!K95</f>
        <v>8.208E-2</v>
      </c>
      <c r="F116" s="385">
        <f t="shared" si="14"/>
        <v>0</v>
      </c>
      <c r="G116" s="148"/>
      <c r="H116" s="148"/>
      <c r="I116" s="1952"/>
      <c r="J116" s="1953"/>
      <c r="K116" s="1954"/>
      <c r="L116" s="1056" t="str">
        <f t="shared" si="3"/>
        <v/>
      </c>
      <c r="M116" s="49"/>
      <c r="N116" s="49"/>
      <c r="O116" s="49"/>
      <c r="P116" s="49"/>
      <c r="Q116" s="49"/>
      <c r="R116" s="49"/>
      <c r="S116" s="49"/>
      <c r="T116" s="49"/>
      <c r="U116" s="49"/>
      <c r="V116" s="49"/>
      <c r="W116" s="49"/>
      <c r="X116" s="49"/>
      <c r="Y116" s="49"/>
      <c r="Z116" s="49"/>
      <c r="AA116" s="49"/>
      <c r="AB116" s="49"/>
      <c r="AC116" s="49"/>
      <c r="AD116" s="49"/>
    </row>
    <row r="117" spans="1:30" ht="15" customHeight="1" x14ac:dyDescent="0.3">
      <c r="A117" s="320" t="s">
        <v>371</v>
      </c>
      <c r="B117" s="1884"/>
      <c r="C117" s="648" t="s">
        <v>122</v>
      </c>
      <c r="D117" s="1038"/>
      <c r="E117" s="382">
        <f>+'Emission Factors'!K96</f>
        <v>0.10471</v>
      </c>
      <c r="F117" s="385">
        <f t="shared" si="14"/>
        <v>0</v>
      </c>
      <c r="G117" s="148"/>
      <c r="H117" s="148"/>
      <c r="I117" s="1952"/>
      <c r="J117" s="1953"/>
      <c r="K117" s="1954"/>
      <c r="L117" s="1056" t="str">
        <f t="shared" si="3"/>
        <v/>
      </c>
      <c r="M117" s="49"/>
      <c r="N117" s="49"/>
      <c r="O117" s="49"/>
      <c r="P117" s="49"/>
      <c r="Q117" s="49"/>
      <c r="R117" s="49"/>
      <c r="S117" s="49"/>
      <c r="T117" s="49"/>
      <c r="U117" s="49"/>
      <c r="V117" s="49"/>
      <c r="W117" s="49"/>
      <c r="X117" s="49"/>
      <c r="Y117" s="49"/>
      <c r="Z117" s="49"/>
      <c r="AA117" s="49"/>
      <c r="AB117" s="49"/>
      <c r="AC117" s="49"/>
      <c r="AD117" s="49"/>
    </row>
    <row r="118" spans="1:30" ht="15" customHeight="1" x14ac:dyDescent="0.3">
      <c r="A118" s="320" t="s">
        <v>371</v>
      </c>
      <c r="B118" s="1884"/>
      <c r="C118" s="648" t="s">
        <v>123</v>
      </c>
      <c r="D118" s="1038"/>
      <c r="E118" s="382">
        <f>+'Emission Factors'!K97</f>
        <v>2.7789999999999999E-2</v>
      </c>
      <c r="F118" s="385">
        <f t="shared" si="14"/>
        <v>0</v>
      </c>
      <c r="G118" s="148"/>
      <c r="H118" s="148"/>
      <c r="I118" s="1952"/>
      <c r="J118" s="1953"/>
      <c r="K118" s="1954"/>
      <c r="L118" s="1056" t="str">
        <f t="shared" si="3"/>
        <v/>
      </c>
      <c r="M118" s="49"/>
      <c r="N118" s="49"/>
      <c r="O118" s="49"/>
      <c r="P118" s="49"/>
      <c r="Q118" s="49"/>
      <c r="R118" s="49"/>
      <c r="S118" s="49"/>
      <c r="T118" s="49"/>
      <c r="U118" s="49"/>
      <c r="V118" s="49"/>
      <c r="W118" s="49"/>
      <c r="X118" s="49"/>
      <c r="Y118" s="49"/>
      <c r="Z118" s="49"/>
      <c r="AA118" s="49"/>
      <c r="AB118" s="49"/>
      <c r="AC118" s="49"/>
      <c r="AD118" s="49"/>
    </row>
    <row r="119" spans="1:30" ht="15" customHeight="1" x14ac:dyDescent="0.3">
      <c r="A119" s="320" t="s">
        <v>371</v>
      </c>
      <c r="B119" s="1884"/>
      <c r="C119" s="649" t="s">
        <v>410</v>
      </c>
      <c r="D119" s="1038"/>
      <c r="E119" s="1036"/>
      <c r="F119" s="385">
        <f t="shared" si="14"/>
        <v>0</v>
      </c>
      <c r="G119" s="148"/>
      <c r="H119" s="148"/>
      <c r="I119" s="1952"/>
      <c r="J119" s="1953"/>
      <c r="K119" s="1954"/>
      <c r="L119" s="1056" t="str">
        <f t="shared" si="3"/>
        <v/>
      </c>
      <c r="M119" s="49"/>
      <c r="N119" s="49"/>
      <c r="O119" s="49"/>
      <c r="P119" s="49"/>
      <c r="Q119" s="49"/>
      <c r="R119" s="49"/>
      <c r="S119" s="49"/>
      <c r="T119" s="49"/>
      <c r="U119" s="49"/>
      <c r="V119" s="49"/>
      <c r="W119" s="49"/>
      <c r="X119" s="49"/>
      <c r="Y119" s="49"/>
      <c r="Z119" s="49"/>
      <c r="AA119" s="49"/>
      <c r="AB119" s="49"/>
      <c r="AC119" s="49"/>
      <c r="AD119" s="49"/>
    </row>
    <row r="120" spans="1:30" ht="15" customHeight="1" x14ac:dyDescent="0.3">
      <c r="A120" s="320" t="s">
        <v>371</v>
      </c>
      <c r="B120" s="1884"/>
      <c r="C120" s="649" t="s">
        <v>411</v>
      </c>
      <c r="D120" s="1038"/>
      <c r="E120" s="1036"/>
      <c r="F120" s="385">
        <f t="shared" si="14"/>
        <v>0</v>
      </c>
      <c r="G120" s="148"/>
      <c r="H120" s="148"/>
      <c r="I120" s="1952"/>
      <c r="J120" s="1953"/>
      <c r="K120" s="1954"/>
      <c r="L120" s="1056" t="str">
        <f t="shared" si="3"/>
        <v/>
      </c>
      <c r="M120" s="49"/>
      <c r="N120" s="49"/>
      <c r="O120" s="49"/>
      <c r="P120" s="49"/>
      <c r="Q120" s="49"/>
      <c r="R120" s="49"/>
      <c r="S120" s="49"/>
      <c r="T120" s="49"/>
      <c r="U120" s="49"/>
      <c r="V120" s="49"/>
      <c r="W120" s="49"/>
      <c r="X120" s="49"/>
      <c r="Y120" s="49"/>
      <c r="Z120" s="49"/>
      <c r="AA120" s="49"/>
      <c r="AB120" s="49"/>
      <c r="AC120" s="49"/>
      <c r="AD120" s="49"/>
    </row>
    <row r="121" spans="1:30" ht="15" customHeight="1" thickBot="1" x14ac:dyDescent="0.35">
      <c r="A121" s="320" t="s">
        <v>371</v>
      </c>
      <c r="B121" s="1884"/>
      <c r="C121" s="649" t="s">
        <v>412</v>
      </c>
      <c r="D121" s="1117"/>
      <c r="E121" s="1110"/>
      <c r="F121" s="1139">
        <f t="shared" si="14"/>
        <v>0</v>
      </c>
      <c r="G121" s="148"/>
      <c r="H121" s="148"/>
      <c r="I121" s="1981"/>
      <c r="J121" s="1982"/>
      <c r="K121" s="1983"/>
      <c r="L121" s="1118" t="str">
        <f t="shared" si="3"/>
        <v/>
      </c>
      <c r="M121" s="49"/>
      <c r="N121" s="49"/>
      <c r="O121" s="49"/>
      <c r="P121" s="49"/>
      <c r="Q121" s="49"/>
      <c r="R121" s="49"/>
      <c r="S121" s="49"/>
      <c r="T121" s="49"/>
      <c r="U121" s="49"/>
      <c r="V121" s="49"/>
      <c r="W121" s="49"/>
      <c r="X121" s="49"/>
      <c r="Y121" s="49"/>
      <c r="Z121" s="49"/>
      <c r="AA121" s="49"/>
      <c r="AB121" s="49"/>
      <c r="AC121" s="49"/>
      <c r="AD121" s="49"/>
    </row>
    <row r="122" spans="1:30" ht="14.4" thickBot="1" x14ac:dyDescent="0.35">
      <c r="A122" s="320"/>
      <c r="B122" s="656" t="s">
        <v>406</v>
      </c>
      <c r="C122" s="658" t="s">
        <v>405</v>
      </c>
      <c r="D122" s="1049"/>
      <c r="E122" s="389">
        <v>0</v>
      </c>
      <c r="F122" s="389"/>
      <c r="G122" s="1112"/>
      <c r="H122" s="1113"/>
      <c r="I122" s="1996"/>
      <c r="J122" s="1997"/>
      <c r="K122" s="1998"/>
      <c r="L122" s="1119" t="str">
        <f t="shared" si="3"/>
        <v/>
      </c>
      <c r="M122" s="49"/>
      <c r="N122" s="49"/>
      <c r="O122" s="49"/>
      <c r="P122" s="49"/>
      <c r="Q122" s="49"/>
      <c r="R122" s="49"/>
      <c r="S122" s="49"/>
      <c r="T122" s="49"/>
      <c r="U122" s="49"/>
      <c r="V122" s="49"/>
      <c r="W122" s="49"/>
      <c r="X122" s="49"/>
      <c r="Y122" s="49"/>
      <c r="Z122" s="49"/>
      <c r="AA122" s="49"/>
      <c r="AB122" s="49"/>
      <c r="AC122" s="49"/>
      <c r="AD122" s="49"/>
    </row>
    <row r="123" spans="1:30" ht="13.5" customHeight="1" thickBot="1" x14ac:dyDescent="0.35">
      <c r="A123" s="320"/>
      <c r="B123" s="1093" t="s">
        <v>124</v>
      </c>
      <c r="C123" s="387"/>
      <c r="D123" s="654"/>
      <c r="E123" s="481"/>
      <c r="F123" s="1111">
        <f>+F19+F53+F64+T67+F86+T89+F108</f>
        <v>73523.84881997059</v>
      </c>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row>
    <row r="124" spans="1:30" s="589" customFormat="1" ht="15" thickBot="1" x14ac:dyDescent="0.35">
      <c r="A124" s="391"/>
      <c r="B124" s="392" t="s">
        <v>125</v>
      </c>
      <c r="C124" s="393"/>
      <c r="D124" s="393"/>
      <c r="E124" s="393"/>
      <c r="F124" s="393"/>
      <c r="G124" s="393"/>
      <c r="H124" s="394"/>
      <c r="I124" s="395"/>
      <c r="J124" s="396"/>
      <c r="K124" s="396"/>
      <c r="L124" s="396"/>
      <c r="M124" s="396"/>
      <c r="N124" s="396"/>
      <c r="O124" s="396"/>
      <c r="P124" s="396"/>
      <c r="Q124" s="396"/>
      <c r="R124" s="396"/>
      <c r="S124" s="396"/>
      <c r="T124" s="396"/>
      <c r="U124" s="396"/>
      <c r="V124" s="396"/>
      <c r="W124" s="396"/>
      <c r="X124" s="396"/>
      <c r="Y124" s="396"/>
      <c r="Z124" s="396"/>
      <c r="AA124" s="396"/>
      <c r="AB124" s="396"/>
      <c r="AC124" s="396"/>
      <c r="AD124" s="396"/>
    </row>
    <row r="125" spans="1:30" ht="15.75" customHeight="1" thickBot="1" x14ac:dyDescent="0.35">
      <c r="A125" s="320"/>
      <c r="B125" s="397"/>
      <c r="C125" s="398"/>
      <c r="D125" s="1999" t="s">
        <v>23</v>
      </c>
      <c r="E125" s="2000"/>
      <c r="F125" s="2001"/>
      <c r="G125" s="376"/>
      <c r="H125" s="376"/>
      <c r="I125" s="2002" t="s">
        <v>24</v>
      </c>
      <c r="J125" s="2003"/>
      <c r="K125" s="2004"/>
      <c r="L125" s="361" t="s">
        <v>408</v>
      </c>
      <c r="M125" s="1909" t="s">
        <v>461</v>
      </c>
      <c r="N125" s="49"/>
      <c r="O125" s="49"/>
      <c r="P125" s="49"/>
      <c r="Q125" s="49"/>
      <c r="R125" s="49"/>
      <c r="S125" s="49"/>
      <c r="T125" s="49"/>
      <c r="U125" s="49"/>
      <c r="V125" s="49"/>
      <c r="W125" s="49"/>
      <c r="X125" s="49"/>
      <c r="Y125" s="49"/>
      <c r="Z125" s="49"/>
      <c r="AA125" s="49"/>
      <c r="AB125" s="49"/>
      <c r="AC125" s="49"/>
      <c r="AD125" s="49"/>
    </row>
    <row r="126" spans="1:30" ht="15.75" customHeight="1" thickBot="1" x14ac:dyDescent="0.35">
      <c r="A126" s="320"/>
      <c r="B126" s="397"/>
      <c r="C126" s="398"/>
      <c r="D126" s="399" t="s">
        <v>81</v>
      </c>
      <c r="E126" s="1438" t="s">
        <v>171</v>
      </c>
      <c r="F126" s="401" t="s">
        <v>174</v>
      </c>
      <c r="G126" s="148"/>
      <c r="H126" s="148"/>
      <c r="I126" s="2005"/>
      <c r="J126" s="2006"/>
      <c r="K126" s="2007"/>
      <c r="L126" s="663" t="s">
        <v>28</v>
      </c>
      <c r="M126" s="1911"/>
      <c r="N126" s="49"/>
      <c r="O126" s="49"/>
      <c r="P126" s="49"/>
      <c r="Q126" s="49"/>
      <c r="R126" s="49"/>
      <c r="S126" s="49"/>
      <c r="T126" s="49"/>
      <c r="U126" s="49"/>
      <c r="V126" s="49"/>
      <c r="W126" s="49"/>
      <c r="X126" s="49"/>
      <c r="Y126" s="49"/>
      <c r="Z126" s="49"/>
      <c r="AA126" s="49"/>
      <c r="AB126" s="49"/>
      <c r="AC126" s="49"/>
      <c r="AD126" s="49"/>
    </row>
    <row r="127" spans="1:30" ht="13.5" customHeight="1" thickBot="1" x14ac:dyDescent="0.35">
      <c r="A127" s="320"/>
      <c r="B127" s="482" t="s">
        <v>126</v>
      </c>
      <c r="C127" s="483"/>
      <c r="D127" s="484">
        <f>SUM(D128:D136)</f>
        <v>1238816.6200000001</v>
      </c>
      <c r="E127" s="405"/>
      <c r="F127" s="485">
        <f>SUM(F128:F136)</f>
        <v>245.28880622029999</v>
      </c>
      <c r="G127" s="148"/>
      <c r="H127" s="148"/>
      <c r="I127" s="2005"/>
      <c r="J127" s="2006"/>
      <c r="K127" s="2007"/>
      <c r="L127" s="660">
        <f>SUM(L128:L136)</f>
        <v>512.43909388632403</v>
      </c>
      <c r="M127" s="1119" t="str">
        <f>IF(D127&lt;0,"Error - Negative number","")</f>
        <v/>
      </c>
      <c r="N127" s="49"/>
      <c r="O127" s="49"/>
      <c r="P127" s="49"/>
      <c r="Q127" s="49"/>
      <c r="R127" s="49"/>
      <c r="S127" s="49"/>
      <c r="T127" s="49"/>
      <c r="U127" s="49"/>
      <c r="V127" s="49"/>
      <c r="W127" s="49"/>
      <c r="X127" s="49"/>
      <c r="Y127" s="49"/>
      <c r="Z127" s="49"/>
      <c r="AA127" s="49"/>
      <c r="AB127" s="49"/>
      <c r="AC127" s="49"/>
      <c r="AD127" s="49"/>
    </row>
    <row r="128" spans="1:30" ht="15" customHeight="1" x14ac:dyDescent="0.3">
      <c r="A128" s="320" t="s">
        <v>373</v>
      </c>
      <c r="B128" s="407" t="s">
        <v>127</v>
      </c>
      <c r="C128" s="408"/>
      <c r="D128" s="1041"/>
      <c r="E128" s="381">
        <f>+'Emission Factors'!K107</f>
        <v>0.15831999999999999</v>
      </c>
      <c r="F128" s="563">
        <f>(D128*E128)/1000</f>
        <v>0</v>
      </c>
      <c r="G128" s="148"/>
      <c r="H128" s="148"/>
      <c r="I128" s="2141"/>
      <c r="J128" s="2142"/>
      <c r="K128" s="2143"/>
      <c r="L128" s="559">
        <f>+F128*2.09</f>
        <v>0</v>
      </c>
      <c r="M128" s="1120" t="str">
        <f t="shared" ref="M128:M136" si="15">IF(D128&lt;0,"Error - Negative number","")</f>
        <v/>
      </c>
      <c r="N128" s="49"/>
      <c r="O128" s="49"/>
      <c r="P128" s="49"/>
      <c r="Q128" s="49"/>
      <c r="R128" s="49"/>
      <c r="S128" s="49"/>
      <c r="T128" s="49"/>
      <c r="U128" s="49"/>
      <c r="V128" s="49"/>
      <c r="W128" s="49"/>
      <c r="X128" s="49"/>
      <c r="Y128" s="49"/>
      <c r="Z128" s="49"/>
      <c r="AA128" s="49"/>
      <c r="AB128" s="49"/>
      <c r="AC128" s="49"/>
      <c r="AD128" s="49"/>
    </row>
    <row r="129" spans="1:30" ht="15.75" customHeight="1" x14ac:dyDescent="0.3">
      <c r="A129" s="320" t="s">
        <v>373</v>
      </c>
      <c r="B129" s="111" t="s">
        <v>128</v>
      </c>
      <c r="C129" s="112"/>
      <c r="D129" s="1040">
        <v>384840.04</v>
      </c>
      <c r="E129" s="382">
        <f>+'Emission Factors'!K108</f>
        <v>0.15573000000000001</v>
      </c>
      <c r="F129" s="564">
        <f t="shared" ref="F129:F136" si="16">(D129*E129)/1000</f>
        <v>59.931139429199995</v>
      </c>
      <c r="G129" s="148"/>
      <c r="H129" s="148"/>
      <c r="I129" s="2116"/>
      <c r="J129" s="2117"/>
      <c r="K129" s="2118"/>
      <c r="L129" s="661">
        <f t="shared" ref="L129:L135" si="17">+F129*2.09</f>
        <v>125.25608140702798</v>
      </c>
      <c r="M129" s="1056" t="str">
        <f t="shared" si="15"/>
        <v/>
      </c>
      <c r="N129" s="49"/>
      <c r="O129" s="49"/>
      <c r="P129" s="49"/>
      <c r="Q129" s="49"/>
      <c r="R129" s="49"/>
      <c r="S129" s="49"/>
      <c r="T129" s="49"/>
      <c r="U129" s="49"/>
      <c r="V129" s="49"/>
      <c r="W129" s="49"/>
      <c r="X129" s="49"/>
      <c r="Y129" s="49"/>
      <c r="Z129" s="49"/>
      <c r="AA129" s="49"/>
      <c r="AB129" s="49"/>
      <c r="AC129" s="49"/>
      <c r="AD129" s="49"/>
    </row>
    <row r="130" spans="1:30" ht="15" customHeight="1" x14ac:dyDescent="0.3">
      <c r="A130" s="320" t="s">
        <v>373</v>
      </c>
      <c r="B130" s="111" t="s">
        <v>129</v>
      </c>
      <c r="C130" s="112"/>
      <c r="D130" s="1040">
        <v>7551.04</v>
      </c>
      <c r="E130" s="382">
        <f>+'Emission Factors'!K109</f>
        <v>0.2336</v>
      </c>
      <c r="F130" s="564">
        <f t="shared" si="16"/>
        <v>1.7639229439999999</v>
      </c>
      <c r="G130" s="148"/>
      <c r="H130" s="148"/>
      <c r="I130" s="2116"/>
      <c r="J130" s="2117"/>
      <c r="K130" s="2118"/>
      <c r="L130" s="661">
        <f t="shared" si="17"/>
        <v>3.6865989529599994</v>
      </c>
      <c r="M130" s="1056" t="str">
        <f t="shared" si="15"/>
        <v/>
      </c>
      <c r="N130" s="49"/>
      <c r="O130" s="49"/>
      <c r="P130" s="49"/>
      <c r="Q130" s="49"/>
      <c r="R130" s="49"/>
      <c r="S130" s="49"/>
      <c r="T130" s="49"/>
      <c r="U130" s="49"/>
      <c r="V130" s="49"/>
      <c r="W130" s="49"/>
      <c r="X130" s="49"/>
      <c r="Y130" s="49"/>
      <c r="Z130" s="49"/>
      <c r="AA130" s="49"/>
      <c r="AB130" s="49"/>
      <c r="AC130" s="49"/>
      <c r="AD130" s="49"/>
    </row>
    <row r="131" spans="1:30" ht="15.75" customHeight="1" x14ac:dyDescent="0.3">
      <c r="A131" s="320" t="s">
        <v>373</v>
      </c>
      <c r="B131" s="111" t="s">
        <v>130</v>
      </c>
      <c r="C131" s="112"/>
      <c r="D131" s="1040"/>
      <c r="E131" s="382">
        <f>+'Emission Factors'!K110</f>
        <v>0.19561999999999999</v>
      </c>
      <c r="F131" s="564">
        <f t="shared" si="16"/>
        <v>0</v>
      </c>
      <c r="G131" s="148"/>
      <c r="H131" s="148"/>
      <c r="I131" s="2116"/>
      <c r="J131" s="2117"/>
      <c r="K131" s="2118"/>
      <c r="L131" s="661">
        <f t="shared" si="17"/>
        <v>0</v>
      </c>
      <c r="M131" s="1056" t="str">
        <f t="shared" si="15"/>
        <v/>
      </c>
      <c r="N131" s="49"/>
      <c r="O131" s="49"/>
      <c r="P131" s="49"/>
      <c r="Q131" s="49"/>
      <c r="R131" s="49"/>
      <c r="S131" s="49"/>
      <c r="T131" s="49"/>
      <c r="U131" s="49"/>
      <c r="V131" s="49"/>
      <c r="W131" s="49"/>
      <c r="X131" s="49"/>
      <c r="Y131" s="49"/>
      <c r="Z131" s="49"/>
      <c r="AA131" s="49"/>
      <c r="AB131" s="49"/>
      <c r="AC131" s="49"/>
      <c r="AD131" s="49"/>
    </row>
    <row r="132" spans="1:30" ht="15" customHeight="1" x14ac:dyDescent="0.3">
      <c r="A132" s="320" t="s">
        <v>373</v>
      </c>
      <c r="B132" s="111" t="s">
        <v>131</v>
      </c>
      <c r="C132" s="112"/>
      <c r="D132" s="1040">
        <v>517847.01</v>
      </c>
      <c r="E132" s="382">
        <f>+'Emission Factors'!K111</f>
        <v>0.14981</v>
      </c>
      <c r="F132" s="564">
        <f t="shared" si="16"/>
        <v>77.578660568100005</v>
      </c>
      <c r="G132" s="148"/>
      <c r="H132" s="148"/>
      <c r="I132" s="1990" t="s">
        <v>581</v>
      </c>
      <c r="J132" s="1991"/>
      <c r="K132" s="1992"/>
      <c r="L132" s="661">
        <f t="shared" si="17"/>
        <v>162.13940058732899</v>
      </c>
      <c r="M132" s="1056" t="str">
        <f t="shared" si="15"/>
        <v/>
      </c>
      <c r="N132" s="49"/>
      <c r="O132" s="49"/>
      <c r="P132" s="49"/>
      <c r="Q132" s="49"/>
      <c r="R132" s="49"/>
      <c r="S132" s="49"/>
      <c r="T132" s="49"/>
      <c r="U132" s="49"/>
      <c r="V132" s="49"/>
      <c r="W132" s="49"/>
      <c r="X132" s="49"/>
      <c r="Y132" s="49"/>
      <c r="Z132" s="49"/>
      <c r="AA132" s="49"/>
      <c r="AB132" s="49"/>
      <c r="AC132" s="49"/>
      <c r="AD132" s="49"/>
    </row>
    <row r="133" spans="1:30" ht="15.75" customHeight="1" x14ac:dyDescent="0.3">
      <c r="A133" s="320" t="s">
        <v>373</v>
      </c>
      <c r="B133" s="111" t="s">
        <v>132</v>
      </c>
      <c r="C133" s="112"/>
      <c r="D133" s="1040">
        <v>162698.87</v>
      </c>
      <c r="E133" s="382">
        <f>+'Emission Factors'!K112</f>
        <v>0.2397</v>
      </c>
      <c r="F133" s="564">
        <f t="shared" si="16"/>
        <v>38.998919138999995</v>
      </c>
      <c r="G133" s="148"/>
      <c r="H133" s="148"/>
      <c r="I133" s="1990"/>
      <c r="J133" s="1991"/>
      <c r="K133" s="1992"/>
      <c r="L133" s="661">
        <f t="shared" si="17"/>
        <v>81.507741000509981</v>
      </c>
      <c r="M133" s="1056" t="str">
        <f t="shared" si="15"/>
        <v/>
      </c>
      <c r="N133" s="49"/>
      <c r="O133" s="49"/>
      <c r="P133" s="49"/>
      <c r="Q133" s="49"/>
      <c r="R133" s="49"/>
      <c r="S133" s="49"/>
      <c r="T133" s="49"/>
      <c r="U133" s="49"/>
      <c r="V133" s="49"/>
      <c r="W133" s="49"/>
      <c r="X133" s="49"/>
      <c r="Y133" s="49"/>
      <c r="Z133" s="49"/>
      <c r="AA133" s="49"/>
      <c r="AB133" s="49"/>
      <c r="AC133" s="49"/>
      <c r="AD133" s="49"/>
    </row>
    <row r="134" spans="1:30" ht="15" customHeight="1" x14ac:dyDescent="0.3">
      <c r="A134" s="320" t="s">
        <v>373</v>
      </c>
      <c r="B134" s="111" t="s">
        <v>133</v>
      </c>
      <c r="C134" s="112"/>
      <c r="D134" s="1040">
        <v>134640.98000000001</v>
      </c>
      <c r="E134" s="382">
        <f>+'Emission Factors'!K113</f>
        <v>0.43446000000000001</v>
      </c>
      <c r="F134" s="564">
        <f t="shared" si="16"/>
        <v>58.496120170800005</v>
      </c>
      <c r="G134" s="148"/>
      <c r="H134" s="148"/>
      <c r="I134" s="1990"/>
      <c r="J134" s="1991"/>
      <c r="K134" s="1992"/>
      <c r="L134" s="661">
        <f t="shared" si="17"/>
        <v>122.256891156972</v>
      </c>
      <c r="M134" s="1056" t="str">
        <f t="shared" si="15"/>
        <v/>
      </c>
      <c r="N134" s="49"/>
      <c r="O134" s="49"/>
      <c r="P134" s="49"/>
      <c r="Q134" s="49"/>
      <c r="R134" s="49"/>
      <c r="S134" s="49"/>
      <c r="T134" s="49"/>
      <c r="U134" s="49"/>
      <c r="V134" s="49"/>
      <c r="W134" s="49"/>
      <c r="X134" s="49"/>
      <c r="Y134" s="49"/>
      <c r="Z134" s="49"/>
      <c r="AA134" s="49"/>
      <c r="AB134" s="49"/>
      <c r="AC134" s="49"/>
      <c r="AD134" s="49"/>
    </row>
    <row r="135" spans="1:30" ht="15.75" customHeight="1" thickBot="1" x14ac:dyDescent="0.35">
      <c r="A135" s="320" t="s">
        <v>373</v>
      </c>
      <c r="B135" s="111" t="s">
        <v>134</v>
      </c>
      <c r="C135" s="112"/>
      <c r="D135" s="1040">
        <v>14046.57</v>
      </c>
      <c r="E135" s="382">
        <f>+'Emission Factors'!K114</f>
        <v>0.59924999999999995</v>
      </c>
      <c r="F135" s="564">
        <f>(D135*E135)/1000</f>
        <v>8.4174070724999979</v>
      </c>
      <c r="G135" s="148"/>
      <c r="H135" s="148"/>
      <c r="I135" s="1990" t="s">
        <v>580</v>
      </c>
      <c r="J135" s="1991"/>
      <c r="K135" s="1992"/>
      <c r="L135" s="662">
        <f t="shared" si="17"/>
        <v>17.592380781524994</v>
      </c>
      <c r="M135" s="1056" t="str">
        <f t="shared" si="15"/>
        <v/>
      </c>
      <c r="N135" s="49"/>
      <c r="O135" s="49"/>
      <c r="P135" s="49"/>
      <c r="Q135" s="49"/>
      <c r="R135" s="49"/>
      <c r="S135" s="49"/>
      <c r="T135" s="49"/>
      <c r="U135" s="49"/>
      <c r="V135" s="49"/>
      <c r="W135" s="49"/>
      <c r="X135" s="49"/>
      <c r="Y135" s="49"/>
      <c r="Z135" s="49"/>
      <c r="AA135" s="49"/>
      <c r="AB135" s="49"/>
      <c r="AC135" s="49"/>
      <c r="AD135" s="49"/>
    </row>
    <row r="136" spans="1:30" ht="15" customHeight="1" thickBot="1" x14ac:dyDescent="0.35">
      <c r="A136" s="320" t="s">
        <v>373</v>
      </c>
      <c r="B136" s="409" t="s">
        <v>135</v>
      </c>
      <c r="C136" s="410"/>
      <c r="D136" s="664">
        <v>17192.11</v>
      </c>
      <c r="E136" s="411">
        <f>+'Emission Factors'!K115</f>
        <v>5.9699999999999996E-3</v>
      </c>
      <c r="F136" s="565">
        <f t="shared" si="16"/>
        <v>0.10263689669999999</v>
      </c>
      <c r="G136" s="173"/>
      <c r="H136" s="173"/>
      <c r="I136" s="2134"/>
      <c r="J136" s="2135"/>
      <c r="K136" s="2136"/>
      <c r="L136" s="49"/>
      <c r="M136" s="1122" t="str">
        <f t="shared" si="15"/>
        <v/>
      </c>
      <c r="N136" s="49"/>
      <c r="O136" s="49"/>
      <c r="P136" s="49"/>
      <c r="Q136" s="49"/>
      <c r="R136" s="49"/>
      <c r="S136" s="49"/>
      <c r="T136" s="49"/>
      <c r="U136" s="49"/>
      <c r="V136" s="49"/>
      <c r="W136" s="49"/>
      <c r="X136" s="49"/>
      <c r="Y136" s="49"/>
      <c r="Z136" s="49"/>
      <c r="AA136" s="49"/>
      <c r="AB136" s="49"/>
      <c r="AC136" s="49"/>
      <c r="AD136" s="49"/>
    </row>
    <row r="137" spans="1:30" ht="15" customHeight="1" x14ac:dyDescent="0.3">
      <c r="A137" s="49"/>
      <c r="B137" s="659" t="s">
        <v>407</v>
      </c>
      <c r="C137" s="650"/>
      <c r="D137" s="412"/>
      <c r="E137" s="413"/>
      <c r="F137" s="414"/>
      <c r="G137" s="414"/>
      <c r="H137" s="414"/>
      <c r="I137" s="415"/>
      <c r="J137" s="415"/>
      <c r="K137" s="415"/>
      <c r="L137" s="345"/>
      <c r="M137" s="420"/>
      <c r="N137" s="49"/>
      <c r="O137" s="49"/>
      <c r="P137" s="49"/>
      <c r="Q137" s="49"/>
      <c r="R137" s="49"/>
      <c r="S137" s="49"/>
      <c r="T137" s="49"/>
      <c r="U137" s="49"/>
      <c r="V137" s="49"/>
      <c r="W137" s="49"/>
      <c r="X137" s="49"/>
      <c r="Y137" s="49"/>
      <c r="Z137" s="49"/>
      <c r="AA137" s="49"/>
      <c r="AB137" s="49"/>
      <c r="AC137" s="49"/>
      <c r="AD137" s="49"/>
    </row>
    <row r="138" spans="1:30" s="594" customFormat="1" ht="23.4" x14ac:dyDescent="0.3">
      <c r="A138" s="1209"/>
      <c r="B138" s="471" t="s">
        <v>136</v>
      </c>
      <c r="C138" s="476"/>
      <c r="D138" s="2090" t="str">
        <f>+$A$1</f>
        <v>Quarter 1 - 2019-2020</v>
      </c>
      <c r="E138" s="2090"/>
      <c r="F138" s="2090"/>
      <c r="G138" s="2090"/>
      <c r="H138" s="2090"/>
      <c r="I138" s="2090"/>
      <c r="J138" s="2090"/>
      <c r="K138" s="477"/>
      <c r="L138" s="477"/>
      <c r="M138" s="477"/>
      <c r="N138" s="477"/>
      <c r="O138" s="477"/>
      <c r="P138" s="477"/>
      <c r="Q138" s="477"/>
      <c r="R138" s="477"/>
      <c r="S138" s="477"/>
      <c r="T138" s="477"/>
      <c r="U138" s="477"/>
      <c r="V138" s="477"/>
      <c r="W138" s="477"/>
      <c r="X138" s="477"/>
      <c r="Y138" s="478"/>
      <c r="Z138" s="478"/>
      <c r="AA138" s="478"/>
      <c r="AB138" s="478"/>
      <c r="AC138" s="478"/>
      <c r="AD138" s="478"/>
    </row>
    <row r="139" spans="1:30" ht="15" customHeight="1" thickBot="1" x14ac:dyDescent="0.35">
      <c r="A139" s="320"/>
      <c r="B139" s="43" t="s">
        <v>137</v>
      </c>
      <c r="C139" s="650"/>
      <c r="D139" s="412"/>
      <c r="E139" s="413"/>
      <c r="F139" s="414"/>
      <c r="G139" s="414"/>
      <c r="H139" s="414"/>
      <c r="I139" s="415"/>
      <c r="J139" s="415"/>
      <c r="K139" s="415"/>
      <c r="L139" s="49"/>
      <c r="M139" s="49"/>
      <c r="N139" s="49"/>
      <c r="O139" s="49"/>
      <c r="P139" s="49"/>
      <c r="Q139" s="49"/>
      <c r="R139" s="49"/>
      <c r="S139" s="49"/>
      <c r="T139" s="49"/>
      <c r="U139" s="49"/>
      <c r="V139" s="49"/>
      <c r="W139" s="49"/>
      <c r="X139" s="49"/>
      <c r="Y139" s="49"/>
      <c r="Z139" s="49"/>
      <c r="AA139" s="49"/>
      <c r="AB139" s="49"/>
      <c r="AC139" s="49"/>
      <c r="AD139" s="49"/>
    </row>
    <row r="140" spans="1:30" ht="30.75" customHeight="1" thickBot="1" x14ac:dyDescent="0.35">
      <c r="A140" s="320"/>
      <c r="B140" s="49"/>
      <c r="C140" s="49"/>
      <c r="D140" s="416"/>
      <c r="E140" s="650"/>
      <c r="F140" s="417" t="s">
        <v>23</v>
      </c>
      <c r="G140" s="418"/>
      <c r="H140" s="419" t="s">
        <v>144</v>
      </c>
      <c r="I140" s="2031" t="s">
        <v>24</v>
      </c>
      <c r="J140" s="2032"/>
      <c r="K140" s="2033"/>
      <c r="L140" s="49"/>
      <c r="M140" s="49"/>
      <c r="N140" s="49"/>
      <c r="O140" s="415"/>
      <c r="P140" s="49"/>
      <c r="Q140" s="49"/>
      <c r="R140" s="49"/>
      <c r="S140" s="49"/>
      <c r="T140" s="49"/>
      <c r="U140" s="49"/>
      <c r="V140" s="49"/>
      <c r="W140" s="49"/>
      <c r="X140" s="49"/>
      <c r="Y140" s="49"/>
      <c r="Z140" s="49"/>
      <c r="AA140" s="49"/>
      <c r="AB140" s="49"/>
      <c r="AC140" s="49"/>
      <c r="AD140" s="49"/>
    </row>
    <row r="141" spans="1:30" ht="15" customHeight="1" thickBot="1" x14ac:dyDescent="0.35">
      <c r="A141" s="320"/>
      <c r="B141" s="49"/>
      <c r="C141" s="49"/>
      <c r="D141" s="43" t="str">
        <f>IF(D33&gt;0,"Please add F7 to relevant to total for relevant scope","")</f>
        <v/>
      </c>
      <c r="E141" s="650"/>
      <c r="F141" s="51" t="s">
        <v>28</v>
      </c>
      <c r="G141" s="418"/>
      <c r="H141" s="433" t="s">
        <v>28</v>
      </c>
      <c r="I141" s="2034"/>
      <c r="J141" s="2035"/>
      <c r="K141" s="2036"/>
      <c r="L141" s="49"/>
      <c r="M141" s="49"/>
      <c r="N141" s="49"/>
      <c r="O141" s="415"/>
      <c r="P141" s="49"/>
      <c r="Q141" s="49"/>
      <c r="R141" s="49"/>
      <c r="S141" s="49"/>
      <c r="T141" s="49"/>
      <c r="U141" s="49"/>
      <c r="V141" s="49"/>
      <c r="W141" s="49"/>
      <c r="X141" s="49"/>
      <c r="Y141" s="49"/>
      <c r="Z141" s="49"/>
      <c r="AA141" s="49"/>
      <c r="AB141" s="49"/>
      <c r="AC141" s="49"/>
      <c r="AD141" s="49"/>
    </row>
    <row r="142" spans="1:30" ht="15" customHeight="1" thickBot="1" x14ac:dyDescent="0.35">
      <c r="A142" s="420"/>
      <c r="B142" s="49"/>
      <c r="C142" s="486"/>
      <c r="D142" s="1855" t="s">
        <v>513</v>
      </c>
      <c r="E142" s="1856"/>
      <c r="F142" s="42">
        <f>F143+F144+F145</f>
        <v>73523.848819970561</v>
      </c>
      <c r="G142" s="418"/>
      <c r="H142" s="651">
        <f>H143+H144+H145</f>
        <v>876.05685648478038</v>
      </c>
      <c r="I142" s="2037"/>
      <c r="J142" s="2038"/>
      <c r="K142" s="2039"/>
      <c r="L142" s="487"/>
      <c r="M142" s="420"/>
      <c r="N142" s="49"/>
      <c r="O142" s="415"/>
      <c r="P142" s="49"/>
      <c r="Q142" s="49"/>
      <c r="R142" s="49"/>
      <c r="S142" s="49"/>
      <c r="T142" s="49"/>
      <c r="U142" s="49"/>
      <c r="V142" s="49"/>
      <c r="W142" s="49"/>
      <c r="X142" s="49"/>
      <c r="Y142" s="49"/>
      <c r="Z142" s="49"/>
      <c r="AA142" s="49"/>
      <c r="AB142" s="49"/>
      <c r="AC142" s="49"/>
      <c r="AD142" s="49"/>
    </row>
    <row r="143" spans="1:30" ht="15" customHeight="1" x14ac:dyDescent="0.3">
      <c r="A143" s="420"/>
      <c r="B143" s="420"/>
      <c r="C143" s="488"/>
      <c r="D143" s="2081" t="s">
        <v>139</v>
      </c>
      <c r="E143" s="2082"/>
      <c r="F143" s="177">
        <f>F24+F25+F26+F27+F28+IF(I33="Scope 1",F33,0)+IF(I34="Scope 1",F34,0)+IF(I35="Scope 1",F35,0)+F36+F37+F38+F39+F40+F41+F42+F43+F44+F45+F46+F47+F53+T67+F64</f>
        <v>41069.817880743016</v>
      </c>
      <c r="G143" s="421"/>
      <c r="H143" s="652">
        <f>H24+H25+H26+H27+H28+IF(I33="Scope 1",H33,0)+IF(I34="Scope 1",H34,0)+IF(I35="Scope 1",H35,0)+H36+H37+H38+H39+H40+H41+H42+H43+H44+H45+H46+H47+H53</f>
        <v>135.71804412813952</v>
      </c>
      <c r="I143" s="2040"/>
      <c r="J143" s="2041"/>
      <c r="K143" s="2042"/>
      <c r="L143" s="420"/>
      <c r="M143" s="420"/>
      <c r="N143" s="49"/>
      <c r="O143" s="415"/>
      <c r="P143" s="49"/>
      <c r="Q143" s="49"/>
      <c r="R143" s="49"/>
      <c r="S143" s="49"/>
      <c r="T143" s="49"/>
      <c r="U143" s="49"/>
      <c r="V143" s="49"/>
      <c r="W143" s="49"/>
      <c r="X143" s="49"/>
      <c r="Y143" s="49"/>
      <c r="Z143" s="49"/>
      <c r="AA143" s="49"/>
      <c r="AB143" s="49"/>
      <c r="AC143" s="49"/>
      <c r="AD143" s="49"/>
    </row>
    <row r="144" spans="1:30" ht="15" customHeight="1" x14ac:dyDescent="0.3">
      <c r="A144" s="420"/>
      <c r="B144" s="420"/>
      <c r="C144" s="489"/>
      <c r="D144" s="2079" t="s">
        <v>140</v>
      </c>
      <c r="E144" s="2080"/>
      <c r="F144" s="177">
        <f>+P20+P21+P22+P23+P29+F30+F31+P32+IF(I33="Scope 2",F33,0)+IF(I34="Scope 2",F34,0)+IF(I35="Scope 2",F35,0)</f>
        <v>27169.068413402903</v>
      </c>
      <c r="G144" s="422"/>
      <c r="H144" s="652">
        <f>+V20+V21+V22+V23+V29+H30+H31+V32+IF(I33="Scope 2",H33,0)+IF(I34="Scope 2",H34,0)+IF(I35="Scope 2",H35,0)</f>
        <v>682.40389627968761</v>
      </c>
      <c r="I144" s="2043"/>
      <c r="J144" s="2044"/>
      <c r="K144" s="2045"/>
      <c r="L144" s="489"/>
      <c r="M144" s="420"/>
      <c r="N144" s="49"/>
      <c r="O144" s="415"/>
      <c r="P144" s="49"/>
      <c r="Q144" s="49"/>
      <c r="R144" s="49"/>
      <c r="S144" s="49"/>
      <c r="T144" s="49"/>
      <c r="U144" s="49"/>
      <c r="V144" s="49"/>
      <c r="W144" s="49"/>
      <c r="X144" s="49"/>
      <c r="Y144" s="49"/>
      <c r="Z144" s="49"/>
      <c r="AA144" s="49"/>
      <c r="AB144" s="49"/>
      <c r="AC144" s="49"/>
      <c r="AD144" s="49"/>
    </row>
    <row r="145" spans="1:30" ht="15" customHeight="1" thickBot="1" x14ac:dyDescent="0.35">
      <c r="A145" s="420"/>
      <c r="B145" s="420"/>
      <c r="C145" s="489"/>
      <c r="D145" s="2077" t="s">
        <v>141</v>
      </c>
      <c r="E145" s="2078"/>
      <c r="F145" s="178">
        <f>+R20+R21+R22+R23+R29+R32+IF(I33="Scope 3",F33,0)+IF(I34="Scope 3",F34,0)+IF(I35="Scope 3",F35,0)+F86+T89+F108</f>
        <v>5284.9625258246397</v>
      </c>
      <c r="G145" s="423"/>
      <c r="H145" s="180">
        <f>+X20+X21+X22+X23+X29+X32+IF(I33="Scope 3",H33,0)+IF(I34="Scope 3",H34,0)+IF(I35="Scope 3",H35,0)</f>
        <v>57.93491607695313</v>
      </c>
      <c r="I145" s="2138"/>
      <c r="J145" s="2139"/>
      <c r="K145" s="2140"/>
      <c r="L145" s="489"/>
      <c r="M145" s="420"/>
      <c r="N145" s="49"/>
      <c r="O145" s="415"/>
      <c r="P145" s="49"/>
      <c r="Q145" s="49"/>
      <c r="R145" s="49"/>
      <c r="S145" s="49"/>
      <c r="T145" s="49"/>
      <c r="U145" s="49"/>
      <c r="V145" s="49"/>
      <c r="W145" s="49"/>
      <c r="X145" s="49"/>
      <c r="Y145" s="49"/>
      <c r="Z145" s="49"/>
      <c r="AA145" s="49"/>
      <c r="AB145" s="49"/>
      <c r="AC145" s="49"/>
      <c r="AD145" s="49"/>
    </row>
    <row r="146" spans="1:30" ht="15" customHeight="1" thickBot="1" x14ac:dyDescent="0.35">
      <c r="A146" s="420"/>
      <c r="B146" s="420"/>
      <c r="C146" s="345"/>
      <c r="D146" s="2017" t="s">
        <v>172</v>
      </c>
      <c r="E146" s="2018"/>
      <c r="F146" s="179">
        <f>+Y67+Y89+F127</f>
        <v>38514.088806220294</v>
      </c>
      <c r="G146" s="424"/>
      <c r="H146" s="1108"/>
      <c r="I146" s="1095"/>
      <c r="J146" s="1096"/>
      <c r="K146" s="1097"/>
      <c r="L146" s="49"/>
      <c r="M146" s="420"/>
      <c r="N146" s="49"/>
      <c r="O146" s="415"/>
      <c r="P146" s="49"/>
      <c r="Q146" s="49"/>
      <c r="R146" s="49"/>
      <c r="S146" s="49"/>
      <c r="T146" s="49"/>
      <c r="U146" s="49"/>
      <c r="V146" s="49"/>
      <c r="W146" s="49"/>
      <c r="X146" s="49"/>
      <c r="Y146" s="49"/>
      <c r="Z146" s="49"/>
      <c r="AA146" s="49"/>
      <c r="AB146" s="49"/>
      <c r="AC146" s="49"/>
      <c r="AD146" s="49"/>
    </row>
    <row r="147" spans="1:30" ht="27.75" customHeight="1" x14ac:dyDescent="0.3">
      <c r="A147" s="320"/>
      <c r="B147" s="2019" t="s">
        <v>142</v>
      </c>
      <c r="C147" s="2019"/>
      <c r="D147" s="2019"/>
      <c r="E147" s="2019"/>
      <c r="F147" s="2019"/>
      <c r="G147" s="2019"/>
      <c r="H147" s="2019"/>
      <c r="I147" s="2019"/>
      <c r="J147" s="2019"/>
      <c r="K147" s="2019"/>
      <c r="L147" s="2019"/>
      <c r="M147" s="49"/>
      <c r="N147" s="49"/>
      <c r="O147" s="49"/>
      <c r="P147" s="49"/>
      <c r="Q147" s="49"/>
      <c r="R147" s="49"/>
      <c r="S147" s="49"/>
      <c r="T147" s="49"/>
      <c r="U147" s="49"/>
      <c r="V147" s="49"/>
      <c r="W147" s="49"/>
      <c r="X147" s="49"/>
      <c r="Y147" s="49"/>
      <c r="Z147" s="49"/>
      <c r="AA147" s="49"/>
      <c r="AB147" s="49"/>
      <c r="AC147" s="49"/>
      <c r="AD147" s="49"/>
    </row>
    <row r="148" spans="1:30" ht="27.75" customHeight="1" x14ac:dyDescent="0.3">
      <c r="A148" s="320"/>
      <c r="B148" s="1088"/>
      <c r="C148" s="1088"/>
      <c r="D148" s="1088"/>
      <c r="E148" s="1088"/>
      <c r="F148" s="1088"/>
      <c r="G148" s="1088"/>
      <c r="H148" s="1088"/>
      <c r="I148" s="1088"/>
      <c r="J148" s="1088"/>
      <c r="K148" s="1088"/>
      <c r="L148" s="1088"/>
      <c r="M148" s="49"/>
      <c r="N148" s="49"/>
      <c r="O148" s="49"/>
      <c r="P148" s="49"/>
      <c r="Q148" s="49"/>
      <c r="R148" s="49"/>
      <c r="S148" s="49"/>
      <c r="T148" s="49"/>
      <c r="U148" s="49"/>
      <c r="V148" s="49"/>
      <c r="W148" s="49"/>
      <c r="X148" s="49"/>
      <c r="Y148" s="49"/>
      <c r="Z148" s="49"/>
      <c r="AA148" s="49"/>
      <c r="AB148" s="49"/>
      <c r="AC148" s="49"/>
      <c r="AD148" s="49"/>
    </row>
    <row r="149" spans="1:30" s="594" customFormat="1" ht="23.4" x14ac:dyDescent="0.3">
      <c r="A149" s="1209"/>
      <c r="B149" s="471" t="s">
        <v>462</v>
      </c>
      <c r="C149" s="476"/>
      <c r="D149" s="2090" t="str">
        <f>+$A$1</f>
        <v>Quarter 1 - 2019-2020</v>
      </c>
      <c r="E149" s="2090"/>
      <c r="F149" s="2090"/>
      <c r="G149" s="2090"/>
      <c r="H149" s="2090"/>
      <c r="I149" s="2090"/>
      <c r="J149" s="2090"/>
      <c r="K149" s="477"/>
      <c r="L149" s="477"/>
      <c r="M149" s="477"/>
      <c r="N149" s="477"/>
      <c r="O149" s="477"/>
      <c r="P149" s="477"/>
      <c r="Q149" s="477"/>
      <c r="R149" s="477"/>
      <c r="S149" s="477"/>
      <c r="T149" s="477"/>
      <c r="U149" s="477"/>
      <c r="V149" s="477"/>
      <c r="W149" s="477"/>
      <c r="X149" s="477"/>
      <c r="Y149" s="478"/>
      <c r="Z149" s="478"/>
      <c r="AA149" s="478"/>
      <c r="AB149" s="478"/>
      <c r="AC149" s="478"/>
      <c r="AD149" s="478"/>
    </row>
    <row r="150" spans="1:30" ht="15" customHeight="1" x14ac:dyDescent="0.3">
      <c r="A150" s="320"/>
      <c r="B150" s="43" t="s">
        <v>480</v>
      </c>
      <c r="C150" s="650"/>
      <c r="D150" s="412"/>
      <c r="E150" s="413"/>
      <c r="F150" s="414"/>
      <c r="G150" s="414"/>
      <c r="H150" s="414"/>
      <c r="I150" s="415"/>
      <c r="J150" s="415"/>
      <c r="K150" s="415"/>
      <c r="L150" s="49"/>
      <c r="M150" s="49"/>
      <c r="N150" s="49"/>
      <c r="O150" s="49"/>
      <c r="P150" s="49"/>
      <c r="Q150" s="49"/>
      <c r="R150" s="49"/>
      <c r="S150" s="49"/>
      <c r="T150" s="49"/>
      <c r="U150" s="49"/>
      <c r="V150" s="49"/>
      <c r="W150" s="49"/>
      <c r="X150" s="49"/>
      <c r="Y150" s="49"/>
      <c r="Z150" s="49"/>
      <c r="AA150" s="49"/>
      <c r="AB150" s="49"/>
      <c r="AC150" s="49"/>
      <c r="AD150" s="49"/>
    </row>
    <row r="151" spans="1:30" ht="15" customHeight="1" thickBot="1" x14ac:dyDescent="0.35">
      <c r="A151" s="320"/>
      <c r="B151" s="49"/>
      <c r="C151" s="49"/>
      <c r="D151" s="416"/>
      <c r="E151" s="650"/>
      <c r="F151" s="650"/>
      <c r="G151" s="650"/>
      <c r="H151" s="650"/>
      <c r="I151" s="650"/>
      <c r="J151" s="650"/>
      <c r="K151" s="650"/>
      <c r="L151" s="49"/>
      <c r="M151" s="49"/>
      <c r="N151" s="49"/>
      <c r="O151" s="415"/>
      <c r="P151" s="49"/>
      <c r="Q151" s="49"/>
      <c r="R151" s="49"/>
      <c r="S151" s="49"/>
      <c r="T151" s="49"/>
      <c r="U151" s="49"/>
      <c r="V151" s="49"/>
      <c r="W151" s="49"/>
      <c r="X151" s="49"/>
      <c r="Y151" s="49"/>
      <c r="Z151" s="49"/>
      <c r="AA151" s="49"/>
      <c r="AB151" s="49"/>
      <c r="AC151" s="49"/>
      <c r="AD151" s="49"/>
    </row>
    <row r="152" spans="1:30" ht="15" customHeight="1" thickBot="1" x14ac:dyDescent="0.35">
      <c r="A152" s="320"/>
      <c r="B152" s="49"/>
      <c r="C152" s="49"/>
      <c r="D152" s="1860" t="s">
        <v>23</v>
      </c>
      <c r="E152" s="1861"/>
      <c r="F152" s="1862"/>
      <c r="G152" s="1860" t="s">
        <v>24</v>
      </c>
      <c r="H152" s="1861"/>
      <c r="I152" s="1862"/>
      <c r="J152" s="650"/>
      <c r="K152" s="650"/>
      <c r="L152" s="49"/>
      <c r="M152" s="49"/>
      <c r="N152" s="49"/>
      <c r="O152" s="415"/>
      <c r="P152" s="49"/>
      <c r="Q152" s="49"/>
      <c r="R152" s="49"/>
      <c r="S152" s="49"/>
      <c r="T152" s="49"/>
      <c r="U152" s="49"/>
      <c r="V152" s="49"/>
      <c r="W152" s="49"/>
      <c r="X152" s="49"/>
      <c r="Y152" s="49"/>
      <c r="Z152" s="49"/>
      <c r="AA152" s="49"/>
      <c r="AB152" s="49"/>
      <c r="AC152" s="49"/>
      <c r="AD152" s="49"/>
    </row>
    <row r="153" spans="1:30" ht="15" customHeight="1" thickBot="1" x14ac:dyDescent="0.35">
      <c r="A153" s="320"/>
      <c r="B153" s="2020" t="s">
        <v>463</v>
      </c>
      <c r="C153" s="2021"/>
      <c r="D153" s="1957"/>
      <c r="E153" s="1958"/>
      <c r="F153" s="1959"/>
      <c r="G153" s="2025"/>
      <c r="H153" s="2026"/>
      <c r="I153" s="2027"/>
      <c r="J153" s="650"/>
      <c r="K153" s="650"/>
      <c r="L153" s="487"/>
      <c r="M153" s="420"/>
      <c r="N153" s="49"/>
      <c r="O153" s="415"/>
      <c r="P153" s="49"/>
      <c r="Q153" s="49"/>
      <c r="R153" s="49"/>
      <c r="S153" s="49"/>
      <c r="T153" s="49"/>
      <c r="U153" s="49"/>
      <c r="V153" s="49"/>
      <c r="W153" s="49"/>
      <c r="X153" s="49"/>
      <c r="Y153" s="49"/>
      <c r="Z153" s="49"/>
      <c r="AA153" s="49"/>
      <c r="AB153" s="49"/>
      <c r="AC153" s="49"/>
      <c r="AD153" s="49"/>
    </row>
    <row r="154" spans="1:30" ht="15" customHeight="1" thickBot="1" x14ac:dyDescent="0.35">
      <c r="A154" s="320"/>
      <c r="B154" s="2020" t="s">
        <v>464</v>
      </c>
      <c r="C154" s="2021"/>
      <c r="D154" s="60" t="s">
        <v>466</v>
      </c>
      <c r="E154" s="2146"/>
      <c r="F154" s="2147"/>
      <c r="G154" s="2025"/>
      <c r="H154" s="2026"/>
      <c r="I154" s="2027"/>
      <c r="J154" s="650"/>
      <c r="K154" s="650"/>
      <c r="L154" s="420"/>
      <c r="M154" s="420"/>
      <c r="N154" s="49"/>
      <c r="O154" s="415"/>
      <c r="P154" s="49"/>
      <c r="Q154" s="49"/>
      <c r="R154" s="49"/>
      <c r="S154" s="49"/>
      <c r="T154" s="49"/>
      <c r="U154" s="49"/>
      <c r="V154" s="49"/>
      <c r="W154" s="49"/>
      <c r="X154" s="49"/>
      <c r="Y154" s="49"/>
      <c r="Z154" s="49"/>
      <c r="AA154" s="49"/>
      <c r="AB154" s="49"/>
      <c r="AC154" s="49"/>
      <c r="AD154" s="49"/>
    </row>
    <row r="155" spans="1:30" ht="45" customHeight="1" thickBot="1" x14ac:dyDescent="0.35">
      <c r="A155" s="320"/>
      <c r="B155" s="2020" t="s">
        <v>465</v>
      </c>
      <c r="C155" s="2021"/>
      <c r="D155" s="1996"/>
      <c r="E155" s="1997"/>
      <c r="F155" s="1998"/>
      <c r="G155" s="1857"/>
      <c r="H155" s="1858"/>
      <c r="I155" s="1859"/>
      <c r="J155" s="650"/>
      <c r="K155" s="650"/>
      <c r="L155" s="489"/>
      <c r="M155" s="420"/>
      <c r="N155" s="49"/>
      <c r="O155" s="415"/>
      <c r="P155" s="49"/>
      <c r="Q155" s="49"/>
      <c r="R155" s="49"/>
      <c r="S155" s="49"/>
      <c r="T155" s="49"/>
      <c r="U155" s="49"/>
      <c r="V155" s="49"/>
      <c r="W155" s="49"/>
      <c r="X155" s="49"/>
      <c r="Y155" s="49"/>
      <c r="Z155" s="49"/>
      <c r="AA155" s="49"/>
      <c r="AB155" s="49"/>
      <c r="AC155" s="49"/>
      <c r="AD155" s="49"/>
    </row>
    <row r="156" spans="1:30" ht="15" customHeight="1" x14ac:dyDescent="0.3">
      <c r="A156" s="320"/>
      <c r="B156" s="1088"/>
      <c r="C156" s="1088"/>
      <c r="D156" s="1088"/>
      <c r="E156" s="1088"/>
      <c r="F156" s="1088"/>
      <c r="G156" s="1088"/>
      <c r="H156" s="1088"/>
      <c r="I156" s="1088"/>
      <c r="J156" s="1088"/>
      <c r="K156" s="1088"/>
      <c r="L156" s="1088"/>
      <c r="M156" s="49"/>
      <c r="N156" s="49"/>
      <c r="O156" s="49"/>
      <c r="P156" s="49"/>
      <c r="Q156" s="49"/>
      <c r="R156" s="49"/>
      <c r="S156" s="49"/>
      <c r="T156" s="49"/>
      <c r="U156" s="49"/>
      <c r="V156" s="49"/>
      <c r="W156" s="49"/>
      <c r="X156" s="49"/>
      <c r="Y156" s="49"/>
      <c r="Z156" s="49"/>
      <c r="AA156" s="49"/>
      <c r="AB156" s="49"/>
      <c r="AC156" s="49"/>
      <c r="AD156" s="49"/>
    </row>
    <row r="157" spans="1:30" ht="27.75" customHeight="1" x14ac:dyDescent="0.3">
      <c r="A157" s="1209">
        <v>3</v>
      </c>
      <c r="B157" s="471" t="s">
        <v>143</v>
      </c>
      <c r="C157" s="472"/>
      <c r="D157" s="2090" t="str">
        <f>+$A$1</f>
        <v>Quarter 1 - 2019-2020</v>
      </c>
      <c r="E157" s="2090"/>
      <c r="F157" s="2090"/>
      <c r="G157" s="2090"/>
      <c r="H157" s="2090"/>
      <c r="I157" s="2090"/>
      <c r="J157" s="2090"/>
      <c r="K157" s="473"/>
      <c r="L157" s="473"/>
      <c r="M157" s="473"/>
      <c r="N157" s="466"/>
      <c r="O157" s="466"/>
      <c r="P157" s="474"/>
      <c r="Q157" s="474"/>
      <c r="R157" s="466"/>
      <c r="S157" s="466"/>
      <c r="T157" s="466"/>
      <c r="U157" s="466"/>
      <c r="V157" s="466"/>
      <c r="W157" s="466"/>
      <c r="X157" s="466"/>
      <c r="Y157" s="466"/>
      <c r="Z157" s="466"/>
      <c r="AA157" s="466"/>
      <c r="AB157" s="466"/>
      <c r="AC157" s="466"/>
      <c r="AD157" s="466"/>
    </row>
    <row r="158" spans="1:30" x14ac:dyDescent="0.3">
      <c r="A158" s="320"/>
      <c r="B158" s="49"/>
      <c r="C158" s="49"/>
      <c r="D158" s="336"/>
      <c r="E158" s="337"/>
      <c r="F158" s="337"/>
      <c r="G158" s="337"/>
      <c r="H158" s="337"/>
      <c r="I158" s="337"/>
      <c r="J158" s="386"/>
      <c r="K158" s="426"/>
      <c r="L158" s="337"/>
      <c r="M158" s="337"/>
      <c r="N158" s="49"/>
      <c r="O158" s="49"/>
      <c r="P158" s="49"/>
      <c r="Q158" s="49"/>
      <c r="R158" s="49"/>
      <c r="S158" s="49"/>
      <c r="T158" s="49"/>
      <c r="U158" s="49"/>
      <c r="V158" s="49"/>
      <c r="W158" s="49"/>
      <c r="X158" s="49"/>
      <c r="Y158" s="49"/>
      <c r="Z158" s="49"/>
      <c r="AA158" s="49"/>
      <c r="AB158" s="49"/>
      <c r="AC158" s="49"/>
      <c r="AD158" s="49"/>
    </row>
    <row r="159" spans="1:30" x14ac:dyDescent="0.3">
      <c r="A159" s="320"/>
      <c r="B159" s="49"/>
      <c r="C159" s="49"/>
      <c r="D159" s="336"/>
      <c r="E159" s="415"/>
      <c r="F159" s="415"/>
      <c r="G159" s="415"/>
      <c r="H159" s="415"/>
      <c r="I159" s="415"/>
      <c r="J159" s="415"/>
      <c r="K159" s="415"/>
      <c r="L159" s="337"/>
      <c r="M159" s="337"/>
      <c r="N159" s="49"/>
      <c r="O159" s="49"/>
      <c r="P159" s="49"/>
      <c r="Q159" s="49"/>
      <c r="R159" s="49"/>
      <c r="S159" s="49"/>
      <c r="T159" s="49"/>
      <c r="U159" s="49"/>
      <c r="V159" s="49"/>
      <c r="W159" s="49"/>
      <c r="X159" s="49"/>
      <c r="Y159" s="49"/>
      <c r="Z159" s="49"/>
      <c r="AA159" s="49"/>
      <c r="AB159" s="49"/>
      <c r="AC159" s="49"/>
      <c r="AD159" s="49"/>
    </row>
    <row r="160" spans="1:30" ht="18.75" customHeight="1" x14ac:dyDescent="0.3">
      <c r="A160" s="320"/>
      <c r="B160" s="43"/>
      <c r="C160" s="30"/>
      <c r="D160" s="43"/>
      <c r="E160" s="415"/>
      <c r="F160" s="415"/>
      <c r="G160" s="415"/>
      <c r="H160" s="415"/>
      <c r="I160" s="415"/>
      <c r="J160" s="415"/>
      <c r="K160" s="415"/>
      <c r="L160" s="415"/>
      <c r="M160" s="415"/>
      <c r="N160" s="415"/>
      <c r="O160" s="415"/>
      <c r="P160" s="415"/>
      <c r="Q160" s="415"/>
      <c r="R160" s="415"/>
      <c r="S160" s="415"/>
      <c r="T160" s="415"/>
      <c r="U160" s="415"/>
      <c r="V160" s="415"/>
      <c r="W160" s="415"/>
      <c r="X160" s="415"/>
      <c r="Y160" s="415"/>
      <c r="Z160" s="415"/>
      <c r="AA160" s="415"/>
      <c r="AB160" s="415"/>
      <c r="AC160" s="415"/>
      <c r="AD160" s="415"/>
    </row>
    <row r="161" spans="1:30" ht="15.75" customHeight="1" thickBot="1" x14ac:dyDescent="0.35">
      <c r="A161" s="320"/>
      <c r="B161" s="49"/>
      <c r="C161" s="49"/>
      <c r="D161" s="43"/>
      <c r="E161" s="49"/>
      <c r="F161" s="336"/>
      <c r="G161" s="336"/>
      <c r="H161" s="336"/>
      <c r="I161" s="415"/>
      <c r="J161" s="415"/>
      <c r="K161" s="415"/>
      <c r="L161" s="415"/>
      <c r="M161" s="415"/>
      <c r="N161" s="415"/>
      <c r="O161" s="415"/>
      <c r="P161" s="415"/>
      <c r="Q161" s="415"/>
      <c r="R161" s="415"/>
      <c r="S161" s="415"/>
      <c r="T161" s="415"/>
      <c r="U161" s="415"/>
      <c r="V161" s="415"/>
      <c r="W161" s="415"/>
      <c r="X161" s="415"/>
      <c r="Y161" s="415"/>
      <c r="Z161" s="415"/>
      <c r="AA161" s="415"/>
      <c r="AB161" s="415"/>
      <c r="AC161" s="415"/>
      <c r="AD161" s="415"/>
    </row>
    <row r="162" spans="1:30" ht="15.75" customHeight="1" thickBot="1" x14ac:dyDescent="0.35">
      <c r="A162" s="320"/>
      <c r="B162" s="49"/>
      <c r="C162" s="43"/>
      <c r="D162" s="428" t="s">
        <v>23</v>
      </c>
      <c r="E162" s="2046" t="s">
        <v>144</v>
      </c>
      <c r="F162" s="2047"/>
      <c r="G162" s="2047"/>
      <c r="H162" s="2048"/>
      <c r="I162" s="1849" t="s">
        <v>24</v>
      </c>
      <c r="J162" s="1850"/>
      <c r="K162" s="1851"/>
      <c r="L162" s="1909" t="s">
        <v>461</v>
      </c>
      <c r="M162" s="415"/>
      <c r="N162" s="415"/>
      <c r="O162" s="415"/>
      <c r="P162" s="415"/>
      <c r="Q162" s="415"/>
      <c r="R162" s="415"/>
      <c r="S162" s="415"/>
      <c r="T162" s="415"/>
      <c r="U162" s="415"/>
      <c r="V162" s="415"/>
      <c r="W162" s="415"/>
      <c r="X162" s="415"/>
      <c r="Y162" s="415"/>
      <c r="Z162" s="415"/>
      <c r="AA162" s="415"/>
      <c r="AB162" s="415"/>
      <c r="AC162" s="415"/>
      <c r="AD162" s="415"/>
    </row>
    <row r="163" spans="1:30" ht="39.75" customHeight="1" thickBot="1" x14ac:dyDescent="0.35">
      <c r="A163" s="320"/>
      <c r="B163" s="359"/>
      <c r="C163" s="49"/>
      <c r="D163" s="490" t="s">
        <v>145</v>
      </c>
      <c r="E163" s="432" t="s">
        <v>173</v>
      </c>
      <c r="F163" s="432" t="s">
        <v>376</v>
      </c>
      <c r="G163" s="433" t="s">
        <v>145</v>
      </c>
      <c r="H163" s="432" t="s">
        <v>469</v>
      </c>
      <c r="I163" s="1852"/>
      <c r="J163" s="1853"/>
      <c r="K163" s="1854"/>
      <c r="L163" s="1911"/>
      <c r="M163" s="415"/>
      <c r="N163" s="415"/>
      <c r="O163" s="415"/>
      <c r="P163" s="415"/>
      <c r="Q163" s="415"/>
      <c r="R163" s="415"/>
      <c r="S163" s="415"/>
      <c r="T163" s="415"/>
      <c r="U163" s="415"/>
      <c r="V163" s="415"/>
      <c r="W163" s="415"/>
      <c r="X163" s="415"/>
      <c r="Y163" s="415"/>
      <c r="Z163" s="415"/>
      <c r="AA163" s="415"/>
      <c r="AB163" s="415"/>
      <c r="AC163" s="415"/>
      <c r="AD163" s="415"/>
    </row>
    <row r="164" spans="1:30" ht="15.75" customHeight="1" thickBot="1" x14ac:dyDescent="0.35">
      <c r="A164" s="320"/>
      <c r="B164" s="1855" t="s">
        <v>146</v>
      </c>
      <c r="C164" s="1856"/>
      <c r="D164" s="1042">
        <v>2197087.5279642199</v>
      </c>
      <c r="E164" s="1042">
        <v>3304</v>
      </c>
      <c r="F164" s="1043">
        <v>7248.8655607535902</v>
      </c>
      <c r="G164" s="491">
        <f>IF(Performance!$L$2="Y",D164,F164)</f>
        <v>7248.8655607535902</v>
      </c>
      <c r="H164" s="562">
        <f>IF(AND(E164&lt;&gt;0,E164&lt;&gt;""),G164/E164,"")</f>
        <v>2.193966574077963</v>
      </c>
      <c r="I164" s="2025" t="s">
        <v>642</v>
      </c>
      <c r="J164" s="2026"/>
      <c r="K164" s="2027"/>
      <c r="L164" s="1119" t="str">
        <f>IF(OR(D164&lt;0,E164&lt;0,F164&lt;0),"Error - negative number",IF(F164&gt;D164,"Offices only &gt; Total Estate",IF(AND(H164&lt;'QA config'!D2,H164&lt;&gt;""),CONCATENATE("&lt; ",'QA config'!D2," m3/FTE"),IF(AND(H164&gt;'QA config'!C2,H164&lt;&gt;""),CONCATENATE("&gt; ",'QA config'!C2," m3/FTE"),""))))</f>
        <v/>
      </c>
      <c r="M164" s="415"/>
      <c r="N164" s="415"/>
      <c r="O164" s="415"/>
      <c r="P164" s="415"/>
      <c r="Q164" s="415"/>
      <c r="R164" s="415"/>
      <c r="S164" s="415"/>
      <c r="T164" s="415"/>
      <c r="U164" s="415"/>
      <c r="V164" s="415"/>
      <c r="W164" s="415"/>
      <c r="X164" s="415"/>
      <c r="Y164" s="415"/>
      <c r="Z164" s="415"/>
      <c r="AA164" s="415"/>
      <c r="AB164" s="415"/>
      <c r="AC164" s="415"/>
      <c r="AD164" s="415"/>
    </row>
    <row r="165" spans="1:30" ht="13.5" customHeight="1" x14ac:dyDescent="0.3">
      <c r="A165" s="320"/>
      <c r="B165" s="49" t="s">
        <v>175</v>
      </c>
      <c r="C165" s="49"/>
      <c r="D165" s="49"/>
      <c r="E165" s="49"/>
      <c r="F165" s="49"/>
      <c r="G165" s="49"/>
      <c r="H165" s="49"/>
      <c r="I165" s="415"/>
      <c r="J165" s="415"/>
      <c r="K165" s="415"/>
      <c r="L165" s="415"/>
      <c r="M165" s="415"/>
      <c r="N165" s="415"/>
      <c r="O165" s="415"/>
      <c r="P165" s="415"/>
      <c r="Q165" s="415"/>
      <c r="R165" s="415"/>
      <c r="S165" s="415"/>
      <c r="T165" s="415"/>
      <c r="U165" s="415"/>
      <c r="V165" s="415"/>
      <c r="W165" s="415"/>
      <c r="X165" s="415"/>
      <c r="Y165" s="415"/>
      <c r="Z165" s="415"/>
      <c r="AA165" s="415"/>
      <c r="AB165" s="415"/>
      <c r="AC165" s="415"/>
      <c r="AD165" s="415"/>
    </row>
    <row r="166" spans="1:30" x14ac:dyDescent="0.3">
      <c r="A166" s="320"/>
      <c r="B166" s="49"/>
      <c r="C166" s="49"/>
      <c r="D166" s="360"/>
      <c r="E166" s="337"/>
      <c r="F166" s="337"/>
      <c r="G166" s="337"/>
      <c r="H166" s="337"/>
      <c r="I166" s="337"/>
      <c r="J166" s="415"/>
      <c r="K166" s="415"/>
      <c r="L166" s="337"/>
      <c r="M166" s="337"/>
      <c r="N166" s="437"/>
      <c r="O166" s="337"/>
      <c r="P166" s="49"/>
      <c r="Q166" s="49"/>
      <c r="R166" s="320"/>
      <c r="S166" s="49"/>
      <c r="T166" s="49"/>
      <c r="U166" s="49"/>
      <c r="V166" s="49"/>
      <c r="W166" s="49"/>
      <c r="X166" s="49"/>
      <c r="Y166" s="49"/>
      <c r="Z166" s="49"/>
      <c r="AA166" s="49"/>
      <c r="AB166" s="49"/>
      <c r="AC166" s="49"/>
      <c r="AD166" s="49"/>
    </row>
    <row r="167" spans="1:30" ht="27.75" customHeight="1" x14ac:dyDescent="0.3">
      <c r="A167" s="1209">
        <v>4</v>
      </c>
      <c r="B167" s="471" t="s">
        <v>147</v>
      </c>
      <c r="C167" s="472"/>
      <c r="D167" s="2090" t="str">
        <f>+$A$1</f>
        <v>Quarter 1 - 2019-2020</v>
      </c>
      <c r="E167" s="2090"/>
      <c r="F167" s="2090"/>
      <c r="G167" s="2090"/>
      <c r="H167" s="2090"/>
      <c r="I167" s="2090"/>
      <c r="J167" s="2090"/>
      <c r="K167" s="473"/>
      <c r="L167" s="473"/>
      <c r="M167" s="466"/>
      <c r="N167" s="466"/>
      <c r="O167" s="466"/>
      <c r="P167" s="474"/>
      <c r="Q167" s="466"/>
      <c r="R167" s="466"/>
      <c r="S167" s="466"/>
      <c r="T167" s="466"/>
      <c r="U167" s="466"/>
      <c r="V167" s="466"/>
      <c r="W167" s="466"/>
      <c r="X167" s="466"/>
      <c r="Y167" s="466"/>
      <c r="Z167" s="466"/>
      <c r="AA167" s="466"/>
      <c r="AB167" s="466"/>
      <c r="AC167" s="466"/>
      <c r="AD167" s="466"/>
    </row>
    <row r="168" spans="1:30" ht="15.75" customHeight="1" thickBot="1" x14ac:dyDescent="0.35">
      <c r="A168" s="320"/>
      <c r="B168" s="49"/>
      <c r="C168" s="49"/>
      <c r="D168" s="336"/>
      <c r="E168" s="336"/>
      <c r="F168" s="336"/>
      <c r="G168" s="336"/>
      <c r="H168" s="336"/>
      <c r="I168" s="336"/>
      <c r="J168" s="336"/>
      <c r="K168" s="336"/>
      <c r="L168" s="49"/>
      <c r="M168" s="49"/>
      <c r="N168" s="49"/>
      <c r="O168" s="49"/>
      <c r="P168" s="49"/>
      <c r="Q168" s="49"/>
      <c r="R168" s="49"/>
      <c r="S168" s="49"/>
      <c r="T168" s="49"/>
      <c r="U168" s="49"/>
      <c r="V168" s="49"/>
      <c r="W168" s="49"/>
      <c r="X168" s="49"/>
      <c r="Y168" s="49"/>
      <c r="Z168" s="49"/>
      <c r="AA168" s="49"/>
      <c r="AB168" s="49"/>
      <c r="AC168" s="49"/>
      <c r="AD168" s="49"/>
    </row>
    <row r="169" spans="1:30" ht="13.5" customHeight="1" thickBot="1" x14ac:dyDescent="0.35">
      <c r="A169" s="320"/>
      <c r="B169" s="49"/>
      <c r="C169" s="43"/>
      <c r="D169" s="337"/>
      <c r="E169" s="2060" t="s">
        <v>23</v>
      </c>
      <c r="F169" s="2061"/>
      <c r="G169" s="2062" t="s">
        <v>144</v>
      </c>
      <c r="H169" s="2137"/>
      <c r="I169" s="1849" t="s">
        <v>24</v>
      </c>
      <c r="J169" s="1850"/>
      <c r="K169" s="1851"/>
      <c r="L169" s="1909" t="s">
        <v>461</v>
      </c>
      <c r="M169" s="49"/>
      <c r="N169" s="49"/>
      <c r="O169" s="49"/>
      <c r="P169" s="49"/>
      <c r="Q169" s="49"/>
      <c r="R169" s="49"/>
      <c r="S169" s="49"/>
      <c r="T169" s="49"/>
      <c r="U169" s="49"/>
      <c r="V169" s="49"/>
      <c r="W169" s="49"/>
      <c r="X169" s="49"/>
      <c r="Y169" s="49"/>
      <c r="Z169" s="49"/>
      <c r="AA169" s="49"/>
      <c r="AB169" s="49"/>
      <c r="AC169" s="49"/>
      <c r="AD169" s="49"/>
    </row>
    <row r="170" spans="1:30" ht="16.5" customHeight="1" thickBot="1" x14ac:dyDescent="0.35">
      <c r="A170" s="320"/>
      <c r="B170" s="49"/>
      <c r="C170" s="359"/>
      <c r="D170" s="49"/>
      <c r="E170" s="438" t="s">
        <v>148</v>
      </c>
      <c r="F170" s="439" t="s">
        <v>149</v>
      </c>
      <c r="G170" s="433" t="s">
        <v>148</v>
      </c>
      <c r="H170" s="433" t="s">
        <v>149</v>
      </c>
      <c r="I170" s="1852"/>
      <c r="J170" s="1853"/>
      <c r="K170" s="1854"/>
      <c r="L170" s="1911"/>
      <c r="M170" s="49"/>
      <c r="N170" s="49"/>
      <c r="O170" s="49"/>
      <c r="P170" s="49"/>
      <c r="Q170" s="49"/>
      <c r="R170" s="49"/>
      <c r="S170" s="49"/>
      <c r="T170" s="49"/>
      <c r="U170" s="49"/>
      <c r="V170" s="49"/>
      <c r="W170" s="49"/>
      <c r="X170" s="49"/>
      <c r="Y170" s="49"/>
      <c r="Z170" s="49"/>
      <c r="AA170" s="49"/>
      <c r="AB170" s="49"/>
      <c r="AC170" s="49"/>
      <c r="AD170" s="49"/>
    </row>
    <row r="171" spans="1:30" ht="15.75" customHeight="1" x14ac:dyDescent="0.3">
      <c r="A171" s="320"/>
      <c r="B171" s="1291" t="s">
        <v>150</v>
      </c>
      <c r="C171" s="1310"/>
      <c r="D171" s="1300"/>
      <c r="E171" s="1046">
        <v>10210.61</v>
      </c>
      <c r="F171" s="440">
        <f>IF($E$184&gt;0,E171/$E$184,"")</f>
        <v>0.7762924550282625</v>
      </c>
      <c r="G171" s="1048">
        <v>98.81</v>
      </c>
      <c r="H171" s="442">
        <f>IF($G$184&gt;0,G171/$G$184,"")</f>
        <v>0.86389632945042649</v>
      </c>
      <c r="I171" s="2025" t="s">
        <v>648</v>
      </c>
      <c r="J171" s="2026"/>
      <c r="K171" s="2027"/>
      <c r="L171" s="1121" t="str">
        <f>IF(OR(E171&lt;0,G171&lt;0),"Error - negative number",IF(G171&gt;E171,"Offices only &gt; Total Estate",""))</f>
        <v/>
      </c>
      <c r="M171" s="49"/>
      <c r="N171" s="49"/>
      <c r="O171" s="49"/>
      <c r="P171" s="49"/>
      <c r="Q171" s="49"/>
      <c r="R171" s="49"/>
      <c r="S171" s="49"/>
      <c r="T171" s="49"/>
      <c r="U171" s="49"/>
      <c r="V171" s="49"/>
      <c r="W171" s="49"/>
      <c r="X171" s="49"/>
      <c r="Y171" s="49"/>
      <c r="Z171" s="49"/>
      <c r="AA171" s="49"/>
      <c r="AB171" s="49"/>
      <c r="AC171" s="49"/>
      <c r="AD171" s="49"/>
    </row>
    <row r="172" spans="1:30" ht="15.75" customHeight="1" thickBot="1" x14ac:dyDescent="0.35">
      <c r="A172" s="320"/>
      <c r="B172" s="1292" t="s">
        <v>365</v>
      </c>
      <c r="C172" s="1311"/>
      <c r="D172" s="1301"/>
      <c r="E172" s="1046">
        <v>34.437230194091804</v>
      </c>
      <c r="F172" s="443"/>
      <c r="G172" s="1048"/>
      <c r="H172" s="444"/>
      <c r="I172" s="2098" t="s">
        <v>582</v>
      </c>
      <c r="J172" s="2099"/>
      <c r="K172" s="2100"/>
      <c r="L172" s="1056" t="str">
        <f t="shared" ref="L172:L185" si="18">IF(OR(E172&lt;0,G172&lt;0),"Error - negative number",IF(G172&gt;E172,"Offices only &gt; Total Estate",""))</f>
        <v/>
      </c>
      <c r="M172" s="49"/>
      <c r="N172" s="49"/>
      <c r="O172" s="49"/>
      <c r="P172" s="49"/>
      <c r="Q172" s="49"/>
      <c r="R172" s="49"/>
      <c r="S172" s="49"/>
      <c r="T172" s="49"/>
      <c r="U172" s="49"/>
      <c r="V172" s="49"/>
      <c r="W172" s="49"/>
      <c r="X172" s="49"/>
      <c r="Y172" s="49"/>
      <c r="Z172" s="49"/>
      <c r="AA172" s="49"/>
      <c r="AB172" s="49"/>
      <c r="AC172" s="49"/>
      <c r="AD172" s="49"/>
    </row>
    <row r="173" spans="1:30" ht="15.75" customHeight="1" x14ac:dyDescent="0.3">
      <c r="A173" s="320"/>
      <c r="B173" s="1293" t="s">
        <v>151</v>
      </c>
      <c r="C173" s="1312"/>
      <c r="D173" s="1302"/>
      <c r="E173" s="1046">
        <v>2.3051999511718799</v>
      </c>
      <c r="F173" s="445">
        <f>IF($E$184&gt;0,E173/$E$184,"")</f>
        <v>1.7525978657751589E-4</v>
      </c>
      <c r="G173" s="1048">
        <v>1.11719995117188</v>
      </c>
      <c r="H173" s="446">
        <f>IF($G$184&gt;0,G173/$G$184,"")</f>
        <v>9.7676848201556817E-3</v>
      </c>
      <c r="I173" s="2025" t="s">
        <v>643</v>
      </c>
      <c r="J173" s="2026"/>
      <c r="K173" s="2027"/>
      <c r="L173" s="1056" t="str">
        <f t="shared" si="18"/>
        <v/>
      </c>
      <c r="M173" s="49"/>
      <c r="N173" s="49"/>
      <c r="O173" s="49"/>
      <c r="P173" s="49"/>
      <c r="Q173" s="49"/>
      <c r="R173" s="49"/>
      <c r="S173" s="49"/>
      <c r="T173" s="49"/>
      <c r="U173" s="49"/>
      <c r="V173" s="49"/>
      <c r="W173" s="49"/>
      <c r="X173" s="49"/>
      <c r="Y173" s="49"/>
      <c r="Z173" s="49"/>
      <c r="AA173" s="49"/>
      <c r="AB173" s="49"/>
      <c r="AC173" s="49"/>
      <c r="AD173" s="49"/>
    </row>
    <row r="174" spans="1:30" ht="15.75" customHeight="1" x14ac:dyDescent="0.3">
      <c r="A174" s="320"/>
      <c r="B174" s="1293" t="s">
        <v>185</v>
      </c>
      <c r="C174" s="1312"/>
      <c r="D174" s="1302"/>
      <c r="E174" s="1046"/>
      <c r="F174" s="443"/>
      <c r="G174" s="1048"/>
      <c r="H174" s="444"/>
      <c r="I174" s="2098"/>
      <c r="J174" s="2099"/>
      <c r="K174" s="2100"/>
      <c r="L174" s="1056" t="str">
        <f t="shared" si="18"/>
        <v/>
      </c>
      <c r="M174" s="49"/>
      <c r="N174" s="49"/>
      <c r="O174" s="49"/>
      <c r="P174" s="49"/>
      <c r="Q174" s="49"/>
      <c r="R174" s="49"/>
      <c r="S174" s="49"/>
      <c r="T174" s="49"/>
      <c r="U174" s="49"/>
      <c r="V174" s="49"/>
      <c r="W174" s="49"/>
      <c r="X174" s="49"/>
      <c r="Y174" s="49"/>
      <c r="Z174" s="49"/>
      <c r="AA174" s="49"/>
      <c r="AB174" s="49"/>
      <c r="AC174" s="49"/>
      <c r="AD174" s="49"/>
    </row>
    <row r="175" spans="1:30" ht="15.75" customHeight="1" x14ac:dyDescent="0.3">
      <c r="A175" s="320"/>
      <c r="B175" s="1293" t="s">
        <v>152</v>
      </c>
      <c r="C175" s="1312"/>
      <c r="D175" s="1302"/>
      <c r="E175" s="1046"/>
      <c r="F175" s="445">
        <f>IF($E$184&gt;0,E175/$E$184,"")</f>
        <v>0</v>
      </c>
      <c r="G175" s="1048"/>
      <c r="H175" s="446">
        <f>IF($G$184&gt;0,G175/$G$184,"")</f>
        <v>0</v>
      </c>
      <c r="I175" s="2098"/>
      <c r="J175" s="2099"/>
      <c r="K175" s="2100"/>
      <c r="L175" s="1056" t="str">
        <f t="shared" si="18"/>
        <v/>
      </c>
      <c r="M175" s="49"/>
      <c r="N175" s="49"/>
      <c r="O175" s="49"/>
      <c r="P175" s="49"/>
      <c r="Q175" s="49"/>
      <c r="R175" s="49"/>
      <c r="S175" s="49"/>
      <c r="T175" s="49"/>
      <c r="U175" s="49"/>
      <c r="V175" s="49"/>
      <c r="W175" s="49"/>
      <c r="X175" s="49"/>
      <c r="Y175" s="49"/>
      <c r="Z175" s="49"/>
      <c r="AA175" s="49"/>
      <c r="AB175" s="49"/>
      <c r="AC175" s="49"/>
      <c r="AD175" s="49"/>
    </row>
    <row r="176" spans="1:30" ht="15.75" customHeight="1" x14ac:dyDescent="0.3">
      <c r="A176" s="320"/>
      <c r="B176" s="1292" t="s">
        <v>153</v>
      </c>
      <c r="C176" s="1311"/>
      <c r="D176" s="1301"/>
      <c r="E176" s="1046">
        <v>747.00797580645099</v>
      </c>
      <c r="F176" s="445">
        <f>IF($E$184&gt;0,E176/$E$184,"")</f>
        <v>5.6793536866502854E-2</v>
      </c>
      <c r="G176" s="1048">
        <v>5.9287499999999902</v>
      </c>
      <c r="H176" s="446">
        <f>IF($G$184&gt;0,G176/$G$184,"")</f>
        <v>5.1835091217783701E-2</v>
      </c>
      <c r="I176" s="2098" t="s">
        <v>644</v>
      </c>
      <c r="J176" s="2099"/>
      <c r="K176" s="2100"/>
      <c r="L176" s="1056" t="str">
        <f t="shared" si="18"/>
        <v/>
      </c>
      <c r="M176" s="49"/>
      <c r="N176" s="49"/>
      <c r="O176" s="49"/>
      <c r="P176" s="49"/>
      <c r="Q176" s="49"/>
      <c r="R176" s="49"/>
      <c r="S176" s="49"/>
      <c r="T176" s="49"/>
      <c r="U176" s="49"/>
      <c r="V176" s="49"/>
      <c r="W176" s="49"/>
      <c r="X176" s="49"/>
      <c r="Y176" s="49"/>
      <c r="Z176" s="49"/>
      <c r="AA176" s="49"/>
      <c r="AB176" s="49"/>
      <c r="AC176" s="49"/>
      <c r="AD176" s="49"/>
    </row>
    <row r="177" spans="1:30" ht="15.75" customHeight="1" x14ac:dyDescent="0.3">
      <c r="A177" s="320"/>
      <c r="B177" s="1292" t="s">
        <v>154</v>
      </c>
      <c r="C177" s="1311"/>
      <c r="D177" s="1301"/>
      <c r="E177" s="1046">
        <v>1822.28682709912</v>
      </c>
      <c r="F177" s="445">
        <f>IF($E$184&gt;0,E177/$E$184,"")</f>
        <v>0.13854485821850396</v>
      </c>
      <c r="G177" s="1048">
        <v>2</v>
      </c>
      <c r="H177" s="446">
        <f>IF($G$184&gt;0,G177/$G$184,"")</f>
        <v>1.7486010109309311E-2</v>
      </c>
      <c r="I177" s="2098" t="s">
        <v>645</v>
      </c>
      <c r="J177" s="2099"/>
      <c r="K177" s="2100"/>
      <c r="L177" s="1056" t="str">
        <f t="shared" si="18"/>
        <v/>
      </c>
      <c r="M177" s="49"/>
      <c r="N177" s="49"/>
      <c r="O177" s="49"/>
      <c r="P177" s="49"/>
      <c r="Q177" s="49"/>
      <c r="R177" s="49"/>
      <c r="S177" s="49"/>
      <c r="T177" s="49"/>
      <c r="U177" s="49"/>
      <c r="V177" s="49"/>
      <c r="W177" s="49"/>
      <c r="X177" s="49"/>
      <c r="Y177" s="49"/>
      <c r="Z177" s="49"/>
      <c r="AA177" s="49"/>
      <c r="AB177" s="49"/>
      <c r="AC177" s="49"/>
      <c r="AD177" s="49"/>
    </row>
    <row r="178" spans="1:30" ht="15.75" customHeight="1" thickBot="1" x14ac:dyDescent="0.35">
      <c r="A178" s="320"/>
      <c r="B178" s="1294" t="s">
        <v>155</v>
      </c>
      <c r="C178" s="1313"/>
      <c r="D178" s="1303"/>
      <c r="E178" s="1045"/>
      <c r="F178" s="492">
        <f>IF($E$184&gt;0,E178/$E$184,"")</f>
        <v>0</v>
      </c>
      <c r="G178" s="1109"/>
      <c r="H178" s="493">
        <f>IF($G$184&gt;0,G178/$G$184,"")</f>
        <v>0</v>
      </c>
      <c r="I178" s="2125"/>
      <c r="J178" s="2126"/>
      <c r="K178" s="2127"/>
      <c r="L178" s="1118" t="str">
        <f t="shared" si="18"/>
        <v/>
      </c>
      <c r="M178" s="49"/>
      <c r="N178" s="49"/>
      <c r="O178" s="49"/>
      <c r="P178" s="49"/>
      <c r="Q178" s="49"/>
      <c r="R178" s="49"/>
      <c r="S178" s="49"/>
      <c r="T178" s="49"/>
      <c r="U178" s="49"/>
      <c r="V178" s="49"/>
      <c r="W178" s="49"/>
      <c r="X178" s="49"/>
      <c r="Y178" s="49"/>
      <c r="Z178" s="49"/>
      <c r="AA178" s="49"/>
      <c r="AB178" s="49"/>
      <c r="AC178" s="49"/>
      <c r="AD178" s="49"/>
    </row>
    <row r="179" spans="1:30" ht="15.75" customHeight="1" thickBot="1" x14ac:dyDescent="0.35">
      <c r="A179" s="320"/>
      <c r="B179" s="1295" t="s">
        <v>156</v>
      </c>
      <c r="C179" s="1314"/>
      <c r="D179" s="1304"/>
      <c r="E179" s="1044"/>
      <c r="F179" s="60"/>
      <c r="G179" s="1108"/>
      <c r="H179" s="150"/>
      <c r="I179" s="1857"/>
      <c r="J179" s="1858"/>
      <c r="K179" s="1859"/>
      <c r="L179" s="1119" t="str">
        <f t="shared" si="18"/>
        <v/>
      </c>
      <c r="M179" s="49"/>
      <c r="N179" s="49"/>
      <c r="O179" s="49"/>
      <c r="P179" s="49"/>
      <c r="Q179" s="49"/>
      <c r="R179" s="49"/>
      <c r="S179" s="49"/>
      <c r="T179" s="49"/>
      <c r="U179" s="49"/>
      <c r="V179" s="49"/>
      <c r="W179" s="49"/>
      <c r="X179" s="49"/>
      <c r="Y179" s="49"/>
      <c r="Z179" s="49"/>
      <c r="AA179" s="49"/>
      <c r="AB179" s="49"/>
      <c r="AC179" s="49"/>
      <c r="AD179" s="49"/>
    </row>
    <row r="180" spans="1:30" ht="15.75" customHeight="1" thickBot="1" x14ac:dyDescent="0.35">
      <c r="A180" s="320"/>
      <c r="B180" s="1296" t="s">
        <v>157</v>
      </c>
      <c r="C180" s="1315"/>
      <c r="D180" s="1305"/>
      <c r="E180" s="494">
        <f>+E171+E173+E176</f>
        <v>10959.923175757624</v>
      </c>
      <c r="F180" s="60">
        <f>IF(E184=0,"",+E180/E184)</f>
        <v>0.83326125168134291</v>
      </c>
      <c r="G180" s="495">
        <f>IF(Performance!$L$2="y",E180,G171+G173+G176)</f>
        <v>105.85594995117188</v>
      </c>
      <c r="H180" s="456">
        <f>IF(G184=0,"",+G180/G184)</f>
        <v>0.925499105488366</v>
      </c>
      <c r="I180" s="2122"/>
      <c r="J180" s="2123"/>
      <c r="K180" s="2124"/>
      <c r="L180" s="1119" t="str">
        <f t="shared" si="18"/>
        <v/>
      </c>
      <c r="M180" s="49"/>
      <c r="N180" s="49"/>
      <c r="O180" s="49"/>
      <c r="P180" s="49"/>
      <c r="Q180" s="49"/>
      <c r="R180" s="49"/>
      <c r="S180" s="49"/>
      <c r="T180" s="49"/>
      <c r="U180" s="49"/>
      <c r="V180" s="49"/>
      <c r="W180" s="49"/>
      <c r="X180" s="49"/>
      <c r="Y180" s="49"/>
      <c r="Z180" s="49"/>
      <c r="AA180" s="49"/>
      <c r="AB180" s="49"/>
      <c r="AC180" s="49"/>
      <c r="AD180" s="49"/>
    </row>
    <row r="181" spans="1:30" ht="15.75" customHeight="1" thickBot="1" x14ac:dyDescent="0.35">
      <c r="A181" s="320"/>
      <c r="B181" s="1297" t="s">
        <v>521</v>
      </c>
      <c r="C181" s="1309"/>
      <c r="D181" s="1306"/>
      <c r="E181" s="165">
        <f>E173+E175</f>
        <v>2.3051999511718799</v>
      </c>
      <c r="F181" s="175">
        <f>IF($E$184&gt;0,E181/$E$184,"")</f>
        <v>1.7525978657751589E-4</v>
      </c>
      <c r="G181" s="181">
        <f>IF(Performance!$L$2="y",E181,G173+G175)</f>
        <v>1.11719995117188</v>
      </c>
      <c r="H181" s="176">
        <f>IF($G$184&gt;0,G181/$G$184,"")</f>
        <v>9.7676848201556817E-3</v>
      </c>
      <c r="I181" s="1857"/>
      <c r="J181" s="1858"/>
      <c r="K181" s="1859"/>
      <c r="L181" s="1119" t="str">
        <f t="shared" si="18"/>
        <v/>
      </c>
      <c r="M181" s="49"/>
      <c r="N181" s="49"/>
      <c r="O181" s="49"/>
      <c r="P181" s="49"/>
      <c r="Q181" s="49"/>
      <c r="R181" s="49"/>
      <c r="S181" s="49"/>
      <c r="T181" s="49"/>
      <c r="U181" s="49"/>
      <c r="V181" s="49"/>
      <c r="W181" s="49"/>
      <c r="X181" s="49"/>
      <c r="Y181" s="49"/>
      <c r="Z181" s="49"/>
      <c r="AA181" s="49"/>
      <c r="AB181" s="49"/>
      <c r="AC181" s="49"/>
      <c r="AD181" s="49"/>
    </row>
    <row r="182" spans="1:30" ht="15.75" customHeight="1" thickBot="1" x14ac:dyDescent="0.35">
      <c r="A182" s="320"/>
      <c r="B182" s="1296" t="s">
        <v>522</v>
      </c>
      <c r="C182" s="1315"/>
      <c r="D182" s="1305"/>
      <c r="E182" s="165">
        <f>SUM(E171:E178)-E172-E174</f>
        <v>12782.210002856744</v>
      </c>
      <c r="F182" s="60">
        <f>IF($E$184&gt;0,E182/$E$184,"")</f>
        <v>0.97180610989984684</v>
      </c>
      <c r="G182" s="181">
        <f>IF(Performance!$L$2="y",E182,SUM(G171:G178)-G172-G174)</f>
        <v>107.85594995117188</v>
      </c>
      <c r="H182" s="150">
        <f>IF($G$184&gt;0,G182/$G$184,"")</f>
        <v>0.94298511559767528</v>
      </c>
      <c r="I182" s="1857"/>
      <c r="J182" s="1858"/>
      <c r="K182" s="1859"/>
      <c r="L182" s="1119" t="str">
        <f t="shared" si="18"/>
        <v/>
      </c>
      <c r="M182" s="49"/>
      <c r="N182" s="49"/>
      <c r="O182" s="49"/>
      <c r="P182" s="49"/>
      <c r="Q182" s="49"/>
      <c r="R182" s="49"/>
      <c r="S182" s="49"/>
      <c r="T182" s="49"/>
      <c r="U182" s="49"/>
      <c r="V182" s="49"/>
      <c r="W182" s="49"/>
      <c r="X182" s="49"/>
      <c r="Y182" s="49"/>
      <c r="Z182" s="49"/>
      <c r="AA182" s="49"/>
      <c r="AB182" s="49"/>
      <c r="AC182" s="49"/>
      <c r="AD182" s="49"/>
    </row>
    <row r="183" spans="1:30" ht="15.75" customHeight="1" thickBot="1" x14ac:dyDescent="0.35">
      <c r="A183" s="320"/>
      <c r="B183" s="1297" t="s">
        <v>160</v>
      </c>
      <c r="C183" s="1309"/>
      <c r="D183" s="1306"/>
      <c r="E183" s="1046">
        <v>370.83551995239202</v>
      </c>
      <c r="F183" s="60">
        <f>IF($E$184&gt;0,E183/$E$184,"")</f>
        <v>2.8193890100153135E-2</v>
      </c>
      <c r="G183" s="1048">
        <v>6.5211999816894499</v>
      </c>
      <c r="H183" s="150">
        <f>IF($G$184&gt;0,G183/$G$184,"")</f>
        <v>5.701488440232471E-2</v>
      </c>
      <c r="I183" s="2122" t="s">
        <v>646</v>
      </c>
      <c r="J183" s="2123"/>
      <c r="K183" s="2124"/>
      <c r="L183" s="1119" t="str">
        <f t="shared" si="18"/>
        <v/>
      </c>
      <c r="M183" s="49"/>
      <c r="N183" s="49"/>
      <c r="O183" s="49"/>
      <c r="P183" s="49"/>
      <c r="Q183" s="49"/>
      <c r="R183" s="49"/>
      <c r="S183" s="49"/>
      <c r="T183" s="49"/>
      <c r="U183" s="49"/>
      <c r="V183" s="49"/>
      <c r="W183" s="49"/>
      <c r="X183" s="49"/>
      <c r="Y183" s="49"/>
      <c r="Z183" s="49"/>
      <c r="AA183" s="49"/>
      <c r="AB183" s="49"/>
      <c r="AC183" s="49"/>
      <c r="AD183" s="49"/>
    </row>
    <row r="184" spans="1:30" ht="15.75" customHeight="1" thickBot="1" x14ac:dyDescent="0.35">
      <c r="A184" s="320"/>
      <c r="B184" s="1298" t="s">
        <v>523</v>
      </c>
      <c r="C184" s="1316"/>
      <c r="D184" s="1307"/>
      <c r="E184" s="165">
        <f>E183+E182</f>
        <v>13153.045522809136</v>
      </c>
      <c r="F184" s="59"/>
      <c r="G184" s="163">
        <f>IF(Performance!$L$2="y",E184,G183+G182)</f>
        <v>114.37714993286133</v>
      </c>
      <c r="H184" s="149"/>
      <c r="I184" s="1857" t="s">
        <v>647</v>
      </c>
      <c r="J184" s="1858"/>
      <c r="K184" s="1859"/>
      <c r="L184" s="1119" t="str">
        <f t="shared" si="18"/>
        <v/>
      </c>
      <c r="M184" s="49"/>
      <c r="N184" s="49"/>
      <c r="O184" s="49"/>
      <c r="P184" s="49"/>
      <c r="Q184" s="49"/>
      <c r="R184" s="49"/>
      <c r="S184" s="49"/>
      <c r="T184" s="49"/>
      <c r="U184" s="49"/>
      <c r="V184" s="49"/>
      <c r="W184" s="49"/>
      <c r="X184" s="49"/>
      <c r="Y184" s="49"/>
      <c r="Z184" s="49"/>
      <c r="AA184" s="49"/>
      <c r="AB184" s="49"/>
      <c r="AC184" s="49"/>
      <c r="AD184" s="49"/>
    </row>
    <row r="185" spans="1:30" ht="17.25" customHeight="1" thickBot="1" x14ac:dyDescent="0.35">
      <c r="A185" s="320"/>
      <c r="B185" s="1299" t="s">
        <v>162</v>
      </c>
      <c r="C185" s="1317"/>
      <c r="D185" s="1308"/>
      <c r="E185" s="1047"/>
      <c r="F185" s="60">
        <f>IF($E$184&gt;0,E185/$E$184,"")</f>
        <v>0</v>
      </c>
      <c r="G185" s="1108"/>
      <c r="H185" s="150">
        <f>IF($E$184&gt;0,G185/$E$184,"")</f>
        <v>0</v>
      </c>
      <c r="I185" s="2131"/>
      <c r="J185" s="2132"/>
      <c r="K185" s="2133"/>
      <c r="L185" s="1119" t="str">
        <f t="shared" si="18"/>
        <v/>
      </c>
      <c r="M185" s="49"/>
      <c r="N185" s="49"/>
      <c r="O185" s="49"/>
      <c r="P185" s="49"/>
      <c r="Q185" s="49"/>
      <c r="R185" s="49"/>
      <c r="S185" s="49"/>
      <c r="T185" s="49"/>
      <c r="U185" s="49"/>
      <c r="V185" s="49"/>
      <c r="W185" s="49"/>
      <c r="X185" s="49"/>
      <c r="Y185" s="49"/>
      <c r="Z185" s="49"/>
      <c r="AA185" s="49"/>
      <c r="AB185" s="49"/>
      <c r="AC185" s="49"/>
      <c r="AD185" s="49"/>
    </row>
    <row r="186" spans="1:30" ht="31.5" customHeight="1" x14ac:dyDescent="0.3">
      <c r="A186" s="320"/>
      <c r="B186" s="49"/>
      <c r="C186" s="2076" t="s">
        <v>163</v>
      </c>
      <c r="D186" s="2128"/>
      <c r="E186" s="2128"/>
      <c r="F186" s="2128"/>
      <c r="G186" s="2128"/>
      <c r="H186" s="2128"/>
      <c r="I186" s="2128"/>
      <c r="J186" s="2128"/>
      <c r="K186" s="386"/>
      <c r="L186" s="426"/>
      <c r="M186" s="337"/>
      <c r="N186" s="337"/>
      <c r="O186" s="49"/>
      <c r="P186" s="49"/>
      <c r="Q186" s="49"/>
      <c r="R186" s="49"/>
      <c r="S186" s="49"/>
      <c r="T186" s="49"/>
      <c r="U186" s="49"/>
      <c r="V186" s="49"/>
      <c r="W186" s="49"/>
      <c r="X186" s="49"/>
      <c r="Y186" s="49"/>
      <c r="Z186" s="49"/>
      <c r="AA186" s="49"/>
      <c r="AB186" s="49"/>
      <c r="AC186" s="49"/>
      <c r="AD186" s="49"/>
    </row>
    <row r="187" spans="1:30" ht="27.75" customHeight="1" x14ac:dyDescent="0.3">
      <c r="A187" s="1209">
        <v>5</v>
      </c>
      <c r="B187" s="471" t="s">
        <v>164</v>
      </c>
      <c r="C187" s="472"/>
      <c r="D187" s="2090" t="str">
        <f>+$A$1</f>
        <v>Quarter 1 - 2019-2020</v>
      </c>
      <c r="E187" s="2090"/>
      <c r="F187" s="2090"/>
      <c r="G187" s="2090"/>
      <c r="H187" s="2090"/>
      <c r="I187" s="2090"/>
      <c r="J187" s="2090"/>
      <c r="K187" s="473"/>
      <c r="L187" s="473"/>
      <c r="M187" s="473"/>
      <c r="N187" s="466"/>
      <c r="O187" s="466"/>
      <c r="P187" s="474"/>
      <c r="Q187" s="474"/>
      <c r="R187" s="466"/>
      <c r="S187" s="466"/>
      <c r="T187" s="466"/>
      <c r="U187" s="466"/>
      <c r="V187" s="466"/>
      <c r="W187" s="466"/>
      <c r="X187" s="466"/>
      <c r="Y187" s="466"/>
      <c r="Z187" s="466"/>
      <c r="AA187" s="466"/>
      <c r="AB187" s="466"/>
      <c r="AC187" s="466"/>
      <c r="AD187" s="466"/>
    </row>
    <row r="188" spans="1:30" ht="15.75" customHeight="1" thickBot="1" x14ac:dyDescent="0.35">
      <c r="A188" s="320"/>
      <c r="B188" s="43"/>
      <c r="C188" s="49"/>
      <c r="D188" s="336"/>
      <c r="E188" s="336"/>
      <c r="F188" s="336"/>
      <c r="G188" s="336"/>
      <c r="H188" s="336"/>
      <c r="I188" s="336"/>
      <c r="J188" s="336"/>
      <c r="K188" s="336"/>
      <c r="L188" s="49"/>
      <c r="M188" s="49"/>
      <c r="N188" s="49"/>
      <c r="O188" s="49"/>
      <c r="P188" s="49"/>
      <c r="Q188" s="49"/>
      <c r="R188" s="49"/>
      <c r="S188" s="49"/>
      <c r="T188" s="49"/>
      <c r="U188" s="49"/>
      <c r="V188" s="49"/>
      <c r="W188" s="49"/>
      <c r="X188" s="49"/>
      <c r="Y188" s="49"/>
      <c r="Z188" s="49"/>
      <c r="AA188" s="49"/>
      <c r="AB188" s="49"/>
      <c r="AC188" s="49"/>
      <c r="AD188" s="49"/>
    </row>
    <row r="189" spans="1:30" ht="15.75" customHeight="1" thickBot="1" x14ac:dyDescent="0.35">
      <c r="A189" s="320"/>
      <c r="B189" s="1860" t="s">
        <v>23</v>
      </c>
      <c r="C189" s="1861"/>
      <c r="D189" s="1861"/>
      <c r="E189" s="1862"/>
      <c r="F189" s="1849" t="s">
        <v>24</v>
      </c>
      <c r="G189" s="1850"/>
      <c r="H189" s="1851"/>
      <c r="I189" s="2086" t="s">
        <v>461</v>
      </c>
      <c r="J189" s="2087"/>
      <c r="K189" s="49"/>
      <c r="L189" s="49"/>
      <c r="M189" s="49"/>
      <c r="N189" s="49"/>
      <c r="O189" s="49"/>
      <c r="P189" s="49"/>
      <c r="Q189" s="49"/>
      <c r="R189" s="49"/>
      <c r="S189" s="49"/>
      <c r="T189" s="49"/>
      <c r="U189" s="49"/>
      <c r="V189" s="49"/>
      <c r="W189" s="49"/>
      <c r="X189" s="49"/>
      <c r="Y189" s="49"/>
      <c r="Z189" s="49"/>
      <c r="AA189" s="49"/>
      <c r="AB189" s="49"/>
      <c r="AC189" s="49"/>
      <c r="AD189" s="49"/>
    </row>
    <row r="190" spans="1:30" ht="24.6" thickBot="1" x14ac:dyDescent="0.35">
      <c r="A190" s="320"/>
      <c r="B190" s="1086" t="s">
        <v>165</v>
      </c>
      <c r="C190" s="496" t="s">
        <v>166</v>
      </c>
      <c r="D190" s="1098" t="s">
        <v>167</v>
      </c>
      <c r="E190" s="497" t="s">
        <v>168</v>
      </c>
      <c r="F190" s="1852"/>
      <c r="G190" s="1853"/>
      <c r="H190" s="1854"/>
      <c r="I190" s="2088"/>
      <c r="J190" s="2089"/>
      <c r="K190" s="49"/>
      <c r="L190" s="49"/>
      <c r="M190" s="49"/>
      <c r="N190" s="49"/>
      <c r="O190" s="49"/>
      <c r="P190" s="49"/>
      <c r="Q190" s="49"/>
      <c r="R190" s="49"/>
      <c r="S190" s="49"/>
      <c r="T190" s="49"/>
      <c r="U190" s="49"/>
      <c r="V190" s="49"/>
      <c r="W190" s="49"/>
      <c r="X190" s="49"/>
      <c r="Y190" s="49"/>
      <c r="Z190" s="49"/>
      <c r="AA190" s="49"/>
      <c r="AB190" s="49"/>
      <c r="AC190" s="49"/>
      <c r="AD190" s="49"/>
    </row>
    <row r="191" spans="1:30" ht="14.4" thickBot="1" x14ac:dyDescent="0.35">
      <c r="A191" s="320"/>
      <c r="B191" s="1049">
        <v>262613</v>
      </c>
      <c r="C191" s="1049">
        <v>1546</v>
      </c>
      <c r="D191" s="1049">
        <v>391</v>
      </c>
      <c r="E191" s="58">
        <f>B191+(C191*2)+(D191/2)</f>
        <v>265900.5</v>
      </c>
      <c r="F191" s="1857"/>
      <c r="G191" s="1858"/>
      <c r="H191" s="1859"/>
      <c r="I191" s="2129" t="str">
        <f>IF(OR(B191&lt;0,C191&lt;0,D191&lt;0),"Error - Negative number","")</f>
        <v/>
      </c>
      <c r="J191" s="2130"/>
      <c r="K191" s="49"/>
      <c r="L191" s="49"/>
      <c r="M191" s="49"/>
      <c r="N191" s="49"/>
      <c r="O191" s="49"/>
      <c r="P191" s="49"/>
      <c r="Q191" s="49"/>
      <c r="R191" s="49"/>
      <c r="S191" s="49"/>
      <c r="T191" s="49"/>
      <c r="U191" s="49"/>
      <c r="V191" s="49"/>
      <c r="W191" s="49"/>
      <c r="X191" s="49"/>
      <c r="Y191" s="49"/>
      <c r="Z191" s="49"/>
      <c r="AA191" s="49"/>
      <c r="AB191" s="49"/>
      <c r="AC191" s="49"/>
      <c r="AD191" s="49"/>
    </row>
    <row r="192" spans="1:30" x14ac:dyDescent="0.3">
      <c r="A192" s="320"/>
      <c r="B192" s="337"/>
      <c r="C192" s="337"/>
      <c r="D192" s="337"/>
      <c r="E192" s="337"/>
      <c r="F192" s="337"/>
      <c r="G192" s="337"/>
      <c r="H192" s="337"/>
      <c r="I192" s="337"/>
      <c r="J192" s="337"/>
      <c r="K192" s="337"/>
      <c r="L192" s="337"/>
      <c r="M192" s="337"/>
      <c r="N192" s="49"/>
      <c r="O192" s="49"/>
      <c r="P192" s="49"/>
      <c r="Q192" s="49"/>
      <c r="R192" s="49"/>
      <c r="S192" s="49"/>
      <c r="T192" s="49"/>
      <c r="U192" s="49"/>
      <c r="V192" s="49"/>
      <c r="W192" s="49"/>
      <c r="X192" s="49"/>
      <c r="Y192" s="49"/>
      <c r="Z192" s="49"/>
      <c r="AA192" s="49"/>
      <c r="AB192" s="49"/>
      <c r="AC192" s="49"/>
      <c r="AD192" s="49"/>
    </row>
    <row r="193" spans="1:30" ht="27.75" customHeight="1" x14ac:dyDescent="0.3">
      <c r="A193" s="1209">
        <v>6</v>
      </c>
      <c r="B193" s="471" t="s">
        <v>169</v>
      </c>
      <c r="C193" s="472"/>
      <c r="D193" s="2090" t="str">
        <f>+$A$1</f>
        <v>Quarter 1 - 2019-2020</v>
      </c>
      <c r="E193" s="2090"/>
      <c r="F193" s="2090"/>
      <c r="G193" s="2090"/>
      <c r="H193" s="2090"/>
      <c r="I193" s="2090"/>
      <c r="J193" s="2090"/>
      <c r="K193" s="473"/>
      <c r="L193" s="473"/>
      <c r="M193" s="473"/>
      <c r="N193" s="466"/>
      <c r="O193" s="466"/>
      <c r="P193" s="474"/>
      <c r="Q193" s="474"/>
      <c r="R193" s="466"/>
      <c r="S193" s="466"/>
      <c r="T193" s="466"/>
      <c r="U193" s="466"/>
      <c r="V193" s="466"/>
      <c r="W193" s="466"/>
      <c r="X193" s="466"/>
      <c r="Y193" s="466"/>
      <c r="Z193" s="466"/>
      <c r="AA193" s="466"/>
      <c r="AB193" s="466"/>
      <c r="AC193" s="466"/>
      <c r="AD193" s="466"/>
    </row>
    <row r="194" spans="1:30" ht="27.75" customHeight="1" x14ac:dyDescent="0.3">
      <c r="A194" s="320"/>
      <c r="B194" s="49"/>
      <c r="C194" s="49"/>
      <c r="D194" s="49"/>
      <c r="E194" s="49"/>
      <c r="F194" s="49"/>
      <c r="G194" s="49"/>
      <c r="H194" s="49"/>
      <c r="I194" s="49"/>
      <c r="J194" s="49"/>
      <c r="K194" s="49"/>
      <c r="L194" s="49"/>
      <c r="M194" s="49"/>
      <c r="N194" s="49"/>
      <c r="O194" s="49"/>
      <c r="P194" s="464"/>
      <c r="Q194" s="464"/>
      <c r="R194" s="49"/>
      <c r="S194" s="49"/>
      <c r="T194" s="49"/>
      <c r="U194" s="49"/>
      <c r="V194" s="49"/>
      <c r="W194" s="49"/>
      <c r="X194" s="49"/>
      <c r="Y194" s="49"/>
      <c r="Z194" s="49"/>
      <c r="AA194" s="49"/>
      <c r="AB194" s="49"/>
      <c r="AC194" s="49"/>
      <c r="AD194" s="49"/>
    </row>
    <row r="195" spans="1:30" ht="14.4" thickBot="1" x14ac:dyDescent="0.35">
      <c r="A195" s="320"/>
      <c r="B195" s="43"/>
      <c r="C195" s="337"/>
      <c r="D195" s="337"/>
      <c r="E195" s="337"/>
      <c r="F195" s="337"/>
      <c r="G195" s="337"/>
      <c r="H195" s="337"/>
      <c r="I195" s="337"/>
      <c r="J195" s="337"/>
      <c r="K195" s="337"/>
      <c r="L195" s="337"/>
      <c r="M195" s="337"/>
      <c r="N195" s="337"/>
      <c r="O195" s="337"/>
      <c r="P195" s="337"/>
      <c r="Q195" s="337"/>
      <c r="R195" s="337"/>
      <c r="S195" s="337"/>
      <c r="T195" s="337"/>
      <c r="U195" s="337"/>
      <c r="V195" s="337"/>
      <c r="W195" s="337"/>
      <c r="X195" s="337"/>
      <c r="Y195" s="49"/>
      <c r="Z195" s="49"/>
      <c r="AA195" s="49"/>
      <c r="AB195" s="49"/>
      <c r="AC195" s="49"/>
      <c r="AD195" s="49"/>
    </row>
    <row r="196" spans="1:30" ht="15.75" customHeight="1" thickBot="1" x14ac:dyDescent="0.35">
      <c r="A196" s="320"/>
      <c r="B196" s="1860" t="s">
        <v>23</v>
      </c>
      <c r="C196" s="1861"/>
      <c r="D196" s="1862"/>
      <c r="E196" s="1860" t="s">
        <v>24</v>
      </c>
      <c r="F196" s="1861"/>
      <c r="G196" s="1862"/>
      <c r="H196" s="1881" t="s">
        <v>461</v>
      </c>
      <c r="I196" s="2145"/>
      <c r="J196" s="1882"/>
      <c r="K196" s="337"/>
      <c r="L196" s="337"/>
      <c r="M196" s="337"/>
      <c r="N196" s="337"/>
      <c r="O196" s="337"/>
      <c r="P196" s="337"/>
      <c r="Q196" s="337"/>
      <c r="R196" s="337"/>
      <c r="S196" s="337"/>
      <c r="T196" s="337"/>
      <c r="U196" s="337"/>
      <c r="V196" s="337"/>
      <c r="W196" s="337"/>
      <c r="X196" s="337"/>
      <c r="Y196" s="49"/>
      <c r="Z196" s="49"/>
      <c r="AA196" s="49"/>
      <c r="AB196" s="49"/>
      <c r="AC196" s="49"/>
      <c r="AD196" s="49"/>
    </row>
    <row r="197" spans="1:30" ht="13.5" customHeight="1" thickBot="1" x14ac:dyDescent="0.35">
      <c r="A197" s="320"/>
      <c r="B197" s="2020" t="s">
        <v>170</v>
      </c>
      <c r="C197" s="2021"/>
      <c r="D197" s="1049">
        <v>976</v>
      </c>
      <c r="E197" s="1915" t="s">
        <v>641</v>
      </c>
      <c r="F197" s="1916"/>
      <c r="G197" s="1917"/>
      <c r="H197" s="2129" t="str">
        <f>IF(D197&lt;0,"Error - Negative number","")</f>
        <v/>
      </c>
      <c r="I197" s="2144"/>
      <c r="J197" s="2130"/>
      <c r="K197" s="337"/>
      <c r="L197" s="337"/>
      <c r="M197" s="337"/>
      <c r="N197" s="337"/>
      <c r="O197" s="337"/>
      <c r="P197" s="337"/>
      <c r="Q197" s="337"/>
      <c r="R197" s="337"/>
      <c r="S197" s="337"/>
      <c r="T197" s="337"/>
      <c r="U197" s="337"/>
      <c r="V197" s="337"/>
      <c r="W197" s="337"/>
      <c r="X197" s="337"/>
      <c r="Y197" s="49"/>
      <c r="Z197" s="49"/>
      <c r="AA197" s="49"/>
      <c r="AB197" s="49"/>
      <c r="AC197" s="49"/>
      <c r="AD197" s="49"/>
    </row>
    <row r="198" spans="1:30" ht="13.5" customHeight="1" thickBot="1" x14ac:dyDescent="0.35">
      <c r="A198" s="320"/>
      <c r="B198" s="2020" t="s">
        <v>468</v>
      </c>
      <c r="C198" s="2021"/>
      <c r="D198" s="58">
        <f>IF(D197=0,"",+D109/D197)</f>
        <v>445.94013081485554</v>
      </c>
      <c r="E198" s="1857"/>
      <c r="F198" s="1858"/>
      <c r="G198" s="1859"/>
      <c r="H198" s="2119" t="str">
        <f>IF(AND(D198&lt;'QA config'!D3,D198&lt;&gt;""),CONCATENATE("Average distance less than ",'QA config'!D3," km"),IF(AND(D198&gt;'QA config'!C3,D198&lt;&gt;""),CONCATENATE("Average distance more than ",'QA config'!C3," km"),""))</f>
        <v/>
      </c>
      <c r="I198" s="2120"/>
      <c r="J198" s="2121"/>
      <c r="K198" s="337"/>
      <c r="L198" s="337"/>
      <c r="M198" s="337"/>
      <c r="N198" s="337"/>
      <c r="O198" s="337"/>
      <c r="P198" s="337"/>
      <c r="Q198" s="337"/>
      <c r="R198" s="337"/>
      <c r="S198" s="337"/>
      <c r="T198" s="337"/>
      <c r="U198" s="337"/>
      <c r="V198" s="337"/>
      <c r="W198" s="337"/>
      <c r="X198" s="337"/>
      <c r="Y198" s="49"/>
      <c r="Z198" s="49"/>
      <c r="AA198" s="49"/>
      <c r="AB198" s="49"/>
      <c r="AC198" s="49"/>
      <c r="AD198" s="49"/>
    </row>
    <row r="199" spans="1:30" x14ac:dyDescent="0.3">
      <c r="A199" s="320"/>
      <c r="B199" s="337"/>
      <c r="C199" s="337"/>
      <c r="D199" s="337"/>
      <c r="E199" s="337"/>
      <c r="F199" s="337"/>
      <c r="G199" s="337"/>
      <c r="H199" s="337"/>
      <c r="I199" s="337"/>
      <c r="J199" s="386"/>
      <c r="K199" s="425"/>
      <c r="L199" s="337"/>
      <c r="M199" s="337"/>
      <c r="N199" s="49"/>
      <c r="O199" s="49"/>
      <c r="P199" s="49"/>
      <c r="Q199" s="49"/>
      <c r="R199" s="49"/>
      <c r="S199" s="49"/>
      <c r="T199" s="49"/>
      <c r="U199" s="49"/>
      <c r="V199" s="49"/>
      <c r="W199" s="49"/>
      <c r="X199" s="49"/>
      <c r="Y199" s="49"/>
      <c r="Z199" s="49"/>
      <c r="AA199" s="49"/>
      <c r="AB199" s="49"/>
      <c r="AC199" s="49"/>
      <c r="AD199" s="49"/>
    </row>
    <row r="200" spans="1:30" ht="27.75" customHeight="1" x14ac:dyDescent="0.3">
      <c r="A200" s="362"/>
      <c r="J200" s="362"/>
      <c r="K200" s="362"/>
    </row>
    <row r="201" spans="1:30" x14ac:dyDescent="0.3">
      <c r="A201" s="362"/>
      <c r="J201" s="362"/>
      <c r="K201" s="362"/>
    </row>
    <row r="202" spans="1:30" ht="15.75" customHeight="1" x14ac:dyDescent="0.3">
      <c r="A202" s="362"/>
      <c r="J202" s="362"/>
      <c r="K202" s="362"/>
    </row>
    <row r="203" spans="1:30" ht="13.5" customHeight="1" x14ac:dyDescent="0.3">
      <c r="A203" s="362"/>
      <c r="J203" s="362"/>
      <c r="K203" s="362"/>
    </row>
    <row r="204" spans="1:30" ht="13.5" customHeight="1" x14ac:dyDescent="0.3">
      <c r="A204" s="362"/>
      <c r="J204" s="362"/>
      <c r="K204" s="362"/>
    </row>
    <row r="205" spans="1:30" x14ac:dyDescent="0.3">
      <c r="A205" s="362"/>
      <c r="J205" s="362"/>
      <c r="K205" s="362"/>
    </row>
    <row r="206" spans="1:30" x14ac:dyDescent="0.3">
      <c r="A206" s="362"/>
      <c r="J206" s="362"/>
      <c r="K206" s="362"/>
    </row>
    <row r="207" spans="1:30" x14ac:dyDescent="0.3">
      <c r="AA207" s="49"/>
      <c r="AB207" s="49"/>
      <c r="AC207" s="49"/>
      <c r="AD207" s="49"/>
    </row>
    <row r="208" spans="1:30" x14ac:dyDescent="0.3">
      <c r="AA208" s="49"/>
      <c r="AB208" s="49"/>
      <c r="AC208" s="49"/>
      <c r="AD208" s="49"/>
    </row>
  </sheetData>
  <sheetProtection algorithmName="SHA-512" hashValue="rR/IUP77u54YCyLzey2h1CPvopsHB49Ayr6j3q8KJHPGPIio4PFK8OD8HDeD+Wfp1r5K+AmqxEh1SQafxC2rwg==" saltValue="1yTe/qXJ2OpqxKAcgeChhw==" spinCount="100000" sheet="1" objects="1" scenarios="1"/>
  <mergeCells count="261">
    <mergeCell ref="B108:C108"/>
    <mergeCell ref="B197:C197"/>
    <mergeCell ref="H197:J197"/>
    <mergeCell ref="H196:J196"/>
    <mergeCell ref="I175:K175"/>
    <mergeCell ref="I140:K141"/>
    <mergeCell ref="I142:K142"/>
    <mergeCell ref="I143:K143"/>
    <mergeCell ref="I144:K144"/>
    <mergeCell ref="I171:K171"/>
    <mergeCell ref="I172:K172"/>
    <mergeCell ref="B154:C154"/>
    <mergeCell ref="B155:C155"/>
    <mergeCell ref="D152:F152"/>
    <mergeCell ref="G152:I152"/>
    <mergeCell ref="G153:I153"/>
    <mergeCell ref="G154:I154"/>
    <mergeCell ref="G155:I155"/>
    <mergeCell ref="E154:F154"/>
    <mergeCell ref="B196:D196"/>
    <mergeCell ref="I119:K119"/>
    <mergeCell ref="I122:K122"/>
    <mergeCell ref="D149:J149"/>
    <mergeCell ref="I130:K130"/>
    <mergeCell ref="U68:W68"/>
    <mergeCell ref="U69:W69"/>
    <mergeCell ref="U70:W70"/>
    <mergeCell ref="U71:W71"/>
    <mergeCell ref="U72:W72"/>
    <mergeCell ref="U73:W73"/>
    <mergeCell ref="U74:W74"/>
    <mergeCell ref="B189:E189"/>
    <mergeCell ref="D193:J193"/>
    <mergeCell ref="I102:K102"/>
    <mergeCell ref="I103:K103"/>
    <mergeCell ref="I104:K104"/>
    <mergeCell ref="B153:C153"/>
    <mergeCell ref="L169:L170"/>
    <mergeCell ref="I111:K111"/>
    <mergeCell ref="I112:K112"/>
    <mergeCell ref="I113:K113"/>
    <mergeCell ref="I120:K120"/>
    <mergeCell ref="I121:K121"/>
    <mergeCell ref="I114:K114"/>
    <mergeCell ref="I115:K115"/>
    <mergeCell ref="I116:K116"/>
    <mergeCell ref="I117:K117"/>
    <mergeCell ref="I118:K118"/>
    <mergeCell ref="D6:J6"/>
    <mergeCell ref="B10:C10"/>
    <mergeCell ref="I8:J9"/>
    <mergeCell ref="I10:J10"/>
    <mergeCell ref="F8:H9"/>
    <mergeCell ref="F10:H10"/>
    <mergeCell ref="I185:K185"/>
    <mergeCell ref="I136:K136"/>
    <mergeCell ref="D138:J138"/>
    <mergeCell ref="I184:K184"/>
    <mergeCell ref="D167:J167"/>
    <mergeCell ref="E169:F169"/>
    <mergeCell ref="G169:H169"/>
    <mergeCell ref="I169:K170"/>
    <mergeCell ref="I145:K145"/>
    <mergeCell ref="D146:E146"/>
    <mergeCell ref="B147:L147"/>
    <mergeCell ref="L162:L163"/>
    <mergeCell ref="D153:F153"/>
    <mergeCell ref="D155:F155"/>
    <mergeCell ref="I174:K174"/>
    <mergeCell ref="I133:K133"/>
    <mergeCell ref="I128:K128"/>
    <mergeCell ref="I129:K129"/>
    <mergeCell ref="B198:C198"/>
    <mergeCell ref="E198:G198"/>
    <mergeCell ref="H198:J198"/>
    <mergeCell ref="D157:J157"/>
    <mergeCell ref="I162:K163"/>
    <mergeCell ref="B164:C164"/>
    <mergeCell ref="I164:K164"/>
    <mergeCell ref="E162:H162"/>
    <mergeCell ref="I183:K183"/>
    <mergeCell ref="I180:K180"/>
    <mergeCell ref="I181:K181"/>
    <mergeCell ref="I182:K182"/>
    <mergeCell ref="I177:K177"/>
    <mergeCell ref="I178:K178"/>
    <mergeCell ref="I179:K179"/>
    <mergeCell ref="F189:H190"/>
    <mergeCell ref="F191:H191"/>
    <mergeCell ref="E197:G197"/>
    <mergeCell ref="E196:G196"/>
    <mergeCell ref="C186:J186"/>
    <mergeCell ref="D187:J187"/>
    <mergeCell ref="I173:K173"/>
    <mergeCell ref="I191:J191"/>
    <mergeCell ref="I176:K176"/>
    <mergeCell ref="I131:K131"/>
    <mergeCell ref="I132:K132"/>
    <mergeCell ref="B109:B121"/>
    <mergeCell ref="B64:C64"/>
    <mergeCell ref="I64:K64"/>
    <mergeCell ref="B53:C53"/>
    <mergeCell ref="I53:K53"/>
    <mergeCell ref="D55:J55"/>
    <mergeCell ref="L62:L63"/>
    <mergeCell ref="I66:K66"/>
    <mergeCell ref="I67:K67"/>
    <mergeCell ref="I68:K68"/>
    <mergeCell ref="B65:B85"/>
    <mergeCell ref="I84:K84"/>
    <mergeCell ref="I85:K85"/>
    <mergeCell ref="I65:K65"/>
    <mergeCell ref="B86:C86"/>
    <mergeCell ref="I86:K86"/>
    <mergeCell ref="I87:K87"/>
    <mergeCell ref="I88:K88"/>
    <mergeCell ref="I89:K89"/>
    <mergeCell ref="I90:K90"/>
    <mergeCell ref="B87:B107"/>
    <mergeCell ref="I106:K106"/>
    <mergeCell ref="I107:K107"/>
    <mergeCell ref="I101:K101"/>
    <mergeCell ref="L51:L52"/>
    <mergeCell ref="B20:B35"/>
    <mergeCell ref="I40:K40"/>
    <mergeCell ref="I41:K41"/>
    <mergeCell ref="J33:K33"/>
    <mergeCell ref="J34:K34"/>
    <mergeCell ref="J35:K35"/>
    <mergeCell ref="B62:C63"/>
    <mergeCell ref="D62:F62"/>
    <mergeCell ref="I62:K63"/>
    <mergeCell ref="I47:K47"/>
    <mergeCell ref="D49:J49"/>
    <mergeCell ref="D51:F51"/>
    <mergeCell ref="G51:H51"/>
    <mergeCell ref="I51:K52"/>
    <mergeCell ref="B36:B47"/>
    <mergeCell ref="I38:K38"/>
    <mergeCell ref="I39:K39"/>
    <mergeCell ref="I42:K42"/>
    <mergeCell ref="I43:K43"/>
    <mergeCell ref="I44:K44"/>
    <mergeCell ref="I45:K45"/>
    <mergeCell ref="I37:K37"/>
    <mergeCell ref="I46:K46"/>
    <mergeCell ref="B19:C19"/>
    <mergeCell ref="I20:K20"/>
    <mergeCell ref="I21:K21"/>
    <mergeCell ref="I22:K22"/>
    <mergeCell ref="I23:K23"/>
    <mergeCell ref="I24:K24"/>
    <mergeCell ref="O24:R24"/>
    <mergeCell ref="I36:K36"/>
    <mergeCell ref="I32:K32"/>
    <mergeCell ref="U24:X24"/>
    <mergeCell ref="I31:K31"/>
    <mergeCell ref="O31:P31"/>
    <mergeCell ref="Q31:R31"/>
    <mergeCell ref="U31:V31"/>
    <mergeCell ref="W31:X31"/>
    <mergeCell ref="V27:V28"/>
    <mergeCell ref="W27:W28"/>
    <mergeCell ref="X27:X28"/>
    <mergeCell ref="I28:K28"/>
    <mergeCell ref="I29:K29"/>
    <mergeCell ref="I30:K30"/>
    <mergeCell ref="I27:K27"/>
    <mergeCell ref="O27:O28"/>
    <mergeCell ref="U27:U28"/>
    <mergeCell ref="I25:K25"/>
    <mergeCell ref="I26:K26"/>
    <mergeCell ref="O26:P26"/>
    <mergeCell ref="Q26:R26"/>
    <mergeCell ref="U26:V26"/>
    <mergeCell ref="W26:X26"/>
    <mergeCell ref="P27:P28"/>
    <mergeCell ref="Q27:Q28"/>
    <mergeCell ref="R27:R28"/>
    <mergeCell ref="D13:J13"/>
    <mergeCell ref="D14:J14"/>
    <mergeCell ref="O16:R16"/>
    <mergeCell ref="U16:X16"/>
    <mergeCell ref="D17:F17"/>
    <mergeCell ref="G17:H17"/>
    <mergeCell ref="I17:K19"/>
    <mergeCell ref="O17:R17"/>
    <mergeCell ref="U17:X17"/>
    <mergeCell ref="U18:V18"/>
    <mergeCell ref="O18:P18"/>
    <mergeCell ref="Q18:R18"/>
    <mergeCell ref="L17:L18"/>
    <mergeCell ref="W18:X18"/>
    <mergeCell ref="I189:J190"/>
    <mergeCell ref="I69:K69"/>
    <mergeCell ref="I75:K75"/>
    <mergeCell ref="I76:K76"/>
    <mergeCell ref="I77:K77"/>
    <mergeCell ref="I78:K78"/>
    <mergeCell ref="I79:K79"/>
    <mergeCell ref="I80:K80"/>
    <mergeCell ref="I70:K70"/>
    <mergeCell ref="I71:K71"/>
    <mergeCell ref="I72:K72"/>
    <mergeCell ref="I73:K73"/>
    <mergeCell ref="I74:K74"/>
    <mergeCell ref="I81:K81"/>
    <mergeCell ref="I82:K82"/>
    <mergeCell ref="I83:K83"/>
    <mergeCell ref="I97:K97"/>
    <mergeCell ref="I98:K98"/>
    <mergeCell ref="I91:K91"/>
    <mergeCell ref="I92:K92"/>
    <mergeCell ref="I93:K93"/>
    <mergeCell ref="I94:K94"/>
    <mergeCell ref="I95:K95"/>
    <mergeCell ref="I96:K96"/>
    <mergeCell ref="D145:E145"/>
    <mergeCell ref="D144:E144"/>
    <mergeCell ref="D143:E143"/>
    <mergeCell ref="D142:E142"/>
    <mergeCell ref="I99:K99"/>
    <mergeCell ref="I100:K100"/>
    <mergeCell ref="X86:Y86"/>
    <mergeCell ref="Z86:Z89"/>
    <mergeCell ref="Q87:Q89"/>
    <mergeCell ref="R87:R89"/>
    <mergeCell ref="S87:S89"/>
    <mergeCell ref="T87:T88"/>
    <mergeCell ref="U87:W89"/>
    <mergeCell ref="X87:X89"/>
    <mergeCell ref="Y87:Y88"/>
    <mergeCell ref="I108:K108"/>
    <mergeCell ref="I109:K109"/>
    <mergeCell ref="I110:K110"/>
    <mergeCell ref="I105:K105"/>
    <mergeCell ref="M125:M126"/>
    <mergeCell ref="I134:K134"/>
    <mergeCell ref="I135:K135"/>
    <mergeCell ref="D125:F125"/>
    <mergeCell ref="I125:K127"/>
    <mergeCell ref="O75:W78"/>
    <mergeCell ref="U95:W95"/>
    <mergeCell ref="U96:W96"/>
    <mergeCell ref="O97:W100"/>
    <mergeCell ref="U90:W90"/>
    <mergeCell ref="U91:W91"/>
    <mergeCell ref="U92:W92"/>
    <mergeCell ref="U93:W93"/>
    <mergeCell ref="U94:W94"/>
    <mergeCell ref="O86:W86"/>
    <mergeCell ref="O64:W64"/>
    <mergeCell ref="X64:Y64"/>
    <mergeCell ref="Z64:Z67"/>
    <mergeCell ref="Y65:Y66"/>
    <mergeCell ref="X65:X67"/>
    <mergeCell ref="U65:W67"/>
    <mergeCell ref="T65:T66"/>
    <mergeCell ref="S65:S67"/>
    <mergeCell ref="R65:R67"/>
    <mergeCell ref="Q65:Q67"/>
  </mergeCells>
  <conditionalFormatting sqref="H17697">
    <cfRule type="expression" dxfId="1322" priority="35">
      <formula>$H$197&lt;&gt;""</formula>
    </cfRule>
  </conditionalFormatting>
  <conditionalFormatting sqref="H198 L64:L122">
    <cfRule type="expression" dxfId="1321" priority="16">
      <formula>H64&lt;&gt;""</formula>
    </cfRule>
  </conditionalFormatting>
  <conditionalFormatting sqref="H197">
    <cfRule type="expression" dxfId="1320" priority="15">
      <formula>H197&lt;&gt;""</formula>
    </cfRule>
  </conditionalFormatting>
  <conditionalFormatting sqref="L171:L185">
    <cfRule type="expression" dxfId="1319" priority="14">
      <formula>L171&lt;&gt;""</formula>
    </cfRule>
  </conditionalFormatting>
  <conditionalFormatting sqref="L19:L47">
    <cfRule type="expression" dxfId="1318" priority="13">
      <formula>L19&lt;&gt;""</formula>
    </cfRule>
  </conditionalFormatting>
  <conditionalFormatting sqref="L164">
    <cfRule type="expression" dxfId="1317" priority="12">
      <formula>L164&lt;&gt;""</formula>
    </cfRule>
  </conditionalFormatting>
  <conditionalFormatting sqref="I191">
    <cfRule type="expression" dxfId="1316" priority="9">
      <formula>I191&lt;&gt;""</formula>
    </cfRule>
  </conditionalFormatting>
  <conditionalFormatting sqref="M127:M136">
    <cfRule type="expression" dxfId="1315" priority="10">
      <formula>M127&lt;&gt;""</formula>
    </cfRule>
  </conditionalFormatting>
  <conditionalFormatting sqref="I10">
    <cfRule type="expression" dxfId="1314" priority="8">
      <formula>I10&lt;&gt;""</formula>
    </cfRule>
  </conditionalFormatting>
  <conditionalFormatting sqref="Z68:Z72">
    <cfRule type="expression" dxfId="1313" priority="7">
      <formula>Z68&lt;&gt;""</formula>
    </cfRule>
  </conditionalFormatting>
  <conditionalFormatting sqref="L53">
    <cfRule type="expression" dxfId="1312" priority="6">
      <formula>L53&lt;&gt;""</formula>
    </cfRule>
  </conditionalFormatting>
  <conditionalFormatting sqref="Z95">
    <cfRule type="expression" dxfId="1311" priority="1">
      <formula>Z95&lt;&gt;""</formula>
    </cfRule>
  </conditionalFormatting>
  <conditionalFormatting sqref="Z74">
    <cfRule type="expression" dxfId="1310" priority="5">
      <formula>Z74&lt;&gt;""</formula>
    </cfRule>
  </conditionalFormatting>
  <conditionalFormatting sqref="Z73">
    <cfRule type="expression" dxfId="1309" priority="4">
      <formula>Z73&lt;&gt;""</formula>
    </cfRule>
  </conditionalFormatting>
  <conditionalFormatting sqref="Z90:Z94">
    <cfRule type="expression" dxfId="1308" priority="3">
      <formula>Z90&lt;&gt;""</formula>
    </cfRule>
  </conditionalFormatting>
  <conditionalFormatting sqref="Z96">
    <cfRule type="expression" dxfId="1307" priority="2">
      <formula>Z96&lt;&gt;""</formula>
    </cfRule>
  </conditionalFormatting>
  <dataValidations count="6">
    <dataValidation allowBlank="1" sqref="G50:G52 H50 D108:E108 G17:G19 N189:V189 I189 K190:V194 J50 E184 I50:I51 E50:F50 I17 E18:E19 R19 I139:I140 F191:F192 D187:J187 B169:E170 B186:E186 G188:J188 I142:I146 J139 C9:E9 F170:F186 W18 O13:R14 P15:R15 P20:R23 E138:J138 B86:B87 D123:D127 E49:J49 D86:E86 E139:H139 G184 G169:G170 G181:G182 B187:B190 C190:D190 K48:K50 J48 H170 G48 D49:D52 D54:D64 I53:I54 J54 H52:H54 K186:V188 G186:J186 C187:C188 D188:E188 F10 C192:D195 E190:E192 G192:J192 G194:J194 E193:J193 B171:B185 D137 E13:K16 H171:I185 E181:E182 X122:Y122 J124:K124 A147:K148 I62 E55:J60 K54:K60 E61:K61 Q68:Q73 B123:C137 U68:U73 I169 H164:I164 U19:X59 B108:B109 B64:B65 P25:R59 E54:G54 E52:F53 B36:B62 S68:S73 O65:U65 T67:T74 X65:Y65 X64 C64:C107 H18:H48 C20:C61 F18:F48 L19:L51 Y89:Y121 J123:XFD123 F140:G146 E194:F195 L53:L62 B122 I128:I137 K137:K139 G137:H137 J137 F188:F189 G195 E196:E198 M127:M155 M169:V185 L169 G152:G155 E149:J149 K149:K155 E150:I151 J150:J155 B156:XFD156 E140:E141 I191 K195:K198 E126:F137 I195:J195 A166:XFD168 L164:L165 F157:K161 C163:D163 B157:E162 B163:B164 B165:K165 I162 G163:H163 E163:F164 M157:XFD165 L157:L162 I199:L199 D154:D155 G123:H124 L124:L155 N124:XFD155 M124:M125 L171:L185 D199:G199 C197:C199 H195:H199 I8 I10 K8:K10 H140:H145 B8:F8 E63:E85 E87:E107 M195:V199 L195 Z64 B1:AD7 N8:AD10 W169:XFD199 C11:AD12 AE200:XFD206 B192:B199 A169:A199 A207:XFD1048576 B138:D146 A156:A165 P19 Q18:Q19 O68:O75 X68:X86 I20:I32 I36:I48 A149:C155 D149:D152 O79:W85 S90:S95 Q90:Q95 U90:U95 O87:U87 T89:T96 X87:Y87 U96:W96 O86 R74:S74 X90:X121 O64 O15:O59 Y67:Y85 Z68:Z86 O90:O97 R96:S96 D42:E48 I64:I125 E109:E124 O101:W122 Z90:Z122 L64:L122 F63:F124 A1:A146 AA13:AD122 M13:N122 AE1:XFD122 D13:D19 B9:B20 Y13:Z59 S13:T59 L13:L17 V13:X15 U13:U18 C13:C18 C109:C122 U74"/>
    <dataValidation allowBlank="1" showInputMessage="1" sqref="L196:L198"/>
    <dataValidation type="decimal" operator="greaterThan" allowBlank="1" showInputMessage="1" showErrorMessage="1" error="Must be a positive number" sqref="D10:E10">
      <formula1>0</formula1>
    </dataValidation>
    <dataValidation type="list" allowBlank="1" showInputMessage="1" showErrorMessage="1" errorTitle="Invalid data" error="Please enter &quot;Scope 1&quot;, &quot;Scope 2&quot; or &quot;Scope 3&quot;." promptTitle="Reporting scope" prompt="Please enter the reporting scope of the data in this row." sqref="I33:I35">
      <formula1>"Scope 1,Scope 2,Scope 3"</formula1>
    </dataValidation>
    <dataValidation type="list" allowBlank="1" showErrorMessage="1" errorTitle="Invalid input" error="Please enter &quot;yes&quot; or &quot;no&quot;." sqref="D153:F153">
      <formula1>"yes,no"</formula1>
    </dataValidation>
    <dataValidation type="decimal" operator="greaterThan" allowBlank="1" showInputMessage="1" showErrorMessage="1" errorTitle="Invalid input" error="Must be a positive number" sqref="E154:F154">
      <formula1>0</formula1>
    </dataValidation>
  </dataValidations>
  <hyperlinks>
    <hyperlink ref="C42:C47" location="CHP!A1" display="CHP1 Electricity"/>
    <hyperlink ref="B60" location="'conversion factors'!A1" display="If you need to convert from miles to km, go to the Conversions tab or click here"/>
    <hyperlink ref="C42" location="CHP!T4" display="CHP1 Electricity"/>
    <hyperlink ref="C43" location="CHP!T4" display="CHP1 Heat"/>
    <hyperlink ref="C44" location="CHP!T31" display="CHP2 Electricity"/>
    <hyperlink ref="C45" location="CHP!T31" display="CHP2 Heat"/>
    <hyperlink ref="C46" location="CHP!T58" display="CHP3 Electricity"/>
    <hyperlink ref="C47" location="CHP!T58" display="CHP3 Heat"/>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sheetPr>
  <dimension ref="A1:BC178"/>
  <sheetViews>
    <sheetView zoomScale="80" zoomScaleNormal="80" workbookViewId="0">
      <pane xSplit="2" ySplit="14" topLeftCell="C144" activePane="bottomRight" state="frozen"/>
      <selection activeCell="I110" sqref="I110:K110"/>
      <selection pane="topRight" activeCell="I110" sqref="I110:K110"/>
      <selection pane="bottomLeft" activeCell="I110" sqref="I110:K110"/>
      <selection pane="bottomRight" activeCell="O153" sqref="O153"/>
    </sheetView>
  </sheetViews>
  <sheetFormatPr defaultColWidth="9.109375" defaultRowHeight="15" customHeight="1" x14ac:dyDescent="0.3"/>
  <cols>
    <col min="1" max="1" width="12.6640625" customWidth="1"/>
    <col min="2" max="2" width="39.109375" customWidth="1"/>
    <col min="3" max="7" width="12.33203125" customWidth="1"/>
    <col min="8" max="8" width="12.33203125" hidden="1" customWidth="1"/>
    <col min="9" max="9" width="12.33203125" customWidth="1"/>
    <col min="10" max="10" width="14.21875" customWidth="1"/>
    <col min="11" max="11" width="7.109375" customWidth="1"/>
    <col min="12" max="12" width="10.109375" customWidth="1"/>
    <col min="13" max="13" width="20.77734375" customWidth="1"/>
    <col min="14" max="14" width="7.6640625" customWidth="1"/>
    <col min="15" max="17" width="14.6640625" customWidth="1"/>
    <col min="18" max="18" width="12.33203125" customWidth="1"/>
    <col min="19" max="19" width="12.21875" customWidth="1"/>
    <col min="20" max="21" width="8.77734375" customWidth="1"/>
    <col min="22" max="24" width="8.77734375" hidden="1" customWidth="1"/>
    <col min="25" max="25" width="8.77734375" customWidth="1"/>
    <col min="26" max="26" width="9" customWidth="1"/>
    <col min="27" max="27" width="9.33203125" customWidth="1"/>
    <col min="28" max="28" width="66.77734375" customWidth="1"/>
    <col min="29" max="29" width="14.109375" customWidth="1"/>
    <col min="30" max="33" width="16.33203125" customWidth="1"/>
    <col min="34" max="34" width="14" customWidth="1"/>
    <col min="35" max="35" width="14" hidden="1" customWidth="1"/>
    <col min="36" max="36" width="14.21875" customWidth="1"/>
    <col min="37" max="37" width="14.6640625" customWidth="1"/>
    <col min="38" max="38" width="6.77734375" customWidth="1"/>
    <col min="39" max="39" width="12.33203125" customWidth="1"/>
    <col min="40" max="40" width="20.77734375" customWidth="1"/>
    <col min="41" max="41" width="9.6640625" customWidth="1"/>
    <col min="42" max="46" width="10.21875" customWidth="1"/>
    <col min="47" max="48" width="9.21875" customWidth="1"/>
    <col min="49" max="51" width="9.21875" hidden="1" customWidth="1"/>
    <col min="52" max="54" width="9.21875" customWidth="1"/>
    <col min="55" max="55" width="51" customWidth="1"/>
    <col min="56" max="56" width="9.109375" customWidth="1"/>
  </cols>
  <sheetData>
    <row r="1" spans="1:55" thickBot="1" x14ac:dyDescent="0.35">
      <c r="A1" s="668" t="s">
        <v>414</v>
      </c>
      <c r="B1" s="669" t="s">
        <v>415</v>
      </c>
      <c r="C1" s="670" t="s">
        <v>416</v>
      </c>
      <c r="D1" s="671"/>
      <c r="E1" s="671"/>
      <c r="F1" s="671"/>
      <c r="G1" s="671"/>
      <c r="H1" s="671"/>
      <c r="I1" s="671"/>
      <c r="J1" s="88"/>
      <c r="K1" s="88"/>
      <c r="L1" s="672"/>
      <c r="M1" s="672"/>
      <c r="N1" s="673"/>
      <c r="O1" s="88"/>
      <c r="P1" s="674"/>
      <c r="Q1" s="1157"/>
      <c r="R1" s="1157"/>
      <c r="S1" s="1157"/>
      <c r="T1" s="672"/>
      <c r="U1" s="672"/>
      <c r="V1" s="672"/>
      <c r="W1" s="672"/>
      <c r="X1" s="672"/>
      <c r="Y1" s="675"/>
      <c r="Z1" s="672"/>
      <c r="AA1" s="1331"/>
      <c r="AB1" s="1331"/>
      <c r="AC1" s="676" t="s">
        <v>414</v>
      </c>
      <c r="AD1" s="677" t="s">
        <v>415</v>
      </c>
      <c r="AE1" s="678" t="s">
        <v>416</v>
      </c>
      <c r="AF1" s="673"/>
      <c r="AG1" s="88"/>
      <c r="AH1" s="88"/>
      <c r="AI1" s="88"/>
      <c r="AJ1" s="88"/>
      <c r="AK1" s="88"/>
      <c r="AL1" s="88"/>
      <c r="AM1" s="88"/>
      <c r="AN1" s="88"/>
      <c r="AO1" s="673"/>
      <c r="AP1" s="673"/>
      <c r="AQ1" s="673"/>
      <c r="AR1" s="673"/>
      <c r="AS1" s="673"/>
      <c r="AT1" s="673"/>
      <c r="AU1" s="673"/>
      <c r="AV1" s="673"/>
      <c r="AW1" s="673"/>
      <c r="AX1" s="673"/>
      <c r="AY1" s="673"/>
      <c r="AZ1" s="673"/>
      <c r="BA1" s="673"/>
      <c r="BB1" s="362"/>
      <c r="BC1" s="362"/>
    </row>
    <row r="2" spans="1:55" ht="15" customHeight="1" thickBot="1" x14ac:dyDescent="0.35">
      <c r="A2" s="679" t="s">
        <v>417</v>
      </c>
      <c r="B2" s="680" t="str">
        <f ca="1">IF(COUNTBLANK(AB16:AB43)+COUNTBLANK(AB49)+COUNTBLANK(AB57:AB75)+COUNTBLANK(AB79:AB97)+COUNTBLANK(AB101:AB113)+COUNTBLANK(AB120:AB125)-82=0,"YES","NO")</f>
        <v>NO</v>
      </c>
      <c r="C2" s="681">
        <f ca="1">IF((SUM(Y16:Y43,Y49,Y57:Y75,Y79:Y97,Y101:Y113,Y120:Y125)-(SUMIF(AB16:AB43,"",Y16:Y43)+SUMIF(AB49,"",Y49)+SUMIF(AB57:AB75,"",Y57:Y75)+SUMIF(AB79:AB97,"", Y79:Y97)+SUMIF(AB101:AB113,"", Y101:Y113)+SUMIF(AB120:AB125,"",Y120:Y125)))=0,"",SUM(Y16:Y43,Y49,Y57:Y75,Y79:Y97,Y101:Y113,Y120:Y125)-(SUMIF(AB16:AB43,"",Y16:Y43)+SUMIF(AB49,"",Y49)+SUMIF(AB57:AB75,"",Y57:Y75)+SUMIF(AB79:AB97,"",Y79:Y97)+SUMIF(AB101:AB113,"",Y101:Y113)+SUMIF(AB120:AB125,"",Y120:Y125)))</f>
        <v>0.75671039358572778</v>
      </c>
      <c r="D2" s="1157"/>
      <c r="E2" s="1157"/>
      <c r="F2" s="1157"/>
      <c r="G2" s="671"/>
      <c r="H2" s="671"/>
      <c r="I2" s="671"/>
      <c r="J2" s="2269" t="s">
        <v>418</v>
      </c>
      <c r="K2" s="2270"/>
      <c r="L2" s="682" t="s">
        <v>417</v>
      </c>
      <c r="M2" s="682" t="s">
        <v>250</v>
      </c>
      <c r="N2" s="1174" t="s">
        <v>249</v>
      </c>
      <c r="O2" s="683" t="s">
        <v>419</v>
      </c>
      <c r="P2" s="684" t="s">
        <v>420</v>
      </c>
      <c r="Q2" s="1157"/>
      <c r="R2" s="1157"/>
      <c r="S2" s="1157"/>
      <c r="T2" s="1157"/>
      <c r="U2" s="672"/>
      <c r="V2" s="672"/>
      <c r="W2" s="672"/>
      <c r="X2" s="672"/>
      <c r="Y2" s="672"/>
      <c r="Z2" s="672"/>
      <c r="AA2" s="1331"/>
      <c r="AB2" s="1331"/>
      <c r="AC2" s="685" t="s">
        <v>417</v>
      </c>
      <c r="AD2" s="680" t="str">
        <f ca="1">IF(COUNTBLANK(BC16:BC43)+COUNTBLANK(BC49)-25=0,"YES","NO")</f>
        <v>NO</v>
      </c>
      <c r="AE2" s="681" t="str">
        <f ca="1">IF((SUM(BA16:BA43,BA49)-(SUMIF(BC16:BC43,"",BA16:BA43)+SUMIF(BC49,"",BA49)))=0,"",(SUM(BA16:BA43,BA49)-(SUMIF(BC16:BC43,"",BA16:BA43)+SUMIF(BC49,"",BA49))))</f>
        <v/>
      </c>
      <c r="AF2" s="673"/>
      <c r="AG2" s="88"/>
      <c r="AH2" s="1331"/>
      <c r="AI2" s="1331"/>
      <c r="AJ2" s="1331"/>
      <c r="AK2" s="2271" t="s">
        <v>418</v>
      </c>
      <c r="AL2" s="2272"/>
      <c r="AM2" s="686" t="s">
        <v>417</v>
      </c>
      <c r="AN2" s="686" t="s">
        <v>250</v>
      </c>
      <c r="AO2" s="1175" t="s">
        <v>249</v>
      </c>
      <c r="AP2" s="106"/>
      <c r="AQ2" s="106"/>
      <c r="AR2" s="106"/>
      <c r="AS2" s="106"/>
      <c r="AT2" s="106"/>
      <c r="AU2" s="106"/>
      <c r="AV2" s="106"/>
      <c r="AW2" s="106"/>
      <c r="AX2" s="106"/>
      <c r="AY2" s="106"/>
      <c r="AZ2" s="106"/>
      <c r="BA2" s="106"/>
      <c r="BB2" s="362"/>
      <c r="BC2" s="362"/>
    </row>
    <row r="3" spans="1:55" ht="12.75" customHeight="1" x14ac:dyDescent="0.3">
      <c r="A3" s="679" t="s">
        <v>250</v>
      </c>
      <c r="B3" s="687" t="str">
        <f ca="1">IF(COUNTBLANK(AB140:AB142)-3=0,"YES","NO")</f>
        <v>YES</v>
      </c>
      <c r="C3" s="681" t="str">
        <f ca="1">IF(AB140="","",T140)</f>
        <v/>
      </c>
      <c r="D3" s="1157"/>
      <c r="E3" s="1157"/>
      <c r="F3" s="1157"/>
      <c r="G3" s="671"/>
      <c r="H3" s="671"/>
      <c r="I3" s="671"/>
      <c r="J3" s="688" t="s">
        <v>395</v>
      </c>
      <c r="K3" s="689" t="s">
        <v>421</v>
      </c>
      <c r="L3" s="1124">
        <f>'QA config'!C6</f>
        <v>0.05</v>
      </c>
      <c r="M3" s="1124">
        <f>'QA config'!D6</f>
        <v>0.25</v>
      </c>
      <c r="N3" s="1124">
        <f>'QA config'!E6</f>
        <v>0.25</v>
      </c>
      <c r="O3" s="1124">
        <f>'QA config'!F6</f>
        <v>0.25</v>
      </c>
      <c r="P3" s="1124">
        <f>'QA config'!G6</f>
        <v>0.25</v>
      </c>
      <c r="Q3" s="1157"/>
      <c r="R3" s="1157"/>
      <c r="S3" s="1157"/>
      <c r="T3" s="1157"/>
      <c r="U3" s="672"/>
      <c r="V3" s="672"/>
      <c r="W3" s="672"/>
      <c r="X3" s="672"/>
      <c r="Y3" s="672"/>
      <c r="Z3" s="672"/>
      <c r="AA3" s="1331"/>
      <c r="AB3" s="1331"/>
      <c r="AC3" s="685" t="s">
        <v>250</v>
      </c>
      <c r="AD3" s="687" t="str">
        <f ca="1">IF(COUNTBLANK(BC140:BC142)-3=0,"YES","NO")</f>
        <v>NO</v>
      </c>
      <c r="AE3" s="681">
        <f ca="1">IF(BC140="","",AU140)</f>
        <v>0.35605180105409262</v>
      </c>
      <c r="AF3" s="673"/>
      <c r="AG3" s="88"/>
      <c r="AH3" s="1331"/>
      <c r="AI3" s="1331"/>
      <c r="AJ3" s="1331"/>
      <c r="AK3" s="690" t="s">
        <v>395</v>
      </c>
      <c r="AL3" s="691" t="s">
        <v>421</v>
      </c>
      <c r="AM3" s="692">
        <f t="shared" ref="AM3:AO4" si="0">+L3</f>
        <v>0.05</v>
      </c>
      <c r="AN3" s="692">
        <f t="shared" si="0"/>
        <v>0.25</v>
      </c>
      <c r="AO3" s="693">
        <f t="shared" si="0"/>
        <v>0.25</v>
      </c>
      <c r="AP3" s="106"/>
      <c r="AQ3" s="106"/>
      <c r="AR3" s="106"/>
      <c r="AS3" s="106"/>
      <c r="AT3" s="106"/>
      <c r="AU3" s="106"/>
      <c r="AV3" s="106"/>
      <c r="AW3" s="106"/>
      <c r="AX3" s="106"/>
      <c r="AY3" s="106"/>
      <c r="AZ3" s="106"/>
      <c r="BA3" s="106"/>
      <c r="BB3" s="591"/>
      <c r="BC3" s="362"/>
    </row>
    <row r="4" spans="1:55" thickBot="1" x14ac:dyDescent="0.35">
      <c r="A4" s="694" t="s">
        <v>249</v>
      </c>
      <c r="B4" s="687" t="str">
        <f ca="1">IF(COUNTBLANK(AB149:AB157)+COUNTBLANK(AB161)-10=0,"YES","NO")</f>
        <v>NO</v>
      </c>
      <c r="C4" s="681">
        <f ca="1">IF((SUM(Y149:Y157,Y161)-(SUMIF(AB149:AB157,"",Y149:Y157)+SUMIF(AB161,"",Y161)))=0,"",SUM(Y149:Y157,Y161)-(SUMIF(AB149:AB157,"",Y149:Y157)+SUMIF(AB161,"",Y161)))</f>
        <v>5.0475555009637227E-2</v>
      </c>
      <c r="D4" s="1157"/>
      <c r="E4" s="1157"/>
      <c r="F4" s="1157"/>
      <c r="G4" s="671"/>
      <c r="H4" s="671"/>
      <c r="I4" s="671"/>
      <c r="J4" s="690" t="s">
        <v>394</v>
      </c>
      <c r="K4" s="691"/>
      <c r="L4" s="1124">
        <f>'QA config'!C7</f>
        <v>1E-3</v>
      </c>
      <c r="M4" s="1124">
        <f>'QA config'!D7</f>
        <v>0.05</v>
      </c>
      <c r="N4" s="1124">
        <f>'QA config'!E7</f>
        <v>0.05</v>
      </c>
      <c r="O4" s="1124">
        <f>'QA config'!F7</f>
        <v>0.05</v>
      </c>
      <c r="P4" s="1124">
        <f>'QA config'!G7</f>
        <v>0.05</v>
      </c>
      <c r="Q4" s="1157"/>
      <c r="R4" s="1157"/>
      <c r="S4" s="1157"/>
      <c r="T4" s="1157"/>
      <c r="U4" s="672"/>
      <c r="V4" s="672"/>
      <c r="W4" s="672"/>
      <c r="X4" s="672"/>
      <c r="Y4" s="672"/>
      <c r="Z4" s="672"/>
      <c r="AA4" s="1331"/>
      <c r="AB4" s="1331"/>
      <c r="AC4" s="695" t="s">
        <v>249</v>
      </c>
      <c r="AD4" s="696" t="str">
        <f ca="1">IF(COUNTBLANK(BC149:BC157)+COUNTBLANK(BC161)-10=0,"YES","NO")</f>
        <v>NO</v>
      </c>
      <c r="AE4" s="697" t="e">
        <f ca="1">IF((SUM(AZ149:AZ157,AZ161)-(SUMIF(BC149:BC157,"",AZ149:AZ157)+SUMIF(BC161,"",AZ161)))=0,"",SUM(AZ149:AZ157,AZ161)-(SUMIF(BC149:BC157,"",AZ149:AZ157)+SUMIF(BC161,"",AZ161)))</f>
        <v>#VALUE!</v>
      </c>
      <c r="AF4" s="673"/>
      <c r="AG4" s="88"/>
      <c r="AH4" s="1331"/>
      <c r="AI4" s="1331"/>
      <c r="AJ4" s="1331"/>
      <c r="AK4" s="690" t="s">
        <v>394</v>
      </c>
      <c r="AL4" s="691"/>
      <c r="AM4" s="692">
        <f t="shared" si="0"/>
        <v>1E-3</v>
      </c>
      <c r="AN4" s="692">
        <f t="shared" si="0"/>
        <v>0.05</v>
      </c>
      <c r="AO4" s="693">
        <f t="shared" si="0"/>
        <v>0.05</v>
      </c>
      <c r="AP4" s="106"/>
      <c r="AQ4" s="106"/>
      <c r="AR4" s="106"/>
      <c r="AS4" s="106"/>
      <c r="AT4" s="106"/>
      <c r="AU4" s="106"/>
      <c r="AV4" s="106"/>
      <c r="AW4" s="106"/>
      <c r="AX4" s="106"/>
      <c r="AY4" s="106"/>
      <c r="AZ4" s="106"/>
      <c r="BA4" s="106"/>
      <c r="BB4" s="698"/>
      <c r="BC4" s="362"/>
    </row>
    <row r="5" spans="1:55" thickBot="1" x14ac:dyDescent="0.35">
      <c r="A5" s="694" t="s">
        <v>397</v>
      </c>
      <c r="B5" s="687" t="str">
        <f ca="1">IF(COUNTBLANK(AB169)-1=0,"YES","NO")</f>
        <v>NO</v>
      </c>
      <c r="C5" s="681">
        <f ca="1">IF(AB169="","",+T169)</f>
        <v>6.8630163856333234E-2</v>
      </c>
      <c r="D5" s="1157"/>
      <c r="E5" s="1157"/>
      <c r="F5" s="1157"/>
      <c r="G5" s="671"/>
      <c r="H5" s="671"/>
      <c r="I5" s="671"/>
      <c r="J5" s="699" t="s">
        <v>396</v>
      </c>
      <c r="K5" s="700" t="s">
        <v>422</v>
      </c>
      <c r="L5" s="701">
        <f>+L4</f>
        <v>1E-3</v>
      </c>
      <c r="M5" s="701">
        <f>+M4</f>
        <v>0.05</v>
      </c>
      <c r="N5" s="701">
        <f>+N4</f>
        <v>0.05</v>
      </c>
      <c r="O5" s="701">
        <f>+O4</f>
        <v>0.05</v>
      </c>
      <c r="P5" s="702">
        <f>+P4</f>
        <v>0.05</v>
      </c>
      <c r="Q5" s="1157"/>
      <c r="R5" s="1157"/>
      <c r="S5" s="1157"/>
      <c r="T5" s="1157"/>
      <c r="U5" s="672"/>
      <c r="V5" s="672"/>
      <c r="W5" s="672"/>
      <c r="X5" s="672"/>
      <c r="Y5" s="672"/>
      <c r="Z5" s="672"/>
      <c r="AA5" s="672"/>
      <c r="AB5" s="672"/>
      <c r="AC5" s="672"/>
      <c r="AD5" s="672"/>
      <c r="AE5" s="672"/>
      <c r="AF5" s="672"/>
      <c r="AG5" s="88"/>
      <c r="AH5" s="1331"/>
      <c r="AI5" s="1331"/>
      <c r="AJ5" s="1331"/>
      <c r="AK5" s="699" t="s">
        <v>396</v>
      </c>
      <c r="AL5" s="700" t="s">
        <v>422</v>
      </c>
      <c r="AM5" s="701">
        <f>+AM4</f>
        <v>1E-3</v>
      </c>
      <c r="AN5" s="701">
        <f>+AN4</f>
        <v>0.05</v>
      </c>
      <c r="AO5" s="702">
        <f>+AO4</f>
        <v>0.05</v>
      </c>
      <c r="AP5" s="106"/>
      <c r="AQ5" s="106"/>
      <c r="AR5" s="106"/>
      <c r="AS5" s="106"/>
      <c r="AT5" s="106"/>
      <c r="AU5" s="106"/>
      <c r="AV5" s="106"/>
      <c r="AW5" s="106"/>
      <c r="AX5" s="106"/>
      <c r="AY5" s="106"/>
      <c r="AZ5" s="106"/>
      <c r="BA5" s="106"/>
      <c r="BB5" s="703"/>
      <c r="BC5" s="362"/>
    </row>
    <row r="6" spans="1:55" thickBot="1" x14ac:dyDescent="0.35">
      <c r="A6" s="704" t="s">
        <v>420</v>
      </c>
      <c r="B6" s="696" t="str">
        <f ca="1">IF(COUNTBLANK(AB177:AB178)-2=0,"YES","NO")</f>
        <v>NO</v>
      </c>
      <c r="C6" s="697">
        <f ca="1">IF(AB177="","",+T177)</f>
        <v>0.10294117647058823</v>
      </c>
      <c r="D6" s="1157"/>
      <c r="E6" s="1157"/>
      <c r="F6" s="1157"/>
      <c r="G6" s="671"/>
      <c r="H6" s="671"/>
      <c r="I6" s="671"/>
      <c r="J6" s="671"/>
      <c r="K6" s="671"/>
      <c r="L6" s="671"/>
      <c r="M6" s="1157"/>
      <c r="N6" s="705"/>
      <c r="O6" s="706"/>
      <c r="P6" s="706"/>
      <c r="Q6" s="706"/>
      <c r="R6" s="706"/>
      <c r="S6" s="1157"/>
      <c r="T6" s="1157"/>
      <c r="U6" s="1157"/>
      <c r="V6" s="1157"/>
      <c r="W6" s="1157"/>
      <c r="X6" s="1157"/>
      <c r="Y6" s="1157"/>
      <c r="Z6" s="672"/>
      <c r="AA6" s="1157"/>
      <c r="AB6" s="1157"/>
      <c r="AC6" s="1157"/>
      <c r="AD6" s="1157"/>
      <c r="AE6" s="1157"/>
      <c r="AF6" s="1157"/>
      <c r="AG6" s="1157"/>
      <c r="AH6" s="1157"/>
      <c r="AI6" s="1157"/>
      <c r="AJ6" s="88"/>
      <c r="AK6" s="88"/>
      <c r="AL6" s="88"/>
      <c r="AM6" s="88"/>
      <c r="AN6" s="88"/>
      <c r="AO6" s="88"/>
      <c r="AP6" s="88"/>
      <c r="AQ6" s="88"/>
      <c r="AR6" s="88"/>
      <c r="AS6" s="106"/>
      <c r="AT6" s="106"/>
      <c r="AU6" s="106"/>
      <c r="AV6" s="106"/>
      <c r="AW6" s="106"/>
      <c r="AX6" s="106"/>
      <c r="AY6" s="106"/>
      <c r="AZ6" s="106"/>
      <c r="BA6" s="106"/>
      <c r="BB6" s="106"/>
      <c r="BC6" s="106"/>
    </row>
    <row r="7" spans="1:55" ht="15.75" customHeight="1" thickBot="1" x14ac:dyDescent="0.35">
      <c r="A7" s="673"/>
      <c r="B7" s="673"/>
      <c r="C7" s="673"/>
      <c r="D7" s="673"/>
      <c r="E7" s="673"/>
      <c r="F7" s="673"/>
      <c r="G7" s="707"/>
      <c r="H7" s="707"/>
      <c r="I7" s="671"/>
      <c r="J7" s="2278" t="s">
        <v>413</v>
      </c>
      <c r="K7" s="1337" t="str">
        <f>C14</f>
        <v>Q1</v>
      </c>
      <c r="L7" s="1332">
        <f ca="1">INDIRECT(CONCATENATE("'",K7,"'!",IF(LEN(K7)=2,"F142","F137")))</f>
        <v>73523.848819970561</v>
      </c>
      <c r="M7" s="673"/>
      <c r="N7" s="673"/>
      <c r="O7" s="708" t="s">
        <v>423</v>
      </c>
      <c r="P7" s="1326" t="s">
        <v>424</v>
      </c>
      <c r="Q7" s="1329"/>
      <c r="R7" s="50"/>
      <c r="S7" s="50"/>
      <c r="T7" s="673"/>
      <c r="U7" s="88"/>
      <c r="V7" s="88"/>
      <c r="W7" s="88"/>
      <c r="X7" s="88"/>
      <c r="Y7" s="88"/>
      <c r="Z7" s="88"/>
      <c r="AA7" s="88"/>
      <c r="AB7" s="88"/>
      <c r="AC7" s="88"/>
      <c r="AD7" s="88"/>
      <c r="AE7" s="88"/>
      <c r="AF7" s="88"/>
      <c r="AG7" s="88"/>
      <c r="AH7" s="88"/>
      <c r="AI7" s="88"/>
      <c r="AJ7" s="88"/>
      <c r="AK7" s="2278" t="s">
        <v>413</v>
      </c>
      <c r="AL7" s="1337" t="str">
        <f>AD14</f>
        <v>Q1</v>
      </c>
      <c r="AM7" s="1362">
        <f ca="1">INDIRECT(CONCATENATE("'",AL7,"'!",IF(LEN(AL7)=2,"H142","H137")))</f>
        <v>876.05685648478038</v>
      </c>
      <c r="AN7" s="88"/>
      <c r="AO7" s="88"/>
      <c r="AP7" s="88"/>
      <c r="AQ7" s="88"/>
      <c r="AR7" s="88"/>
      <c r="AS7" s="106"/>
      <c r="AT7" s="106"/>
      <c r="AU7" s="106"/>
      <c r="AV7" s="106"/>
      <c r="AW7" s="106"/>
      <c r="AX7" s="106"/>
      <c r="AY7" s="106"/>
      <c r="AZ7" s="106"/>
      <c r="BA7" s="106"/>
      <c r="BB7" s="106"/>
      <c r="BC7" s="106"/>
    </row>
    <row r="8" spans="1:55" ht="14.4" x14ac:dyDescent="0.3">
      <c r="A8" s="673"/>
      <c r="B8" s="673"/>
      <c r="C8" s="673"/>
      <c r="D8" s="673"/>
      <c r="E8" s="673"/>
      <c r="F8" s="673"/>
      <c r="G8" s="673"/>
      <c r="H8" s="673"/>
      <c r="I8" s="671"/>
      <c r="J8" s="2279"/>
      <c r="K8" s="1336" t="str">
        <f>D14</f>
        <v>Q4-19</v>
      </c>
      <c r="L8" s="1333">
        <f ca="1">INDIRECT(CONCATENATE("'",K8,"'!",IF(LEN(K8)=2,"F142","F137")))</f>
        <v>0</v>
      </c>
      <c r="M8" s="673"/>
      <c r="N8" s="671"/>
      <c r="O8" s="712">
        <f>'QA config'!D3</f>
        <v>100</v>
      </c>
      <c r="P8" s="1327" t="s">
        <v>425</v>
      </c>
      <c r="Q8" s="1330"/>
      <c r="R8" s="50"/>
      <c r="S8" s="50"/>
      <c r="T8" s="673"/>
      <c r="U8" s="88"/>
      <c r="V8" s="88"/>
      <c r="W8" s="88"/>
      <c r="X8" s="88"/>
      <c r="Y8" s="88"/>
      <c r="Z8" s="88"/>
      <c r="AA8" s="88"/>
      <c r="AB8" s="88"/>
      <c r="AC8" s="88"/>
      <c r="AD8" s="88"/>
      <c r="AE8" s="88"/>
      <c r="AF8" s="88"/>
      <c r="AG8" s="88"/>
      <c r="AH8" s="88"/>
      <c r="AI8" s="88"/>
      <c r="AJ8" s="88"/>
      <c r="AK8" s="2279"/>
      <c r="AL8" s="1336" t="str">
        <f>AE14</f>
        <v>Q4-19</v>
      </c>
      <c r="AM8" s="1363">
        <f ca="1">INDIRECT(CONCATENATE("'",AL8,"'!",IF(LEN(AL8)=2,"H142","H137")))</f>
        <v>0</v>
      </c>
      <c r="AN8" s="88"/>
      <c r="AO8" s="88"/>
      <c r="AP8" s="88"/>
      <c r="AQ8" s="88"/>
      <c r="AR8" s="88"/>
      <c r="AS8" s="88"/>
      <c r="AT8" s="88"/>
      <c r="AU8" s="88"/>
      <c r="AV8" s="88"/>
      <c r="AW8" s="88"/>
      <c r="AX8" s="88"/>
      <c r="AY8" s="88"/>
      <c r="AZ8" s="88"/>
      <c r="BA8" s="88"/>
      <c r="BB8" s="88"/>
      <c r="BC8" s="88"/>
    </row>
    <row r="9" spans="1:55" thickBot="1" x14ac:dyDescent="0.35">
      <c r="A9" s="673"/>
      <c r="B9" s="673"/>
      <c r="C9" s="673"/>
      <c r="D9" s="673"/>
      <c r="E9" s="673"/>
      <c r="F9" s="673"/>
      <c r="G9" s="673"/>
      <c r="H9" s="673"/>
      <c r="I9" s="671"/>
      <c r="J9" s="2279"/>
      <c r="K9" s="1335" t="s">
        <v>525</v>
      </c>
      <c r="L9" s="1333">
        <f>'2019-2020'!$F$142</f>
        <v>127140.63081037506</v>
      </c>
      <c r="M9" s="673"/>
      <c r="N9" s="673"/>
      <c r="O9" s="714">
        <f>'QA config'!C3</f>
        <v>800</v>
      </c>
      <c r="P9" s="1328" t="s">
        <v>426</v>
      </c>
      <c r="Q9" s="1330"/>
      <c r="R9" s="50"/>
      <c r="S9" s="50"/>
      <c r="T9" s="673"/>
      <c r="U9" s="673"/>
      <c r="V9" s="673"/>
      <c r="W9" s="673"/>
      <c r="X9" s="673"/>
      <c r="Y9" s="709"/>
      <c r="Z9" s="196"/>
      <c r="AA9" s="196"/>
      <c r="AB9" s="88"/>
      <c r="AC9" s="50"/>
      <c r="AD9" s="88"/>
      <c r="AE9" s="88"/>
      <c r="AF9" s="88"/>
      <c r="AG9" s="88"/>
      <c r="AH9" s="88"/>
      <c r="AI9" s="88"/>
      <c r="AJ9" s="89"/>
      <c r="AK9" s="2279"/>
      <c r="AL9" s="1335" t="s">
        <v>525</v>
      </c>
      <c r="AM9" s="1363">
        <f>'2019-2020'!$H$142</f>
        <v>1670.7065949952803</v>
      </c>
      <c r="AN9" s="88"/>
      <c r="AO9" s="1170"/>
      <c r="AP9" s="88"/>
      <c r="AQ9" s="88"/>
      <c r="AR9" s="88"/>
      <c r="AS9" s="88"/>
      <c r="AT9" s="88"/>
      <c r="AU9" s="2227"/>
      <c r="AV9" s="2227"/>
      <c r="AW9" s="1164"/>
      <c r="AX9" s="1164"/>
      <c r="AY9" s="1164"/>
      <c r="AZ9" s="710"/>
      <c r="BA9" s="711"/>
      <c r="BB9" s="50"/>
      <c r="BC9" s="88"/>
    </row>
    <row r="10" spans="1:55" thickBot="1" x14ac:dyDescent="0.35">
      <c r="A10" s="673"/>
      <c r="B10" s="673"/>
      <c r="C10" s="671"/>
      <c r="D10" s="671"/>
      <c r="E10" s="671"/>
      <c r="F10" s="671"/>
      <c r="G10" s="671"/>
      <c r="H10" s="671"/>
      <c r="I10" s="671"/>
      <c r="J10" s="2280"/>
      <c r="K10" s="1338" t="s">
        <v>524</v>
      </c>
      <c r="L10" s="1334">
        <f>'2018-2019'!$F$142</f>
        <v>336511.49261138501</v>
      </c>
      <c r="M10" s="673"/>
      <c r="N10" s="673"/>
      <c r="O10" s="88"/>
      <c r="P10" s="88"/>
      <c r="Q10" s="88"/>
      <c r="R10" s="88"/>
      <c r="S10" s="88"/>
      <c r="T10" s="196"/>
      <c r="U10" s="196"/>
      <c r="V10" s="196"/>
      <c r="W10" s="196"/>
      <c r="X10" s="196"/>
      <c r="Y10" s="709"/>
      <c r="Z10" s="196"/>
      <c r="AA10" s="196"/>
      <c r="AB10" s="713"/>
      <c r="AC10" s="50"/>
      <c r="AD10" s="88"/>
      <c r="AE10" s="88"/>
      <c r="AF10" s="88"/>
      <c r="AG10" s="88"/>
      <c r="AH10" s="88"/>
      <c r="AI10" s="88"/>
      <c r="AJ10" s="89"/>
      <c r="AK10" s="2280"/>
      <c r="AL10" s="1338" t="s">
        <v>524</v>
      </c>
      <c r="AM10" s="1364">
        <f>'2018-2019'!$H$142</f>
        <v>7606.1139040172638</v>
      </c>
      <c r="AN10" s="88"/>
      <c r="AO10" s="362"/>
      <c r="AP10" s="88"/>
      <c r="AQ10" s="88"/>
      <c r="AR10" s="88"/>
      <c r="AS10" s="88"/>
      <c r="AT10" s="88"/>
      <c r="AU10" s="2227"/>
      <c r="AV10" s="2227"/>
      <c r="AW10" s="1164"/>
      <c r="AX10" s="1164"/>
      <c r="AY10" s="1164"/>
      <c r="AZ10" s="710"/>
      <c r="BA10" s="711"/>
      <c r="BB10" s="50"/>
      <c r="BC10" s="88"/>
    </row>
    <row r="11" spans="1:55" ht="14.4" x14ac:dyDescent="0.3">
      <c r="A11" s="673"/>
      <c r="B11" s="673"/>
      <c r="C11" s="671"/>
      <c r="D11" s="671"/>
      <c r="E11" s="671"/>
      <c r="F11" s="671"/>
      <c r="G11" s="671"/>
      <c r="H11" s="671"/>
      <c r="I11" s="671"/>
      <c r="J11" s="1331"/>
      <c r="K11" s="1331"/>
      <c r="L11" s="1331"/>
      <c r="M11" s="673"/>
      <c r="N11" s="1176"/>
      <c r="O11" s="88"/>
      <c r="P11" s="88"/>
      <c r="Q11" s="88"/>
      <c r="R11" s="88"/>
      <c r="S11" s="673"/>
      <c r="T11" s="1064"/>
      <c r="U11" s="196"/>
      <c r="V11" s="196"/>
      <c r="W11" s="196"/>
      <c r="X11" s="196"/>
      <c r="Y11" s="709"/>
      <c r="Z11" s="196"/>
      <c r="AA11" s="196"/>
      <c r="AB11" s="715"/>
      <c r="AC11" s="50"/>
      <c r="AD11" s="88"/>
      <c r="AE11" s="88"/>
      <c r="AF11" s="88"/>
      <c r="AG11" s="88"/>
      <c r="AH11" s="88"/>
      <c r="AI11" s="88"/>
      <c r="AJ11" s="89"/>
      <c r="AK11" s="88"/>
      <c r="AL11" s="716" t="s">
        <v>427</v>
      </c>
      <c r="AM11" s="665"/>
      <c r="AN11" s="88"/>
      <c r="AO11" s="1176"/>
      <c r="AP11" s="88"/>
      <c r="AQ11" s="88"/>
      <c r="AR11" s="88"/>
      <c r="AS11" s="88"/>
      <c r="AT11" s="673"/>
      <c r="AU11" s="2227"/>
      <c r="AV11" s="2227"/>
      <c r="AW11" s="1164"/>
      <c r="AX11" s="1164"/>
      <c r="AY11" s="1164"/>
      <c r="AZ11" s="710"/>
      <c r="BA11" s="711"/>
      <c r="BB11" s="50"/>
      <c r="BC11" s="665"/>
    </row>
    <row r="12" spans="1:55" ht="15" customHeight="1" thickBot="1" x14ac:dyDescent="0.35">
      <c r="A12" s="673"/>
      <c r="B12" s="673"/>
      <c r="C12" s="717"/>
      <c r="D12" s="717"/>
      <c r="E12" s="717"/>
      <c r="F12" s="717"/>
      <c r="G12" s="1057"/>
      <c r="H12" s="1057"/>
      <c r="I12" s="671"/>
      <c r="J12" s="92"/>
      <c r="K12" s="88"/>
      <c r="L12" s="93"/>
      <c r="M12" s="718"/>
      <c r="N12" s="90"/>
      <c r="O12" s="92"/>
      <c r="P12" s="92"/>
      <c r="Q12" s="1065"/>
      <c r="R12" s="1064"/>
      <c r="S12" s="1064"/>
      <c r="T12" s="1064"/>
      <c r="U12" s="196"/>
      <c r="V12" s="196"/>
      <c r="W12" s="196"/>
      <c r="X12" s="196"/>
      <c r="Y12" s="709"/>
      <c r="Z12" s="196"/>
      <c r="AA12" s="196"/>
      <c r="AB12" s="719"/>
      <c r="AC12" s="50"/>
      <c r="AD12" s="91"/>
      <c r="AE12" s="91"/>
      <c r="AF12" s="91"/>
      <c r="AG12" s="91"/>
      <c r="AH12" s="673"/>
      <c r="AI12" s="673"/>
      <c r="AJ12" s="720"/>
      <c r="AK12" s="92"/>
      <c r="AL12" s="88"/>
      <c r="AM12" s="93"/>
      <c r="AN12" s="718"/>
      <c r="AO12" s="90"/>
      <c r="AP12" s="92"/>
      <c r="AQ12" s="92"/>
      <c r="AR12" s="92"/>
      <c r="AS12" s="93"/>
      <c r="AT12" s="93"/>
      <c r="AU12" s="2273"/>
      <c r="AV12" s="2273"/>
      <c r="AW12" s="2273"/>
      <c r="AX12" s="2273"/>
      <c r="AY12" s="2273"/>
      <c r="AZ12" s="2273"/>
      <c r="BA12" s="2273"/>
      <c r="BB12" s="50"/>
      <c r="BC12" s="93"/>
    </row>
    <row r="13" spans="1:55" ht="28.2" customHeight="1" x14ac:dyDescent="0.3">
      <c r="A13" s="2274" t="str">
        <f>+Performance!C2</f>
        <v>MINISTRY OF JUSTICE (MoJ)</v>
      </c>
      <c r="B13" s="2275"/>
      <c r="C13" s="1244" t="s">
        <v>176</v>
      </c>
      <c r="D13" s="2254" t="s">
        <v>177</v>
      </c>
      <c r="E13" s="2255"/>
      <c r="F13" s="2255"/>
      <c r="G13" s="2256"/>
      <c r="H13" s="2257"/>
      <c r="I13" s="2258"/>
      <c r="J13" s="2168" t="s">
        <v>428</v>
      </c>
      <c r="K13" s="2169"/>
      <c r="L13" s="2173" t="s">
        <v>429</v>
      </c>
      <c r="M13" s="2171"/>
      <c r="N13" s="2174"/>
      <c r="O13" s="2173" t="s">
        <v>430</v>
      </c>
      <c r="P13" s="2170"/>
      <c r="Q13" s="2170"/>
      <c r="R13" s="2171"/>
      <c r="S13" s="2174"/>
      <c r="T13" s="2173" t="s">
        <v>418</v>
      </c>
      <c r="U13" s="2268"/>
      <c r="V13" s="2268"/>
      <c r="W13" s="2268"/>
      <c r="X13" s="2268"/>
      <c r="Y13" s="2171"/>
      <c r="Z13" s="2171"/>
      <c r="AA13" s="2174"/>
      <c r="AB13" s="2152" t="s">
        <v>431</v>
      </c>
      <c r="AC13" s="2266" t="s">
        <v>432</v>
      </c>
      <c r="AD13" s="1320" t="s">
        <v>176</v>
      </c>
      <c r="AE13" s="2217" t="s">
        <v>177</v>
      </c>
      <c r="AF13" s="2219"/>
      <c r="AG13" s="2219"/>
      <c r="AH13" s="2219"/>
      <c r="AI13" s="2219"/>
      <c r="AJ13" s="2221"/>
      <c r="AK13" s="2198" t="s">
        <v>428</v>
      </c>
      <c r="AL13" s="2199"/>
      <c r="AM13" s="2185" t="s">
        <v>429</v>
      </c>
      <c r="AN13" s="2183"/>
      <c r="AO13" s="2186"/>
      <c r="AP13" s="2182" t="s">
        <v>430</v>
      </c>
      <c r="AQ13" s="2182"/>
      <c r="AR13" s="2182"/>
      <c r="AS13" s="2183"/>
      <c r="AT13" s="2184"/>
      <c r="AU13" s="2185" t="s">
        <v>418</v>
      </c>
      <c r="AV13" s="2183"/>
      <c r="AW13" s="2183"/>
      <c r="AX13" s="2183"/>
      <c r="AY13" s="2183"/>
      <c r="AZ13" s="2183"/>
      <c r="BA13" s="2183"/>
      <c r="BB13" s="2186"/>
      <c r="BC13" s="2211" t="s">
        <v>433</v>
      </c>
    </row>
    <row r="14" spans="1:55" ht="55.8" thickBot="1" x14ac:dyDescent="0.35">
      <c r="A14" s="2276"/>
      <c r="B14" s="2277"/>
      <c r="C14" s="1250" t="s">
        <v>199</v>
      </c>
      <c r="D14" s="821" t="s">
        <v>561</v>
      </c>
      <c r="E14" s="1251" t="s">
        <v>560</v>
      </c>
      <c r="F14" s="1251" t="s">
        <v>559</v>
      </c>
      <c r="G14" s="822" t="s">
        <v>558</v>
      </c>
      <c r="H14" s="1339" t="s">
        <v>557</v>
      </c>
      <c r="I14" s="823" t="s">
        <v>178</v>
      </c>
      <c r="J14" s="724" t="s">
        <v>434</v>
      </c>
      <c r="K14" s="725" t="s">
        <v>435</v>
      </c>
      <c r="L14" s="1052" t="s">
        <v>436</v>
      </c>
      <c r="M14" s="726" t="s">
        <v>437</v>
      </c>
      <c r="N14" s="727" t="s">
        <v>435</v>
      </c>
      <c r="O14" s="728" t="s">
        <v>438</v>
      </c>
      <c r="P14" s="925" t="s">
        <v>470</v>
      </c>
      <c r="Q14" s="925" t="s">
        <v>471</v>
      </c>
      <c r="R14" s="1169" t="s">
        <v>439</v>
      </c>
      <c r="S14" s="729" t="s">
        <v>440</v>
      </c>
      <c r="T14" s="2261" t="s">
        <v>441</v>
      </c>
      <c r="U14" s="2262"/>
      <c r="V14" s="829" t="str">
        <f>C14</f>
        <v>Q1</v>
      </c>
      <c r="W14" s="829" t="str">
        <f>D14</f>
        <v>Q4-19</v>
      </c>
      <c r="X14" s="829" t="str">
        <f>H14</f>
        <v>2018-2019</v>
      </c>
      <c r="Y14" s="2157" t="s">
        <v>442</v>
      </c>
      <c r="Z14" s="2155"/>
      <c r="AA14" s="830" t="s">
        <v>435</v>
      </c>
      <c r="AB14" s="2153"/>
      <c r="AC14" s="2267"/>
      <c r="AD14" s="1386" t="str">
        <f t="shared" ref="AD14:AI14" si="1">C14</f>
        <v>Q1</v>
      </c>
      <c r="AE14" s="832" t="str">
        <f t="shared" si="1"/>
        <v>Q4-19</v>
      </c>
      <c r="AF14" s="1385" t="str">
        <f t="shared" si="1"/>
        <v>Q3-19</v>
      </c>
      <c r="AG14" s="1385" t="str">
        <f t="shared" si="1"/>
        <v>Q2-19</v>
      </c>
      <c r="AH14" s="833" t="str">
        <f t="shared" si="1"/>
        <v>Q1-19</v>
      </c>
      <c r="AI14" s="833" t="str">
        <f t="shared" si="1"/>
        <v>2018-2019</v>
      </c>
      <c r="AJ14" s="834" t="str">
        <f t="shared" ref="AJ14" si="2">I14</f>
        <v>25% of previous year total</v>
      </c>
      <c r="AK14" s="958" t="s">
        <v>434</v>
      </c>
      <c r="AL14" s="959" t="s">
        <v>435</v>
      </c>
      <c r="AM14" s="1167" t="s">
        <v>436</v>
      </c>
      <c r="AN14" s="837" t="s">
        <v>437</v>
      </c>
      <c r="AO14" s="927" t="s">
        <v>435</v>
      </c>
      <c r="AP14" s="928" t="s">
        <v>438</v>
      </c>
      <c r="AQ14" s="730" t="s">
        <v>470</v>
      </c>
      <c r="AR14" s="730" t="s">
        <v>471</v>
      </c>
      <c r="AS14" s="1168" t="s">
        <v>439</v>
      </c>
      <c r="AT14" s="1162" t="s">
        <v>440</v>
      </c>
      <c r="AU14" s="1167" t="s">
        <v>441</v>
      </c>
      <c r="AV14" s="1168" t="s">
        <v>444</v>
      </c>
      <c r="AW14" s="1168" t="str">
        <f>AD14</f>
        <v>Q1</v>
      </c>
      <c r="AX14" s="1168" t="str">
        <f>AE14</f>
        <v>Q4-19</v>
      </c>
      <c r="AY14" s="1168" t="str">
        <f>AI14</f>
        <v>2018-2019</v>
      </c>
      <c r="AZ14" s="1168" t="s">
        <v>442</v>
      </c>
      <c r="BA14" s="1168" t="s">
        <v>443</v>
      </c>
      <c r="BB14" s="732" t="s">
        <v>435</v>
      </c>
      <c r="BC14" s="2212"/>
    </row>
    <row r="15" spans="1:55" ht="12.75" customHeight="1" thickBot="1" x14ac:dyDescent="0.35">
      <c r="A15" s="2264" t="s">
        <v>32</v>
      </c>
      <c r="B15" s="2265"/>
      <c r="C15" s="1177">
        <f t="shared" ref="C15:H15" ca="1" si="3">INDIRECT(CONCATENATE("'",C$14,"'!$D$19"),TRUE)</f>
        <v>303985370.11227977</v>
      </c>
      <c r="D15" s="733">
        <f t="shared" ca="1" si="3"/>
        <v>482342086.93393362</v>
      </c>
      <c r="E15" s="734">
        <f t="shared" ca="1" si="3"/>
        <v>401159358.01937699</v>
      </c>
      <c r="F15" s="734">
        <f t="shared" ca="1" si="3"/>
        <v>201349605.94132331</v>
      </c>
      <c r="G15" s="734">
        <f t="shared" ca="1" si="3"/>
        <v>288821604.56426316</v>
      </c>
      <c r="H15" s="734">
        <f t="shared" ca="1" si="3"/>
        <v>1373672655.4588969</v>
      </c>
      <c r="I15" s="735">
        <f ca="1">H15/4</f>
        <v>343418163.86472422</v>
      </c>
      <c r="J15" s="1281"/>
      <c r="K15" s="1271"/>
      <c r="L15" s="1272"/>
      <c r="M15" s="1273"/>
      <c r="N15" s="1274"/>
      <c r="O15" s="1275">
        <f ca="1">IF(OR(+$J15="missing?",+$J15="new category"),"",IF($D15=0,"",IF(SUM($C15:$I15)=0,"",IFERROR((($C15-$D15)/$D15),"N/A"))))</f>
        <v>-0.36977224599122188</v>
      </c>
      <c r="P15" s="1276">
        <f ca="1">IF(OR(+$J15="missing?",+$J15="new category"),"",IF($E15=0,"",IF(SUM($C15:$I15)=0,"",IFERROR((($C15-$E15)/$E15),"N/A"))))</f>
        <v>-0.24223288317856834</v>
      </c>
      <c r="Q15" s="1276">
        <f ca="1">IF(OR(+$J15="missing?",+$J15="new category"),"",IF($F15=0,"",IF(SUM($C15:$I15)=0,"",IFERROR((($C15-$F15)/$F15),"N/A"))))</f>
        <v>0.50973908635741882</v>
      </c>
      <c r="R15" s="1276">
        <f ca="1">IF(OR(+$J15="missing?",+$J15="new category"),"",IF($G15=0,"",IF(SUM($C15:$I15)=0,"",IFERROR((($C15-$G15)/$G15),"N/A"))))</f>
        <v>5.2502185807373182E-2</v>
      </c>
      <c r="S15" s="1277">
        <f ca="1">IF(OR(+$J15="missing?",+$J15="new category"),"",IF($I15=0,"",IF(SUM($C15:$I15)=0,"",IFERROR((($C15-$I15)/$I15),"N/A"))))</f>
        <v>-0.11482442660772425</v>
      </c>
      <c r="T15" s="1343"/>
      <c r="U15" s="1344"/>
      <c r="V15" s="1344"/>
      <c r="W15" s="1344"/>
      <c r="X15" s="1344"/>
      <c r="Y15" s="1345"/>
      <c r="Z15" s="1344"/>
      <c r="AA15" s="741"/>
      <c r="AB15" s="1278"/>
      <c r="AC15" s="742" t="str">
        <f ca="1">IF(AD15&gt;C15,"Offices only&gt;Total Estate","")</f>
        <v/>
      </c>
      <c r="AD15" s="1381">
        <f t="shared" ref="AD15:AI15" ca="1" si="4">INDIRECT(CONCATENATE("'",AD$14,"'!$G$19"),TRUE)</f>
        <v>3408011.6600585929</v>
      </c>
      <c r="AE15" s="995">
        <f t="shared" ca="1" si="4"/>
        <v>5472091.390625</v>
      </c>
      <c r="AF15" s="996">
        <f t="shared" ca="1" si="4"/>
        <v>5127048.6480532698</v>
      </c>
      <c r="AG15" s="996">
        <f t="shared" ca="1" si="4"/>
        <v>7074443.3866157532</v>
      </c>
      <c r="AH15" s="996">
        <f t="shared" ca="1" si="4"/>
        <v>6649070.8671875</v>
      </c>
      <c r="AI15" s="996">
        <f t="shared" ca="1" si="4"/>
        <v>24322654.292481523</v>
      </c>
      <c r="AJ15" s="997">
        <f ca="1">AI15/4</f>
        <v>6080663.5731203808</v>
      </c>
      <c r="AK15" s="1382"/>
      <c r="AL15" s="1383"/>
      <c r="AM15" s="1389"/>
      <c r="AN15" s="1384"/>
      <c r="AO15" s="1390"/>
      <c r="AP15" s="1387">
        <f ca="1">IF(OR(+$AK15="missing?",+$AK15="new category"),"",IF($AE15=0,"",IF(SUM($AD15:$AJ15)=0,"",IFERROR((($AD15-$AE15)/$AE15),"N/A"))))</f>
        <v>-0.37720125327268272</v>
      </c>
      <c r="AQ15" s="745">
        <f ca="1">IF(OR(+$AK15="missing?",+$AK15="new category"),"",IF($AF15=0,"",IF(SUM($AD15:$AJ15)=0,"",IFERROR((($AD15-$AF15)/$AF15),"N/A"))))</f>
        <v>-0.3352878246332599</v>
      </c>
      <c r="AR15" s="739">
        <f ca="1">IF(OR(+$AK15="missing?",+$AK15="new category"),"",IF($AG15=0,"",IF(SUM($AD15:$AJ15)=0,"",IFERROR((($AD15-$AG15)/$AG15),"N/A"))))</f>
        <v>-0.51826433914132919</v>
      </c>
      <c r="AS15" s="739">
        <f ca="1">IF(OR(+$AK15="missing?",+$AK15="new category"),"",IF($AH15=0,"",IF(SUM($AD15:$AJ15)=0,"",IFERROR((($AD15-$AH15)/$AH15),"N/A"))))</f>
        <v>-0.48744542987550488</v>
      </c>
      <c r="AT15" s="1365">
        <f ca="1">IF(OR(+$AK15="missing?",+$AK15="new category"),"",IF($AJ15=0,"",IF(SUM($AD15:$AJ15)=0,"",IFERROR((($AD15-$AJ15)/$AJ15),"N/A"))))</f>
        <v>-0.43953293599012216</v>
      </c>
      <c r="AU15" s="1371"/>
      <c r="AV15" s="1372"/>
      <c r="AW15" s="1372"/>
      <c r="AX15" s="1372"/>
      <c r="AY15" s="1372"/>
      <c r="AZ15" s="1372"/>
      <c r="BA15" s="1372"/>
      <c r="BB15" s="1373"/>
      <c r="BC15" s="1368"/>
    </row>
    <row r="16" spans="1:55" ht="12.75" customHeight="1" x14ac:dyDescent="0.3">
      <c r="A16" s="2236" t="s">
        <v>36</v>
      </c>
      <c r="B16" s="1246" t="str">
        <f>'Q1'!C20</f>
        <v>Mains Standard Grid Electricity Consumption (Scope 2+3)*</v>
      </c>
      <c r="C16" s="1262">
        <f t="shared" ref="C16:H25" ca="1" si="5">INDEX(INDIRECT(CONCATENATE("'",C$14,"'!$D$20:$D$35"),TRUE),MATCH($B16,INDIRECT(CONCATENATE("'",C$14,"'!$C$20:$C$35"),TRUE),0))</f>
        <v>85866883.833344698</v>
      </c>
      <c r="D16" s="1263">
        <f t="shared" ca="1" si="5"/>
        <v>96807243.177263305</v>
      </c>
      <c r="E16" s="1264">
        <f t="shared" ca="1" si="5"/>
        <v>93973803.189505905</v>
      </c>
      <c r="F16" s="1264">
        <f t="shared" ca="1" si="5"/>
        <v>85861433.726936594</v>
      </c>
      <c r="G16" s="1264">
        <f t="shared" ca="1" si="5"/>
        <v>85374775.762852103</v>
      </c>
      <c r="H16" s="1264">
        <f t="shared" ca="1" si="5"/>
        <v>362017255.85655791</v>
      </c>
      <c r="I16" s="1265">
        <f t="shared" ref="I16:I43" ca="1" si="6">H16/4</f>
        <v>90504313.964139476</v>
      </c>
      <c r="J16" s="800" t="str">
        <f t="shared" ref="J16:J43" ca="1" si="7">IF(AND(C16&gt;0,SUM(D16:I16)&gt;0),"",IF(AND(C16=0,SUM(C16:I16)=0),"",IF(AND(C16=0,D16&gt;0),"Missing value?",IF(AND(C16=0,I16&gt;0),"Missing value?","New category"))))</f>
        <v/>
      </c>
      <c r="K16" s="801"/>
      <c r="L16" s="895"/>
      <c r="M16" s="763"/>
      <c r="N16" s="896"/>
      <c r="O16" s="802">
        <f t="shared" ref="O16:O34" ca="1" si="8">IF(OR(+$J16="missing?",+$J16="new category"),"",IF($D16=0,"",IF(SUM($C16:$I16)=0,"",IFERROR((($C16-$D16)/$D16),"N/A"))))</f>
        <v>-0.11301178491247565</v>
      </c>
      <c r="P16" s="764">
        <f t="shared" ref="P16:P43" ca="1" si="9">IF(OR(+$J16="missing?",+$J16="new category"),"",IF($E16=0,"",IF(SUM($C16:$I16)=0,"",IFERROR((($C16-$E16)/$E16),"N/A"))))</f>
        <v>-8.626786488371592E-2</v>
      </c>
      <c r="Q16" s="764">
        <f t="shared" ref="Q16:Q43" ca="1" si="10">IF(OR(+$J16="missing?",+$J16="new category"),"",IF($F16=0,"",IF(SUM($C16:$I16)=0,"",IFERROR((($C16-$F16)/$F16),"N/A"))))</f>
        <v>6.3475604488939303E-5</v>
      </c>
      <c r="R16" s="764">
        <f t="shared" ref="R16:R81" ca="1" si="11">IF(OR(+$J16="missing?",+$J16="new category"),"",IF($G16=0,"",IF(SUM($C16:$I16)=0,"",IFERROR((($C16-$G16)/$G16),"N/A"))))</f>
        <v>5.7640920997501389E-3</v>
      </c>
      <c r="S16" s="803">
        <f t="shared" ref="S16:S81" ca="1" si="12">IF(OR(+$J16="missing?",+$J16="new category"),"",IF($I16=0,"",IF(SUM($C16:$I16)=0,"",IFERROR((($C16-$I16)/$I16),"N/A"))))</f>
        <v>-5.1239879378924054E-2</v>
      </c>
      <c r="T16" s="1243">
        <f ca="1">IF(SUM(C16:I16)=0,"",IF(OR(AND(C16=0,SUM(D16:I16)&gt;0),AND(C16&gt;0,SUM(D16:I16)=0)),1,IF(MAX(IF(O16&lt;0,-O16,O16),IF(P16&lt;0,-P16,P16),IF(Q16&lt;0,-Q16,Q16),IF(R16&lt;0,-R16,R16),IF(S16&lt;0,-S16,S16))=0,"",MAX(IF(O16&lt;0,-O16,O16),IF(P16&lt;0,-P16,P16),IF(Q16&lt;0,-Q16,Q16),IF(R16&lt;0,-R16,R16),IF(S16&lt;0,-S16,S16)))))</f>
        <v>0.11301178491247565</v>
      </c>
      <c r="U16" s="1166" t="str">
        <f t="shared" ref="U16:U43" ca="1" si="13">IF(+T16="","",IF(T16&gt;L$3,"H",IF(T16&gt;L$4,"M","")))</f>
        <v>H</v>
      </c>
      <c r="V16" s="1350">
        <f t="shared" ref="V16:X31" ca="1" si="14">INDEX(INDIRECT(CONCATENATE("'",V$14,"'!$F$20:$F$35"),TRUE),MATCH($B16,INDIRECT(CONCATENATE("'",V$14,"'!$C$20:$C$35"),TRUE),0))</f>
        <v>23810.886886986482</v>
      </c>
      <c r="W16" s="1350">
        <f t="shared" ca="1" si="14"/>
        <v>29739.185104055287</v>
      </c>
      <c r="X16" s="1350">
        <f t="shared" ca="1" si="14"/>
        <v>111211.70099913457</v>
      </c>
      <c r="Y16" s="1074">
        <f ca="1">IF(V16=0,IF(W16&gt;0, W16/L$8, IF(X16&gt;0,X16/L$10, "")), IF(T16="", "", V16/L$7*T16))</f>
        <v>3.6599156200817627E-2</v>
      </c>
      <c r="Z16" s="1166" t="str">
        <f t="shared" ref="Z16:Z43" ca="1" si="15">IF(+Y16="","",IF(Y16&gt;L$3,"H",IF(Y16&gt;L$4,"M","")))</f>
        <v>M</v>
      </c>
      <c r="AA16" s="751"/>
      <c r="AB16" s="1279" t="str">
        <f ca="1">IF(CONCATENATE(IF(K16="OK","",J16),"    ",IF(L16="","",IF(N16="OK","",CONCATENATE(M16," = ",ROUND(L16,3),"kgCO2e/kWh"))),"    ",IF(AND(+AA16="",Z16="M"),"Value change with medium impact",IF(AND(AA16="",Z16="H"),"Value change with high impact",""))," ")="         ","",CONCATENATE(IF(K16="OK","",J16),"    ",IF(L16="","",IF(N16="OK","",CONCATENATE(M16," = ",ROUND(L16,3),"kgCO2e/kWh"))),"    ",IF(AND(+AA16="",Z16="M"),"Value change with medium impact",IF(AND(AA16="",Z16="H"),"Value change with high impact",""))," "))</f>
        <v xml:space="preserve">        Value change with medium impact </v>
      </c>
      <c r="AC16" s="1268" t="str">
        <f t="shared" ref="AC16:AC43" ca="1" si="16">IF(AD16&gt;C16,"Offices only&gt;Total Estate","")</f>
        <v/>
      </c>
      <c r="AD16" s="759">
        <f t="shared" ref="AD16:AI25" ca="1" si="17">INDEX(INDIRECT(CONCATENATE("'",AD$14,"'!$G$20:$G$35"),TRUE),MATCH($B16,INDIRECT(CONCATENATE("'",AD$14,"'!$C$20:$C$35"),TRUE),0))</f>
        <v>447893.80078125</v>
      </c>
      <c r="AE16" s="760">
        <f t="shared" ca="1" si="17"/>
        <v>668313</v>
      </c>
      <c r="AF16" s="761">
        <f t="shared" ca="1" si="17"/>
        <v>608935</v>
      </c>
      <c r="AG16" s="761">
        <f t="shared" ca="1" si="17"/>
        <v>2117787</v>
      </c>
      <c r="AH16" s="761">
        <f t="shared" ca="1" si="17"/>
        <v>2014957</v>
      </c>
      <c r="AI16" s="761">
        <f t="shared" ca="1" si="17"/>
        <v>5409992</v>
      </c>
      <c r="AJ16" s="961">
        <f t="shared" ref="AJ16:AJ43" ca="1" si="18">AI16/4</f>
        <v>1352498</v>
      </c>
      <c r="AK16" s="1361" t="str">
        <f t="shared" ref="AK16:AK43" ca="1" si="19">IF(AND(AD16&gt;0,SUM(AE16:AJ16)&gt;0),"",IF(AND(AD16=0,SUM(AD16:AJ16)=0),"",IF(AND(AD16=0,AE16&gt;0),"Missing value?",IF(AND(AD16=0,AJ16&gt;0),"Missing value?","New category"))))</f>
        <v/>
      </c>
      <c r="AL16" s="801"/>
      <c r="AM16" s="895"/>
      <c r="AN16" s="763"/>
      <c r="AO16" s="1391"/>
      <c r="AP16" s="1388">
        <f t="shared" ref="AP16:AP43" ca="1" si="20">IF(OR(+$AK16="missing?",+$AK16="new category"),"",IF($AE16=0,"",IF(SUM($AD16:$AJ16)=0,"",IFERROR((($AD16-$AE16)/$AE16),"N/A"))))</f>
        <v>-0.32981432235905928</v>
      </c>
      <c r="AQ16" s="764">
        <f t="shared" ref="AQ16:AQ43" ca="1" si="21">IF(OR(+$AK16="missing?",+$AK16="new category"),"",IF($AF16=0,"",IF(SUM($AD16:$AJ16)=0,"",IFERROR((($AD16-$AF16)/$AF16),"N/A"))))</f>
        <v>-0.26446369352845545</v>
      </c>
      <c r="AR16" s="765">
        <f t="shared" ref="AR16:AR43" ca="1" si="22">IF(OR(+$AK16="missing?",+$AK16="new category"),"",IF($AG16=0,"",IF(SUM($AD16:$AJ16)=0,"",IFERROR((($AD16-$AG16)/$AG16),"N/A"))))</f>
        <v>-0.78850857013417786</v>
      </c>
      <c r="AS16" s="765">
        <f t="shared" ref="AS16:AS43" ca="1" si="23">IF(OR(+$AK16="missing?",+$AK16="new category"),"",IF($AH16=0,"",IF(SUM($AD16:$AJ16)=0,"",IFERROR((($AD16-$AH16)/$AH16),"N/A"))))</f>
        <v>-0.77771545458228142</v>
      </c>
      <c r="AT16" s="1366">
        <f ca="1">IF(OR(+$AK16="missing?",+$AK16="new category"),"",IF($AJ16=0,"",IF(SUM($AD16:$AJ16)=0,"",IFERROR((($AD16-$AJ16)/$AJ16),"N/A"))))</f>
        <v>-0.66883958365834917</v>
      </c>
      <c r="AU16" s="1376">
        <f ca="1">IF(MAX(IF(AP16&lt;0,-AP16,AP16),IF(AS16&lt;0,-AS16,AS16),IF(AT16&lt;0,-AT16,AT16))=0,"",MAX(IF(AP16&lt;0,-AP16,AP16),IF(AQ16&lt;0,-AQ16,AQ16),IF(AR16&lt;0,-AR16,AR16),IF(AS16&lt;0,-AS16,AS16),IF(AT16&lt;0,-AT16,AT16)))</f>
        <v>0.78850857013417786</v>
      </c>
      <c r="AV16" s="766" t="str">
        <f t="shared" ref="AV16:AV43" ca="1" si="24">IF(+AU16="","",IF(AU16&gt;L$3,"H",IF(AU16&gt;L$4,"M","")))</f>
        <v>H</v>
      </c>
      <c r="AW16" s="1349">
        <f t="shared" ref="AW16:AY31" ca="1" si="25">INDEX(INDIRECT(CONCATENATE("'",AW$14,"'!$H$20:$H$35"),TRUE),MATCH($B16,INDIRECT(CONCATENATE("'",AW$14,"'!$C$20:$C$35"),TRUE),0))</f>
        <v>124.20095095664063</v>
      </c>
      <c r="AX16" s="1349">
        <f t="shared" ca="1" si="25"/>
        <v>205.3057536</v>
      </c>
      <c r="AY16" s="1349">
        <f t="shared" ca="1" si="25"/>
        <v>1661.9495423999999</v>
      </c>
      <c r="AZ16" s="1377">
        <f ca="1">IF(AW16=0,IF(AX16&gt;0, AX16/AM$8, IF(AY16&gt;0,AY16/AM$10, "")), IF(AU16="", "", AW16/AM$7*AU16))</f>
        <v>0.11178899351474596</v>
      </c>
      <c r="BA16" s="766" t="str">
        <f t="shared" ref="BA16:BA43" ca="1" si="26">IF(+AZ16="","",IF(AZ16&gt;L$3,"H",IF(AZ16&gt;L$4,"M","")))</f>
        <v>H</v>
      </c>
      <c r="BB16" s="801"/>
      <c r="BC16" s="1279" t="str">
        <f ca="1">IF(CONCATENATE(AC16, "    ", IF(AL16="OK","",AK16), "    ",IF(AM16="","",IF(AO16="OK","",CONCATENATE(AN16," = ",ROUND(AM16,3),"kgCO2e/kWh"))),"    ",IF(AND(+BB16="",BA16="M"),"Value change with medium impact",IF(AND(BB16="",BA16="H"),"Value change with high impact",""))," ")="            ","",CONCATENATE(AC16, "    ", IF(AL16="OK","",AK16), "    ",IF(AM16="","",IF(AO16="OK","",CONCATENATE(AN16," = ",ROUND(AM16,3),"kgCO2e/kWh"))),"    ",IF(AND(+BB16="",BA16="M"),"Value change with medium impact",IF(AND(BB16="",BA16="H"),"Value change with high impact",""))," "))</f>
        <v xml:space="preserve">            Value change with high impact </v>
      </c>
    </row>
    <row r="17" spans="1:55" ht="12.75" customHeight="1" x14ac:dyDescent="0.3">
      <c r="A17" s="2236"/>
      <c r="B17" s="1246" t="str">
        <f>'Q1'!C21</f>
        <v>Mains Green Tariff  Electricity  Consumption (Scope 2+3)*</v>
      </c>
      <c r="C17" s="1252">
        <f t="shared" ca="1" si="5"/>
        <v>20428376</v>
      </c>
      <c r="D17" s="1258">
        <f t="shared" ca="1" si="5"/>
        <v>23655629</v>
      </c>
      <c r="E17" s="1060">
        <f t="shared" ca="1" si="5"/>
        <v>23265552</v>
      </c>
      <c r="F17" s="1060">
        <f t="shared" ca="1" si="5"/>
        <v>21526220</v>
      </c>
      <c r="G17" s="1060">
        <f t="shared" ca="1" si="5"/>
        <v>21699550</v>
      </c>
      <c r="H17" s="1060">
        <f t="shared" ca="1" si="5"/>
        <v>90146951</v>
      </c>
      <c r="I17" s="1266">
        <f t="shared" ca="1" si="6"/>
        <v>22536737.75</v>
      </c>
      <c r="J17" s="771" t="str">
        <f t="shared" ca="1" si="7"/>
        <v/>
      </c>
      <c r="K17" s="772"/>
      <c r="L17" s="773"/>
      <c r="M17" s="774"/>
      <c r="N17" s="775"/>
      <c r="O17" s="776">
        <f t="shared" ca="1" si="8"/>
        <v>-0.13642642941348124</v>
      </c>
      <c r="P17" s="777">
        <f t="shared" ca="1" si="9"/>
        <v>-0.12194750418988555</v>
      </c>
      <c r="Q17" s="777">
        <f t="shared" ca="1" si="10"/>
        <v>-5.1000314964726741E-2</v>
      </c>
      <c r="R17" s="777">
        <f t="shared" ca="1" si="11"/>
        <v>-5.8580661810959216E-2</v>
      </c>
      <c r="S17" s="778">
        <f t="shared" ca="1" si="12"/>
        <v>-9.3552215648424975E-2</v>
      </c>
      <c r="T17" s="1066">
        <f t="shared" ref="T17:T43" ca="1" si="27">IF(SUM(C17:I17)=0,"",IF(OR(AND(C17=0,SUM(D17:I17)&gt;0),AND(C17&gt;0,SUM(D17:I17)=0)),1,IF(MAX(IF(O17&lt;0,-O17,O17),IF(P17&lt;0,-P17,P17),IF(Q17&lt;0,-Q17,Q17),IF(R17&lt;0,-R17,R17),IF(S17&lt;0,-S17,S17))=0,"",MAX(IF(O17&lt;0,-O17,O17),IF(P17&lt;0,-P17,P17),IF(Q17&lt;0,-Q17,Q17),IF(R17&lt;0,-R17,R17),IF(S17&lt;0,-S17,S17)))))</f>
        <v>0.13642642941348124</v>
      </c>
      <c r="U17" s="1165" t="str">
        <f t="shared" ca="1" si="13"/>
        <v>H</v>
      </c>
      <c r="V17" s="1350">
        <f t="shared" ca="1" si="14"/>
        <v>5664.7886648000003</v>
      </c>
      <c r="W17" s="1350">
        <f t="shared" ca="1" si="14"/>
        <v>7267.0092287999996</v>
      </c>
      <c r="X17" s="1350">
        <f t="shared" ca="1" si="14"/>
        <v>27693.143347199999</v>
      </c>
      <c r="Y17" s="1067">
        <f t="shared" ref="Y17:Y31" ca="1" si="28">IF(V17=0,IF(W17&gt;0, W17/L$8, IF(X17&gt;0,X17/L$10, "")), IF(T17="", "", V17/L$7*T17))</f>
        <v>1.0511240955474989E-2</v>
      </c>
      <c r="Z17" s="1165" t="str">
        <f t="shared" ca="1" si="15"/>
        <v>M</v>
      </c>
      <c r="AA17" s="772"/>
      <c r="AB17" s="946" t="str">
        <f t="shared" ref="AB17:AB43" ca="1" si="29">IF(CONCATENATE(IF(K17="OK","",J17),"    ",IF(L17="","",IF(N17="OK","",CONCATENATE(M17," = ",ROUND(L17,3),"kgCO2e/kWh"))),"    ",IF(AND(+AA17="",Z17="M"),"Value change with medium impact",IF(AND(AA17="",Z17="H"),"Value change with high impact",""))," ")="         ","",CONCATENATE(IF(K17="OK","",J17),"    ",IF(L17="","",IF(N17="OK","",CONCATENATE(M17," = ",ROUND(L17,3),"kgCO2e/kWh"))),"    ",IF(AND(+AA17="",Z17="M"),"Value change with medium impact",IF(AND(AA17="",Z17="H"),"Value change with high impact",""))," "))</f>
        <v xml:space="preserve">        Value change with medium impact </v>
      </c>
      <c r="AC17" s="1269" t="str">
        <f t="shared" ca="1" si="16"/>
        <v/>
      </c>
      <c r="AD17" s="780">
        <f t="shared" ca="1" si="17"/>
        <v>2221918</v>
      </c>
      <c r="AE17" s="781">
        <f t="shared" ca="1" si="17"/>
        <v>2757691</v>
      </c>
      <c r="AF17" s="769">
        <f t="shared" ca="1" si="17"/>
        <v>3037924</v>
      </c>
      <c r="AG17" s="769">
        <f t="shared" ca="1" si="17"/>
        <v>4459287</v>
      </c>
      <c r="AH17" s="769">
        <f t="shared" ca="1" si="17"/>
        <v>3821808</v>
      </c>
      <c r="AI17" s="769">
        <f t="shared" ca="1" si="17"/>
        <v>14076710</v>
      </c>
      <c r="AJ17" s="967">
        <f t="shared" ca="1" si="18"/>
        <v>3519177.5</v>
      </c>
      <c r="AK17" s="771" t="str">
        <f t="shared" ca="1" si="19"/>
        <v/>
      </c>
      <c r="AL17" s="772"/>
      <c r="AM17" s="773"/>
      <c r="AN17" s="774"/>
      <c r="AO17" s="1392"/>
      <c r="AP17" s="938">
        <f t="shared" ca="1" si="20"/>
        <v>-0.19428318836301819</v>
      </c>
      <c r="AQ17" s="756">
        <f t="shared" ca="1" si="21"/>
        <v>-0.26860645625104512</v>
      </c>
      <c r="AR17" s="783">
        <f t="shared" ca="1" si="22"/>
        <v>-0.50173245184712267</v>
      </c>
      <c r="AS17" s="783">
        <f t="shared" ca="1" si="23"/>
        <v>-0.41862123895287257</v>
      </c>
      <c r="AT17" s="1367">
        <f ca="1">IF(OR(+$AK17="missing?",+$AK17="new category"),"",IF($AJ17=0,"",IF(SUM($AD17:$AJ17)=0,"",IFERROR((($AD17-$AJ17)/$AJ17),"N/A"))))</f>
        <v>-0.36862576553754395</v>
      </c>
      <c r="AU17" s="1369">
        <f t="shared" ref="AU17:AU43" ca="1" si="30">IF(MAX(IF(AP17&lt;0,-AP17,AP17),IF(AS17&lt;0,-AS17,AS17),IF(AT17&lt;0,-AT17,AT17))=0,"",MAX(IF(AP17&lt;0,-AP17,AP17),IF(AQ17&lt;0,-AQ17,AQ17),IF(AR17&lt;0,-AR17,AR17),IF(AS17&lt;0,-AS17,AS17),IF(AT17&lt;0,-AT17,AT17)))</f>
        <v>0.50173245184712267</v>
      </c>
      <c r="AV17" s="1165" t="str">
        <f t="shared" ca="1" si="24"/>
        <v>H</v>
      </c>
      <c r="AW17" s="1350">
        <f t="shared" ca="1" si="25"/>
        <v>616.13786139999991</v>
      </c>
      <c r="AX17" s="1350">
        <f t="shared" ca="1" si="25"/>
        <v>847.16267519999997</v>
      </c>
      <c r="AY17" s="1350">
        <f t="shared" ca="1" si="25"/>
        <v>4324.3653119999999</v>
      </c>
      <c r="AZ17" s="1357">
        <f t="shared" ref="AZ17:AZ31" ca="1" si="31">IF(AW17=0,IF(AX17&gt;0, AX17/AM$8, IF(AY17&gt;0,AY17/AM$10, "")), IF(AU17="", "", AW17/AM$7*AU17))</f>
        <v>0.35287248491666268</v>
      </c>
      <c r="BA17" s="1165" t="str">
        <f t="shared" ca="1" si="26"/>
        <v>H</v>
      </c>
      <c r="BB17" s="772"/>
      <c r="BC17" s="946" t="str">
        <f t="shared" ref="BC17" ca="1" si="32">IF(CONCATENATE(AC17, "    ", IF(AL17="OK","",AK17), "    ",IF(AM17="","",IF(AO17="OK","",CONCATENATE(AN17," = ",ROUND(AM17,3),"kgCO2e/kWh"))),"    ",IF(AND(+BB17="",BA17="M"),"Value change with medium impact",IF(AND(BB17="",BA17="H"),"Value change with high impact",""))," ")="            ","",CONCATENATE(AC17, "    ", IF(AL17="OK","",AK17), "    ",IF(AM17="","",IF(AO17="OK","",CONCATENATE(AN17," = ",ROUND(AM17,3),"kgCO2e/kWh"))),"    ",IF(AND(+BB17="",BA17="M"),"Value change with medium impact",IF(AND(BB17="",BA17="H"),"Value change with high impact",""))," "))</f>
        <v xml:space="preserve">            Value change with high impact </v>
      </c>
    </row>
    <row r="18" spans="1:55" ht="12.75" customHeight="1" x14ac:dyDescent="0.3">
      <c r="A18" s="2236"/>
      <c r="B18" s="1246" t="str">
        <f>'Q1'!C22</f>
        <v>CHP Bought Electricity (GQ)  Consumption (Scope 2+3)*</v>
      </c>
      <c r="C18" s="1252">
        <f t="shared" ca="1" si="5"/>
        <v>0</v>
      </c>
      <c r="D18" s="1258">
        <f t="shared" ca="1" si="5"/>
        <v>0</v>
      </c>
      <c r="E18" s="1060">
        <f t="shared" ca="1" si="5"/>
        <v>0</v>
      </c>
      <c r="F18" s="1060">
        <f t="shared" ca="1" si="5"/>
        <v>0</v>
      </c>
      <c r="G18" s="1060">
        <f t="shared" ca="1" si="5"/>
        <v>0</v>
      </c>
      <c r="H18" s="1060">
        <f t="shared" ca="1" si="5"/>
        <v>0</v>
      </c>
      <c r="I18" s="1266">
        <f t="shared" ca="1" si="6"/>
        <v>0</v>
      </c>
      <c r="J18" s="771" t="str">
        <f t="shared" ca="1" si="7"/>
        <v/>
      </c>
      <c r="K18" s="772"/>
      <c r="L18" s="773"/>
      <c r="M18" s="774"/>
      <c r="N18" s="775"/>
      <c r="O18" s="776" t="str">
        <f t="shared" ca="1" si="8"/>
        <v/>
      </c>
      <c r="P18" s="777" t="str">
        <f t="shared" ca="1" si="9"/>
        <v/>
      </c>
      <c r="Q18" s="777" t="str">
        <f t="shared" ca="1" si="10"/>
        <v/>
      </c>
      <c r="R18" s="777" t="str">
        <f t="shared" ca="1" si="11"/>
        <v/>
      </c>
      <c r="S18" s="778" t="str">
        <f t="shared" ca="1" si="12"/>
        <v/>
      </c>
      <c r="T18" s="1066" t="str">
        <f t="shared" ca="1" si="27"/>
        <v/>
      </c>
      <c r="U18" s="1165" t="str">
        <f t="shared" ca="1" si="13"/>
        <v/>
      </c>
      <c r="V18" s="1350">
        <f t="shared" ca="1" si="14"/>
        <v>0</v>
      </c>
      <c r="W18" s="1350">
        <f t="shared" ca="1" si="14"/>
        <v>0</v>
      </c>
      <c r="X18" s="1350">
        <f t="shared" ca="1" si="14"/>
        <v>0</v>
      </c>
      <c r="Y18" s="1067" t="str">
        <f t="shared" ca="1" si="28"/>
        <v/>
      </c>
      <c r="Z18" s="1165" t="str">
        <f t="shared" ca="1" si="15"/>
        <v/>
      </c>
      <c r="AA18" s="772"/>
      <c r="AB18" s="946" t="str">
        <f t="shared" ca="1" si="29"/>
        <v/>
      </c>
      <c r="AC18" s="1269" t="str">
        <f t="shared" ca="1" si="16"/>
        <v/>
      </c>
      <c r="AD18" s="780">
        <f t="shared" ca="1" si="17"/>
        <v>0</v>
      </c>
      <c r="AE18" s="781">
        <f t="shared" ca="1" si="17"/>
        <v>0</v>
      </c>
      <c r="AF18" s="769">
        <f t="shared" ca="1" si="17"/>
        <v>0</v>
      </c>
      <c r="AG18" s="769">
        <f t="shared" ca="1" si="17"/>
        <v>0</v>
      </c>
      <c r="AH18" s="769">
        <f t="shared" ca="1" si="17"/>
        <v>0</v>
      </c>
      <c r="AI18" s="769">
        <f t="shared" ca="1" si="17"/>
        <v>0</v>
      </c>
      <c r="AJ18" s="967">
        <f t="shared" ca="1" si="18"/>
        <v>0</v>
      </c>
      <c r="AK18" s="771" t="str">
        <f t="shared" ca="1" si="19"/>
        <v/>
      </c>
      <c r="AL18" s="772"/>
      <c r="AM18" s="773"/>
      <c r="AN18" s="774"/>
      <c r="AO18" s="1392"/>
      <c r="AP18" s="938" t="str">
        <f t="shared" ca="1" si="20"/>
        <v/>
      </c>
      <c r="AQ18" s="756" t="str">
        <f t="shared" ca="1" si="21"/>
        <v/>
      </c>
      <c r="AR18" s="783" t="str">
        <f t="shared" ca="1" si="22"/>
        <v/>
      </c>
      <c r="AS18" s="783" t="str">
        <f t="shared" ca="1" si="23"/>
        <v/>
      </c>
      <c r="AT18" s="1367" t="str">
        <f t="shared" ref="AT18:AT28" ca="1" si="33">IF(OR(+$AK18="missing?",+$AK18="new category"),"",IF($AJ18=0,"",IF(SUM($AD18:$AJ18)=0,"",IFERROR((($AD18-$AJ18)/$AJ18),"N/A"))))</f>
        <v/>
      </c>
      <c r="AU18" s="1369" t="str">
        <f t="shared" ca="1" si="30"/>
        <v/>
      </c>
      <c r="AV18" s="1165" t="str">
        <f t="shared" ca="1" si="24"/>
        <v/>
      </c>
      <c r="AW18" s="1350">
        <f t="shared" ca="1" si="25"/>
        <v>0</v>
      </c>
      <c r="AX18" s="1350">
        <f t="shared" ca="1" si="25"/>
        <v>0</v>
      </c>
      <c r="AY18" s="1350">
        <f t="shared" ca="1" si="25"/>
        <v>0</v>
      </c>
      <c r="AZ18" s="1357" t="str">
        <f t="shared" ca="1" si="31"/>
        <v/>
      </c>
      <c r="BA18" s="1165" t="str">
        <f t="shared" ca="1" si="26"/>
        <v/>
      </c>
      <c r="BB18" s="772"/>
      <c r="BC18" s="946" t="str">
        <f ca="1">IF(CONCATENATE(AC18, "    ", IF(AL18="OK","",AK18), "    ",IF(AM18="","",IF(AO18="OK","",CONCATENATE(AN18," = ",ROUND(AM18,3),"kgCO2e/kWh"))),"    ",IF(AND(+BB18="",BA18="M"),"Value change with medium impact",IF(AND(BB18="",BA18="H"),"Value change with high impact",""))," ")="             ","",CONCATENATE(AC18, "    ", IF(AL18="OK","",AK18), "    ",IF(AM18="","",IF(AO18="OK","",CONCATENATE(AN18," = ",ROUND(AM18,3),"kgCO2e/kWh"))),"    ",IF(AND(+BB18="",BA18="M"),"Value change with medium impact",IF(AND(BB18="",BA18="H"),"Value change with high impact",""))," "))</f>
        <v/>
      </c>
    </row>
    <row r="19" spans="1:55" ht="12.75" customHeight="1" x14ac:dyDescent="0.3">
      <c r="A19" s="2236"/>
      <c r="B19" s="1246" t="str">
        <f>'Q1'!C23</f>
        <v>CHP Bought Electricity (Other) Consumption (Scope 2+3)*</v>
      </c>
      <c r="C19" s="1252">
        <f t="shared" ca="1" si="5"/>
        <v>0</v>
      </c>
      <c r="D19" s="1258">
        <f t="shared" ca="1" si="5"/>
        <v>0</v>
      </c>
      <c r="E19" s="1060">
        <f t="shared" ca="1" si="5"/>
        <v>0</v>
      </c>
      <c r="F19" s="1060">
        <f t="shared" ca="1" si="5"/>
        <v>0</v>
      </c>
      <c r="G19" s="1060">
        <f t="shared" ca="1" si="5"/>
        <v>0</v>
      </c>
      <c r="H19" s="1060">
        <f t="shared" ca="1" si="5"/>
        <v>0</v>
      </c>
      <c r="I19" s="1266">
        <f t="shared" ca="1" si="6"/>
        <v>0</v>
      </c>
      <c r="J19" s="771" t="str">
        <f t="shared" ca="1" si="7"/>
        <v/>
      </c>
      <c r="K19" s="772"/>
      <c r="L19" s="773"/>
      <c r="M19" s="774"/>
      <c r="N19" s="775"/>
      <c r="O19" s="776" t="str">
        <f t="shared" ca="1" si="8"/>
        <v/>
      </c>
      <c r="P19" s="777" t="str">
        <f t="shared" ca="1" si="9"/>
        <v/>
      </c>
      <c r="Q19" s="777" t="str">
        <f t="shared" ca="1" si="10"/>
        <v/>
      </c>
      <c r="R19" s="777" t="str">
        <f t="shared" ca="1" si="11"/>
        <v/>
      </c>
      <c r="S19" s="778" t="str">
        <f t="shared" ca="1" si="12"/>
        <v/>
      </c>
      <c r="T19" s="1066" t="str">
        <f t="shared" ca="1" si="27"/>
        <v/>
      </c>
      <c r="U19" s="1165" t="str">
        <f t="shared" ca="1" si="13"/>
        <v/>
      </c>
      <c r="V19" s="1350">
        <f t="shared" ca="1" si="14"/>
        <v>0</v>
      </c>
      <c r="W19" s="1350">
        <f t="shared" ca="1" si="14"/>
        <v>0</v>
      </c>
      <c r="X19" s="1350">
        <f t="shared" ca="1" si="14"/>
        <v>0</v>
      </c>
      <c r="Y19" s="1067" t="str">
        <f t="shared" ca="1" si="28"/>
        <v/>
      </c>
      <c r="Z19" s="1165" t="str">
        <f t="shared" ca="1" si="15"/>
        <v/>
      </c>
      <c r="AA19" s="772"/>
      <c r="AB19" s="946" t="str">
        <f ca="1">IF(CONCATENATE(IF(K19="OK","",J19),"    ",IF(L19="","",IF(N19="OK","",CONCATENATE(M19," = ",ROUND(L19,3),"kgCO2e/kWh"))),"    ",IF(AND(+AA19="",Z19="M"),"Value change with medium impact",IF(AND(AA19="",Z19="H"),"Value change with high impact",""))," ")="         ","",CONCATENATE(IF(K19="OK","",J19),"    ",IF(L19="","",IF(N19="OK","",CONCATENATE(M19," = ",ROUND(L19,3),"kgCO2e/kWh"))),"    ",IF(AND(+AA19="",Z19="M"),"Value change with medium impact",IF(AND(AA19="",Z19="H"),"Value change with high impact",""))," "))</f>
        <v/>
      </c>
      <c r="AC19" s="1269" t="str">
        <f t="shared" ca="1" si="16"/>
        <v/>
      </c>
      <c r="AD19" s="780">
        <f t="shared" ca="1" si="17"/>
        <v>0</v>
      </c>
      <c r="AE19" s="781">
        <f t="shared" ca="1" si="17"/>
        <v>0</v>
      </c>
      <c r="AF19" s="769">
        <f t="shared" ca="1" si="17"/>
        <v>0</v>
      </c>
      <c r="AG19" s="769">
        <f t="shared" ca="1" si="17"/>
        <v>0</v>
      </c>
      <c r="AH19" s="769">
        <f t="shared" ca="1" si="17"/>
        <v>0</v>
      </c>
      <c r="AI19" s="769">
        <f t="shared" ca="1" si="17"/>
        <v>0</v>
      </c>
      <c r="AJ19" s="967">
        <f t="shared" ca="1" si="18"/>
        <v>0</v>
      </c>
      <c r="AK19" s="771" t="str">
        <f t="shared" ca="1" si="19"/>
        <v/>
      </c>
      <c r="AL19" s="772"/>
      <c r="AM19" s="773"/>
      <c r="AN19" s="774"/>
      <c r="AO19" s="1392"/>
      <c r="AP19" s="938" t="str">
        <f t="shared" ca="1" si="20"/>
        <v/>
      </c>
      <c r="AQ19" s="756" t="str">
        <f t="shared" ca="1" si="21"/>
        <v/>
      </c>
      <c r="AR19" s="783" t="str">
        <f t="shared" ca="1" si="22"/>
        <v/>
      </c>
      <c r="AS19" s="783" t="str">
        <f t="shared" ca="1" si="23"/>
        <v/>
      </c>
      <c r="AT19" s="1367" t="str">
        <f t="shared" ca="1" si="33"/>
        <v/>
      </c>
      <c r="AU19" s="1369" t="str">
        <f t="shared" ca="1" si="30"/>
        <v/>
      </c>
      <c r="AV19" s="1165" t="str">
        <f t="shared" ca="1" si="24"/>
        <v/>
      </c>
      <c r="AW19" s="1350">
        <f t="shared" ca="1" si="25"/>
        <v>0</v>
      </c>
      <c r="AX19" s="1350">
        <f t="shared" ca="1" si="25"/>
        <v>0</v>
      </c>
      <c r="AY19" s="1350">
        <f t="shared" ca="1" si="25"/>
        <v>0</v>
      </c>
      <c r="AZ19" s="1357" t="str">
        <f t="shared" ca="1" si="31"/>
        <v/>
      </c>
      <c r="BA19" s="1165" t="str">
        <f t="shared" ca="1" si="26"/>
        <v/>
      </c>
      <c r="BB19" s="772"/>
      <c r="BC19" s="946" t="str">
        <f t="shared" ref="BC19:BC43" ca="1" si="34">IF(CONCATENATE(AC19, "    ", IF(AL19="OK","",AK19), "    ",IF(AM19="","",IF(AO19="OK","",CONCATENATE(AN19," = ",ROUND(AM19,3),"kgCO2e/kWh"))),"    ",IF(AND(+BB19="",BA19="M"),"Value change with medium impact",IF(AND(BB19="",BA19="H"),"Value change with high impact",""))," ")="             ","",CONCATENATE(AC19, "    ", IF(AL19="OK","",AK19), "    ",IF(AM19="","",IF(AO19="OK","",CONCATENATE(AN19," = ",ROUND(AM19,3),"kgCO2e/kWh"))),"    ",IF(AND(+BB19="",BA19="M"),"Value change with medium impact",IF(AND(BB19="",BA19="H"),"Value change with high impact",""))," "))</f>
        <v/>
      </c>
    </row>
    <row r="20" spans="1:55" ht="12.75" customHeight="1" x14ac:dyDescent="0.3">
      <c r="A20" s="2236"/>
      <c r="B20" s="1246" t="str">
        <f>'Q1'!C24</f>
        <v>Natural Gas (Scope 1)</v>
      </c>
      <c r="C20" s="1252">
        <f t="shared" ca="1" si="5"/>
        <v>187582302.541558</v>
      </c>
      <c r="D20" s="1258">
        <f t="shared" ca="1" si="5"/>
        <v>342734657.59192502</v>
      </c>
      <c r="E20" s="1060">
        <f t="shared" ca="1" si="5"/>
        <v>269864659.32309502</v>
      </c>
      <c r="F20" s="1060">
        <f t="shared" ca="1" si="5"/>
        <v>89118810.354325995</v>
      </c>
      <c r="G20" s="1060">
        <f t="shared" ca="1" si="5"/>
        <v>175594181.31428999</v>
      </c>
      <c r="H20" s="1060">
        <f t="shared" ca="1" si="5"/>
        <v>877312308.58363605</v>
      </c>
      <c r="I20" s="1266">
        <f t="shared" ca="1" si="6"/>
        <v>219328077.14590901</v>
      </c>
      <c r="J20" s="771" t="str">
        <f t="shared" ca="1" si="7"/>
        <v/>
      </c>
      <c r="K20" s="772"/>
      <c r="L20" s="773"/>
      <c r="M20" s="774"/>
      <c r="N20" s="775"/>
      <c r="O20" s="776">
        <f t="shared" ca="1" si="8"/>
        <v>-0.45268942493437081</v>
      </c>
      <c r="P20" s="777">
        <f t="shared" ca="1" si="9"/>
        <v>-0.30490230542942121</v>
      </c>
      <c r="Q20" s="777">
        <f t="shared" ca="1" si="10"/>
        <v>1.1048564472051707</v>
      </c>
      <c r="R20" s="777">
        <f t="shared" ca="1" si="11"/>
        <v>6.8271745325153371E-2</v>
      </c>
      <c r="S20" s="778">
        <f t="shared" ca="1" si="12"/>
        <v>-0.14474104281337402</v>
      </c>
      <c r="T20" s="1066">
        <f t="shared" ca="1" si="27"/>
        <v>1.1048564472051707</v>
      </c>
      <c r="U20" s="1165" t="str">
        <f t="shared" ca="1" si="13"/>
        <v>H</v>
      </c>
      <c r="V20" s="1350">
        <f t="shared" ca="1" si="14"/>
        <v>34487.006322265435</v>
      </c>
      <c r="W20" s="1350">
        <f t="shared" ca="1" si="14"/>
        <v>63049.467610610533</v>
      </c>
      <c r="X20" s="1350">
        <f t="shared" ca="1" si="14"/>
        <v>161390.3722870457</v>
      </c>
      <c r="Y20" s="1067">
        <f t="shared" ca="1" si="28"/>
        <v>0.51824260959541679</v>
      </c>
      <c r="Z20" s="1165" t="str">
        <f t="shared" ca="1" si="15"/>
        <v>H</v>
      </c>
      <c r="AA20" s="772"/>
      <c r="AB20" s="946" t="str">
        <f t="shared" ca="1" si="29"/>
        <v xml:space="preserve">        Value change with high impact </v>
      </c>
      <c r="AC20" s="1269" t="str">
        <f t="shared" ca="1" si="16"/>
        <v/>
      </c>
      <c r="AD20" s="780">
        <f t="shared" ca="1" si="17"/>
        <v>738199.85927734303</v>
      </c>
      <c r="AE20" s="781">
        <f t="shared" ca="1" si="17"/>
        <v>2046087.390625</v>
      </c>
      <c r="AF20" s="769">
        <f t="shared" ca="1" si="17"/>
        <v>1480189.6480532701</v>
      </c>
      <c r="AG20" s="769">
        <f t="shared" ca="1" si="17"/>
        <v>474382.38661575317</v>
      </c>
      <c r="AH20" s="769">
        <f t="shared" ca="1" si="17"/>
        <v>812305.8671875</v>
      </c>
      <c r="AI20" s="769">
        <f t="shared" ca="1" si="17"/>
        <v>4812965.292481523</v>
      </c>
      <c r="AJ20" s="967">
        <f t="shared" ca="1" si="18"/>
        <v>1203241.3231203808</v>
      </c>
      <c r="AK20" s="771" t="str">
        <f t="shared" ca="1" si="19"/>
        <v/>
      </c>
      <c r="AL20" s="772"/>
      <c r="AM20" s="773"/>
      <c r="AN20" s="774"/>
      <c r="AO20" s="1392"/>
      <c r="AP20" s="938">
        <f t="shared" ca="1" si="20"/>
        <v>-0.63921391497757507</v>
      </c>
      <c r="AQ20" s="756">
        <f t="shared" ca="1" si="21"/>
        <v>-0.50128021753954588</v>
      </c>
      <c r="AR20" s="783">
        <f t="shared" ca="1" si="22"/>
        <v>0.55612830514991352</v>
      </c>
      <c r="AS20" s="783">
        <f t="shared" ca="1" si="23"/>
        <v>-9.1229191987421035E-2</v>
      </c>
      <c r="AT20" s="1367">
        <f t="shared" ca="1" si="33"/>
        <v>-0.38649060243130606</v>
      </c>
      <c r="AU20" s="1369">
        <f t="shared" ca="1" si="30"/>
        <v>0.63921391497757507</v>
      </c>
      <c r="AV20" s="1165" t="str">
        <f t="shared" ca="1" si="24"/>
        <v>H</v>
      </c>
      <c r="AW20" s="1350">
        <f t="shared" ca="1" si="25"/>
        <v>135.71804412813952</v>
      </c>
      <c r="AX20" s="1350">
        <f t="shared" ca="1" si="25"/>
        <v>376.39823637937502</v>
      </c>
      <c r="AY20" s="1350">
        <f t="shared" ca="1" si="25"/>
        <v>885.3930952049011</v>
      </c>
      <c r="AZ20" s="1357">
        <f t="shared" ca="1" si="31"/>
        <v>9.9026520571218787E-2</v>
      </c>
      <c r="BA20" s="1165" t="str">
        <f t="shared" ca="1" si="26"/>
        <v>H</v>
      </c>
      <c r="BB20" s="772"/>
      <c r="BC20" s="946" t="str">
        <f t="shared" ca="1" si="34"/>
        <v xml:space="preserve">            Value change with high impact </v>
      </c>
    </row>
    <row r="21" spans="1:55" ht="12.75" customHeight="1" x14ac:dyDescent="0.3">
      <c r="A21" s="2236"/>
      <c r="B21" s="1246" t="str">
        <f>'Q1'!C25</f>
        <v>Gas Oil (Scope 1)</v>
      </c>
      <c r="C21" s="1252">
        <f t="shared" ca="1" si="5"/>
        <v>9674252.3800000008</v>
      </c>
      <c r="D21" s="1258">
        <f t="shared" ca="1" si="5"/>
        <v>18334192.238652799</v>
      </c>
      <c r="E21" s="1060">
        <f t="shared" ca="1" si="5"/>
        <v>13355042.448577501</v>
      </c>
      <c r="F21" s="1060">
        <f t="shared" ca="1" si="5"/>
        <v>4400716.0260086497</v>
      </c>
      <c r="G21" s="1060">
        <f t="shared" ca="1" si="5"/>
        <v>5548487.2887567701</v>
      </c>
      <c r="H21" s="1060">
        <f t="shared" ca="1" si="5"/>
        <v>41638438.00199572</v>
      </c>
      <c r="I21" s="1266">
        <f t="shared" ca="1" si="6"/>
        <v>10409609.50049893</v>
      </c>
      <c r="J21" s="771" t="str">
        <f t="shared" ca="1" si="7"/>
        <v/>
      </c>
      <c r="K21" s="772"/>
      <c r="L21" s="773"/>
      <c r="M21" s="774"/>
      <c r="N21" s="775"/>
      <c r="O21" s="776">
        <f t="shared" ca="1" si="8"/>
        <v>-0.4723382271729214</v>
      </c>
      <c r="P21" s="777">
        <f t="shared" ca="1" si="9"/>
        <v>-0.27561051061799924</v>
      </c>
      <c r="Q21" s="777">
        <f t="shared" ca="1" si="10"/>
        <v>1.1983359805141369</v>
      </c>
      <c r="R21" s="777">
        <f t="shared" ca="1" si="11"/>
        <v>0.74358376914794666</v>
      </c>
      <c r="S21" s="778">
        <f t="shared" ca="1" si="12"/>
        <v>-7.0642142768533603E-2</v>
      </c>
      <c r="T21" s="1066">
        <f t="shared" ca="1" si="27"/>
        <v>1.1983359805141369</v>
      </c>
      <c r="U21" s="1165" t="str">
        <f t="shared" ca="1" si="13"/>
        <v>H</v>
      </c>
      <c r="V21" s="1350">
        <f t="shared" ca="1" si="14"/>
        <v>2483.9610410887999</v>
      </c>
      <c r="W21" s="1350">
        <f t="shared" ca="1" si="14"/>
        <v>5069.7708378322723</v>
      </c>
      <c r="X21" s="1350">
        <f t="shared" ca="1" si="14"/>
        <v>11513.860876311855</v>
      </c>
      <c r="Y21" s="1067">
        <f t="shared" ca="1" si="28"/>
        <v>4.0485093442545049E-2</v>
      </c>
      <c r="Z21" s="1165" t="str">
        <f t="shared" ca="1" si="15"/>
        <v>M</v>
      </c>
      <c r="AA21" s="772"/>
      <c r="AB21" s="946" t="str">
        <f t="shared" ca="1" si="29"/>
        <v xml:space="preserve">        Value change with medium impact </v>
      </c>
      <c r="AC21" s="1269" t="str">
        <f t="shared" ca="1" si="16"/>
        <v/>
      </c>
      <c r="AD21" s="1252">
        <f t="shared" ca="1" si="17"/>
        <v>0</v>
      </c>
      <c r="AE21" s="1258">
        <f t="shared" ca="1" si="17"/>
        <v>0</v>
      </c>
      <c r="AF21" s="1060">
        <f t="shared" ca="1" si="17"/>
        <v>0</v>
      </c>
      <c r="AG21" s="1060">
        <f t="shared" ca="1" si="17"/>
        <v>22987</v>
      </c>
      <c r="AH21" s="1060">
        <f t="shared" ca="1" si="17"/>
        <v>0</v>
      </c>
      <c r="AI21" s="1060">
        <f t="shared" ca="1" si="17"/>
        <v>22987</v>
      </c>
      <c r="AJ21" s="1266">
        <f t="shared" ca="1" si="18"/>
        <v>5746.75</v>
      </c>
      <c r="AK21" s="771" t="str">
        <f t="shared" ca="1" si="19"/>
        <v>Missing value?</v>
      </c>
      <c r="AL21" s="772"/>
      <c r="AM21" s="773"/>
      <c r="AN21" s="774"/>
      <c r="AO21" s="775"/>
      <c r="AP21" s="944" t="str">
        <f t="shared" ca="1" si="20"/>
        <v/>
      </c>
      <c r="AQ21" s="777" t="str">
        <f t="shared" ca="1" si="21"/>
        <v/>
      </c>
      <c r="AR21" s="777">
        <f t="shared" ca="1" si="22"/>
        <v>-1</v>
      </c>
      <c r="AS21" s="777" t="str">
        <f t="shared" ca="1" si="23"/>
        <v/>
      </c>
      <c r="AT21" s="945">
        <f t="shared" ca="1" si="33"/>
        <v>-1</v>
      </c>
      <c r="AU21" s="1370">
        <f t="shared" ca="1" si="30"/>
        <v>1</v>
      </c>
      <c r="AV21" s="1165" t="str">
        <f t="shared" ca="1" si="24"/>
        <v>H</v>
      </c>
      <c r="AW21" s="1350">
        <f t="shared" ca="1" si="25"/>
        <v>0</v>
      </c>
      <c r="AX21" s="1350">
        <f t="shared" ca="1" si="25"/>
        <v>0</v>
      </c>
      <c r="AY21" s="1350">
        <f t="shared" ca="1" si="25"/>
        <v>6.3563652399999997</v>
      </c>
      <c r="AZ21" s="1357">
        <f t="shared" ca="1" si="31"/>
        <v>8.3569156604962303E-4</v>
      </c>
      <c r="BA21" s="1165" t="str">
        <f t="shared" ca="1" si="26"/>
        <v/>
      </c>
      <c r="BB21" s="772"/>
      <c r="BC21" s="946" t="str">
        <f t="shared" ca="1" si="34"/>
        <v xml:space="preserve">    Missing value?         </v>
      </c>
    </row>
    <row r="22" spans="1:55" ht="12.75" customHeight="1" x14ac:dyDescent="0.3">
      <c r="A22" s="2236"/>
      <c r="B22" s="1246" t="str">
        <f>'Q1'!C26</f>
        <v>LPG (Scope 1)</v>
      </c>
      <c r="C22" s="1252">
        <f t="shared" ca="1" si="5"/>
        <v>185170.3</v>
      </c>
      <c r="D22" s="1258">
        <f t="shared" ca="1" si="5"/>
        <v>514003.592759119</v>
      </c>
      <c r="E22" s="1060">
        <f t="shared" ca="1" si="5"/>
        <v>413026.89053500199</v>
      </c>
      <c r="F22" s="1060">
        <f t="shared" ca="1" si="5"/>
        <v>195375.41015625</v>
      </c>
      <c r="G22" s="1060">
        <f t="shared" ca="1" si="5"/>
        <v>353984.98828125</v>
      </c>
      <c r="H22" s="1060">
        <f t="shared" ca="1" si="5"/>
        <v>1476390.881731621</v>
      </c>
      <c r="I22" s="1266">
        <f t="shared" ca="1" si="6"/>
        <v>369097.72043290525</v>
      </c>
      <c r="J22" s="771" t="str">
        <f t="shared" ca="1" si="7"/>
        <v/>
      </c>
      <c r="K22" s="772"/>
      <c r="L22" s="773"/>
      <c r="M22" s="774"/>
      <c r="N22" s="775"/>
      <c r="O22" s="776">
        <f t="shared" ca="1" si="8"/>
        <v>-0.63974901613814672</v>
      </c>
      <c r="P22" s="777">
        <f t="shared" ca="1" si="9"/>
        <v>-0.55167495326964011</v>
      </c>
      <c r="Q22" s="777">
        <f t="shared" ca="1" si="10"/>
        <v>-5.2233339641301599E-2</v>
      </c>
      <c r="R22" s="777">
        <f t="shared" ca="1" si="11"/>
        <v>-0.47689787383617094</v>
      </c>
      <c r="S22" s="778">
        <f t="shared" ca="1" si="12"/>
        <v>-0.49831632722407904</v>
      </c>
      <c r="T22" s="1066">
        <f t="shared" ca="1" si="27"/>
        <v>0.63974901613814672</v>
      </c>
      <c r="U22" s="1165" t="str">
        <f t="shared" ca="1" si="13"/>
        <v>H</v>
      </c>
      <c r="V22" s="1350">
        <f t="shared" ca="1" si="14"/>
        <v>39.713474240999993</v>
      </c>
      <c r="W22" s="1350">
        <f t="shared" ca="1" si="14"/>
        <v>110.24349057497585</v>
      </c>
      <c r="X22" s="1350">
        <f t="shared" ca="1" si="14"/>
        <v>316.65631631379807</v>
      </c>
      <c r="Y22" s="1067">
        <f t="shared" ca="1" si="28"/>
        <v>3.4555666604611183E-4</v>
      </c>
      <c r="Z22" s="1165" t="str">
        <f t="shared" ca="1" si="15"/>
        <v/>
      </c>
      <c r="AA22" s="772"/>
      <c r="AB22" s="946" t="str">
        <f t="shared" ca="1" si="29"/>
        <v/>
      </c>
      <c r="AC22" s="1269" t="str">
        <f t="shared" ca="1" si="16"/>
        <v/>
      </c>
      <c r="AD22" s="1252">
        <f t="shared" ca="1" si="17"/>
        <v>0</v>
      </c>
      <c r="AE22" s="1258">
        <f t="shared" ca="1" si="17"/>
        <v>0</v>
      </c>
      <c r="AF22" s="1060">
        <f t="shared" ca="1" si="17"/>
        <v>0</v>
      </c>
      <c r="AG22" s="1060">
        <f t="shared" ca="1" si="17"/>
        <v>0</v>
      </c>
      <c r="AH22" s="1060">
        <f t="shared" ca="1" si="17"/>
        <v>0</v>
      </c>
      <c r="AI22" s="1060">
        <f t="shared" ca="1" si="17"/>
        <v>0</v>
      </c>
      <c r="AJ22" s="1266">
        <f t="shared" ca="1" si="18"/>
        <v>0</v>
      </c>
      <c r="AK22" s="771" t="str">
        <f t="shared" ca="1" si="19"/>
        <v/>
      </c>
      <c r="AL22" s="772"/>
      <c r="AM22" s="773"/>
      <c r="AN22" s="774"/>
      <c r="AO22" s="775"/>
      <c r="AP22" s="944" t="str">
        <f t="shared" ca="1" si="20"/>
        <v/>
      </c>
      <c r="AQ22" s="777" t="str">
        <f t="shared" ca="1" si="21"/>
        <v/>
      </c>
      <c r="AR22" s="777" t="str">
        <f t="shared" ca="1" si="22"/>
        <v/>
      </c>
      <c r="AS22" s="777" t="str">
        <f t="shared" ca="1" si="23"/>
        <v/>
      </c>
      <c r="AT22" s="945" t="str">
        <f t="shared" ca="1" si="33"/>
        <v/>
      </c>
      <c r="AU22" s="1370" t="str">
        <f t="shared" ca="1" si="30"/>
        <v/>
      </c>
      <c r="AV22" s="1165" t="str">
        <f t="shared" ca="1" si="24"/>
        <v/>
      </c>
      <c r="AW22" s="1350">
        <f t="shared" ca="1" si="25"/>
        <v>0</v>
      </c>
      <c r="AX22" s="1350">
        <f t="shared" ca="1" si="25"/>
        <v>0</v>
      </c>
      <c r="AY22" s="1350">
        <f t="shared" ca="1" si="25"/>
        <v>0</v>
      </c>
      <c r="AZ22" s="1357" t="str">
        <f t="shared" ca="1" si="31"/>
        <v/>
      </c>
      <c r="BA22" s="1165" t="str">
        <f t="shared" ca="1" si="26"/>
        <v/>
      </c>
      <c r="BB22" s="772"/>
      <c r="BC22" s="946" t="str">
        <f t="shared" ca="1" si="34"/>
        <v/>
      </c>
    </row>
    <row r="23" spans="1:55" ht="12.75" customHeight="1" x14ac:dyDescent="0.3">
      <c r="A23" s="2236"/>
      <c r="B23" s="1246" t="str">
        <f>'Q1'!C27</f>
        <v>Solid Fossil Fuels (Scope 1)</v>
      </c>
      <c r="C23" s="1252">
        <f t="shared" ca="1" si="5"/>
        <v>0</v>
      </c>
      <c r="D23" s="1258">
        <f t="shared" ca="1" si="5"/>
        <v>0</v>
      </c>
      <c r="E23" s="1060">
        <f t="shared" ca="1" si="5"/>
        <v>0</v>
      </c>
      <c r="F23" s="1060">
        <f t="shared" ca="1" si="5"/>
        <v>0</v>
      </c>
      <c r="G23" s="1060">
        <f t="shared" ca="1" si="5"/>
        <v>0</v>
      </c>
      <c r="H23" s="1060">
        <f t="shared" ca="1" si="5"/>
        <v>0</v>
      </c>
      <c r="I23" s="1266">
        <f t="shared" ca="1" si="6"/>
        <v>0</v>
      </c>
      <c r="J23" s="771" t="str">
        <f t="shared" ca="1" si="7"/>
        <v/>
      </c>
      <c r="K23" s="772"/>
      <c r="L23" s="773"/>
      <c r="M23" s="774"/>
      <c r="N23" s="775"/>
      <c r="O23" s="776" t="str">
        <f t="shared" ca="1" si="8"/>
        <v/>
      </c>
      <c r="P23" s="777" t="str">
        <f t="shared" ca="1" si="9"/>
        <v/>
      </c>
      <c r="Q23" s="777" t="str">
        <f t="shared" ca="1" si="10"/>
        <v/>
      </c>
      <c r="R23" s="777" t="str">
        <f t="shared" ca="1" si="11"/>
        <v/>
      </c>
      <c r="S23" s="778" t="str">
        <f t="shared" ca="1" si="12"/>
        <v/>
      </c>
      <c r="T23" s="1066" t="str">
        <f t="shared" ca="1" si="27"/>
        <v/>
      </c>
      <c r="U23" s="1165" t="str">
        <f t="shared" ca="1" si="13"/>
        <v/>
      </c>
      <c r="V23" s="1350">
        <f t="shared" ca="1" si="14"/>
        <v>0</v>
      </c>
      <c r="W23" s="1350">
        <f t="shared" ca="1" si="14"/>
        <v>0</v>
      </c>
      <c r="X23" s="1350">
        <f t="shared" ca="1" si="14"/>
        <v>0</v>
      </c>
      <c r="Y23" s="1067" t="str">
        <f t="shared" ca="1" si="28"/>
        <v/>
      </c>
      <c r="Z23" s="1165" t="str">
        <f t="shared" ca="1" si="15"/>
        <v/>
      </c>
      <c r="AA23" s="772"/>
      <c r="AB23" s="946" t="str">
        <f t="shared" ca="1" si="29"/>
        <v/>
      </c>
      <c r="AC23" s="1269" t="str">
        <f t="shared" ca="1" si="16"/>
        <v/>
      </c>
      <c r="AD23" s="1252">
        <f t="shared" ca="1" si="17"/>
        <v>0</v>
      </c>
      <c r="AE23" s="1258">
        <f t="shared" ca="1" si="17"/>
        <v>0</v>
      </c>
      <c r="AF23" s="1060">
        <f t="shared" ca="1" si="17"/>
        <v>0</v>
      </c>
      <c r="AG23" s="1060">
        <f t="shared" ca="1" si="17"/>
        <v>0</v>
      </c>
      <c r="AH23" s="1060">
        <f t="shared" ca="1" si="17"/>
        <v>0</v>
      </c>
      <c r="AI23" s="1060">
        <f t="shared" ca="1" si="17"/>
        <v>0</v>
      </c>
      <c r="AJ23" s="1266">
        <f t="shared" ca="1" si="18"/>
        <v>0</v>
      </c>
      <c r="AK23" s="771" t="str">
        <f t="shared" ca="1" si="19"/>
        <v/>
      </c>
      <c r="AL23" s="772"/>
      <c r="AM23" s="773"/>
      <c r="AN23" s="774"/>
      <c r="AO23" s="775"/>
      <c r="AP23" s="944" t="str">
        <f t="shared" ca="1" si="20"/>
        <v/>
      </c>
      <c r="AQ23" s="777" t="str">
        <f t="shared" ca="1" si="21"/>
        <v/>
      </c>
      <c r="AR23" s="777" t="str">
        <f t="shared" ca="1" si="22"/>
        <v/>
      </c>
      <c r="AS23" s="777" t="str">
        <f t="shared" ca="1" si="23"/>
        <v/>
      </c>
      <c r="AT23" s="945" t="str">
        <f t="shared" ca="1" si="33"/>
        <v/>
      </c>
      <c r="AU23" s="1370" t="str">
        <f t="shared" ca="1" si="30"/>
        <v/>
      </c>
      <c r="AV23" s="1165" t="str">
        <f t="shared" ca="1" si="24"/>
        <v/>
      </c>
      <c r="AW23" s="1350">
        <f t="shared" ca="1" si="25"/>
        <v>0</v>
      </c>
      <c r="AX23" s="1350">
        <f t="shared" ca="1" si="25"/>
        <v>0</v>
      </c>
      <c r="AY23" s="1350">
        <f t="shared" ca="1" si="25"/>
        <v>0</v>
      </c>
      <c r="AZ23" s="1357" t="str">
        <f t="shared" ca="1" si="31"/>
        <v/>
      </c>
      <c r="BA23" s="1165" t="str">
        <f t="shared" ca="1" si="26"/>
        <v/>
      </c>
      <c r="BB23" s="772"/>
      <c r="BC23" s="946" t="str">
        <f t="shared" ca="1" si="34"/>
        <v/>
      </c>
    </row>
    <row r="24" spans="1:55" ht="12.75" customHeight="1" x14ac:dyDescent="0.3">
      <c r="A24" s="2236"/>
      <c r="B24" s="1246" t="str">
        <f>'Q1'!C28</f>
        <v>Solid Fuels (Biomass) (Scope 1)</v>
      </c>
      <c r="C24" s="1252">
        <f t="shared" ca="1" si="5"/>
        <v>229500</v>
      </c>
      <c r="D24" s="1258">
        <f t="shared" ca="1" si="5"/>
        <v>271000</v>
      </c>
      <c r="E24" s="1060">
        <f t="shared" ca="1" si="5"/>
        <v>268878.00750732399</v>
      </c>
      <c r="F24" s="1060">
        <f t="shared" ca="1" si="5"/>
        <v>227032.25806451601</v>
      </c>
      <c r="G24" s="1060">
        <f t="shared" ca="1" si="5"/>
        <v>229500</v>
      </c>
      <c r="H24" s="1060">
        <f t="shared" ca="1" si="5"/>
        <v>996410.26557183999</v>
      </c>
      <c r="I24" s="1266">
        <f t="shared" ca="1" si="6"/>
        <v>249102.56639296</v>
      </c>
      <c r="J24" s="771" t="str">
        <f t="shared" ca="1" si="7"/>
        <v/>
      </c>
      <c r="K24" s="772"/>
      <c r="L24" s="784">
        <f ca="1">IF(C24&gt;0,'Q1'!E28,"")</f>
        <v>1.5630000000000002E-2</v>
      </c>
      <c r="M24" s="785" t="str">
        <f ca="1">IF(L24="","",IF('Q1'!I28=0,"Fuel type not stated",'Q1'!I28))</f>
        <v>Fuel type not stated</v>
      </c>
      <c r="N24" s="772"/>
      <c r="O24" s="776">
        <f t="shared" ca="1" si="8"/>
        <v>-0.15313653136531366</v>
      </c>
      <c r="P24" s="777">
        <f t="shared" ca="1" si="9"/>
        <v>-0.14645306201270986</v>
      </c>
      <c r="Q24" s="777">
        <f t="shared" ca="1" si="10"/>
        <v>1.0869565217391856E-2</v>
      </c>
      <c r="R24" s="777">
        <f t="shared" ca="1" si="11"/>
        <v>0</v>
      </c>
      <c r="S24" s="778">
        <f t="shared" ca="1" si="12"/>
        <v>-7.8692751651690707E-2</v>
      </c>
      <c r="T24" s="1066">
        <f t="shared" ca="1" si="27"/>
        <v>0.15313653136531366</v>
      </c>
      <c r="U24" s="1165" t="str">
        <f t="shared" ca="1" si="13"/>
        <v>H</v>
      </c>
      <c r="V24" s="1350">
        <f t="shared" ca="1" si="14"/>
        <v>3.5870850000000005</v>
      </c>
      <c r="W24" s="1350">
        <f t="shared" ca="1" si="14"/>
        <v>4.0812600000000003</v>
      </c>
      <c r="X24" s="1350">
        <f t="shared" ca="1" si="14"/>
        <v>15.005938599511911</v>
      </c>
      <c r="Y24" s="1067">
        <f t="shared" ca="1" si="28"/>
        <v>7.4712323066436305E-6</v>
      </c>
      <c r="Z24" s="1165" t="str">
        <f t="shared" ca="1" si="15"/>
        <v/>
      </c>
      <c r="AA24" s="772"/>
      <c r="AB24" s="946" t="str">
        <f t="shared" ca="1" si="29"/>
        <v xml:space="preserve">    Fuel type not stated = 0.016kgCO2e/kWh     </v>
      </c>
      <c r="AC24" s="1269" t="str">
        <f t="shared" ca="1" si="16"/>
        <v/>
      </c>
      <c r="AD24" s="1252">
        <f t="shared" ca="1" si="17"/>
        <v>0</v>
      </c>
      <c r="AE24" s="1258">
        <f t="shared" ca="1" si="17"/>
        <v>0</v>
      </c>
      <c r="AF24" s="1060">
        <f t="shared" ca="1" si="17"/>
        <v>0</v>
      </c>
      <c r="AG24" s="1060">
        <f t="shared" ca="1" si="17"/>
        <v>0</v>
      </c>
      <c r="AH24" s="1060">
        <f t="shared" ca="1" si="17"/>
        <v>0</v>
      </c>
      <c r="AI24" s="1060">
        <f t="shared" ca="1" si="17"/>
        <v>0</v>
      </c>
      <c r="AJ24" s="1266">
        <f t="shared" ca="1" si="18"/>
        <v>0</v>
      </c>
      <c r="AK24" s="771" t="str">
        <f t="shared" ca="1" si="19"/>
        <v/>
      </c>
      <c r="AL24" s="772"/>
      <c r="AM24" s="784" t="str">
        <f ca="1">IF(AD24&gt;0,'Q1'!E28,"")</f>
        <v/>
      </c>
      <c r="AN24" s="785" t="str">
        <f ca="1">IF(AM24="","",IF('Q1'!I28=0,"Fuel type not stated",'Q1'!I28))</f>
        <v/>
      </c>
      <c r="AO24" s="772"/>
      <c r="AP24" s="944" t="str">
        <f t="shared" ca="1" si="20"/>
        <v/>
      </c>
      <c r="AQ24" s="777" t="str">
        <f t="shared" ca="1" si="21"/>
        <v/>
      </c>
      <c r="AR24" s="777" t="str">
        <f t="shared" ca="1" si="22"/>
        <v/>
      </c>
      <c r="AS24" s="777" t="str">
        <f t="shared" ca="1" si="23"/>
        <v/>
      </c>
      <c r="AT24" s="945" t="str">
        <f t="shared" ca="1" si="33"/>
        <v/>
      </c>
      <c r="AU24" s="1370" t="str">
        <f t="shared" ca="1" si="30"/>
        <v/>
      </c>
      <c r="AV24" s="1165" t="str">
        <f t="shared" ca="1" si="24"/>
        <v/>
      </c>
      <c r="AW24" s="1350">
        <f t="shared" ca="1" si="25"/>
        <v>0</v>
      </c>
      <c r="AX24" s="1350">
        <f t="shared" ca="1" si="25"/>
        <v>0</v>
      </c>
      <c r="AY24" s="1350">
        <f t="shared" ca="1" si="25"/>
        <v>0</v>
      </c>
      <c r="AZ24" s="1357" t="str">
        <f t="shared" ca="1" si="31"/>
        <v/>
      </c>
      <c r="BA24" s="1165" t="str">
        <f t="shared" ca="1" si="26"/>
        <v/>
      </c>
      <c r="BB24" s="772"/>
      <c r="BC24" s="946" t="str">
        <f t="shared" ca="1" si="34"/>
        <v/>
      </c>
    </row>
    <row r="25" spans="1:55" ht="12.75" customHeight="1" x14ac:dyDescent="0.3">
      <c r="A25" s="2236"/>
      <c r="B25" s="1246" t="str">
        <f>'Q1'!C29</f>
        <v>District Heating (Scope 2+3)*</v>
      </c>
      <c r="C25" s="1252">
        <f t="shared" ca="1" si="5"/>
        <v>0</v>
      </c>
      <c r="D25" s="1258">
        <f t="shared" ca="1" si="5"/>
        <v>0</v>
      </c>
      <c r="E25" s="1060">
        <f t="shared" ca="1" si="5"/>
        <v>0</v>
      </c>
      <c r="F25" s="1060">
        <f t="shared" ca="1" si="5"/>
        <v>0</v>
      </c>
      <c r="G25" s="1060">
        <f t="shared" ca="1" si="5"/>
        <v>0</v>
      </c>
      <c r="H25" s="1060">
        <f t="shared" ca="1" si="5"/>
        <v>0</v>
      </c>
      <c r="I25" s="1266">
        <f t="shared" ca="1" si="6"/>
        <v>0</v>
      </c>
      <c r="J25" s="771" t="str">
        <f t="shared" ca="1" si="7"/>
        <v/>
      </c>
      <c r="K25" s="772"/>
      <c r="L25" s="784" t="str">
        <f ca="1">IF(C25&gt;0,'Q1'!E29,"")</f>
        <v/>
      </c>
      <c r="M25" s="785" t="str">
        <f ca="1">IF(L25="","",IF('Q1'!I29=0,"Fuel type not stated",'Q1'!I29))</f>
        <v/>
      </c>
      <c r="N25" s="772"/>
      <c r="O25" s="776" t="str">
        <f ca="1">IF(OR(+$J25="missing?",+$J25="new category"),"",IF($D25=0,"",IF(SUM($C25:$I25)=0,"",IFERROR((($C25-$D25)/$D25),"N/A"))))</f>
        <v/>
      </c>
      <c r="P25" s="777" t="str">
        <f t="shared" ca="1" si="9"/>
        <v/>
      </c>
      <c r="Q25" s="777" t="str">
        <f t="shared" ca="1" si="10"/>
        <v/>
      </c>
      <c r="R25" s="777" t="str">
        <f t="shared" ca="1" si="11"/>
        <v/>
      </c>
      <c r="S25" s="778" t="str">
        <f t="shared" ca="1" si="12"/>
        <v/>
      </c>
      <c r="T25" s="1066" t="str">
        <f t="shared" ca="1" si="27"/>
        <v/>
      </c>
      <c r="U25" s="1165" t="str">
        <f t="shared" ca="1" si="13"/>
        <v/>
      </c>
      <c r="V25" s="1350">
        <f t="shared" ca="1" si="14"/>
        <v>0</v>
      </c>
      <c r="W25" s="1350">
        <f t="shared" ca="1" si="14"/>
        <v>0</v>
      </c>
      <c r="X25" s="1350">
        <f t="shared" ca="1" si="14"/>
        <v>0</v>
      </c>
      <c r="Y25" s="1067" t="str">
        <f t="shared" ca="1" si="28"/>
        <v/>
      </c>
      <c r="Z25" s="1165" t="str">
        <f t="shared" ca="1" si="15"/>
        <v/>
      </c>
      <c r="AA25" s="772"/>
      <c r="AB25" s="946" t="str">
        <f t="shared" ca="1" si="29"/>
        <v/>
      </c>
      <c r="AC25" s="1269" t="str">
        <f t="shared" ca="1" si="16"/>
        <v/>
      </c>
      <c r="AD25" s="1252">
        <f t="shared" ca="1" si="17"/>
        <v>0</v>
      </c>
      <c r="AE25" s="1258">
        <f t="shared" ca="1" si="17"/>
        <v>0</v>
      </c>
      <c r="AF25" s="1060">
        <f t="shared" ca="1" si="17"/>
        <v>0</v>
      </c>
      <c r="AG25" s="1060">
        <f t="shared" ca="1" si="17"/>
        <v>0</v>
      </c>
      <c r="AH25" s="1060">
        <f t="shared" ca="1" si="17"/>
        <v>0</v>
      </c>
      <c r="AI25" s="1060">
        <f t="shared" ca="1" si="17"/>
        <v>0</v>
      </c>
      <c r="AJ25" s="1266">
        <f t="shared" ca="1" si="18"/>
        <v>0</v>
      </c>
      <c r="AK25" s="771" t="str">
        <f t="shared" ca="1" si="19"/>
        <v/>
      </c>
      <c r="AL25" s="772"/>
      <c r="AM25" s="784" t="str">
        <f ca="1">IF(AD25&gt;0,'Q1'!E29,"")</f>
        <v/>
      </c>
      <c r="AN25" s="785" t="str">
        <f ca="1">IF(AM25="","",IF('Q1'!I29=0,"Fuel type not stated",'Q1'!I29))</f>
        <v/>
      </c>
      <c r="AO25" s="772"/>
      <c r="AP25" s="944" t="str">
        <f t="shared" ca="1" si="20"/>
        <v/>
      </c>
      <c r="AQ25" s="777" t="str">
        <f t="shared" ca="1" si="21"/>
        <v/>
      </c>
      <c r="AR25" s="777" t="str">
        <f t="shared" ca="1" si="22"/>
        <v/>
      </c>
      <c r="AS25" s="777" t="str">
        <f t="shared" ca="1" si="23"/>
        <v/>
      </c>
      <c r="AT25" s="945" t="str">
        <f t="shared" ca="1" si="33"/>
        <v/>
      </c>
      <c r="AU25" s="1370" t="str">
        <f t="shared" ca="1" si="30"/>
        <v/>
      </c>
      <c r="AV25" s="1165" t="str">
        <f t="shared" ca="1" si="24"/>
        <v/>
      </c>
      <c r="AW25" s="1350">
        <f t="shared" ca="1" si="25"/>
        <v>0</v>
      </c>
      <c r="AX25" s="1350">
        <f t="shared" ca="1" si="25"/>
        <v>0</v>
      </c>
      <c r="AY25" s="1350">
        <f t="shared" ca="1" si="25"/>
        <v>0</v>
      </c>
      <c r="AZ25" s="1357" t="str">
        <f t="shared" ca="1" si="31"/>
        <v/>
      </c>
      <c r="BA25" s="1165" t="str">
        <f t="shared" ca="1" si="26"/>
        <v/>
      </c>
      <c r="BB25" s="772"/>
      <c r="BC25" s="946" t="str">
        <f t="shared" ca="1" si="34"/>
        <v/>
      </c>
    </row>
    <row r="26" spans="1:55" ht="12.75" customHeight="1" x14ac:dyDescent="0.3">
      <c r="A26" s="2236"/>
      <c r="B26" s="1246" t="str">
        <f>'Q1'!C30</f>
        <v>Heat from renewable sources (Scope 2)</v>
      </c>
      <c r="C26" s="1252">
        <f t="shared" ref="C26:H31" ca="1" si="35">INDEX(INDIRECT(CONCATENATE("'",C$14,"'!$D$20:$D$35"),TRUE),MATCH($B26,INDIRECT(CONCATENATE("'",C$14,"'!$C$20:$C$35"),TRUE),0))</f>
        <v>0</v>
      </c>
      <c r="D26" s="1258">
        <f t="shared" ca="1" si="35"/>
        <v>0</v>
      </c>
      <c r="E26" s="1060">
        <f t="shared" ca="1" si="35"/>
        <v>0</v>
      </c>
      <c r="F26" s="1060">
        <f t="shared" ca="1" si="35"/>
        <v>0</v>
      </c>
      <c r="G26" s="1060">
        <f t="shared" ca="1" si="35"/>
        <v>0</v>
      </c>
      <c r="H26" s="1060">
        <f t="shared" ca="1" si="35"/>
        <v>0</v>
      </c>
      <c r="I26" s="1266">
        <f t="shared" ca="1" si="6"/>
        <v>0</v>
      </c>
      <c r="J26" s="771" t="str">
        <f t="shared" ca="1" si="7"/>
        <v/>
      </c>
      <c r="K26" s="772"/>
      <c r="L26" s="784" t="str">
        <f ca="1">IF(C26&gt;0,'Q1'!E30,"")</f>
        <v/>
      </c>
      <c r="M26" s="785" t="str">
        <f ca="1">IF(L26="","",IF('Q1'!I30=0,"Fuel type not stated",'Q1'!I30))</f>
        <v/>
      </c>
      <c r="N26" s="772"/>
      <c r="O26" s="776" t="str">
        <f ca="1">IF(OR(+$J26="missing?",+$J26="new category"),"",IF($D26=0,"",IF(SUM($C26:$I26)=0,"",IFERROR((($C26-$D26)/$D26),"N/A"))))</f>
        <v/>
      </c>
      <c r="P26" s="777" t="str">
        <f t="shared" ca="1" si="9"/>
        <v/>
      </c>
      <c r="Q26" s="777" t="str">
        <f t="shared" ca="1" si="10"/>
        <v/>
      </c>
      <c r="R26" s="777" t="str">
        <f t="shared" ca="1" si="11"/>
        <v/>
      </c>
      <c r="S26" s="778" t="str">
        <f t="shared" ca="1" si="12"/>
        <v/>
      </c>
      <c r="T26" s="1066" t="str">
        <f t="shared" ca="1" si="27"/>
        <v/>
      </c>
      <c r="U26" s="1165" t="str">
        <f t="shared" ca="1" si="13"/>
        <v/>
      </c>
      <c r="V26" s="1350">
        <f t="shared" ca="1" si="14"/>
        <v>0</v>
      </c>
      <c r="W26" s="1350">
        <f t="shared" ca="1" si="14"/>
        <v>0</v>
      </c>
      <c r="X26" s="1350">
        <f t="shared" ca="1" si="14"/>
        <v>0</v>
      </c>
      <c r="Y26" s="1067" t="str">
        <f t="shared" ca="1" si="28"/>
        <v/>
      </c>
      <c r="Z26" s="1165" t="str">
        <f t="shared" ca="1" si="15"/>
        <v/>
      </c>
      <c r="AA26" s="772"/>
      <c r="AB26" s="946" t="str">
        <f t="shared" ca="1" si="29"/>
        <v/>
      </c>
      <c r="AC26" s="1269" t="str">
        <f t="shared" ca="1" si="16"/>
        <v/>
      </c>
      <c r="AD26" s="1252">
        <f t="shared" ref="AD26:AI31" ca="1" si="36">INDEX(INDIRECT(CONCATENATE("'",AD$14,"'!$G$20:$G$35"),TRUE),MATCH($B26,INDIRECT(CONCATENATE("'",AD$14,"'!$C$20:$C$35"),TRUE),0))</f>
        <v>0</v>
      </c>
      <c r="AE26" s="1258">
        <f t="shared" ca="1" si="36"/>
        <v>0</v>
      </c>
      <c r="AF26" s="1060">
        <f t="shared" ca="1" si="36"/>
        <v>0</v>
      </c>
      <c r="AG26" s="1060">
        <f t="shared" ca="1" si="36"/>
        <v>0</v>
      </c>
      <c r="AH26" s="1060">
        <f t="shared" ca="1" si="36"/>
        <v>0</v>
      </c>
      <c r="AI26" s="1060">
        <f t="shared" ca="1" si="36"/>
        <v>0</v>
      </c>
      <c r="AJ26" s="1266">
        <f t="shared" ca="1" si="18"/>
        <v>0</v>
      </c>
      <c r="AK26" s="771" t="str">
        <f t="shared" ca="1" si="19"/>
        <v/>
      </c>
      <c r="AL26" s="772"/>
      <c r="AM26" s="784" t="str">
        <f ca="1">IF(AD26&gt;0,'Q1'!E30,"")</f>
        <v/>
      </c>
      <c r="AN26" s="785" t="str">
        <f ca="1">IF(AM26="","",IF('Q1'!I30=0,"Fuel type not stated",'Q1'!I30))</f>
        <v/>
      </c>
      <c r="AO26" s="772"/>
      <c r="AP26" s="944" t="str">
        <f t="shared" ca="1" si="20"/>
        <v/>
      </c>
      <c r="AQ26" s="777" t="str">
        <f t="shared" ca="1" si="21"/>
        <v/>
      </c>
      <c r="AR26" s="777" t="str">
        <f t="shared" ca="1" si="22"/>
        <v/>
      </c>
      <c r="AS26" s="777" t="str">
        <f t="shared" ca="1" si="23"/>
        <v/>
      </c>
      <c r="AT26" s="945" t="str">
        <f t="shared" ca="1" si="33"/>
        <v/>
      </c>
      <c r="AU26" s="1370" t="str">
        <f t="shared" ca="1" si="30"/>
        <v/>
      </c>
      <c r="AV26" s="1165" t="str">
        <f t="shared" ca="1" si="24"/>
        <v/>
      </c>
      <c r="AW26" s="1350">
        <f t="shared" ca="1" si="25"/>
        <v>0</v>
      </c>
      <c r="AX26" s="1350">
        <f t="shared" ca="1" si="25"/>
        <v>0</v>
      </c>
      <c r="AY26" s="1350">
        <f t="shared" ca="1" si="25"/>
        <v>0</v>
      </c>
      <c r="AZ26" s="1357" t="str">
        <f t="shared" ca="1" si="31"/>
        <v/>
      </c>
      <c r="BA26" s="1165" t="str">
        <f t="shared" ca="1" si="26"/>
        <v/>
      </c>
      <c r="BB26" s="772"/>
      <c r="BC26" s="946" t="str">
        <f t="shared" ca="1" si="34"/>
        <v/>
      </c>
    </row>
    <row r="27" spans="1:55" ht="12.75" customHeight="1" x14ac:dyDescent="0.3">
      <c r="A27" s="2236"/>
      <c r="B27" s="1246" t="str">
        <f>'Q1'!C31</f>
        <v>Heat from non renewable sources (excluding WDHS) (Scope 2) (please specify, incl. CO2e factor and notes)</v>
      </c>
      <c r="C27" s="1252">
        <f t="shared" ca="1" si="35"/>
        <v>0</v>
      </c>
      <c r="D27" s="1258">
        <f t="shared" ca="1" si="35"/>
        <v>0</v>
      </c>
      <c r="E27" s="1060">
        <f t="shared" ca="1" si="35"/>
        <v>0</v>
      </c>
      <c r="F27" s="1060">
        <f t="shared" ca="1" si="35"/>
        <v>0</v>
      </c>
      <c r="G27" s="1060">
        <f t="shared" ca="1" si="35"/>
        <v>0</v>
      </c>
      <c r="H27" s="1060">
        <f t="shared" ca="1" si="35"/>
        <v>0</v>
      </c>
      <c r="I27" s="1266">
        <f t="shared" ca="1" si="6"/>
        <v>0</v>
      </c>
      <c r="J27" s="771" t="str">
        <f t="shared" ca="1" si="7"/>
        <v/>
      </c>
      <c r="K27" s="772"/>
      <c r="L27" s="784" t="str">
        <f ca="1">IF(C27&gt;0,'Q1'!E31,"")</f>
        <v/>
      </c>
      <c r="M27" s="785" t="str">
        <f ca="1">IF(L27="","",IF('Q1'!I31=0,"Fuel type not stated",'Q1'!I31))</f>
        <v/>
      </c>
      <c r="N27" s="772"/>
      <c r="O27" s="776" t="str">
        <f t="shared" ca="1" si="8"/>
        <v/>
      </c>
      <c r="P27" s="777" t="str">
        <f t="shared" ca="1" si="9"/>
        <v/>
      </c>
      <c r="Q27" s="777" t="str">
        <f t="shared" ca="1" si="10"/>
        <v/>
      </c>
      <c r="R27" s="777" t="str">
        <f t="shared" ca="1" si="11"/>
        <v/>
      </c>
      <c r="S27" s="778" t="str">
        <f t="shared" ca="1" si="12"/>
        <v/>
      </c>
      <c r="T27" s="1066" t="str">
        <f t="shared" ca="1" si="27"/>
        <v/>
      </c>
      <c r="U27" s="1165" t="str">
        <f t="shared" ca="1" si="13"/>
        <v/>
      </c>
      <c r="V27" s="1350">
        <f t="shared" ca="1" si="14"/>
        <v>0</v>
      </c>
      <c r="W27" s="1350">
        <f t="shared" ca="1" si="14"/>
        <v>0</v>
      </c>
      <c r="X27" s="1350">
        <f t="shared" ca="1" si="14"/>
        <v>0</v>
      </c>
      <c r="Y27" s="1067" t="str">
        <f t="shared" ca="1" si="28"/>
        <v/>
      </c>
      <c r="Z27" s="1165" t="str">
        <f t="shared" ca="1" si="15"/>
        <v/>
      </c>
      <c r="AA27" s="772"/>
      <c r="AB27" s="946" t="str">
        <f t="shared" ca="1" si="29"/>
        <v/>
      </c>
      <c r="AC27" s="1269" t="str">
        <f t="shared" ca="1" si="16"/>
        <v/>
      </c>
      <c r="AD27" s="1252">
        <f t="shared" ca="1" si="36"/>
        <v>0</v>
      </c>
      <c r="AE27" s="1258">
        <f t="shared" ca="1" si="36"/>
        <v>0</v>
      </c>
      <c r="AF27" s="1060">
        <f t="shared" ca="1" si="36"/>
        <v>0</v>
      </c>
      <c r="AG27" s="1060">
        <f t="shared" ca="1" si="36"/>
        <v>0</v>
      </c>
      <c r="AH27" s="1060">
        <f t="shared" ca="1" si="36"/>
        <v>0</v>
      </c>
      <c r="AI27" s="1060">
        <f t="shared" ca="1" si="36"/>
        <v>0</v>
      </c>
      <c r="AJ27" s="1266">
        <f t="shared" ca="1" si="18"/>
        <v>0</v>
      </c>
      <c r="AK27" s="771" t="str">
        <f t="shared" ca="1" si="19"/>
        <v/>
      </c>
      <c r="AL27" s="772"/>
      <c r="AM27" s="784" t="str">
        <f ca="1">IF(AD27&gt;0,'Q1'!E31,"")</f>
        <v/>
      </c>
      <c r="AN27" s="785" t="str">
        <f ca="1">IF(AM27="","",IF('Q1'!I31=0,"Fuel type not stated",'Q1'!I31))</f>
        <v/>
      </c>
      <c r="AO27" s="772"/>
      <c r="AP27" s="944" t="str">
        <f t="shared" ca="1" si="20"/>
        <v/>
      </c>
      <c r="AQ27" s="777" t="str">
        <f t="shared" ca="1" si="21"/>
        <v/>
      </c>
      <c r="AR27" s="777" t="str">
        <f t="shared" ca="1" si="22"/>
        <v/>
      </c>
      <c r="AS27" s="777" t="str">
        <f t="shared" ca="1" si="23"/>
        <v/>
      </c>
      <c r="AT27" s="945" t="str">
        <f t="shared" ca="1" si="33"/>
        <v/>
      </c>
      <c r="AU27" s="1370" t="str">
        <f t="shared" ca="1" si="30"/>
        <v/>
      </c>
      <c r="AV27" s="1165" t="str">
        <f t="shared" ca="1" si="24"/>
        <v/>
      </c>
      <c r="AW27" s="1350">
        <f t="shared" ca="1" si="25"/>
        <v>0</v>
      </c>
      <c r="AX27" s="1350">
        <f t="shared" ca="1" si="25"/>
        <v>0</v>
      </c>
      <c r="AY27" s="1350">
        <f t="shared" ca="1" si="25"/>
        <v>0</v>
      </c>
      <c r="AZ27" s="1357" t="str">
        <f t="shared" ca="1" si="31"/>
        <v/>
      </c>
      <c r="BA27" s="1165" t="str">
        <f t="shared" ca="1" si="26"/>
        <v/>
      </c>
      <c r="BB27" s="772"/>
      <c r="BC27" s="946" t="str">
        <f t="shared" ca="1" si="34"/>
        <v/>
      </c>
    </row>
    <row r="28" spans="1:55" ht="12.75" customHeight="1" x14ac:dyDescent="0.3">
      <c r="A28" s="2236"/>
      <c r="B28" s="1246" t="str">
        <f>'Q1'!C32</f>
        <v>Heat from WDHS (Scope 2+3)</v>
      </c>
      <c r="C28" s="1252">
        <f t="shared" ca="1" si="35"/>
        <v>0</v>
      </c>
      <c r="D28" s="1258">
        <f t="shared" ca="1" si="35"/>
        <v>0</v>
      </c>
      <c r="E28" s="1060">
        <f t="shared" ca="1" si="35"/>
        <v>0</v>
      </c>
      <c r="F28" s="1060">
        <f t="shared" ca="1" si="35"/>
        <v>0</v>
      </c>
      <c r="G28" s="1060">
        <f t="shared" ca="1" si="35"/>
        <v>0</v>
      </c>
      <c r="H28" s="1060">
        <f t="shared" ca="1" si="35"/>
        <v>0</v>
      </c>
      <c r="I28" s="1266">
        <f t="shared" ca="1" si="6"/>
        <v>0</v>
      </c>
      <c r="J28" s="771" t="str">
        <f t="shared" ca="1" si="7"/>
        <v/>
      </c>
      <c r="K28" s="772"/>
      <c r="L28" s="784" t="str">
        <f ca="1">IF(C28&gt;0,'Q1'!E32,"")</f>
        <v/>
      </c>
      <c r="M28" s="785" t="str">
        <f ca="1">IF(L28="","",IF('Q1'!I32=0,"Fuel type not stated",'Q1'!I32))</f>
        <v/>
      </c>
      <c r="N28" s="772"/>
      <c r="O28" s="776" t="str">
        <f t="shared" ca="1" si="8"/>
        <v/>
      </c>
      <c r="P28" s="777" t="str">
        <f t="shared" ca="1" si="9"/>
        <v/>
      </c>
      <c r="Q28" s="777" t="str">
        <f t="shared" ca="1" si="10"/>
        <v/>
      </c>
      <c r="R28" s="777" t="str">
        <f t="shared" ca="1" si="11"/>
        <v/>
      </c>
      <c r="S28" s="778" t="str">
        <f t="shared" ca="1" si="12"/>
        <v/>
      </c>
      <c r="T28" s="1066" t="str">
        <f t="shared" ca="1" si="27"/>
        <v/>
      </c>
      <c r="U28" s="1165" t="str">
        <f t="shared" ca="1" si="13"/>
        <v/>
      </c>
      <c r="V28" s="1350">
        <f t="shared" ca="1" si="14"/>
        <v>0</v>
      </c>
      <c r="W28" s="1350">
        <f t="shared" ca="1" si="14"/>
        <v>0</v>
      </c>
      <c r="X28" s="1350">
        <f t="shared" ca="1" si="14"/>
        <v>0</v>
      </c>
      <c r="Y28" s="1067" t="str">
        <f t="shared" ca="1" si="28"/>
        <v/>
      </c>
      <c r="Z28" s="1165" t="str">
        <f t="shared" ca="1" si="15"/>
        <v/>
      </c>
      <c r="AA28" s="772"/>
      <c r="AB28" s="946" t="str">
        <f t="shared" ca="1" si="29"/>
        <v/>
      </c>
      <c r="AC28" s="1269" t="str">
        <f t="shared" ca="1" si="16"/>
        <v/>
      </c>
      <c r="AD28" s="1252">
        <f t="shared" ca="1" si="36"/>
        <v>0</v>
      </c>
      <c r="AE28" s="1258">
        <f t="shared" ca="1" si="36"/>
        <v>0</v>
      </c>
      <c r="AF28" s="1060">
        <f t="shared" ca="1" si="36"/>
        <v>0</v>
      </c>
      <c r="AG28" s="1060">
        <f t="shared" ca="1" si="36"/>
        <v>0</v>
      </c>
      <c r="AH28" s="1060">
        <f t="shared" ca="1" si="36"/>
        <v>0</v>
      </c>
      <c r="AI28" s="1060">
        <f t="shared" ca="1" si="36"/>
        <v>0</v>
      </c>
      <c r="AJ28" s="1266">
        <f t="shared" ca="1" si="18"/>
        <v>0</v>
      </c>
      <c r="AK28" s="771" t="str">
        <f t="shared" ca="1" si="19"/>
        <v/>
      </c>
      <c r="AL28" s="772"/>
      <c r="AM28" s="784" t="str">
        <f ca="1">IF(AD28&gt;0,'Q1'!E32,"")</f>
        <v/>
      </c>
      <c r="AN28" s="785" t="str">
        <f ca="1">IF(AM28="","",IF('Q1'!I32=0,"Fuel type not stated",'Q1'!I32))</f>
        <v/>
      </c>
      <c r="AO28" s="772"/>
      <c r="AP28" s="944" t="str">
        <f t="shared" ca="1" si="20"/>
        <v/>
      </c>
      <c r="AQ28" s="777" t="str">
        <f t="shared" ca="1" si="21"/>
        <v/>
      </c>
      <c r="AR28" s="777" t="str">
        <f t="shared" ca="1" si="22"/>
        <v/>
      </c>
      <c r="AS28" s="777" t="str">
        <f t="shared" ca="1" si="23"/>
        <v/>
      </c>
      <c r="AT28" s="945" t="str">
        <f t="shared" ca="1" si="33"/>
        <v/>
      </c>
      <c r="AU28" s="1370" t="str">
        <f t="shared" ca="1" si="30"/>
        <v/>
      </c>
      <c r="AV28" s="1165" t="str">
        <f t="shared" ca="1" si="24"/>
        <v/>
      </c>
      <c r="AW28" s="1350">
        <f t="shared" ca="1" si="25"/>
        <v>0</v>
      </c>
      <c r="AX28" s="1350">
        <f t="shared" ca="1" si="25"/>
        <v>0</v>
      </c>
      <c r="AY28" s="1350">
        <f t="shared" ca="1" si="25"/>
        <v>0</v>
      </c>
      <c r="AZ28" s="1357" t="str">
        <f t="shared" ca="1" si="31"/>
        <v/>
      </c>
      <c r="BA28" s="1165" t="str">
        <f t="shared" ca="1" si="26"/>
        <v/>
      </c>
      <c r="BB28" s="772"/>
      <c r="BC28" s="946" t="str">
        <f t="shared" ca="1" si="34"/>
        <v/>
      </c>
    </row>
    <row r="29" spans="1:55" ht="12.75" customHeight="1" x14ac:dyDescent="0.3">
      <c r="A29" s="2236"/>
      <c r="B29" s="1246" t="str">
        <f>'Q1'!C33</f>
        <v>Other 1 (enter CO2 factor and specify scope and fuel in "Notes")</v>
      </c>
      <c r="C29" s="1252">
        <f t="shared" ca="1" si="35"/>
        <v>0</v>
      </c>
      <c r="D29" s="1258">
        <f t="shared" ca="1" si="35"/>
        <v>0</v>
      </c>
      <c r="E29" s="1060">
        <f t="shared" ca="1" si="35"/>
        <v>0</v>
      </c>
      <c r="F29" s="1060">
        <f t="shared" ca="1" si="35"/>
        <v>0</v>
      </c>
      <c r="G29" s="1060">
        <f t="shared" ca="1" si="35"/>
        <v>0</v>
      </c>
      <c r="H29" s="1060">
        <f t="shared" ca="1" si="35"/>
        <v>0</v>
      </c>
      <c r="I29" s="1266">
        <f t="shared" ca="1" si="6"/>
        <v>0</v>
      </c>
      <c r="J29" s="771" t="str">
        <f t="shared" ca="1" si="7"/>
        <v/>
      </c>
      <c r="K29" s="772"/>
      <c r="L29" s="784" t="str">
        <f ca="1">IF(C29&gt;0,'Q1'!E33,"")</f>
        <v/>
      </c>
      <c r="M29" s="785" t="str">
        <f ca="1">IF(L29="","",IF('Q1'!I33=0,"Fuel type not stated",'Q1'!I33))</f>
        <v/>
      </c>
      <c r="N29" s="772"/>
      <c r="O29" s="776" t="str">
        <f ca="1">IF(OR(+$J29="missing?",+$J29="new category"),"",IF($D29=0,"",IF(SUM($C29:$I29)=0,"",IFERROR((($C29-$D29)/$D29),"N/A"))))</f>
        <v/>
      </c>
      <c r="P29" s="777" t="str">
        <f t="shared" ca="1" si="9"/>
        <v/>
      </c>
      <c r="Q29" s="777" t="str">
        <f t="shared" ca="1" si="10"/>
        <v/>
      </c>
      <c r="R29" s="777" t="str">
        <f ca="1">IF(OR(+$J29="missing?",+$J29="new category"),"",IF($G29=0,"",IF(SUM($C29:$I29)=0,"",IFERROR((($C29-$G29)/$G29),"N/A"))))</f>
        <v/>
      </c>
      <c r="S29" s="778" t="str">
        <f ca="1">IF(OR(+$J29="missing?",+$J29="new category"),"",IF($I29=0,"",IF(SUM($C29:$I29)=0,"",IFERROR((($C29-$I29)/$I29),"N/A"))))</f>
        <v/>
      </c>
      <c r="T29" s="1280" t="str">
        <f t="shared" ca="1" si="27"/>
        <v/>
      </c>
      <c r="U29" s="1165" t="str">
        <f t="shared" ca="1" si="13"/>
        <v/>
      </c>
      <c r="V29" s="1350">
        <f t="shared" ca="1" si="14"/>
        <v>0</v>
      </c>
      <c r="W29" s="1350">
        <f t="shared" ca="1" si="14"/>
        <v>0</v>
      </c>
      <c r="X29" s="1350">
        <f t="shared" ca="1" si="14"/>
        <v>0</v>
      </c>
      <c r="Y29" s="1067" t="str">
        <f t="shared" ca="1" si="28"/>
        <v/>
      </c>
      <c r="Z29" s="1165" t="str">
        <f t="shared" ca="1" si="15"/>
        <v/>
      </c>
      <c r="AA29" s="772"/>
      <c r="AB29" s="946" t="str">
        <f t="shared" ca="1" si="29"/>
        <v/>
      </c>
      <c r="AC29" s="1269" t="str">
        <f t="shared" ca="1" si="16"/>
        <v/>
      </c>
      <c r="AD29" s="1252">
        <f t="shared" ca="1" si="36"/>
        <v>0</v>
      </c>
      <c r="AE29" s="1258">
        <f t="shared" ca="1" si="36"/>
        <v>0</v>
      </c>
      <c r="AF29" s="1060">
        <f t="shared" ca="1" si="36"/>
        <v>0</v>
      </c>
      <c r="AG29" s="1060">
        <f t="shared" ca="1" si="36"/>
        <v>0</v>
      </c>
      <c r="AH29" s="1060">
        <f t="shared" ca="1" si="36"/>
        <v>0</v>
      </c>
      <c r="AI29" s="1060">
        <f t="shared" ca="1" si="36"/>
        <v>0</v>
      </c>
      <c r="AJ29" s="1266">
        <f t="shared" ca="1" si="18"/>
        <v>0</v>
      </c>
      <c r="AK29" s="771" t="str">
        <f t="shared" ca="1" si="19"/>
        <v/>
      </c>
      <c r="AL29" s="772"/>
      <c r="AM29" s="784" t="str">
        <f ca="1">IF(AD29&gt;0,'Q1'!E33,"")</f>
        <v/>
      </c>
      <c r="AN29" s="785" t="str">
        <f ca="1">IF(AM29="","",IF('Q1'!I33=0,"Fuel type not stated",'Q1'!I33))</f>
        <v/>
      </c>
      <c r="AO29" s="772"/>
      <c r="AP29" s="944" t="str">
        <f t="shared" ca="1" si="20"/>
        <v/>
      </c>
      <c r="AQ29" s="777" t="str">
        <f t="shared" ca="1" si="21"/>
        <v/>
      </c>
      <c r="AR29" s="777" t="str">
        <f t="shared" ca="1" si="22"/>
        <v/>
      </c>
      <c r="AS29" s="777" t="str">
        <f t="shared" ca="1" si="23"/>
        <v/>
      </c>
      <c r="AT29" s="945" t="str">
        <f ca="1">IF(OR(+$AK29="missing?",+$AK29="new category"),"",IF($AJ29=0,"",IF(SUM($AD29:$AJ29)=0,"",IFERROR((($AD29-$AJ29)/$AJ29),"N/A"))))</f>
        <v/>
      </c>
      <c r="AU29" s="776" t="str">
        <f t="shared" ca="1" si="30"/>
        <v/>
      </c>
      <c r="AV29" s="1165" t="str">
        <f t="shared" ca="1" si="24"/>
        <v/>
      </c>
      <c r="AW29" s="1350">
        <f t="shared" ca="1" si="25"/>
        <v>0</v>
      </c>
      <c r="AX29" s="1350">
        <f t="shared" ca="1" si="25"/>
        <v>0</v>
      </c>
      <c r="AY29" s="1350">
        <f t="shared" ca="1" si="25"/>
        <v>0</v>
      </c>
      <c r="AZ29" s="1357" t="str">
        <f t="shared" ca="1" si="31"/>
        <v/>
      </c>
      <c r="BA29" s="1165" t="str">
        <f t="shared" ca="1" si="26"/>
        <v/>
      </c>
      <c r="BB29" s="772"/>
      <c r="BC29" s="946" t="str">
        <f t="shared" ca="1" si="34"/>
        <v/>
      </c>
    </row>
    <row r="30" spans="1:55" ht="12.75" customHeight="1" x14ac:dyDescent="0.3">
      <c r="A30" s="2236"/>
      <c r="B30" s="1246" t="str">
        <f>'Q1'!C34</f>
        <v>Other 2 (enter CO2 factor and specify scope and fuel in "Notes")</v>
      </c>
      <c r="C30" s="1252">
        <f t="shared" ca="1" si="35"/>
        <v>0</v>
      </c>
      <c r="D30" s="1258">
        <f t="shared" ca="1" si="35"/>
        <v>0</v>
      </c>
      <c r="E30" s="1060">
        <f t="shared" ca="1" si="35"/>
        <v>0</v>
      </c>
      <c r="F30" s="1060">
        <f t="shared" ca="1" si="35"/>
        <v>0</v>
      </c>
      <c r="G30" s="1060">
        <f t="shared" ca="1" si="35"/>
        <v>0</v>
      </c>
      <c r="H30" s="1060">
        <f t="shared" ca="1" si="35"/>
        <v>0</v>
      </c>
      <c r="I30" s="1266">
        <f t="shared" ca="1" si="6"/>
        <v>0</v>
      </c>
      <c r="J30" s="771" t="str">
        <f t="shared" ref="J30:J31" ca="1" si="37">IF(AND(C30&gt;0,SUM(D30:I30)&gt;0),"",IF(AND(C30=0,SUM(C30:I30)=0),"",IF(AND(C30=0,D30&gt;0),"Missing value?",IF(AND(C30=0,I30&gt;0),"Missing value?","New category"))))</f>
        <v/>
      </c>
      <c r="K30" s="772"/>
      <c r="L30" s="784" t="str">
        <f ca="1">IF(C30&gt;0,'Q1'!E34,"")</f>
        <v/>
      </c>
      <c r="M30" s="785" t="str">
        <f ca="1">IF(L30="","",IF('Q1'!I34=0,"Fuel type not stated",'Q1'!I34))</f>
        <v/>
      </c>
      <c r="N30" s="772"/>
      <c r="O30" s="776" t="str">
        <f t="shared" ref="O30:O31" ca="1" si="38">IF(OR(+$J30="missing?",+$J30="new category"),"",IF($D30=0,"",IF(SUM($C30:$I30)=0,"",IFERROR((($C30-$D30)/$D30),"N/A"))))</f>
        <v/>
      </c>
      <c r="P30" s="777" t="str">
        <f t="shared" ca="1" si="9"/>
        <v/>
      </c>
      <c r="Q30" s="777" t="str">
        <f t="shared" ca="1" si="10"/>
        <v/>
      </c>
      <c r="R30" s="777" t="str">
        <f t="shared" ref="R30:R31" ca="1" si="39">IF(OR(+$J30="missing?",+$J30="new category"),"",IF($G30=0,"",IF(SUM($C30:$I30)=0,"",IFERROR((($C30-$G30)/$G30),"N/A"))))</f>
        <v/>
      </c>
      <c r="S30" s="778" t="str">
        <f t="shared" ref="S30:S31" ca="1" si="40">IF(OR(+$J30="missing?",+$J30="new category"),"",IF($I30=0,"",IF(SUM($C30:$I30)=0,"",IFERROR((($C30-$I30)/$I30),"N/A"))))</f>
        <v/>
      </c>
      <c r="T30" s="1280" t="str">
        <f t="shared" ref="T30:T31" ca="1" si="41">IF(SUM(C30:I30)=0,"",IF(OR(AND(C30=0,SUM(D30:I30)&gt;0),AND(C30&gt;0,SUM(D30:I30)=0)),1,IF(MAX(IF(O30&lt;0,-O30,O30),IF(P30&lt;0,-P30,P30),IF(Q30&lt;0,-Q30,Q30),IF(R30&lt;0,-R30,R30),IF(S30&lt;0,-S30,S30))=0,"",MAX(IF(O30&lt;0,-O30,O30),IF(P30&lt;0,-P30,P30),IF(Q30&lt;0,-Q30,Q30),IF(R30&lt;0,-R30,R30),IF(S30&lt;0,-S30,S30)))))</f>
        <v/>
      </c>
      <c r="U30" s="1165" t="str">
        <f t="shared" ca="1" si="13"/>
        <v/>
      </c>
      <c r="V30" s="1350">
        <f t="shared" ca="1" si="14"/>
        <v>0</v>
      </c>
      <c r="W30" s="1350">
        <f t="shared" ca="1" si="14"/>
        <v>0</v>
      </c>
      <c r="X30" s="1350">
        <f t="shared" ca="1" si="14"/>
        <v>0</v>
      </c>
      <c r="Y30" s="1067" t="str">
        <f t="shared" ca="1" si="28"/>
        <v/>
      </c>
      <c r="Z30" s="1165" t="str">
        <f t="shared" ca="1" si="15"/>
        <v/>
      </c>
      <c r="AA30" s="772"/>
      <c r="AB30" s="946" t="str">
        <f t="shared" ref="AB30:AB31" ca="1" si="42">IF(CONCATENATE(IF(K30="OK","",J30),"    ",IF(L30="","",IF(N30="OK","",CONCATENATE(M30," = ",ROUND(L30,3),"kgCO2e/kWh"))),"    ",IF(AND(+AA30="",Z30="M"),"Value change with medium impact",IF(AND(AA30="",Z30="H"),"Value change with high impact",""))," ")="         ","",CONCATENATE(IF(K30="OK","",J30),"    ",IF(L30="","",IF(N30="OK","",CONCATENATE(M30," = ",ROUND(L30,3),"kgCO2e/kWh"))),"    ",IF(AND(+AA30="",Z30="M"),"Value change with medium impact",IF(AND(AA30="",Z30="H"),"Value change with high impact",""))," "))</f>
        <v/>
      </c>
      <c r="AC30" s="1269" t="str">
        <f t="shared" ca="1" si="16"/>
        <v/>
      </c>
      <c r="AD30" s="1252">
        <f t="shared" ca="1" si="36"/>
        <v>0</v>
      </c>
      <c r="AE30" s="1258">
        <f t="shared" ca="1" si="36"/>
        <v>0</v>
      </c>
      <c r="AF30" s="1060">
        <f t="shared" ca="1" si="36"/>
        <v>0</v>
      </c>
      <c r="AG30" s="1060">
        <f t="shared" ca="1" si="36"/>
        <v>0</v>
      </c>
      <c r="AH30" s="1060">
        <f t="shared" ca="1" si="36"/>
        <v>0</v>
      </c>
      <c r="AI30" s="1060">
        <f t="shared" ca="1" si="36"/>
        <v>0</v>
      </c>
      <c r="AJ30" s="1266">
        <f t="shared" ca="1" si="18"/>
        <v>0</v>
      </c>
      <c r="AK30" s="771" t="str">
        <f t="shared" ref="AK30:AK31" ca="1" si="43">IF(AND(AD30&gt;0,SUM(AE30:AJ30)&gt;0),"",IF(AND(AD30=0,SUM(AD30:AJ30)=0),"",IF(AND(AD30=0,AE30&gt;0),"Missing value?",IF(AND(AD30=0,AJ30&gt;0),"Missing value?","New category"))))</f>
        <v/>
      </c>
      <c r="AL30" s="772"/>
      <c r="AM30" s="784" t="str">
        <f ca="1">IF(AD30&gt;0,'Q1'!E34,"")</f>
        <v/>
      </c>
      <c r="AN30" s="785" t="str">
        <f ca="1">IF(AM30="","",IF('Q1'!I34=0,"Fuel type not stated",'Q1'!I34))</f>
        <v/>
      </c>
      <c r="AO30" s="772"/>
      <c r="AP30" s="944" t="str">
        <f t="shared" ca="1" si="20"/>
        <v/>
      </c>
      <c r="AQ30" s="777" t="str">
        <f t="shared" ca="1" si="21"/>
        <v/>
      </c>
      <c r="AR30" s="777" t="str">
        <f t="shared" ca="1" si="22"/>
        <v/>
      </c>
      <c r="AS30" s="777" t="str">
        <f t="shared" ca="1" si="23"/>
        <v/>
      </c>
      <c r="AT30" s="945" t="str">
        <f t="shared" ref="AT30:AT31" ca="1" si="44">IF(OR(+$AK30="missing?",+$AK30="new category"),"",IF($AJ30=0,"",IF(SUM($AD30:$AJ30)=0,"",IFERROR((($AD30-$AJ30)/$AJ30),"N/A"))))</f>
        <v/>
      </c>
      <c r="AU30" s="776" t="str">
        <f t="shared" ref="AU30:AU31" ca="1" si="45">IF(MAX(IF(AP30&lt;0,-AP30,AP30),IF(AS30&lt;0,-AS30,AS30),IF(AT30&lt;0,-AT30,AT30))=0,"",MAX(IF(AP30&lt;0,-AP30,AP30),IF(AQ30&lt;0,-AQ30,AQ30),IF(AR30&lt;0,-AR30,AR30),IF(AS30&lt;0,-AS30,AS30),IF(AT30&lt;0,-AT30,AT30)))</f>
        <v/>
      </c>
      <c r="AV30" s="1165" t="str">
        <f t="shared" ca="1" si="24"/>
        <v/>
      </c>
      <c r="AW30" s="1350">
        <f t="shared" ca="1" si="25"/>
        <v>0</v>
      </c>
      <c r="AX30" s="1350">
        <f t="shared" ca="1" si="25"/>
        <v>0</v>
      </c>
      <c r="AY30" s="1350">
        <f t="shared" ca="1" si="25"/>
        <v>0</v>
      </c>
      <c r="AZ30" s="1357" t="str">
        <f t="shared" ca="1" si="31"/>
        <v/>
      </c>
      <c r="BA30" s="1165" t="str">
        <f t="shared" ca="1" si="26"/>
        <v/>
      </c>
      <c r="BB30" s="772"/>
      <c r="BC30" s="946" t="str">
        <f t="shared" ref="BC30:BC31" ca="1" si="46">IF(CONCATENATE(AC30, "    ", IF(AL30="OK","",AK30), "    ",IF(AM30="","",IF(AO30="OK","",CONCATENATE(AN30," = ",ROUND(AM30,3),"kgCO2e/kWh"))),"    ",IF(AND(+BB30="",BA30="M"),"Value change with medium impact",IF(AND(BB30="",BA30="H"),"Value change with high impact",""))," ")="             ","",CONCATENATE(AC30, "    ", IF(AL30="OK","",AK30), "    ",IF(AM30="","",IF(AO30="OK","",CONCATENATE(AN30," = ",ROUND(AM30,3),"kgCO2e/kWh"))),"    ",IF(AND(+BB30="",BA30="M"),"Value change with medium impact",IF(AND(BB30="",BA30="H"),"Value change with high impact",""))," "))</f>
        <v/>
      </c>
    </row>
    <row r="31" spans="1:55" ht="12.75" customHeight="1" thickBot="1" x14ac:dyDescent="0.35">
      <c r="A31" s="2236"/>
      <c r="B31" s="1254" t="str">
        <f>'Q1'!C35</f>
        <v>Other 3 (enter CO2 factor and specify scope and fuel in "Notes")</v>
      </c>
      <c r="C31" s="1255">
        <f t="shared" ca="1" si="35"/>
        <v>7679.0573770491701</v>
      </c>
      <c r="D31" s="1259">
        <f t="shared" ca="1" si="35"/>
        <v>21388.333333333299</v>
      </c>
      <c r="E31" s="1256">
        <f t="shared" ca="1" si="35"/>
        <v>14476.16015625</v>
      </c>
      <c r="F31" s="1256">
        <f t="shared" ca="1" si="35"/>
        <v>8971.1658313367625</v>
      </c>
      <c r="G31" s="1256">
        <f t="shared" ca="1" si="35"/>
        <v>9919.2100830078107</v>
      </c>
      <c r="H31" s="1256">
        <f t="shared" ca="1" si="35"/>
        <v>54754.869403927871</v>
      </c>
      <c r="I31" s="1267">
        <f t="shared" ca="1" si="6"/>
        <v>13688.717350981968</v>
      </c>
      <c r="J31" s="812" t="str">
        <f t="shared" ca="1" si="37"/>
        <v/>
      </c>
      <c r="K31" s="790"/>
      <c r="L31" s="791">
        <f ca="1">IF(C31&gt;0,'Q1'!E35,"")</f>
        <v>0.24675</v>
      </c>
      <c r="M31" s="792" t="str">
        <f ca="1">IF(L31="","",IF('Q1'!I35=0,"Fuel type not stated",'Q1'!I35))</f>
        <v>Scope 1</v>
      </c>
      <c r="N31" s="790"/>
      <c r="O31" s="793">
        <f t="shared" ca="1" si="38"/>
        <v>-0.64096981015900345</v>
      </c>
      <c r="P31" s="1070">
        <f t="shared" ca="1" si="9"/>
        <v>-0.4695376885745644</v>
      </c>
      <c r="Q31" s="1070">
        <f t="shared" ca="1" si="10"/>
        <v>-0.14402904578735892</v>
      </c>
      <c r="R31" s="1070">
        <f t="shared" ca="1" si="39"/>
        <v>-0.22583982869726227</v>
      </c>
      <c r="S31" s="1071">
        <f t="shared" ca="1" si="40"/>
        <v>-0.43902286969945298</v>
      </c>
      <c r="T31" s="1346">
        <f t="shared" ca="1" si="41"/>
        <v>0.64096981015900345</v>
      </c>
      <c r="U31" s="884" t="str">
        <f t="shared" ca="1" si="13"/>
        <v>H</v>
      </c>
      <c r="V31" s="1350">
        <f t="shared" ca="1" si="14"/>
        <v>1.8948074077868828</v>
      </c>
      <c r="W31" s="1350">
        <f t="shared" ca="1" si="14"/>
        <v>5.275432416666658</v>
      </c>
      <c r="X31" s="1350">
        <f t="shared" ca="1" si="14"/>
        <v>13.505288538478808</v>
      </c>
      <c r="Y31" s="1347">
        <f t="shared" ca="1" si="28"/>
        <v>1.6518644820007645E-5</v>
      </c>
      <c r="Z31" s="884" t="str">
        <f t="shared" ca="1" si="15"/>
        <v/>
      </c>
      <c r="AA31" s="880"/>
      <c r="AB31" s="954" t="str">
        <f t="shared" ca="1" si="42"/>
        <v xml:space="preserve">    Scope 1 = 0.247kgCO2e/kWh     </v>
      </c>
      <c r="AC31" s="1270" t="str">
        <f t="shared" ca="1" si="16"/>
        <v/>
      </c>
      <c r="AD31" s="1255">
        <f t="shared" ca="1" si="36"/>
        <v>0</v>
      </c>
      <c r="AE31" s="1259">
        <f t="shared" ca="1" si="36"/>
        <v>0</v>
      </c>
      <c r="AF31" s="1256">
        <f t="shared" ca="1" si="36"/>
        <v>0</v>
      </c>
      <c r="AG31" s="1256">
        <f t="shared" ca="1" si="36"/>
        <v>0</v>
      </c>
      <c r="AH31" s="1256">
        <f t="shared" ca="1" si="36"/>
        <v>0</v>
      </c>
      <c r="AI31" s="1256">
        <f t="shared" ca="1" si="36"/>
        <v>0</v>
      </c>
      <c r="AJ31" s="1267">
        <f t="shared" ca="1" si="18"/>
        <v>0</v>
      </c>
      <c r="AK31" s="812" t="str">
        <f t="shared" ca="1" si="43"/>
        <v/>
      </c>
      <c r="AL31" s="790"/>
      <c r="AM31" s="791" t="str">
        <f ca="1">IF(AD31&gt;0,'Q1'!E35,"")</f>
        <v/>
      </c>
      <c r="AN31" s="792" t="str">
        <f ca="1">IF(AM31="","",IF('Q1'!I35=0,"Fuel type not stated",'Q1'!I35))</f>
        <v/>
      </c>
      <c r="AO31" s="790"/>
      <c r="AP31" s="952" t="str">
        <f t="shared" ca="1" si="20"/>
        <v/>
      </c>
      <c r="AQ31" s="1070" t="str">
        <f t="shared" ca="1" si="21"/>
        <v/>
      </c>
      <c r="AR31" s="1070" t="str">
        <f t="shared" ca="1" si="22"/>
        <v/>
      </c>
      <c r="AS31" s="1070" t="str">
        <f t="shared" ca="1" si="23"/>
        <v/>
      </c>
      <c r="AT31" s="953" t="str">
        <f t="shared" ca="1" si="44"/>
        <v/>
      </c>
      <c r="AU31" s="793" t="str">
        <f t="shared" ca="1" si="45"/>
        <v/>
      </c>
      <c r="AV31" s="1163" t="str">
        <f t="shared" ca="1" si="24"/>
        <v/>
      </c>
      <c r="AW31" s="1351">
        <f t="shared" ca="1" si="25"/>
        <v>0</v>
      </c>
      <c r="AX31" s="1351">
        <f t="shared" ca="1" si="25"/>
        <v>0</v>
      </c>
      <c r="AY31" s="1351">
        <f t="shared" ca="1" si="25"/>
        <v>0</v>
      </c>
      <c r="AZ31" s="1073" t="str">
        <f t="shared" ca="1" si="31"/>
        <v/>
      </c>
      <c r="BA31" s="1163" t="str">
        <f t="shared" ca="1" si="26"/>
        <v/>
      </c>
      <c r="BB31" s="790"/>
      <c r="BC31" s="954" t="str">
        <f t="shared" ca="1" si="46"/>
        <v/>
      </c>
    </row>
    <row r="32" spans="1:55" ht="12.75" customHeight="1" x14ac:dyDescent="0.3">
      <c r="A32" s="2228" t="s">
        <v>179</v>
      </c>
      <c r="B32" s="1247" t="str">
        <f>'Q1'!C36</f>
        <v xml:space="preserve">Electricity from renewable sources </v>
      </c>
      <c r="C32" s="1257">
        <f t="shared" ref="C32:H43" ca="1" si="47">INDEX(INDIRECT(CONCATENATE("'",C$14,"'!$D$36:$D$47"),TRUE),MATCH($B32,INDIRECT(CONCATENATE("'",C$14,"'!$C$36:$C$47"),TRUE),0))</f>
        <v>11206</v>
      </c>
      <c r="D32" s="1260">
        <f t="shared" ca="1" si="47"/>
        <v>3973</v>
      </c>
      <c r="E32" s="1058">
        <f t="shared" ca="1" si="47"/>
        <v>3920</v>
      </c>
      <c r="F32" s="1058">
        <f t="shared" ca="1" si="47"/>
        <v>11047</v>
      </c>
      <c r="G32" s="1058">
        <f t="shared" ca="1" si="47"/>
        <v>11206</v>
      </c>
      <c r="H32" s="1058">
        <f t="shared" ca="1" si="47"/>
        <v>30146</v>
      </c>
      <c r="I32" s="1059">
        <f t="shared" ca="1" si="6"/>
        <v>7536.5</v>
      </c>
      <c r="J32" s="868" t="str">
        <f t="shared" ca="1" si="7"/>
        <v/>
      </c>
      <c r="K32" s="751"/>
      <c r="L32" s="891">
        <f ca="1">IF(C32&gt;0,'Q1'!E36,"")</f>
        <v>0</v>
      </c>
      <c r="M32" s="807" t="str">
        <f ca="1">IF(L32="","",IF('Q1'!I36=0,"Fuel type not stated",'Q1'!I36))</f>
        <v>PV @ HMP Brixton. Data for Q1-20 missing so Q1-19 data used as estimate as this is based on actual data and accounts for seasonality</v>
      </c>
      <c r="N32" s="751"/>
      <c r="O32" s="755">
        <f t="shared" ca="1" si="8"/>
        <v>1.8205386357915934</v>
      </c>
      <c r="P32" s="756">
        <f t="shared" ca="1" si="9"/>
        <v>1.8586734693877551</v>
      </c>
      <c r="Q32" s="756">
        <f t="shared" ca="1" si="10"/>
        <v>1.4393047886303974E-2</v>
      </c>
      <c r="R32" s="756">
        <f t="shared" ca="1" si="11"/>
        <v>0</v>
      </c>
      <c r="S32" s="757">
        <f t="shared" ca="1" si="12"/>
        <v>0.48689710077622239</v>
      </c>
      <c r="T32" s="1236">
        <f t="shared" ca="1" si="27"/>
        <v>1.8586734693877551</v>
      </c>
      <c r="U32" s="766" t="str">
        <f t="shared" ca="1" si="13"/>
        <v>H</v>
      </c>
      <c r="V32" s="1349">
        <f t="shared" ref="V32:X43" ca="1" si="48">INDEX(INDIRECT(CONCATENATE("'",V$14,"'!$F$36:$F$47"),TRUE),MATCH($B32,INDIRECT(CONCATENATE("'",V$14,"'!$C$36:$C$47"),TRUE),0))</f>
        <v>0</v>
      </c>
      <c r="W32" s="1349">
        <f t="shared" ca="1" si="48"/>
        <v>0</v>
      </c>
      <c r="X32" s="1349">
        <f t="shared" ca="1" si="48"/>
        <v>0</v>
      </c>
      <c r="Y32" s="1237" t="str">
        <f ca="1">IF(V32=0,IF(W32&gt;0, W32/L$8, IF(X32&gt;0,X32/L$10, "")), IF(T32="", "", V32/L$7*T32))</f>
        <v/>
      </c>
      <c r="Z32" s="766" t="str">
        <f t="shared" ca="1" si="15"/>
        <v/>
      </c>
      <c r="AA32" s="801"/>
      <c r="AB32" s="804" t="str">
        <f t="shared" ca="1" si="29"/>
        <v xml:space="preserve">    PV @ HMP Brixton. Data for Q1-20 missing so Q1-19 data used as estimate as this is based on actual data and accounts for seasonality = 0kgCO2e/kWh     </v>
      </c>
      <c r="AC32" s="805" t="str">
        <f t="shared" ca="1" si="16"/>
        <v/>
      </c>
      <c r="AD32" s="1257">
        <f t="shared" ref="AD32:AI43" ca="1" si="49">INDEX(INDIRECT(CONCATENATE("'",AD$14,"'!$G$36:$G$47"),TRUE),MATCH($B32,INDIRECT(CONCATENATE("'",AD$14,"'!$C$36:$C$47"),TRUE),0))</f>
        <v>0</v>
      </c>
      <c r="AE32" s="1260">
        <f t="shared" ca="1" si="49"/>
        <v>0</v>
      </c>
      <c r="AF32" s="1058">
        <f t="shared" ca="1" si="49"/>
        <v>0</v>
      </c>
      <c r="AG32" s="1058">
        <f t="shared" ca="1" si="49"/>
        <v>0</v>
      </c>
      <c r="AH32" s="1058">
        <f t="shared" ca="1" si="49"/>
        <v>0</v>
      </c>
      <c r="AI32" s="1058">
        <f t="shared" ca="1" si="49"/>
        <v>0</v>
      </c>
      <c r="AJ32" s="1340">
        <f t="shared" ca="1" si="18"/>
        <v>0</v>
      </c>
      <c r="AK32" s="973" t="str">
        <f t="shared" ca="1" si="19"/>
        <v/>
      </c>
      <c r="AL32" s="751"/>
      <c r="AM32" s="1360" t="str">
        <f ca="1">IF(AD32&gt;0,'Q1'!E36,"")</f>
        <v/>
      </c>
      <c r="AN32" s="807" t="str">
        <f ca="1">IF(AM32="","",IF('Q1'!I36=0,"Fuel type not stated",'Q1'!I36))</f>
        <v/>
      </c>
      <c r="AO32" s="751"/>
      <c r="AP32" s="755" t="str">
        <f t="shared" ca="1" si="20"/>
        <v/>
      </c>
      <c r="AQ32" s="756" t="str">
        <f t="shared" ca="1" si="21"/>
        <v/>
      </c>
      <c r="AR32" s="756" t="str">
        <f t="shared" ca="1" si="22"/>
        <v/>
      </c>
      <c r="AS32" s="756" t="str">
        <f t="shared" ca="1" si="23"/>
        <v/>
      </c>
      <c r="AT32" s="939" t="str">
        <f ca="1">IF(OR(+$AK32="missing?",+$AK32="new category"),"",IF($AJ32=0,"",IF(SUM($AD32:$AJ32)=0,"",IFERROR((($AD32-$AJ32)/$AJ32),"N/A"))))</f>
        <v/>
      </c>
      <c r="AU32" s="1374" t="str">
        <f t="shared" ca="1" si="30"/>
        <v/>
      </c>
      <c r="AV32" s="1166" t="str">
        <f t="shared" ca="1" si="24"/>
        <v/>
      </c>
      <c r="AW32" s="1349">
        <f t="shared" ref="AW32:AY43" ca="1" si="50">INDEX(INDIRECT(CONCATENATE("'",AW$14,"'!$H$36:$H$47"),TRUE),MATCH($B32,INDIRECT(CONCATENATE("'",AW$14,"'!$C$36:$C$47"),TRUE),0))</f>
        <v>0</v>
      </c>
      <c r="AX32" s="1349">
        <f t="shared" ca="1" si="50"/>
        <v>0</v>
      </c>
      <c r="AY32" s="1349">
        <f t="shared" ca="1" si="50"/>
        <v>0</v>
      </c>
      <c r="AZ32" s="1375" t="str">
        <f ca="1">IF(AW32=0,IF(AX32&gt;0, AX32/AM$8, IF(AY32&gt;0,AY32/AM$10, "")), IF(AU32="", "", AW32/AM$7*AU32))</f>
        <v/>
      </c>
      <c r="BA32" s="1166" t="str">
        <f t="shared" ca="1" si="26"/>
        <v/>
      </c>
      <c r="BB32" s="751"/>
      <c r="BC32" s="871" t="str">
        <f t="shared" ca="1" si="34"/>
        <v/>
      </c>
    </row>
    <row r="33" spans="1:55" ht="12.75" customHeight="1" x14ac:dyDescent="0.3">
      <c r="A33" s="2229"/>
      <c r="B33" s="1248" t="str">
        <f>'Q1'!C37</f>
        <v>Heat from renewable sources</v>
      </c>
      <c r="C33" s="1252">
        <f t="shared" ca="1" si="47"/>
        <v>0</v>
      </c>
      <c r="D33" s="1258">
        <f t="shared" ca="1" si="47"/>
        <v>0</v>
      </c>
      <c r="E33" s="1060">
        <f t="shared" ca="1" si="47"/>
        <v>0</v>
      </c>
      <c r="F33" s="1060">
        <f t="shared" ca="1" si="47"/>
        <v>0</v>
      </c>
      <c r="G33" s="1060">
        <f t="shared" ca="1" si="47"/>
        <v>0</v>
      </c>
      <c r="H33" s="1060">
        <f t="shared" ca="1" si="47"/>
        <v>0</v>
      </c>
      <c r="I33" s="1061">
        <f t="shared" ca="1" si="6"/>
        <v>0</v>
      </c>
      <c r="J33" s="872" t="str">
        <f t="shared" ca="1" si="7"/>
        <v/>
      </c>
      <c r="K33" s="772"/>
      <c r="L33" s="784" t="str">
        <f ca="1">IF(C33&gt;0,'Q1'!E37,"")</f>
        <v/>
      </c>
      <c r="M33" s="785" t="str">
        <f ca="1">IF(L33="","",IF('Q1'!I37=0,"Fuel type not stated",'Q1'!I37))</f>
        <v/>
      </c>
      <c r="N33" s="772"/>
      <c r="O33" s="776" t="str">
        <f t="shared" ca="1" si="8"/>
        <v/>
      </c>
      <c r="P33" s="777" t="str">
        <f t="shared" ca="1" si="9"/>
        <v/>
      </c>
      <c r="Q33" s="777" t="str">
        <f t="shared" ca="1" si="10"/>
        <v/>
      </c>
      <c r="R33" s="777" t="str">
        <f t="shared" ca="1" si="11"/>
        <v/>
      </c>
      <c r="S33" s="778" t="str">
        <f t="shared" ca="1" si="12"/>
        <v/>
      </c>
      <c r="T33" s="1066" t="str">
        <f t="shared" ca="1" si="27"/>
        <v/>
      </c>
      <c r="U33" s="1165" t="str">
        <f t="shared" ca="1" si="13"/>
        <v/>
      </c>
      <c r="V33" s="1350">
        <f t="shared" ca="1" si="48"/>
        <v>0</v>
      </c>
      <c r="W33" s="1350">
        <f t="shared" ca="1" si="48"/>
        <v>0</v>
      </c>
      <c r="X33" s="1350">
        <f t="shared" ca="1" si="48"/>
        <v>0</v>
      </c>
      <c r="Y33" s="1067" t="str">
        <f t="shared" ref="Y33:Y43" ca="1" si="51">IF(V33=0,IF(W33&gt;0, W33/L$8, IF(X33&gt;0,X33/L$10, "")), IF(T33="", "", V33/L$7*T33))</f>
        <v/>
      </c>
      <c r="Z33" s="1165" t="str">
        <f t="shared" ca="1" si="15"/>
        <v/>
      </c>
      <c r="AA33" s="772"/>
      <c r="AB33" s="779" t="str">
        <f t="shared" ca="1" si="29"/>
        <v/>
      </c>
      <c r="AC33" s="47" t="str">
        <f ca="1">IF(AD33&gt;C33,"Offices only&gt;Total Estate","")</f>
        <v/>
      </c>
      <c r="AD33" s="1252">
        <f t="shared" ca="1" si="49"/>
        <v>0</v>
      </c>
      <c r="AE33" s="1258">
        <f t="shared" ca="1" si="49"/>
        <v>0</v>
      </c>
      <c r="AF33" s="1060">
        <f t="shared" ca="1" si="49"/>
        <v>0</v>
      </c>
      <c r="AG33" s="1060">
        <f t="shared" ca="1" si="49"/>
        <v>0</v>
      </c>
      <c r="AH33" s="1060">
        <f t="shared" ca="1" si="49"/>
        <v>0</v>
      </c>
      <c r="AI33" s="1060">
        <f t="shared" ca="1" si="49"/>
        <v>0</v>
      </c>
      <c r="AJ33" s="1266">
        <f t="shared" ca="1" si="18"/>
        <v>0</v>
      </c>
      <c r="AK33" s="771" t="str">
        <f t="shared" ca="1" si="19"/>
        <v/>
      </c>
      <c r="AL33" s="772"/>
      <c r="AM33" s="1358" t="str">
        <f ca="1">IF(AD33&gt;0,'Q1'!E37,"")</f>
        <v/>
      </c>
      <c r="AN33" s="785" t="str">
        <f ca="1">IF(AM33="","",IF('Q1'!I37=0,"Fuel type not stated",'Q1'!I37))</f>
        <v/>
      </c>
      <c r="AO33" s="772"/>
      <c r="AP33" s="776" t="str">
        <f t="shared" ca="1" si="20"/>
        <v/>
      </c>
      <c r="AQ33" s="777" t="str">
        <f t="shared" ca="1" si="21"/>
        <v/>
      </c>
      <c r="AR33" s="777" t="str">
        <f t="shared" ca="1" si="22"/>
        <v/>
      </c>
      <c r="AS33" s="777" t="str">
        <f t="shared" ca="1" si="23"/>
        <v/>
      </c>
      <c r="AT33" s="945" t="str">
        <f ca="1">IF(OR(+$AK33="missing?",+$AK33="new category"),"",IF($AJ33=0,"",IF(SUM($AD33:$AJ33)=0,"",IFERROR((($AD33-$AJ33)/$AJ33),"N/A"))))</f>
        <v/>
      </c>
      <c r="AU33" s="1370" t="str">
        <f t="shared" ca="1" si="30"/>
        <v/>
      </c>
      <c r="AV33" s="1165" t="str">
        <f t="shared" ca="1" si="24"/>
        <v/>
      </c>
      <c r="AW33" s="1350">
        <f t="shared" ca="1" si="50"/>
        <v>0</v>
      </c>
      <c r="AX33" s="1350">
        <f t="shared" ca="1" si="50"/>
        <v>0</v>
      </c>
      <c r="AY33" s="1350">
        <f t="shared" ca="1" si="50"/>
        <v>0</v>
      </c>
      <c r="AZ33" s="1357" t="str">
        <f t="shared" ref="AZ33:AZ43" ca="1" si="52">IF(AW33=0,IF(AX33&gt;0, AX33/AM$8, IF(AY33&gt;0,AY33/AM$10, "")), IF(AU33="", "", AW33/AM$7*AU33))</f>
        <v/>
      </c>
      <c r="BA33" s="1165" t="str">
        <f t="shared" ca="1" si="26"/>
        <v/>
      </c>
      <c r="BB33" s="772"/>
      <c r="BC33" s="946" t="str">
        <f t="shared" ca="1" si="34"/>
        <v/>
      </c>
    </row>
    <row r="34" spans="1:55" ht="12.75" customHeight="1" x14ac:dyDescent="0.3">
      <c r="A34" s="2229"/>
      <c r="B34" s="1248" t="str">
        <f>'Q1'!C38</f>
        <v>Solar water heating</v>
      </c>
      <c r="C34" s="1252">
        <f t="shared" ca="1" si="47"/>
        <v>0</v>
      </c>
      <c r="D34" s="1258">
        <f t="shared" ca="1" si="47"/>
        <v>0</v>
      </c>
      <c r="E34" s="1060">
        <f t="shared" ca="1" si="47"/>
        <v>0</v>
      </c>
      <c r="F34" s="1060">
        <f t="shared" ca="1" si="47"/>
        <v>0</v>
      </c>
      <c r="G34" s="1060">
        <f t="shared" ca="1" si="47"/>
        <v>0</v>
      </c>
      <c r="H34" s="1060">
        <f t="shared" ca="1" si="47"/>
        <v>0</v>
      </c>
      <c r="I34" s="1061">
        <f t="shared" ca="1" si="6"/>
        <v>0</v>
      </c>
      <c r="J34" s="872" t="str">
        <f t="shared" ca="1" si="7"/>
        <v/>
      </c>
      <c r="K34" s="772"/>
      <c r="L34" s="784" t="str">
        <f ca="1">IF(C34&gt;0,'Q1'!E38,"")</f>
        <v/>
      </c>
      <c r="M34" s="785" t="str">
        <f ca="1">IF(L34="","",IF('Q1'!I38=0,"Fuel type not stated",'Q1'!I38))</f>
        <v/>
      </c>
      <c r="N34" s="772"/>
      <c r="O34" s="776" t="str">
        <f t="shared" ca="1" si="8"/>
        <v/>
      </c>
      <c r="P34" s="777" t="str">
        <f t="shared" ca="1" si="9"/>
        <v/>
      </c>
      <c r="Q34" s="777" t="str">
        <f t="shared" ca="1" si="10"/>
        <v/>
      </c>
      <c r="R34" s="777" t="str">
        <f t="shared" ca="1" si="11"/>
        <v/>
      </c>
      <c r="S34" s="778" t="str">
        <f t="shared" ca="1" si="12"/>
        <v/>
      </c>
      <c r="T34" s="1066" t="str">
        <f t="shared" ca="1" si="27"/>
        <v/>
      </c>
      <c r="U34" s="1165" t="str">
        <f t="shared" ca="1" si="13"/>
        <v/>
      </c>
      <c r="V34" s="1350">
        <f t="shared" ca="1" si="48"/>
        <v>0</v>
      </c>
      <c r="W34" s="1350">
        <f t="shared" ca="1" si="48"/>
        <v>0</v>
      </c>
      <c r="X34" s="1350">
        <f t="shared" ca="1" si="48"/>
        <v>0</v>
      </c>
      <c r="Y34" s="1067" t="str">
        <f t="shared" ca="1" si="51"/>
        <v/>
      </c>
      <c r="Z34" s="1165" t="str">
        <f t="shared" ca="1" si="15"/>
        <v/>
      </c>
      <c r="AA34" s="772"/>
      <c r="AB34" s="779" t="str">
        <f t="shared" ca="1" si="29"/>
        <v/>
      </c>
      <c r="AC34" s="47" t="str">
        <f t="shared" ca="1" si="16"/>
        <v/>
      </c>
      <c r="AD34" s="1252">
        <f t="shared" ca="1" si="49"/>
        <v>0</v>
      </c>
      <c r="AE34" s="1258">
        <f t="shared" ca="1" si="49"/>
        <v>0</v>
      </c>
      <c r="AF34" s="1060">
        <f t="shared" ca="1" si="49"/>
        <v>0</v>
      </c>
      <c r="AG34" s="1060">
        <f t="shared" ca="1" si="49"/>
        <v>0</v>
      </c>
      <c r="AH34" s="1060">
        <f t="shared" ca="1" si="49"/>
        <v>0</v>
      </c>
      <c r="AI34" s="1060">
        <f t="shared" ca="1" si="49"/>
        <v>0</v>
      </c>
      <c r="AJ34" s="1266">
        <f t="shared" ca="1" si="18"/>
        <v>0</v>
      </c>
      <c r="AK34" s="771" t="str">
        <f t="shared" ca="1" si="19"/>
        <v/>
      </c>
      <c r="AL34" s="772"/>
      <c r="AM34" s="1358" t="str">
        <f ca="1">IF(AD34&gt;0,'Q1'!E38,"")</f>
        <v/>
      </c>
      <c r="AN34" s="785" t="str">
        <f ca="1">IF(AM34="","",IF('Q1'!I38=0,"Fuel type not stated",'Q1'!I38))</f>
        <v/>
      </c>
      <c r="AO34" s="772"/>
      <c r="AP34" s="776" t="str">
        <f t="shared" ca="1" si="20"/>
        <v/>
      </c>
      <c r="AQ34" s="777" t="str">
        <f t="shared" ca="1" si="21"/>
        <v/>
      </c>
      <c r="AR34" s="777" t="str">
        <f t="shared" ca="1" si="22"/>
        <v/>
      </c>
      <c r="AS34" s="777" t="str">
        <f t="shared" ca="1" si="23"/>
        <v/>
      </c>
      <c r="AT34" s="945" t="str">
        <f t="shared" ref="AT34:AT42" ca="1" si="53">IF(OR(+$AK34="missing?",+$AK34="new category"),"",IF($AJ34=0,"",IF(SUM($AD34:$AJ34)=0,"",IFERROR((($AD34-$AJ34)/$AJ34),"N/A"))))</f>
        <v/>
      </c>
      <c r="AU34" s="1370" t="str">
        <f t="shared" ca="1" si="30"/>
        <v/>
      </c>
      <c r="AV34" s="1165" t="str">
        <f t="shared" ca="1" si="24"/>
        <v/>
      </c>
      <c r="AW34" s="1350">
        <f t="shared" ca="1" si="50"/>
        <v>0</v>
      </c>
      <c r="AX34" s="1350">
        <f t="shared" ca="1" si="50"/>
        <v>0</v>
      </c>
      <c r="AY34" s="1350">
        <f t="shared" ca="1" si="50"/>
        <v>0</v>
      </c>
      <c r="AZ34" s="1357" t="str">
        <f t="shared" ca="1" si="52"/>
        <v/>
      </c>
      <c r="BA34" s="1165" t="str">
        <f t="shared" ca="1" si="26"/>
        <v/>
      </c>
      <c r="BB34" s="772"/>
      <c r="BC34" s="946" t="str">
        <f t="shared" ca="1" si="34"/>
        <v/>
      </c>
    </row>
    <row r="35" spans="1:55" ht="12.75" customHeight="1" x14ac:dyDescent="0.3">
      <c r="A35" s="2229"/>
      <c r="B35" s="1248" t="str">
        <f>'Q1'!C39</f>
        <v>Other 1 (enter CO2 factor and specify fuel in "Notes")</v>
      </c>
      <c r="C35" s="1252">
        <f t="shared" ca="1" si="47"/>
        <v>0</v>
      </c>
      <c r="D35" s="1258">
        <f t="shared" ca="1" si="47"/>
        <v>0</v>
      </c>
      <c r="E35" s="1060">
        <f t="shared" ca="1" si="47"/>
        <v>0</v>
      </c>
      <c r="F35" s="1060">
        <f t="shared" ca="1" si="47"/>
        <v>0</v>
      </c>
      <c r="G35" s="1060">
        <f t="shared" ca="1" si="47"/>
        <v>0</v>
      </c>
      <c r="H35" s="1060">
        <f t="shared" ca="1" si="47"/>
        <v>0</v>
      </c>
      <c r="I35" s="1061">
        <f t="shared" ca="1" si="6"/>
        <v>0</v>
      </c>
      <c r="J35" s="872" t="str">
        <f t="shared" ca="1" si="7"/>
        <v/>
      </c>
      <c r="K35" s="772"/>
      <c r="L35" s="784" t="str">
        <f ca="1">IF(C35&gt;0,'Q1'!E39,"")</f>
        <v/>
      </c>
      <c r="M35" s="785" t="str">
        <f ca="1">IF(L35="","",IF('Q1'!I39=0,"Fuel type not stated",'Q1'!I39))</f>
        <v/>
      </c>
      <c r="N35" s="772"/>
      <c r="O35" s="776" t="str">
        <f t="shared" ref="O35:O100" ca="1" si="54">IF(OR(+$J35="missing?",+$J35="new category"),"",IF($D35=0,"",IF(SUM($C35:$I35)=0,"",IFERROR((($C35-$D35)/$D35),"N/A"))))</f>
        <v/>
      </c>
      <c r="P35" s="777" t="str">
        <f t="shared" ca="1" si="9"/>
        <v/>
      </c>
      <c r="Q35" s="777" t="str">
        <f t="shared" ca="1" si="10"/>
        <v/>
      </c>
      <c r="R35" s="777" t="str">
        <f t="shared" ca="1" si="11"/>
        <v/>
      </c>
      <c r="S35" s="778" t="str">
        <f t="shared" ca="1" si="12"/>
        <v/>
      </c>
      <c r="T35" s="1066" t="str">
        <f t="shared" ca="1" si="27"/>
        <v/>
      </c>
      <c r="U35" s="1165" t="str">
        <f t="shared" ca="1" si="13"/>
        <v/>
      </c>
      <c r="V35" s="1350">
        <f t="shared" ca="1" si="48"/>
        <v>0</v>
      </c>
      <c r="W35" s="1350">
        <f t="shared" ca="1" si="48"/>
        <v>0</v>
      </c>
      <c r="X35" s="1350">
        <f t="shared" ca="1" si="48"/>
        <v>0</v>
      </c>
      <c r="Y35" s="1067" t="str">
        <f t="shared" ca="1" si="51"/>
        <v/>
      </c>
      <c r="Z35" s="1165" t="str">
        <f t="shared" ca="1" si="15"/>
        <v/>
      </c>
      <c r="AA35" s="772"/>
      <c r="AB35" s="779" t="str">
        <f t="shared" ca="1" si="29"/>
        <v/>
      </c>
      <c r="AC35" s="47" t="str">
        <f t="shared" ca="1" si="16"/>
        <v/>
      </c>
      <c r="AD35" s="1252">
        <f t="shared" ca="1" si="49"/>
        <v>0</v>
      </c>
      <c r="AE35" s="1258">
        <f t="shared" ca="1" si="49"/>
        <v>0</v>
      </c>
      <c r="AF35" s="1060">
        <f t="shared" ca="1" si="49"/>
        <v>0</v>
      </c>
      <c r="AG35" s="1060">
        <f t="shared" ca="1" si="49"/>
        <v>0</v>
      </c>
      <c r="AH35" s="1060">
        <f t="shared" ca="1" si="49"/>
        <v>0</v>
      </c>
      <c r="AI35" s="1060">
        <f t="shared" ca="1" si="49"/>
        <v>0</v>
      </c>
      <c r="AJ35" s="1266">
        <f t="shared" ca="1" si="18"/>
        <v>0</v>
      </c>
      <c r="AK35" s="771" t="str">
        <f t="shared" ca="1" si="19"/>
        <v/>
      </c>
      <c r="AL35" s="772"/>
      <c r="AM35" s="1358" t="str">
        <f ca="1">IF(AD35&gt;0,'Q1'!E39,"")</f>
        <v/>
      </c>
      <c r="AN35" s="785" t="str">
        <f ca="1">IF(AM35="","",IF('Q1'!I39=0,"Fuel type not stated",'Q1'!I39))</f>
        <v/>
      </c>
      <c r="AO35" s="772"/>
      <c r="AP35" s="776" t="str">
        <f t="shared" ca="1" si="20"/>
        <v/>
      </c>
      <c r="AQ35" s="777" t="str">
        <f t="shared" ca="1" si="21"/>
        <v/>
      </c>
      <c r="AR35" s="777" t="str">
        <f t="shared" ca="1" si="22"/>
        <v/>
      </c>
      <c r="AS35" s="777" t="str">
        <f t="shared" ca="1" si="23"/>
        <v/>
      </c>
      <c r="AT35" s="945" t="str">
        <f t="shared" ca="1" si="53"/>
        <v/>
      </c>
      <c r="AU35" s="1370" t="str">
        <f t="shared" ca="1" si="30"/>
        <v/>
      </c>
      <c r="AV35" s="1165" t="str">
        <f t="shared" ca="1" si="24"/>
        <v/>
      </c>
      <c r="AW35" s="1350">
        <f t="shared" ca="1" si="50"/>
        <v>0</v>
      </c>
      <c r="AX35" s="1350">
        <f t="shared" ca="1" si="50"/>
        <v>0</v>
      </c>
      <c r="AY35" s="1350">
        <f t="shared" ca="1" si="50"/>
        <v>0</v>
      </c>
      <c r="AZ35" s="1357" t="str">
        <f t="shared" ca="1" si="52"/>
        <v/>
      </c>
      <c r="BA35" s="1165" t="str">
        <f t="shared" ca="1" si="26"/>
        <v/>
      </c>
      <c r="BB35" s="772"/>
      <c r="BC35" s="946" t="str">
        <f t="shared" ca="1" si="34"/>
        <v/>
      </c>
    </row>
    <row r="36" spans="1:55" ht="12.75" customHeight="1" x14ac:dyDescent="0.3">
      <c r="A36" s="2229"/>
      <c r="B36" s="1248" t="str">
        <f>'Q1'!C40</f>
        <v>Other 2 (enter CO2 factor and specify fuel in "Notes")</v>
      </c>
      <c r="C36" s="1252">
        <f t="shared" ca="1" si="47"/>
        <v>0</v>
      </c>
      <c r="D36" s="1258">
        <f t="shared" ca="1" si="47"/>
        <v>0</v>
      </c>
      <c r="E36" s="1060">
        <f t="shared" ca="1" si="47"/>
        <v>0</v>
      </c>
      <c r="F36" s="1060">
        <f t="shared" ca="1" si="47"/>
        <v>0</v>
      </c>
      <c r="G36" s="1060">
        <f t="shared" ca="1" si="47"/>
        <v>0</v>
      </c>
      <c r="H36" s="1060">
        <f t="shared" ca="1" si="47"/>
        <v>0</v>
      </c>
      <c r="I36" s="1061">
        <f t="shared" ca="1" si="6"/>
        <v>0</v>
      </c>
      <c r="J36" s="872" t="str">
        <f t="shared" ref="J36:J37" ca="1" si="55">IF(AND(C36&gt;0,SUM(D36:I36)&gt;0),"",IF(AND(C36=0,SUM(C36:I36)=0),"",IF(AND(C36=0,D36&gt;0),"Missing value?",IF(AND(C36=0,I36&gt;0),"Missing value?","New category"))))</f>
        <v/>
      </c>
      <c r="K36" s="772"/>
      <c r="L36" s="784" t="str">
        <f ca="1">IF(C36&gt;0,'Q1'!E40,"")</f>
        <v/>
      </c>
      <c r="M36" s="785" t="str">
        <f ca="1">IF(L36="","",IF('Q1'!I40=0,"Fuel type not stated",'Q1'!I40))</f>
        <v/>
      </c>
      <c r="N36" s="772"/>
      <c r="O36" s="776" t="str">
        <f t="shared" ca="1" si="54"/>
        <v/>
      </c>
      <c r="P36" s="777" t="str">
        <f t="shared" ca="1" si="9"/>
        <v/>
      </c>
      <c r="Q36" s="777" t="str">
        <f t="shared" ca="1" si="10"/>
        <v/>
      </c>
      <c r="R36" s="777" t="str">
        <f t="shared" ca="1" si="11"/>
        <v/>
      </c>
      <c r="S36" s="778" t="str">
        <f t="shared" ca="1" si="12"/>
        <v/>
      </c>
      <c r="T36" s="1066" t="str">
        <f t="shared" ref="T36:T37" ca="1" si="56">IF(SUM(C36:I36)=0,"",IF(OR(AND(C36=0,SUM(D36:I36)&gt;0),AND(C36&gt;0,SUM(D36:I36)=0)),1,IF(MAX(IF(O36&lt;0,-O36,O36),IF(P36&lt;0,-P36,P36),IF(Q36&lt;0,-Q36,Q36),IF(R36&lt;0,-R36,R36),IF(S36&lt;0,-S36,S36))=0,"",MAX(IF(O36&lt;0,-O36,O36),IF(P36&lt;0,-P36,P36),IF(Q36&lt;0,-Q36,Q36),IF(R36&lt;0,-R36,R36),IF(S36&lt;0,-S36,S36)))))</f>
        <v/>
      </c>
      <c r="U36" s="1165" t="str">
        <f t="shared" ca="1" si="13"/>
        <v/>
      </c>
      <c r="V36" s="1350">
        <f t="shared" ca="1" si="48"/>
        <v>0</v>
      </c>
      <c r="W36" s="1350">
        <f t="shared" ca="1" si="48"/>
        <v>0</v>
      </c>
      <c r="X36" s="1350">
        <f t="shared" ca="1" si="48"/>
        <v>0</v>
      </c>
      <c r="Y36" s="1067" t="str">
        <f t="shared" ca="1" si="51"/>
        <v/>
      </c>
      <c r="Z36" s="1165" t="str">
        <f t="shared" ca="1" si="15"/>
        <v/>
      </c>
      <c r="AA36" s="772"/>
      <c r="AB36" s="779" t="str">
        <f t="shared" ref="AB36:AB37" ca="1" si="57">IF(CONCATENATE(IF(K36="OK","",J36),"    ",IF(L36="","",IF(N36="OK","",CONCATENATE(M36," = ",ROUND(L36,3),"kgCO2e/kWh"))),"    ",IF(AND(+AA36="",Z36="M"),"Value change with medium impact",IF(AND(AA36="",Z36="H"),"Value change with high impact",""))," ")="         ","",CONCATENATE(IF(K36="OK","",J36),"    ",IF(L36="","",IF(N36="OK","",CONCATENATE(M36," = ",ROUND(L36,3),"kgCO2e/kWh"))),"    ",IF(AND(+AA36="",Z36="M"),"Value change with medium impact",IF(AND(AA36="",Z36="H"),"Value change with high impact",""))," "))</f>
        <v/>
      </c>
      <c r="AC36" s="47" t="str">
        <f t="shared" ca="1" si="16"/>
        <v/>
      </c>
      <c r="AD36" s="1252">
        <f t="shared" ca="1" si="49"/>
        <v>0</v>
      </c>
      <c r="AE36" s="1258">
        <f t="shared" ca="1" si="49"/>
        <v>0</v>
      </c>
      <c r="AF36" s="1060">
        <f t="shared" ca="1" si="49"/>
        <v>0</v>
      </c>
      <c r="AG36" s="1060">
        <f t="shared" ca="1" si="49"/>
        <v>0</v>
      </c>
      <c r="AH36" s="1060">
        <f t="shared" ca="1" si="49"/>
        <v>0</v>
      </c>
      <c r="AI36" s="1060">
        <f t="shared" ca="1" si="49"/>
        <v>0</v>
      </c>
      <c r="AJ36" s="1266">
        <f t="shared" ca="1" si="18"/>
        <v>0</v>
      </c>
      <c r="AK36" s="771" t="str">
        <f t="shared" ref="AK36:AK37" ca="1" si="58">IF(AND(AD36&gt;0,SUM(AE36:AJ36)&gt;0),"",IF(AND(AD36=0,SUM(AD36:AJ36)=0),"",IF(AND(AD36=0,AE36&gt;0),"Missing value?",IF(AND(AD36=0,AJ36&gt;0),"Missing value?","New category"))))</f>
        <v/>
      </c>
      <c r="AL36" s="772"/>
      <c r="AM36" s="1358" t="str">
        <f ca="1">IF(AD36&gt;0,'Q1'!E40,"")</f>
        <v/>
      </c>
      <c r="AN36" s="785" t="str">
        <f ca="1">IF(AM36="","",IF('Q1'!I40=0,"Fuel type not stated",'Q1'!I40))</f>
        <v/>
      </c>
      <c r="AO36" s="772"/>
      <c r="AP36" s="776" t="str">
        <f t="shared" ca="1" si="20"/>
        <v/>
      </c>
      <c r="AQ36" s="777" t="str">
        <f t="shared" ca="1" si="21"/>
        <v/>
      </c>
      <c r="AR36" s="777" t="str">
        <f t="shared" ca="1" si="22"/>
        <v/>
      </c>
      <c r="AS36" s="777" t="str">
        <f t="shared" ca="1" si="23"/>
        <v/>
      </c>
      <c r="AT36" s="945" t="str">
        <f t="shared" ca="1" si="53"/>
        <v/>
      </c>
      <c r="AU36" s="1370" t="str">
        <f t="shared" ref="AU36:AU37" ca="1" si="59">IF(MAX(IF(AP36&lt;0,-AP36,AP36),IF(AS36&lt;0,-AS36,AS36),IF(AT36&lt;0,-AT36,AT36))=0,"",MAX(IF(AP36&lt;0,-AP36,AP36),IF(AQ36&lt;0,-AQ36,AQ36),IF(AR36&lt;0,-AR36,AR36),IF(AS36&lt;0,-AS36,AS36),IF(AT36&lt;0,-AT36,AT36)))</f>
        <v/>
      </c>
      <c r="AV36" s="1165" t="str">
        <f t="shared" ca="1" si="24"/>
        <v/>
      </c>
      <c r="AW36" s="1350">
        <f t="shared" ca="1" si="50"/>
        <v>0</v>
      </c>
      <c r="AX36" s="1350">
        <f t="shared" ca="1" si="50"/>
        <v>0</v>
      </c>
      <c r="AY36" s="1350">
        <f t="shared" ca="1" si="50"/>
        <v>0</v>
      </c>
      <c r="AZ36" s="1357" t="str">
        <f t="shared" ca="1" si="52"/>
        <v/>
      </c>
      <c r="BA36" s="1165" t="str">
        <f t="shared" ca="1" si="26"/>
        <v/>
      </c>
      <c r="BB36" s="772"/>
      <c r="BC36" s="946" t="str">
        <f t="shared" ref="BC36:BC37" ca="1" si="60">IF(CONCATENATE(AC36, "    ", IF(AL36="OK","",AK36), "    ",IF(AM36="","",IF(AO36="OK","",CONCATENATE(AN36," = ",ROUND(AM36,3),"kgCO2e/kWh"))),"    ",IF(AND(+BB36="",BA36="M"),"Value change with medium impact",IF(AND(BB36="",BA36="H"),"Value change with high impact",""))," ")="             ","",CONCATENATE(AC36, "    ", IF(AL36="OK","",AK36), "    ",IF(AM36="","",IF(AO36="OK","",CONCATENATE(AN36," = ",ROUND(AM36,3),"kgCO2e/kWh"))),"    ",IF(AND(+BB36="",BA36="M"),"Value change with medium impact",IF(AND(BB36="",BA36="H"),"Value change with high impact",""))," "))</f>
        <v/>
      </c>
    </row>
    <row r="37" spans="1:55" ht="12.75" customHeight="1" x14ac:dyDescent="0.3">
      <c r="A37" s="2229"/>
      <c r="B37" s="1248" t="str">
        <f>'Q1'!C41</f>
        <v>Other 3 (enter CO2 factor and specify fuel in "Notes")</v>
      </c>
      <c r="C37" s="1252">
        <f t="shared" ca="1" si="47"/>
        <v>0</v>
      </c>
      <c r="D37" s="1258">
        <f t="shared" ca="1" si="47"/>
        <v>0</v>
      </c>
      <c r="E37" s="1060">
        <f t="shared" ca="1" si="47"/>
        <v>0</v>
      </c>
      <c r="F37" s="1060">
        <f t="shared" ca="1" si="47"/>
        <v>0</v>
      </c>
      <c r="G37" s="1060">
        <f t="shared" ca="1" si="47"/>
        <v>0</v>
      </c>
      <c r="H37" s="1060">
        <f t="shared" ca="1" si="47"/>
        <v>0</v>
      </c>
      <c r="I37" s="1061">
        <f t="shared" ca="1" si="6"/>
        <v>0</v>
      </c>
      <c r="J37" s="872" t="str">
        <f t="shared" ca="1" si="55"/>
        <v/>
      </c>
      <c r="K37" s="772"/>
      <c r="L37" s="784" t="str">
        <f ca="1">IF(C37&gt;0,'Q1'!E41,"")</f>
        <v/>
      </c>
      <c r="M37" s="785" t="str">
        <f ca="1">IF(L37="","",IF('Q1'!I41=0,"Fuel type not stated",'Q1'!I41))</f>
        <v/>
      </c>
      <c r="N37" s="772"/>
      <c r="O37" s="776" t="str">
        <f t="shared" ca="1" si="54"/>
        <v/>
      </c>
      <c r="P37" s="777" t="str">
        <f t="shared" ca="1" si="9"/>
        <v/>
      </c>
      <c r="Q37" s="777" t="str">
        <f t="shared" ca="1" si="10"/>
        <v/>
      </c>
      <c r="R37" s="777" t="str">
        <f t="shared" ca="1" si="11"/>
        <v/>
      </c>
      <c r="S37" s="778" t="str">
        <f t="shared" ca="1" si="12"/>
        <v/>
      </c>
      <c r="T37" s="1066" t="str">
        <f t="shared" ca="1" si="56"/>
        <v/>
      </c>
      <c r="U37" s="1165" t="str">
        <f t="shared" ca="1" si="13"/>
        <v/>
      </c>
      <c r="V37" s="1350">
        <f t="shared" ca="1" si="48"/>
        <v>0</v>
      </c>
      <c r="W37" s="1350">
        <f t="shared" ca="1" si="48"/>
        <v>0</v>
      </c>
      <c r="X37" s="1350">
        <f t="shared" ca="1" si="48"/>
        <v>0</v>
      </c>
      <c r="Y37" s="1067" t="str">
        <f t="shared" ca="1" si="51"/>
        <v/>
      </c>
      <c r="Z37" s="1165" t="str">
        <f t="shared" ca="1" si="15"/>
        <v/>
      </c>
      <c r="AA37" s="772"/>
      <c r="AB37" s="779" t="str">
        <f t="shared" ca="1" si="57"/>
        <v/>
      </c>
      <c r="AC37" s="47" t="str">
        <f t="shared" ca="1" si="16"/>
        <v/>
      </c>
      <c r="AD37" s="1252">
        <f t="shared" ca="1" si="49"/>
        <v>0</v>
      </c>
      <c r="AE37" s="1258">
        <f t="shared" ca="1" si="49"/>
        <v>0</v>
      </c>
      <c r="AF37" s="1060">
        <f t="shared" ca="1" si="49"/>
        <v>0</v>
      </c>
      <c r="AG37" s="1060">
        <f t="shared" ca="1" si="49"/>
        <v>0</v>
      </c>
      <c r="AH37" s="1060">
        <f t="shared" ca="1" si="49"/>
        <v>0</v>
      </c>
      <c r="AI37" s="1060">
        <f t="shared" ca="1" si="49"/>
        <v>0</v>
      </c>
      <c r="AJ37" s="1266">
        <f t="shared" ca="1" si="18"/>
        <v>0</v>
      </c>
      <c r="AK37" s="771" t="str">
        <f t="shared" ca="1" si="58"/>
        <v/>
      </c>
      <c r="AL37" s="772"/>
      <c r="AM37" s="1358" t="str">
        <f ca="1">IF(AD37&gt;0,'Q1'!E41,"")</f>
        <v/>
      </c>
      <c r="AN37" s="785" t="str">
        <f ca="1">IF(AM37="","",IF('Q1'!I41=0,"Fuel type not stated",'Q1'!I41))</f>
        <v/>
      </c>
      <c r="AO37" s="772"/>
      <c r="AP37" s="776" t="str">
        <f t="shared" ca="1" si="20"/>
        <v/>
      </c>
      <c r="AQ37" s="777" t="str">
        <f t="shared" ca="1" si="21"/>
        <v/>
      </c>
      <c r="AR37" s="777" t="str">
        <f t="shared" ca="1" si="22"/>
        <v/>
      </c>
      <c r="AS37" s="777" t="str">
        <f t="shared" ca="1" si="23"/>
        <v/>
      </c>
      <c r="AT37" s="945" t="str">
        <f t="shared" ca="1" si="53"/>
        <v/>
      </c>
      <c r="AU37" s="1370" t="str">
        <f t="shared" ca="1" si="59"/>
        <v/>
      </c>
      <c r="AV37" s="1165" t="str">
        <f t="shared" ca="1" si="24"/>
        <v/>
      </c>
      <c r="AW37" s="1350">
        <f t="shared" ca="1" si="50"/>
        <v>0</v>
      </c>
      <c r="AX37" s="1350">
        <f t="shared" ca="1" si="50"/>
        <v>0</v>
      </c>
      <c r="AY37" s="1350">
        <f t="shared" ca="1" si="50"/>
        <v>0</v>
      </c>
      <c r="AZ37" s="1357" t="str">
        <f t="shared" ca="1" si="52"/>
        <v/>
      </c>
      <c r="BA37" s="1165" t="str">
        <f t="shared" ca="1" si="26"/>
        <v/>
      </c>
      <c r="BB37" s="772"/>
      <c r="BC37" s="946" t="str">
        <f t="shared" ca="1" si="60"/>
        <v/>
      </c>
    </row>
    <row r="38" spans="1:55" ht="12.75" customHeight="1" x14ac:dyDescent="0.3">
      <c r="A38" s="2229"/>
      <c r="B38" s="1248" t="str">
        <f>'Q1'!C42</f>
        <v>CHP1 Electricity</v>
      </c>
      <c r="C38" s="1252">
        <f t="shared" ca="1" si="47"/>
        <v>0</v>
      </c>
      <c r="D38" s="1258">
        <f t="shared" ca="1" si="47"/>
        <v>0</v>
      </c>
      <c r="E38" s="1060">
        <f t="shared" ca="1" si="47"/>
        <v>0</v>
      </c>
      <c r="F38" s="1060">
        <f t="shared" ca="1" si="47"/>
        <v>0</v>
      </c>
      <c r="G38" s="1060">
        <f t="shared" ca="1" si="47"/>
        <v>0</v>
      </c>
      <c r="H38" s="1060">
        <f t="shared" ca="1" si="47"/>
        <v>0</v>
      </c>
      <c r="I38" s="1061">
        <f t="shared" ca="1" si="6"/>
        <v>0</v>
      </c>
      <c r="J38" s="872" t="str">
        <f t="shared" ca="1" si="7"/>
        <v/>
      </c>
      <c r="K38" s="772"/>
      <c r="L38" s="784" t="str">
        <f ca="1">IF(C38&gt;0,'Q1'!E42,"")</f>
        <v/>
      </c>
      <c r="M38" s="785" t="str">
        <f ca="1">IF(L38="","",IF('Q1'!I42=0,"Fuel type not stated",'Q1'!I42))</f>
        <v/>
      </c>
      <c r="N38" s="772"/>
      <c r="O38" s="776" t="str">
        <f t="shared" ca="1" si="54"/>
        <v/>
      </c>
      <c r="P38" s="777" t="str">
        <f t="shared" ca="1" si="9"/>
        <v/>
      </c>
      <c r="Q38" s="777" t="str">
        <f t="shared" ca="1" si="10"/>
        <v/>
      </c>
      <c r="R38" s="777" t="str">
        <f t="shared" ca="1" si="11"/>
        <v/>
      </c>
      <c r="S38" s="778" t="str">
        <f t="shared" ca="1" si="12"/>
        <v/>
      </c>
      <c r="T38" s="1066" t="str">
        <f t="shared" ca="1" si="27"/>
        <v/>
      </c>
      <c r="U38" s="1165" t="str">
        <f t="shared" ca="1" si="13"/>
        <v/>
      </c>
      <c r="V38" s="1350">
        <f t="shared" ca="1" si="48"/>
        <v>0</v>
      </c>
      <c r="W38" s="1350">
        <f t="shared" ca="1" si="48"/>
        <v>0</v>
      </c>
      <c r="X38" s="1350">
        <f t="shared" ca="1" si="48"/>
        <v>0</v>
      </c>
      <c r="Y38" s="1067" t="str">
        <f t="shared" ca="1" si="51"/>
        <v/>
      </c>
      <c r="Z38" s="1165" t="str">
        <f t="shared" ca="1" si="15"/>
        <v/>
      </c>
      <c r="AA38" s="772"/>
      <c r="AB38" s="779" t="str">
        <f t="shared" ca="1" si="29"/>
        <v/>
      </c>
      <c r="AC38" s="47" t="str">
        <f t="shared" ca="1" si="16"/>
        <v/>
      </c>
      <c r="AD38" s="1252">
        <f t="shared" ca="1" si="49"/>
        <v>0</v>
      </c>
      <c r="AE38" s="1258">
        <f t="shared" ca="1" si="49"/>
        <v>0</v>
      </c>
      <c r="AF38" s="1060">
        <f t="shared" ca="1" si="49"/>
        <v>0</v>
      </c>
      <c r="AG38" s="1060">
        <f t="shared" ca="1" si="49"/>
        <v>0</v>
      </c>
      <c r="AH38" s="1060">
        <f t="shared" ca="1" si="49"/>
        <v>0</v>
      </c>
      <c r="AI38" s="1060">
        <f t="shared" ca="1" si="49"/>
        <v>0</v>
      </c>
      <c r="AJ38" s="1266">
        <f t="shared" ca="1" si="18"/>
        <v>0</v>
      </c>
      <c r="AK38" s="771" t="str">
        <f t="shared" ca="1" si="19"/>
        <v/>
      </c>
      <c r="AL38" s="772"/>
      <c r="AM38" s="1358" t="str">
        <f ca="1">IF(AD38&gt;0,'Q1'!E42,"")</f>
        <v/>
      </c>
      <c r="AN38" s="785" t="str">
        <f ca="1">IF(AM38="","",IF('Q1'!I42=0,"Fuel type not stated",'Q1'!I42))</f>
        <v/>
      </c>
      <c r="AO38" s="772"/>
      <c r="AP38" s="776" t="str">
        <f t="shared" ca="1" si="20"/>
        <v/>
      </c>
      <c r="AQ38" s="777" t="str">
        <f t="shared" ca="1" si="21"/>
        <v/>
      </c>
      <c r="AR38" s="777" t="str">
        <f t="shared" ca="1" si="22"/>
        <v/>
      </c>
      <c r="AS38" s="777" t="str">
        <f t="shared" ca="1" si="23"/>
        <v/>
      </c>
      <c r="AT38" s="945" t="str">
        <f t="shared" ca="1" si="53"/>
        <v/>
      </c>
      <c r="AU38" s="1370" t="str">
        <f t="shared" ca="1" si="30"/>
        <v/>
      </c>
      <c r="AV38" s="1165" t="str">
        <f t="shared" ca="1" si="24"/>
        <v/>
      </c>
      <c r="AW38" s="1350">
        <f t="shared" ca="1" si="50"/>
        <v>0</v>
      </c>
      <c r="AX38" s="1350">
        <f t="shared" ca="1" si="50"/>
        <v>0</v>
      </c>
      <c r="AY38" s="1350">
        <f t="shared" ca="1" si="50"/>
        <v>0</v>
      </c>
      <c r="AZ38" s="1357" t="str">
        <f t="shared" ca="1" si="52"/>
        <v/>
      </c>
      <c r="BA38" s="1165" t="str">
        <f t="shared" ca="1" si="26"/>
        <v/>
      </c>
      <c r="BB38" s="772"/>
      <c r="BC38" s="946" t="str">
        <f t="shared" ca="1" si="34"/>
        <v/>
      </c>
    </row>
    <row r="39" spans="1:55" ht="12.75" customHeight="1" x14ac:dyDescent="0.3">
      <c r="A39" s="2229"/>
      <c r="B39" s="1248" t="str">
        <f>'Q1'!C43</f>
        <v>CHP1 Heat</v>
      </c>
      <c r="C39" s="1252">
        <f t="shared" ca="1" si="47"/>
        <v>0</v>
      </c>
      <c r="D39" s="1258">
        <f t="shared" ca="1" si="47"/>
        <v>0</v>
      </c>
      <c r="E39" s="1060">
        <f t="shared" ca="1" si="47"/>
        <v>0</v>
      </c>
      <c r="F39" s="1060">
        <f t="shared" ca="1" si="47"/>
        <v>0</v>
      </c>
      <c r="G39" s="1060">
        <f t="shared" ca="1" si="47"/>
        <v>0</v>
      </c>
      <c r="H39" s="1060">
        <f t="shared" ca="1" si="47"/>
        <v>0</v>
      </c>
      <c r="I39" s="1061">
        <f t="shared" ca="1" si="6"/>
        <v>0</v>
      </c>
      <c r="J39" s="872" t="str">
        <f t="shared" ca="1" si="7"/>
        <v/>
      </c>
      <c r="K39" s="772"/>
      <c r="L39" s="784" t="str">
        <f ca="1">IF(C39&gt;0,'Q1'!E43,"")</f>
        <v/>
      </c>
      <c r="M39" s="785" t="str">
        <f ca="1">IF(L39="","",IF('Q1'!I43=0,"Fuel type not stated",'Q1'!I43))</f>
        <v/>
      </c>
      <c r="N39" s="772"/>
      <c r="O39" s="776" t="str">
        <f t="shared" ca="1" si="54"/>
        <v/>
      </c>
      <c r="P39" s="777" t="str">
        <f t="shared" ca="1" si="9"/>
        <v/>
      </c>
      <c r="Q39" s="777" t="str">
        <f t="shared" ca="1" si="10"/>
        <v/>
      </c>
      <c r="R39" s="777" t="str">
        <f t="shared" ca="1" si="11"/>
        <v/>
      </c>
      <c r="S39" s="778" t="str">
        <f t="shared" ca="1" si="12"/>
        <v/>
      </c>
      <c r="T39" s="1066" t="str">
        <f t="shared" ca="1" si="27"/>
        <v/>
      </c>
      <c r="U39" s="1165" t="str">
        <f t="shared" ca="1" si="13"/>
        <v/>
      </c>
      <c r="V39" s="1350">
        <f t="shared" ca="1" si="48"/>
        <v>0</v>
      </c>
      <c r="W39" s="1350">
        <f t="shared" ca="1" si="48"/>
        <v>0</v>
      </c>
      <c r="X39" s="1350">
        <f t="shared" ca="1" si="48"/>
        <v>0</v>
      </c>
      <c r="Y39" s="1067" t="str">
        <f t="shared" ca="1" si="51"/>
        <v/>
      </c>
      <c r="Z39" s="1165" t="str">
        <f t="shared" ca="1" si="15"/>
        <v/>
      </c>
      <c r="AA39" s="772"/>
      <c r="AB39" s="779" t="str">
        <f t="shared" ca="1" si="29"/>
        <v/>
      </c>
      <c r="AC39" s="47" t="str">
        <f t="shared" ca="1" si="16"/>
        <v/>
      </c>
      <c r="AD39" s="1252">
        <f t="shared" ca="1" si="49"/>
        <v>0</v>
      </c>
      <c r="AE39" s="1258">
        <f t="shared" ca="1" si="49"/>
        <v>0</v>
      </c>
      <c r="AF39" s="1060">
        <f t="shared" ca="1" si="49"/>
        <v>0</v>
      </c>
      <c r="AG39" s="1060">
        <f t="shared" ca="1" si="49"/>
        <v>0</v>
      </c>
      <c r="AH39" s="1060">
        <f t="shared" ca="1" si="49"/>
        <v>0</v>
      </c>
      <c r="AI39" s="1060">
        <f t="shared" ca="1" si="49"/>
        <v>0</v>
      </c>
      <c r="AJ39" s="1266">
        <f t="shared" ca="1" si="18"/>
        <v>0</v>
      </c>
      <c r="AK39" s="771" t="str">
        <f t="shared" ca="1" si="19"/>
        <v/>
      </c>
      <c r="AL39" s="772"/>
      <c r="AM39" s="1358" t="str">
        <f ca="1">IF(AD39&gt;0,'Q1'!E43,"")</f>
        <v/>
      </c>
      <c r="AN39" s="785" t="str">
        <f ca="1">IF(AM39="","",IF('Q1'!I43=0,"Fuel type not stated",'Q1'!I43))</f>
        <v/>
      </c>
      <c r="AO39" s="772"/>
      <c r="AP39" s="776" t="str">
        <f t="shared" ca="1" si="20"/>
        <v/>
      </c>
      <c r="AQ39" s="777" t="str">
        <f t="shared" ca="1" si="21"/>
        <v/>
      </c>
      <c r="AR39" s="777" t="str">
        <f t="shared" ca="1" si="22"/>
        <v/>
      </c>
      <c r="AS39" s="777" t="str">
        <f t="shared" ca="1" si="23"/>
        <v/>
      </c>
      <c r="AT39" s="945" t="str">
        <f t="shared" ca="1" si="53"/>
        <v/>
      </c>
      <c r="AU39" s="1370" t="str">
        <f t="shared" ca="1" si="30"/>
        <v/>
      </c>
      <c r="AV39" s="1165" t="str">
        <f t="shared" ca="1" si="24"/>
        <v/>
      </c>
      <c r="AW39" s="1350">
        <f t="shared" ca="1" si="50"/>
        <v>0</v>
      </c>
      <c r="AX39" s="1350">
        <f t="shared" ca="1" si="50"/>
        <v>0</v>
      </c>
      <c r="AY39" s="1350">
        <f t="shared" ca="1" si="50"/>
        <v>0</v>
      </c>
      <c r="AZ39" s="1357" t="str">
        <f t="shared" ca="1" si="52"/>
        <v/>
      </c>
      <c r="BA39" s="1165" t="str">
        <f t="shared" ca="1" si="26"/>
        <v/>
      </c>
      <c r="BB39" s="772"/>
      <c r="BC39" s="946" t="str">
        <f t="shared" ca="1" si="34"/>
        <v/>
      </c>
    </row>
    <row r="40" spans="1:55" ht="12.75" customHeight="1" x14ac:dyDescent="0.3">
      <c r="A40" s="2229"/>
      <c r="B40" s="1248" t="str">
        <f>'Q1'!C44</f>
        <v>CHP2 Electricity</v>
      </c>
      <c r="C40" s="1252">
        <f t="shared" ca="1" si="47"/>
        <v>0</v>
      </c>
      <c r="D40" s="1258">
        <f t="shared" ca="1" si="47"/>
        <v>0</v>
      </c>
      <c r="E40" s="1060">
        <f t="shared" ca="1" si="47"/>
        <v>0</v>
      </c>
      <c r="F40" s="1060">
        <f t="shared" ca="1" si="47"/>
        <v>0</v>
      </c>
      <c r="G40" s="1060">
        <f t="shared" ca="1" si="47"/>
        <v>0</v>
      </c>
      <c r="H40" s="1060">
        <f t="shared" ca="1" si="47"/>
        <v>0</v>
      </c>
      <c r="I40" s="1061">
        <f t="shared" ca="1" si="6"/>
        <v>0</v>
      </c>
      <c r="J40" s="872" t="str">
        <f t="shared" ca="1" si="7"/>
        <v/>
      </c>
      <c r="K40" s="772"/>
      <c r="L40" s="784" t="str">
        <f ca="1">IF(C40&gt;0,'Q1'!E44,"")</f>
        <v/>
      </c>
      <c r="M40" s="785" t="str">
        <f ca="1">IF(L40="","",IF('Q1'!I44=0,"Fuel type not stated",'Q1'!I44))</f>
        <v/>
      </c>
      <c r="N40" s="772"/>
      <c r="O40" s="810" t="str">
        <f t="shared" ca="1" si="54"/>
        <v/>
      </c>
      <c r="P40" s="783" t="str">
        <f t="shared" ca="1" si="9"/>
        <v/>
      </c>
      <c r="Q40" s="783" t="str">
        <f t="shared" ca="1" si="10"/>
        <v/>
      </c>
      <c r="R40" s="783" t="str">
        <f t="shared" ca="1" si="11"/>
        <v/>
      </c>
      <c r="S40" s="811" t="str">
        <f t="shared" ca="1" si="12"/>
        <v/>
      </c>
      <c r="T40" s="1066" t="str">
        <f t="shared" ca="1" si="27"/>
        <v/>
      </c>
      <c r="U40" s="1165" t="str">
        <f t="shared" ca="1" si="13"/>
        <v/>
      </c>
      <c r="V40" s="1350">
        <f t="shared" ca="1" si="48"/>
        <v>0</v>
      </c>
      <c r="W40" s="1350">
        <f t="shared" ca="1" si="48"/>
        <v>0</v>
      </c>
      <c r="X40" s="1350">
        <f t="shared" ca="1" si="48"/>
        <v>0</v>
      </c>
      <c r="Y40" s="1067" t="str">
        <f t="shared" ca="1" si="51"/>
        <v/>
      </c>
      <c r="Z40" s="1165" t="str">
        <f t="shared" ca="1" si="15"/>
        <v/>
      </c>
      <c r="AA40" s="772"/>
      <c r="AB40" s="779" t="str">
        <f t="shared" ca="1" si="29"/>
        <v/>
      </c>
      <c r="AC40" s="47" t="str">
        <f t="shared" ca="1" si="16"/>
        <v/>
      </c>
      <c r="AD40" s="1252">
        <f t="shared" ca="1" si="49"/>
        <v>0</v>
      </c>
      <c r="AE40" s="1258">
        <f t="shared" ca="1" si="49"/>
        <v>0</v>
      </c>
      <c r="AF40" s="1060">
        <f t="shared" ca="1" si="49"/>
        <v>0</v>
      </c>
      <c r="AG40" s="1060">
        <f t="shared" ca="1" si="49"/>
        <v>0</v>
      </c>
      <c r="AH40" s="1060">
        <f t="shared" ca="1" si="49"/>
        <v>0</v>
      </c>
      <c r="AI40" s="1060">
        <f t="shared" ca="1" si="49"/>
        <v>0</v>
      </c>
      <c r="AJ40" s="1266">
        <f t="shared" ca="1" si="18"/>
        <v>0</v>
      </c>
      <c r="AK40" s="771" t="str">
        <f t="shared" ca="1" si="19"/>
        <v/>
      </c>
      <c r="AL40" s="772"/>
      <c r="AM40" s="1358" t="str">
        <f ca="1">IF(AD40&gt;0,'Q1'!E44,"")</f>
        <v/>
      </c>
      <c r="AN40" s="785" t="str">
        <f ca="1">IF(AM40="","",IF('Q1'!I44=0,"Fuel type not stated",'Q1'!I44))</f>
        <v/>
      </c>
      <c r="AO40" s="772"/>
      <c r="AP40" s="810" t="str">
        <f t="shared" ca="1" si="20"/>
        <v/>
      </c>
      <c r="AQ40" s="783" t="str">
        <f t="shared" ca="1" si="21"/>
        <v/>
      </c>
      <c r="AR40" s="783" t="str">
        <f t="shared" ca="1" si="22"/>
        <v/>
      </c>
      <c r="AS40" s="783" t="str">
        <f t="shared" ca="1" si="23"/>
        <v/>
      </c>
      <c r="AT40" s="1367" t="str">
        <f t="shared" ca="1" si="53"/>
        <v/>
      </c>
      <c r="AU40" s="1370" t="str">
        <f t="shared" ca="1" si="30"/>
        <v/>
      </c>
      <c r="AV40" s="1165" t="str">
        <f t="shared" ca="1" si="24"/>
        <v/>
      </c>
      <c r="AW40" s="1350">
        <f t="shared" ca="1" si="50"/>
        <v>0</v>
      </c>
      <c r="AX40" s="1350">
        <f t="shared" ca="1" si="50"/>
        <v>0</v>
      </c>
      <c r="AY40" s="1350">
        <f t="shared" ca="1" si="50"/>
        <v>0</v>
      </c>
      <c r="AZ40" s="1357" t="str">
        <f t="shared" ca="1" si="52"/>
        <v/>
      </c>
      <c r="BA40" s="1165" t="str">
        <f t="shared" ca="1" si="26"/>
        <v/>
      </c>
      <c r="BB40" s="772"/>
      <c r="BC40" s="946" t="str">
        <f t="shared" ca="1" si="34"/>
        <v/>
      </c>
    </row>
    <row r="41" spans="1:55" ht="12.75" customHeight="1" x14ac:dyDescent="0.3">
      <c r="A41" s="2229"/>
      <c r="B41" s="1248" t="str">
        <f>'Q1'!C45</f>
        <v>CHP2 Heat</v>
      </c>
      <c r="C41" s="1252">
        <f t="shared" ca="1" si="47"/>
        <v>0</v>
      </c>
      <c r="D41" s="1258">
        <f t="shared" ca="1" si="47"/>
        <v>0</v>
      </c>
      <c r="E41" s="1060">
        <f t="shared" ca="1" si="47"/>
        <v>0</v>
      </c>
      <c r="F41" s="1060">
        <f t="shared" ca="1" si="47"/>
        <v>0</v>
      </c>
      <c r="G41" s="1060">
        <f t="shared" ca="1" si="47"/>
        <v>0</v>
      </c>
      <c r="H41" s="1060">
        <f t="shared" ca="1" si="47"/>
        <v>0</v>
      </c>
      <c r="I41" s="1061">
        <f t="shared" ca="1" si="6"/>
        <v>0</v>
      </c>
      <c r="J41" s="872" t="str">
        <f t="shared" ca="1" si="7"/>
        <v/>
      </c>
      <c r="K41" s="772"/>
      <c r="L41" s="784" t="str">
        <f ca="1">IF(C41&gt;0,'Q1'!E45,"")</f>
        <v/>
      </c>
      <c r="M41" s="785" t="str">
        <f ca="1">IF(L41="","",IF('Q1'!I45=0,"Fuel type not stated",'Q1'!I45))</f>
        <v/>
      </c>
      <c r="N41" s="772"/>
      <c r="O41" s="810" t="str">
        <f t="shared" ca="1" si="54"/>
        <v/>
      </c>
      <c r="P41" s="783" t="str">
        <f t="shared" ca="1" si="9"/>
        <v/>
      </c>
      <c r="Q41" s="783" t="str">
        <f t="shared" ca="1" si="10"/>
        <v/>
      </c>
      <c r="R41" s="783" t="str">
        <f t="shared" ca="1" si="11"/>
        <v/>
      </c>
      <c r="S41" s="811" t="str">
        <f t="shared" ca="1" si="12"/>
        <v/>
      </c>
      <c r="T41" s="1066" t="str">
        <f t="shared" ca="1" si="27"/>
        <v/>
      </c>
      <c r="U41" s="1165" t="str">
        <f t="shared" ca="1" si="13"/>
        <v/>
      </c>
      <c r="V41" s="1350">
        <f t="shared" ca="1" si="48"/>
        <v>0</v>
      </c>
      <c r="W41" s="1350">
        <f t="shared" ca="1" si="48"/>
        <v>0</v>
      </c>
      <c r="X41" s="1350">
        <f t="shared" ca="1" si="48"/>
        <v>0</v>
      </c>
      <c r="Y41" s="1067" t="str">
        <f t="shared" ca="1" si="51"/>
        <v/>
      </c>
      <c r="Z41" s="1165" t="str">
        <f t="shared" ca="1" si="15"/>
        <v/>
      </c>
      <c r="AA41" s="772"/>
      <c r="AB41" s="779" t="str">
        <f t="shared" ca="1" si="29"/>
        <v/>
      </c>
      <c r="AC41" s="47" t="str">
        <f t="shared" ca="1" si="16"/>
        <v/>
      </c>
      <c r="AD41" s="1252">
        <f t="shared" ca="1" si="49"/>
        <v>0</v>
      </c>
      <c r="AE41" s="1258">
        <f t="shared" ca="1" si="49"/>
        <v>0</v>
      </c>
      <c r="AF41" s="1060">
        <f t="shared" ca="1" si="49"/>
        <v>0</v>
      </c>
      <c r="AG41" s="1060">
        <f t="shared" ca="1" si="49"/>
        <v>0</v>
      </c>
      <c r="AH41" s="1060">
        <f t="shared" ca="1" si="49"/>
        <v>0</v>
      </c>
      <c r="AI41" s="1060">
        <f t="shared" ca="1" si="49"/>
        <v>0</v>
      </c>
      <c r="AJ41" s="1266">
        <f t="shared" ca="1" si="18"/>
        <v>0</v>
      </c>
      <c r="AK41" s="771" t="str">
        <f t="shared" ca="1" si="19"/>
        <v/>
      </c>
      <c r="AL41" s="772"/>
      <c r="AM41" s="1358" t="str">
        <f ca="1">IF(AD41&gt;0,'Q1'!E45,"")</f>
        <v/>
      </c>
      <c r="AN41" s="785" t="str">
        <f ca="1">IF(AM41="","",IF('Q1'!I45=0,"Fuel type not stated",'Q1'!I45))</f>
        <v/>
      </c>
      <c r="AO41" s="772"/>
      <c r="AP41" s="810" t="str">
        <f t="shared" ca="1" si="20"/>
        <v/>
      </c>
      <c r="AQ41" s="783" t="str">
        <f t="shared" ca="1" si="21"/>
        <v/>
      </c>
      <c r="AR41" s="783" t="str">
        <f t="shared" ca="1" si="22"/>
        <v/>
      </c>
      <c r="AS41" s="783" t="str">
        <f t="shared" ca="1" si="23"/>
        <v/>
      </c>
      <c r="AT41" s="1367" t="str">
        <f t="shared" ca="1" si="53"/>
        <v/>
      </c>
      <c r="AU41" s="1370" t="str">
        <f t="shared" ca="1" si="30"/>
        <v/>
      </c>
      <c r="AV41" s="1165" t="str">
        <f t="shared" ca="1" si="24"/>
        <v/>
      </c>
      <c r="AW41" s="1350">
        <f t="shared" ca="1" si="50"/>
        <v>0</v>
      </c>
      <c r="AX41" s="1350">
        <f t="shared" ca="1" si="50"/>
        <v>0</v>
      </c>
      <c r="AY41" s="1350">
        <f t="shared" ca="1" si="50"/>
        <v>0</v>
      </c>
      <c r="AZ41" s="1357" t="str">
        <f t="shared" ca="1" si="52"/>
        <v/>
      </c>
      <c r="BA41" s="1165" t="str">
        <f t="shared" ca="1" si="26"/>
        <v/>
      </c>
      <c r="BB41" s="772"/>
      <c r="BC41" s="946" t="str">
        <f t="shared" ca="1" si="34"/>
        <v/>
      </c>
    </row>
    <row r="42" spans="1:55" ht="12.75" customHeight="1" x14ac:dyDescent="0.3">
      <c r="A42" s="2229"/>
      <c r="B42" s="1248" t="str">
        <f>'Q1'!C46</f>
        <v>CHP3 Electricity</v>
      </c>
      <c r="C42" s="1252">
        <f t="shared" ca="1" si="47"/>
        <v>0</v>
      </c>
      <c r="D42" s="1258">
        <f t="shared" ca="1" si="47"/>
        <v>0</v>
      </c>
      <c r="E42" s="1060">
        <f t="shared" ca="1" si="47"/>
        <v>0</v>
      </c>
      <c r="F42" s="1060">
        <f t="shared" ca="1" si="47"/>
        <v>0</v>
      </c>
      <c r="G42" s="1060">
        <f t="shared" ca="1" si="47"/>
        <v>0</v>
      </c>
      <c r="H42" s="1060">
        <f t="shared" ca="1" si="47"/>
        <v>0</v>
      </c>
      <c r="I42" s="1061">
        <f t="shared" ca="1" si="6"/>
        <v>0</v>
      </c>
      <c r="J42" s="872" t="str">
        <f t="shared" ca="1" si="7"/>
        <v/>
      </c>
      <c r="K42" s="772"/>
      <c r="L42" s="784" t="str">
        <f ca="1">IF(C42&gt;0,'Q1'!E46,"")</f>
        <v/>
      </c>
      <c r="M42" s="785" t="str">
        <f ca="1">IF(L42="","",IF('Q1'!I46=0,"Fuel type not stated",'Q1'!I46))</f>
        <v/>
      </c>
      <c r="N42" s="772"/>
      <c r="O42" s="810" t="str">
        <f t="shared" ca="1" si="54"/>
        <v/>
      </c>
      <c r="P42" s="783" t="str">
        <f t="shared" ca="1" si="9"/>
        <v/>
      </c>
      <c r="Q42" s="783" t="str">
        <f t="shared" ca="1" si="10"/>
        <v/>
      </c>
      <c r="R42" s="783" t="str">
        <f t="shared" ca="1" si="11"/>
        <v/>
      </c>
      <c r="S42" s="811" t="str">
        <f t="shared" ca="1" si="12"/>
        <v/>
      </c>
      <c r="T42" s="1066" t="str">
        <f t="shared" ca="1" si="27"/>
        <v/>
      </c>
      <c r="U42" s="1165" t="str">
        <f t="shared" ca="1" si="13"/>
        <v/>
      </c>
      <c r="V42" s="1350">
        <f t="shared" ca="1" si="48"/>
        <v>0</v>
      </c>
      <c r="W42" s="1350">
        <f t="shared" ca="1" si="48"/>
        <v>0</v>
      </c>
      <c r="X42" s="1350">
        <f t="shared" ca="1" si="48"/>
        <v>0</v>
      </c>
      <c r="Y42" s="1067" t="str">
        <f t="shared" ca="1" si="51"/>
        <v/>
      </c>
      <c r="Z42" s="1165" t="str">
        <f t="shared" ca="1" si="15"/>
        <v/>
      </c>
      <c r="AA42" s="772"/>
      <c r="AB42" s="779" t="str">
        <f t="shared" ca="1" si="29"/>
        <v/>
      </c>
      <c r="AC42" s="47" t="str">
        <f t="shared" ca="1" si="16"/>
        <v/>
      </c>
      <c r="AD42" s="1252">
        <f t="shared" ca="1" si="49"/>
        <v>0</v>
      </c>
      <c r="AE42" s="1258">
        <f t="shared" ca="1" si="49"/>
        <v>0</v>
      </c>
      <c r="AF42" s="1060">
        <f t="shared" ca="1" si="49"/>
        <v>0</v>
      </c>
      <c r="AG42" s="1060">
        <f t="shared" ca="1" si="49"/>
        <v>0</v>
      </c>
      <c r="AH42" s="1060">
        <f t="shared" ca="1" si="49"/>
        <v>0</v>
      </c>
      <c r="AI42" s="1060">
        <f t="shared" ca="1" si="49"/>
        <v>0</v>
      </c>
      <c r="AJ42" s="1266">
        <f t="shared" ca="1" si="18"/>
        <v>0</v>
      </c>
      <c r="AK42" s="771" t="str">
        <f t="shared" ca="1" si="19"/>
        <v/>
      </c>
      <c r="AL42" s="772"/>
      <c r="AM42" s="1358" t="str">
        <f ca="1">IF(AD42&gt;0,'Q1'!E46,"")</f>
        <v/>
      </c>
      <c r="AN42" s="785" t="str">
        <f ca="1">IF(AM42="","",IF('Q1'!I46=0,"Fuel type not stated",'Q1'!I46))</f>
        <v/>
      </c>
      <c r="AO42" s="772"/>
      <c r="AP42" s="810" t="str">
        <f t="shared" ca="1" si="20"/>
        <v/>
      </c>
      <c r="AQ42" s="783" t="str">
        <f t="shared" ca="1" si="21"/>
        <v/>
      </c>
      <c r="AR42" s="783" t="str">
        <f t="shared" ca="1" si="22"/>
        <v/>
      </c>
      <c r="AS42" s="783" t="str">
        <f t="shared" ca="1" si="23"/>
        <v/>
      </c>
      <c r="AT42" s="1367" t="str">
        <f t="shared" ca="1" si="53"/>
        <v/>
      </c>
      <c r="AU42" s="1370" t="str">
        <f t="shared" ca="1" si="30"/>
        <v/>
      </c>
      <c r="AV42" s="1165" t="str">
        <f t="shared" ca="1" si="24"/>
        <v/>
      </c>
      <c r="AW42" s="1350">
        <f t="shared" ca="1" si="50"/>
        <v>0</v>
      </c>
      <c r="AX42" s="1350">
        <f t="shared" ca="1" si="50"/>
        <v>0</v>
      </c>
      <c r="AY42" s="1350">
        <f t="shared" ca="1" si="50"/>
        <v>0</v>
      </c>
      <c r="AZ42" s="1357" t="str">
        <f t="shared" ca="1" si="52"/>
        <v/>
      </c>
      <c r="BA42" s="1165" t="str">
        <f t="shared" ca="1" si="26"/>
        <v/>
      </c>
      <c r="BB42" s="772"/>
      <c r="BC42" s="946" t="str">
        <f t="shared" ca="1" si="34"/>
        <v/>
      </c>
    </row>
    <row r="43" spans="1:55" ht="12.75" customHeight="1" thickBot="1" x14ac:dyDescent="0.35">
      <c r="A43" s="2230"/>
      <c r="B43" s="1249" t="str">
        <f>'Q1'!C47</f>
        <v>CHP3 Heat</v>
      </c>
      <c r="C43" s="1253">
        <f t="shared" ca="1" si="47"/>
        <v>0</v>
      </c>
      <c r="D43" s="1261">
        <f t="shared" ca="1" si="47"/>
        <v>0</v>
      </c>
      <c r="E43" s="1062">
        <f t="shared" ca="1" si="47"/>
        <v>0</v>
      </c>
      <c r="F43" s="1062">
        <f t="shared" ca="1" si="47"/>
        <v>0</v>
      </c>
      <c r="G43" s="1062">
        <f t="shared" ca="1" si="47"/>
        <v>0</v>
      </c>
      <c r="H43" s="1062">
        <f t="shared" ca="1" si="47"/>
        <v>0</v>
      </c>
      <c r="I43" s="1063">
        <f t="shared" ca="1" si="6"/>
        <v>0</v>
      </c>
      <c r="J43" s="849" t="str">
        <f t="shared" ca="1" si="7"/>
        <v/>
      </c>
      <c r="K43" s="790"/>
      <c r="L43" s="791" t="str">
        <f ca="1">IF(C43&gt;0,'Q1'!E47,"")</f>
        <v/>
      </c>
      <c r="M43" s="792" t="str">
        <f ca="1">IF(L43="","",IF('Q1'!I47=0,"Fuel type not stated",'Q1'!I47))</f>
        <v/>
      </c>
      <c r="N43" s="790"/>
      <c r="O43" s="813" t="str">
        <f t="shared" ca="1" si="54"/>
        <v/>
      </c>
      <c r="P43" s="1072" t="str">
        <f t="shared" ca="1" si="9"/>
        <v/>
      </c>
      <c r="Q43" s="1072" t="str">
        <f t="shared" ca="1" si="10"/>
        <v/>
      </c>
      <c r="R43" s="1072" t="str">
        <f t="shared" ca="1" si="11"/>
        <v/>
      </c>
      <c r="S43" s="1075" t="str">
        <f t="shared" ca="1" si="12"/>
        <v/>
      </c>
      <c r="T43" s="1348" t="str">
        <f t="shared" ca="1" si="27"/>
        <v/>
      </c>
      <c r="U43" s="1163" t="str">
        <f t="shared" ca="1" si="13"/>
        <v/>
      </c>
      <c r="V43" s="1351">
        <f t="shared" ca="1" si="48"/>
        <v>0</v>
      </c>
      <c r="W43" s="1351">
        <f t="shared" ca="1" si="48"/>
        <v>0</v>
      </c>
      <c r="X43" s="1351">
        <f t="shared" ca="1" si="48"/>
        <v>0</v>
      </c>
      <c r="Y43" s="1239" t="str">
        <f t="shared" ca="1" si="51"/>
        <v/>
      </c>
      <c r="Z43" s="1163" t="str">
        <f t="shared" ca="1" si="15"/>
        <v/>
      </c>
      <c r="AA43" s="790"/>
      <c r="AB43" s="794" t="str">
        <f t="shared" ca="1" si="29"/>
        <v/>
      </c>
      <c r="AC43" s="48" t="str">
        <f t="shared" ca="1" si="16"/>
        <v/>
      </c>
      <c r="AD43" s="1253">
        <f t="shared" ca="1" si="49"/>
        <v>0</v>
      </c>
      <c r="AE43" s="1261">
        <f t="shared" ca="1" si="49"/>
        <v>0</v>
      </c>
      <c r="AF43" s="1062">
        <f t="shared" ca="1" si="49"/>
        <v>0</v>
      </c>
      <c r="AG43" s="1062">
        <f t="shared" ca="1" si="49"/>
        <v>0</v>
      </c>
      <c r="AH43" s="1062">
        <f t="shared" ca="1" si="49"/>
        <v>0</v>
      </c>
      <c r="AI43" s="1062">
        <f t="shared" ca="1" si="49"/>
        <v>0</v>
      </c>
      <c r="AJ43" s="1341">
        <f t="shared" ca="1" si="18"/>
        <v>0</v>
      </c>
      <c r="AK43" s="812" t="str">
        <f t="shared" ca="1" si="19"/>
        <v/>
      </c>
      <c r="AL43" s="790"/>
      <c r="AM43" s="1359" t="str">
        <f ca="1">IF(AD43&gt;0,'Q1'!E47,"")</f>
        <v/>
      </c>
      <c r="AN43" s="792" t="str">
        <f ca="1">IF(AM43="","",IF('Q1'!I47=0,"Fuel type not stated",'Q1'!I47))</f>
        <v/>
      </c>
      <c r="AO43" s="790"/>
      <c r="AP43" s="813" t="str">
        <f t="shared" ca="1" si="20"/>
        <v/>
      </c>
      <c r="AQ43" s="1072" t="str">
        <f t="shared" ca="1" si="21"/>
        <v/>
      </c>
      <c r="AR43" s="1072" t="str">
        <f t="shared" ca="1" si="22"/>
        <v/>
      </c>
      <c r="AS43" s="1072" t="str">
        <f t="shared" ca="1" si="23"/>
        <v/>
      </c>
      <c r="AT43" s="1342" t="str">
        <f ca="1">IF(OR(+$AK43="missing?",+$AK43="new category"),"",IF($AJ43=0,"",IF(SUM($AD43:$AJ43)=0,"",IFERROR((($AD43-$AJ43)/$AJ43),"N/A"))))</f>
        <v/>
      </c>
      <c r="AU43" s="813" t="str">
        <f t="shared" ca="1" si="30"/>
        <v/>
      </c>
      <c r="AV43" s="1163" t="str">
        <f t="shared" ca="1" si="24"/>
        <v/>
      </c>
      <c r="AW43" s="1351">
        <f t="shared" ca="1" si="50"/>
        <v>0</v>
      </c>
      <c r="AX43" s="1351">
        <f t="shared" ca="1" si="50"/>
        <v>0</v>
      </c>
      <c r="AY43" s="1351">
        <f t="shared" ca="1" si="50"/>
        <v>0</v>
      </c>
      <c r="AZ43" s="1073" t="str">
        <f t="shared" ca="1" si="52"/>
        <v/>
      </c>
      <c r="BA43" s="1163" t="str">
        <f t="shared" ca="1" si="26"/>
        <v/>
      </c>
      <c r="BB43" s="790"/>
      <c r="BC43" s="954" t="str">
        <f t="shared" ca="1" si="34"/>
        <v/>
      </c>
    </row>
    <row r="44" spans="1:55" ht="14.4" x14ac:dyDescent="0.3">
      <c r="A44" s="673"/>
      <c r="B44" s="90"/>
      <c r="C44" s="814"/>
      <c r="D44" s="814"/>
      <c r="E44" s="814"/>
      <c r="F44" s="814"/>
      <c r="G44" s="814"/>
      <c r="H44" s="814"/>
      <c r="I44" s="814"/>
      <c r="J44" s="90"/>
      <c r="K44" s="90"/>
      <c r="L44" s="90"/>
      <c r="M44" s="815"/>
      <c r="N44" s="90"/>
      <c r="O44" s="90"/>
      <c r="P44" s="90"/>
      <c r="Q44" s="90"/>
      <c r="R44" s="90"/>
      <c r="S44" s="90"/>
      <c r="T44" s="90"/>
      <c r="U44" s="90"/>
      <c r="V44" s="90"/>
      <c r="W44" s="90"/>
      <c r="X44" s="90"/>
      <c r="Y44" s="90"/>
      <c r="Z44" s="90"/>
      <c r="AA44" s="90"/>
      <c r="AB44" s="90"/>
      <c r="AC44" s="50"/>
      <c r="AD44" s="50"/>
      <c r="AE44" s="50"/>
      <c r="AF44" s="50"/>
      <c r="AG44" s="50"/>
      <c r="AH44" s="50"/>
      <c r="AI44" s="50"/>
      <c r="AJ44" s="50"/>
      <c r="AK44" s="50"/>
      <c r="AL44" s="50"/>
      <c r="AM44" s="50"/>
      <c r="AN44" s="50"/>
      <c r="AO44" s="50"/>
      <c r="AP44" s="50"/>
      <c r="AQ44" s="50"/>
      <c r="AR44" s="50"/>
      <c r="AS44" s="50"/>
      <c r="AT44" s="50"/>
      <c r="AU44" s="50"/>
      <c r="AV44" s="50"/>
      <c r="AW44" s="50"/>
      <c r="AX44" s="50"/>
      <c r="AY44" s="50"/>
      <c r="AZ44" s="50"/>
      <c r="BA44" s="50"/>
      <c r="BB44" s="50"/>
      <c r="BC44" s="50"/>
    </row>
    <row r="45" spans="1:55" ht="14.4" x14ac:dyDescent="0.3">
      <c r="A45" s="816" t="s">
        <v>65</v>
      </c>
      <c r="B45" s="817"/>
      <c r="C45" s="818"/>
      <c r="D45" s="818"/>
      <c r="E45" s="818"/>
      <c r="F45" s="818"/>
      <c r="G45" s="818"/>
      <c r="H45" s="818"/>
      <c r="I45" s="819" t="s">
        <v>23</v>
      </c>
      <c r="J45" s="819" t="s">
        <v>23</v>
      </c>
      <c r="K45" s="819" t="s">
        <v>23</v>
      </c>
      <c r="L45" s="819" t="s">
        <v>23</v>
      </c>
      <c r="M45" s="819" t="s">
        <v>23</v>
      </c>
      <c r="N45" s="819" t="s">
        <v>23</v>
      </c>
      <c r="O45" s="819" t="s">
        <v>23</v>
      </c>
      <c r="P45" s="819" t="s">
        <v>23</v>
      </c>
      <c r="Q45" s="819" t="s">
        <v>23</v>
      </c>
      <c r="R45" s="819" t="s">
        <v>23</v>
      </c>
      <c r="S45" s="819" t="s">
        <v>23</v>
      </c>
      <c r="T45" s="819" t="s">
        <v>23</v>
      </c>
      <c r="U45" s="819"/>
      <c r="V45" s="819"/>
      <c r="W45" s="819"/>
      <c r="X45" s="819"/>
      <c r="Y45" s="819" t="s">
        <v>23</v>
      </c>
      <c r="Z45" s="819" t="s">
        <v>23</v>
      </c>
      <c r="AA45" s="819" t="s">
        <v>23</v>
      </c>
      <c r="AB45" s="819" t="s">
        <v>23</v>
      </c>
      <c r="AC45" s="1076" t="s">
        <v>144</v>
      </c>
      <c r="AD45" s="1076" t="s">
        <v>144</v>
      </c>
      <c r="AE45" s="1076" t="s">
        <v>144</v>
      </c>
      <c r="AF45" s="1076" t="s">
        <v>144</v>
      </c>
      <c r="AG45" s="1076" t="s">
        <v>144</v>
      </c>
      <c r="AH45" s="1076" t="s">
        <v>144</v>
      </c>
      <c r="AI45" s="1076"/>
      <c r="AJ45" s="1076" t="s">
        <v>144</v>
      </c>
      <c r="AK45" s="1076" t="s">
        <v>144</v>
      </c>
      <c r="AL45" s="1076" t="s">
        <v>144</v>
      </c>
      <c r="AM45" s="1076" t="s">
        <v>144</v>
      </c>
      <c r="AN45" s="1076" t="s">
        <v>144</v>
      </c>
      <c r="AO45" s="1076" t="s">
        <v>144</v>
      </c>
      <c r="AP45" s="1076" t="s">
        <v>144</v>
      </c>
      <c r="AQ45" s="1076" t="s">
        <v>144</v>
      </c>
      <c r="AR45" s="1076" t="s">
        <v>144</v>
      </c>
      <c r="AS45" s="1076" t="s">
        <v>144</v>
      </c>
      <c r="AT45" s="1076" t="s">
        <v>144</v>
      </c>
      <c r="AU45" s="1076" t="s">
        <v>144</v>
      </c>
      <c r="AV45" s="1076"/>
      <c r="AW45" s="1076"/>
      <c r="AX45" s="1076"/>
      <c r="AY45" s="1076"/>
      <c r="AZ45" s="1076" t="s">
        <v>144</v>
      </c>
      <c r="BA45" s="1076" t="s">
        <v>144</v>
      </c>
      <c r="BB45" s="1076" t="s">
        <v>144</v>
      </c>
      <c r="BC45" s="1076" t="s">
        <v>144</v>
      </c>
    </row>
    <row r="46" spans="1:55" thickBot="1" x14ac:dyDescent="0.35">
      <c r="A46" s="1170"/>
      <c r="B46" s="55"/>
      <c r="C46" s="820"/>
      <c r="D46" s="820"/>
      <c r="E46" s="820"/>
      <c r="F46" s="820"/>
      <c r="G46" s="814"/>
      <c r="H46" s="814"/>
      <c r="I46" s="814"/>
      <c r="J46" s="90"/>
      <c r="K46" s="90"/>
      <c r="L46" s="90"/>
      <c r="M46" s="815"/>
      <c r="N46" s="90"/>
      <c r="O46" s="90"/>
      <c r="P46" s="90"/>
      <c r="Q46" s="90"/>
      <c r="R46" s="90"/>
      <c r="S46" s="90"/>
      <c r="T46" s="90"/>
      <c r="U46" s="90"/>
      <c r="V46" s="90"/>
      <c r="W46" s="90"/>
      <c r="X46" s="90"/>
      <c r="Y46" s="90"/>
      <c r="Z46" s="90"/>
      <c r="AA46" s="90"/>
      <c r="AB46" s="90"/>
      <c r="AC46" s="50"/>
      <c r="AD46" s="50"/>
      <c r="AE46" s="50"/>
      <c r="AF46" s="50"/>
      <c r="AG46" s="50"/>
      <c r="AH46" s="50"/>
      <c r="AI46" s="50"/>
      <c r="AJ46" s="50"/>
      <c r="AK46" s="50"/>
      <c r="AL46" s="50"/>
      <c r="AM46" s="50"/>
      <c r="AN46" s="50"/>
      <c r="AO46" s="50"/>
      <c r="AP46" s="50"/>
      <c r="AQ46" s="50"/>
      <c r="AR46" s="50"/>
      <c r="AS46" s="50"/>
      <c r="AT46" s="50"/>
      <c r="AU46" s="50"/>
      <c r="AV46" s="50"/>
      <c r="AW46" s="50"/>
      <c r="AX46" s="50"/>
      <c r="AY46" s="50"/>
      <c r="AZ46" s="50"/>
      <c r="BA46" s="50"/>
      <c r="BB46" s="50"/>
      <c r="BC46" s="50"/>
    </row>
    <row r="47" spans="1:55" ht="27.6" x14ac:dyDescent="0.3">
      <c r="A47" s="2250"/>
      <c r="B47" s="2251"/>
      <c r="C47" s="1244" t="s">
        <v>176</v>
      </c>
      <c r="D47" s="2254" t="s">
        <v>177</v>
      </c>
      <c r="E47" s="2255"/>
      <c r="F47" s="2255"/>
      <c r="G47" s="2256"/>
      <c r="H47" s="2257"/>
      <c r="I47" s="2258"/>
      <c r="J47" s="2168" t="s">
        <v>428</v>
      </c>
      <c r="K47" s="2169"/>
      <c r="L47" s="2170" t="s">
        <v>429</v>
      </c>
      <c r="M47" s="2171"/>
      <c r="N47" s="2172"/>
      <c r="O47" s="2173" t="s">
        <v>430</v>
      </c>
      <c r="P47" s="2170"/>
      <c r="Q47" s="2170"/>
      <c r="R47" s="2171"/>
      <c r="S47" s="2174"/>
      <c r="T47" s="2173" t="s">
        <v>418</v>
      </c>
      <c r="U47" s="2171"/>
      <c r="V47" s="2171"/>
      <c r="W47" s="2171"/>
      <c r="X47" s="2171"/>
      <c r="Y47" s="2171"/>
      <c r="Z47" s="2171"/>
      <c r="AA47" s="2174"/>
      <c r="AB47" s="2192" t="s">
        <v>433</v>
      </c>
      <c r="AC47" s="2215" t="s">
        <v>432</v>
      </c>
      <c r="AD47" s="1318" t="s">
        <v>176</v>
      </c>
      <c r="AE47" s="2217" t="s">
        <v>177</v>
      </c>
      <c r="AF47" s="2218"/>
      <c r="AG47" s="2218"/>
      <c r="AH47" s="2219"/>
      <c r="AI47" s="2220"/>
      <c r="AJ47" s="2221"/>
      <c r="AK47" s="2209" t="s">
        <v>428</v>
      </c>
      <c r="AL47" s="2210"/>
      <c r="AM47" s="2185" t="s">
        <v>429</v>
      </c>
      <c r="AN47" s="2183"/>
      <c r="AO47" s="2184"/>
      <c r="AP47" s="2185" t="s">
        <v>430</v>
      </c>
      <c r="AQ47" s="2182"/>
      <c r="AR47" s="2182"/>
      <c r="AS47" s="2183"/>
      <c r="AT47" s="2186"/>
      <c r="AU47" s="2194" t="s">
        <v>418</v>
      </c>
      <c r="AV47" s="2194"/>
      <c r="AW47" s="2194"/>
      <c r="AX47" s="2194"/>
      <c r="AY47" s="2194"/>
      <c r="AZ47" s="2194"/>
      <c r="BA47" s="2194"/>
      <c r="BB47" s="2194"/>
      <c r="BC47" s="2215" t="s">
        <v>433</v>
      </c>
    </row>
    <row r="48" spans="1:55" ht="55.8" thickBot="1" x14ac:dyDescent="0.35">
      <c r="A48" s="2252"/>
      <c r="B48" s="2253"/>
      <c r="C48" s="1250" t="str">
        <f>C14</f>
        <v>Q1</v>
      </c>
      <c r="D48" s="821" t="str">
        <f t="shared" ref="D48:I48" si="61">D14</f>
        <v>Q4-19</v>
      </c>
      <c r="E48" s="925" t="str">
        <f t="shared" si="61"/>
        <v>Q3-19</v>
      </c>
      <c r="F48" s="925" t="str">
        <f t="shared" si="61"/>
        <v>Q2-19</v>
      </c>
      <c r="G48" s="822" t="str">
        <f t="shared" si="61"/>
        <v>Q1-19</v>
      </c>
      <c r="H48" s="822" t="str">
        <f t="shared" si="61"/>
        <v>2018-2019</v>
      </c>
      <c r="I48" s="823" t="str">
        <f t="shared" si="61"/>
        <v>25% of previous year total</v>
      </c>
      <c r="J48" s="824" t="s">
        <v>434</v>
      </c>
      <c r="K48" s="825" t="s">
        <v>435</v>
      </c>
      <c r="L48" s="1050" t="s">
        <v>436</v>
      </c>
      <c r="M48" s="826" t="s">
        <v>437</v>
      </c>
      <c r="N48" s="827" t="s">
        <v>435</v>
      </c>
      <c r="O48" s="828" t="s">
        <v>438</v>
      </c>
      <c r="P48" s="925" t="s">
        <v>470</v>
      </c>
      <c r="Q48" s="925" t="s">
        <v>471</v>
      </c>
      <c r="R48" s="829" t="s">
        <v>439</v>
      </c>
      <c r="S48" s="830" t="s">
        <v>440</v>
      </c>
      <c r="T48" s="2261" t="s">
        <v>441</v>
      </c>
      <c r="U48" s="2262"/>
      <c r="V48" s="1403"/>
      <c r="W48" s="1403"/>
      <c r="X48" s="1403"/>
      <c r="Y48" s="2263" t="s">
        <v>442</v>
      </c>
      <c r="Z48" s="2262"/>
      <c r="AA48" s="830" t="s">
        <v>435</v>
      </c>
      <c r="AB48" s="2249" t="s">
        <v>433</v>
      </c>
      <c r="AC48" s="2216"/>
      <c r="AD48" s="1319" t="str">
        <f>AD14</f>
        <v>Q1</v>
      </c>
      <c r="AE48" s="832" t="str">
        <f t="shared" ref="AE48:AI48" si="62">AE14</f>
        <v>Q4-19</v>
      </c>
      <c r="AF48" s="730" t="str">
        <f t="shared" si="62"/>
        <v>Q3-19</v>
      </c>
      <c r="AG48" s="730" t="str">
        <f t="shared" si="62"/>
        <v>Q2-19</v>
      </c>
      <c r="AH48" s="833" t="str">
        <f t="shared" si="62"/>
        <v>Q1-19</v>
      </c>
      <c r="AI48" s="833" t="str">
        <f t="shared" si="62"/>
        <v>2018-2019</v>
      </c>
      <c r="AJ48" s="834" t="s">
        <v>178</v>
      </c>
      <c r="AK48" s="835" t="s">
        <v>434</v>
      </c>
      <c r="AL48" s="836" t="s">
        <v>435</v>
      </c>
      <c r="AM48" s="1167" t="s">
        <v>436</v>
      </c>
      <c r="AN48" s="837" t="s">
        <v>437</v>
      </c>
      <c r="AO48" s="838" t="s">
        <v>435</v>
      </c>
      <c r="AP48" s="731" t="s">
        <v>438</v>
      </c>
      <c r="AQ48" s="730" t="s">
        <v>470</v>
      </c>
      <c r="AR48" s="730" t="s">
        <v>471</v>
      </c>
      <c r="AS48" s="1168" t="s">
        <v>439</v>
      </c>
      <c r="AT48" s="732" t="s">
        <v>440</v>
      </c>
      <c r="AU48" s="1378" t="s">
        <v>441</v>
      </c>
      <c r="AV48" s="839" t="s">
        <v>444</v>
      </c>
      <c r="AW48" s="1403"/>
      <c r="AX48" s="1403"/>
      <c r="AY48" s="1403"/>
      <c r="AZ48" s="839" t="s">
        <v>442</v>
      </c>
      <c r="BA48" s="839" t="s">
        <v>443</v>
      </c>
      <c r="BB48" s="1379" t="s">
        <v>435</v>
      </c>
      <c r="BC48" s="2216"/>
    </row>
    <row r="49" spans="1:55" ht="12.75" customHeight="1" thickBot="1" x14ac:dyDescent="0.35">
      <c r="A49" s="2241" t="s">
        <v>69</v>
      </c>
      <c r="B49" s="2242"/>
      <c r="C49" s="1177">
        <f t="shared" ref="C49:H49" ca="1" si="63">INDIRECT(CONCATENATE("'",C$14,"'!$D$53"),TRUE)</f>
        <v>0</v>
      </c>
      <c r="D49" s="840">
        <f t="shared" ca="1" si="63"/>
        <v>0</v>
      </c>
      <c r="E49" s="743">
        <f t="shared" ca="1" si="63"/>
        <v>0</v>
      </c>
      <c r="F49" s="743">
        <f t="shared" ca="1" si="63"/>
        <v>0</v>
      </c>
      <c r="G49" s="743">
        <f t="shared" ca="1" si="63"/>
        <v>0</v>
      </c>
      <c r="H49" s="743">
        <f t="shared" ca="1" si="63"/>
        <v>0</v>
      </c>
      <c r="I49" s="841">
        <f t="shared" ref="I49" ca="1" si="64">H49/4</f>
        <v>0</v>
      </c>
      <c r="J49" s="842" t="str">
        <f ca="1">IF(AND(C49&gt;0,SUM(D49:I49)&gt;0),"",IF(AND(C49=0,SUM(C49:I49)=0),"",IF(AND(C49=0,D49&gt;0),"Missing value?",IF(AND(C49=0,I49&gt;0),"Missing value?","New category"))))</f>
        <v/>
      </c>
      <c r="K49" s="843"/>
      <c r="L49" s="844"/>
      <c r="M49" s="744"/>
      <c r="N49" s="845"/>
      <c r="O49" s="846" t="str">
        <f t="shared" ca="1" si="54"/>
        <v/>
      </c>
      <c r="P49" s="745" t="str">
        <f ca="1">IF(OR(+$J49="missing?",+$J49="new category"),"",IF($E49=0,"",IF(SUM($C49:$I49)=0,"",IFERROR((($C49-$E49)/$E49),"N/A"))))</f>
        <v/>
      </c>
      <c r="Q49" s="745" t="str">
        <f ca="1">IF(OR(+$J49="missing?",+$J49="new category"),"",IF($F49=0,"",IF(SUM($C49:$I49)=0,"",IFERROR((($C49-$F49)/$F49),"N/A"))))</f>
        <v/>
      </c>
      <c r="R49" s="745" t="str">
        <f t="shared" ca="1" si="11"/>
        <v/>
      </c>
      <c r="S49" s="1356" t="str">
        <f t="shared" ca="1" si="12"/>
        <v/>
      </c>
      <c r="T49" s="846" t="str">
        <f t="shared" ref="T49" ca="1" si="65">IF(SUM(C49:I49)=0,"",IF(OR(AND(C49=0,SUM(D49:I49)&gt;0),AND(C49&gt;0,SUM(D49:I49)=0)),1,IF(MAX(IF(O49&lt;0,-O49,O49),IF(P49&lt;0,-P49,P49),IF(Q49&lt;0,-Q49,Q49),IF(R49&lt;0,-R49,R49),IF(S49&lt;0,-S49,S49))=0,"",MAX(IF(O49&lt;0,-O49,O49),IF(P49&lt;0,-P49,P49),IF(Q49&lt;0,-Q49,Q49),IF(R49&lt;0,-R49,R49),IF(S49&lt;0,-S49,S49)))))</f>
        <v/>
      </c>
      <c r="U49" s="847" t="str">
        <f ca="1">IF(+T49="","",IF(T49&gt;L$3,"H",IF(T49&gt;L$4,"M","")))</f>
        <v/>
      </c>
      <c r="V49" s="1404"/>
      <c r="W49" s="1404"/>
      <c r="X49" s="1404"/>
      <c r="Y49" s="1054" t="str">
        <f ca="1">IF(MAX(C49:G49,I49)&gt;0,T49*(MAX(C49:G49,I49)/1000)/L$7,"")</f>
        <v/>
      </c>
      <c r="Z49" s="847" t="str">
        <f ca="1">IF(+Y49="","",IF(Y49&gt;L$3,"H",IF(Y49&gt;L$4,"M","")))</f>
        <v/>
      </c>
      <c r="AA49" s="843"/>
      <c r="AB49" s="954" t="str">
        <f t="shared" ref="AB49" ca="1" si="66">IF(CONCATENATE(IF(K49="OK","",J49),"    ",IF(L49="","",IF(N49="OK","",CONCATENATE(M49," = ",ROUND(L49,3),"kgCO2e/kWh"))),"    ",IF(AND(+AA49="",Z49="M"),"Value change with medium impact",IF(AND(AA49="",Z49="H"),"Value change with high impact",""))," ")="         ","",CONCATENATE(IF(K49="OK","",J49),"    ",IF(L49="","",IF(N49="OK","",CONCATENATE(M49," = ",ROUND(L49,3),"kgCO2e/kWh"))),"    ",IF(AND(+AA49="",Z49="M"),"Value change with medium impact",IF(AND(AA49="",Z49="H"),"Value change with high impact",""))," "))</f>
        <v/>
      </c>
      <c r="AC49" s="48" t="str">
        <f ca="1">IF(AD49&gt;C49,"Offices only&gt;Total Estate","")</f>
        <v/>
      </c>
      <c r="AD49" s="848">
        <f t="shared" ref="AD49:AI49" ca="1" si="67">INDIRECT(CONCATENATE("'",AD$14,"'!$G$53"),TRUE)</f>
        <v>0</v>
      </c>
      <c r="AE49" s="786">
        <f t="shared" ca="1" si="67"/>
        <v>728049.589172362</v>
      </c>
      <c r="AF49" s="787">
        <f t="shared" ca="1" si="67"/>
        <v>0</v>
      </c>
      <c r="AG49" s="787">
        <f t="shared" ca="1" si="67"/>
        <v>0</v>
      </c>
      <c r="AH49" s="787">
        <f t="shared" ca="1" si="67"/>
        <v>0</v>
      </c>
      <c r="AI49" s="787">
        <f t="shared" ca="1" si="67"/>
        <v>728049.589172362</v>
      </c>
      <c r="AJ49" s="788">
        <f ca="1">AI49/4</f>
        <v>182012.3972930905</v>
      </c>
      <c r="AK49" s="849" t="str">
        <f t="shared" ref="AK49" ca="1" si="68">IF(AND(AD49&gt;0,SUM(AE49:AJ49)&gt;0),"",IF(AND(AD49=0,SUM(AD49:AJ49)=0),"",IF(AND(AD49=0,AE49&gt;0),"Missing value?",IF(AND(AD49=0,AJ49&gt;0),"Missing value?","New category"))))</f>
        <v>Missing value?</v>
      </c>
      <c r="AL49" s="796"/>
      <c r="AM49" s="850"/>
      <c r="AN49" s="744"/>
      <c r="AO49" s="851"/>
      <c r="AP49" s="793">
        <f t="shared" ref="AP49" ca="1" si="69">IF(OR(+$AK49="missing?",+$AK49="new category"),"",IF($AE49=0,"",IF(SUM($AD49:$AJ49)=0,"",IFERROR((($AD49-$AE49)/$AE49),"N/A"))))</f>
        <v>-1</v>
      </c>
      <c r="AQ49" s="1070" t="str">
        <f t="shared" ref="AQ49" ca="1" si="70">IF(OR(+$AK49="missing?",+$AK49="new category"),"",IF($AF49=0,"",IF(SUM($AD49:$AJ49)=0,"",IFERROR((($AD49-$AF49)/$AF49),"N/A"))))</f>
        <v/>
      </c>
      <c r="AR49" s="1072" t="str">
        <f t="shared" ref="AR49" ca="1" si="71">IF(OR(+$AK49="missing?",+$AK49="new category"),"",IF($AG49=0,"",IF(SUM($AD49:$AJ49)=0,"",IFERROR((($AD49-$AG49)/$AG49),"N/A"))))</f>
        <v/>
      </c>
      <c r="AS49" s="1072" t="str">
        <f t="shared" ref="AS49" ca="1" si="72">IF(OR(+$AK49="missing?",+$AK49="new category"),"",IF($AH49=0,"",IF(SUM($AD49:$AJ49)=0,"",IFERROR((($AD49-$AH49)/$AH49),"N/A"))))</f>
        <v/>
      </c>
      <c r="AT49" s="1075">
        <f ca="1">IF(OR(+$AK49="missing?",+$AK49="new category"),"",IF($AJ49=0,"",IF(SUM($AD49:$AJ49)=0,"",IFERROR((($AD49-$AJ49)/$AJ49),"N/A"))))</f>
        <v>-1</v>
      </c>
      <c r="AU49" s="1380">
        <f t="shared" ref="AU49" ca="1" si="73">IF(MAX(IF(AP49&lt;0,-AP49,AP49),IF(AS49&lt;0,-AS49,AS49),IF(AT49&lt;0,-AT49,AT49))=0,"",MAX(IF(AP49&lt;0,-AP49,AP49),IF(AQ49&lt;0,-AQ49,AQ49),IF(AR49&lt;0,-AR49,AR49),IF(AS49&lt;0,-AS49,AS49),IF(AT49&lt;0,-AT49,AT49)))</f>
        <v>1</v>
      </c>
      <c r="AV49" s="847" t="str">
        <f ca="1">IF(+AU49="","",IF(AU49&gt;L$3,"H",IF(AU49&gt;L$4,"M","")))</f>
        <v>H</v>
      </c>
      <c r="AW49" s="1404"/>
      <c r="AX49" s="1404"/>
      <c r="AY49" s="1404"/>
      <c r="AZ49" s="1054">
        <f ca="1">IF(MAX(AD49:AH49,AJ49)&gt;0,AU49*(MAX(AD49:AH49,AJ49)/1000)/AM$7,"")</f>
        <v>0.83105289774649493</v>
      </c>
      <c r="BA49" s="847" t="str">
        <f ca="1">IF(+AZ49="","",IF(AZ49&gt;L$3,"H",IF(AZ49&gt;L$4,"M","")))</f>
        <v>H</v>
      </c>
      <c r="BB49" s="843"/>
      <c r="BC49" s="794" t="str">
        <f ca="1">IF(CONCATENATE(AC49, "    ", IF(AL49="OK","",AK49), "    ",IF(AM49="","",IF(AO49="OK","",CONCATENATE(AN49," = ",ROUND(AM49,3),"kgCO2e/kWh"))),"    ",IF(AND(+BB49="",BA49="M"),"Value change with medium impact",IF(AND(BB49="",BA49="H"),"Value change with high impact",""))," ")="             ","",CONCATENATE(AC49, "    ", IF(AL49="OK","",AK49), "    ",IF(AM49="","",IF(AO49="OK","",CONCATENATE(AN49," = ",ROUND(AM49,3),"kgCO2e/kWh"))),"    ",IF(AND(+BB49="",BA49="M"),"Value change with medium impact",IF(AND(BB49="",BA49="H"),"Value change with high impact",""))," "))</f>
        <v xml:space="preserve">    Missing value?        Value change with high impact </v>
      </c>
    </row>
    <row r="50" spans="1:55" ht="14.4" x14ac:dyDescent="0.3">
      <c r="A50" s="90"/>
      <c r="B50" s="90"/>
      <c r="C50" s="814"/>
      <c r="D50" s="814"/>
      <c r="E50" s="814"/>
      <c r="F50" s="814"/>
      <c r="G50" s="814"/>
      <c r="H50" s="814"/>
      <c r="I50" s="814"/>
      <c r="J50" s="852" t="str">
        <f>IF(AND(C50&gt;0,SUM(D50:I50)&gt;0),"",IF(AND(C50=0,SUM(C50:I50)=0),"",IF(AND(C50=0,D50&gt;0),"missing?",IF(AND(C50=0,I50&gt;0),"missing?","new category"))))</f>
        <v/>
      </c>
      <c r="K50" s="852"/>
      <c r="L50" s="852"/>
      <c r="M50" s="853"/>
      <c r="N50" s="852"/>
      <c r="O50" s="854" t="str">
        <f t="shared" si="54"/>
        <v/>
      </c>
      <c r="P50" s="854"/>
      <c r="Q50" s="854"/>
      <c r="R50" s="854" t="str">
        <f t="shared" si="11"/>
        <v/>
      </c>
      <c r="S50" s="854" t="str">
        <f t="shared" si="12"/>
        <v/>
      </c>
      <c r="T50" s="855" t="str">
        <f>IF(MAX(IF(O50&lt;0,-O50,O50),IF(R50&lt;0,-R50,R50),IF(S50&lt;0,-S50,S50))=0,"",MAX(IF(O50&lt;0,-O50,O50),IF(R50&lt;0,-R50,R50),IF(S50&lt;0,-S50,S50)))</f>
        <v/>
      </c>
      <c r="U50" s="855"/>
      <c r="V50" s="855"/>
      <c r="W50" s="855"/>
      <c r="X50" s="855"/>
      <c r="Y50" s="855"/>
      <c r="Z50" s="713" t="str">
        <f>IF(+Y50="","",IF(Y50&gt;L$3,"H",IF(Y50&lt;L$4,"L","M")))</f>
        <v/>
      </c>
      <c r="AA50" s="856"/>
      <c r="AB50" s="854" t="str">
        <f>IF(AND(OR(AA50="OK",Z50="L",Z50=""),OR(J50="",K50="OK"),OR(+L50="",N50="OK")),"","Unresolved issue")</f>
        <v/>
      </c>
      <c r="AC50" s="50"/>
      <c r="AD50" s="50"/>
      <c r="AE50" s="50"/>
      <c r="AF50" s="50"/>
      <c r="AG50" s="50"/>
      <c r="AH50" s="50"/>
      <c r="AI50" s="50"/>
      <c r="AJ50" s="50"/>
      <c r="AK50" s="50"/>
      <c r="AL50" s="50"/>
      <c r="AM50" s="50"/>
      <c r="AN50" s="50"/>
      <c r="AO50" s="50"/>
      <c r="AP50" s="50"/>
      <c r="AQ50" s="50"/>
      <c r="AR50" s="50"/>
      <c r="AS50" s="50"/>
      <c r="AT50" s="50"/>
      <c r="AU50" s="50"/>
      <c r="AV50" s="50"/>
      <c r="AW50" s="50"/>
      <c r="AX50" s="50"/>
      <c r="AY50" s="50"/>
      <c r="AZ50" s="50"/>
      <c r="BA50" s="50"/>
      <c r="BB50" s="50"/>
      <c r="BC50" s="50"/>
    </row>
    <row r="51" spans="1:55" ht="14.4" x14ac:dyDescent="0.3">
      <c r="A51" s="90"/>
      <c r="B51" s="90"/>
      <c r="C51" s="814"/>
      <c r="D51" s="814"/>
      <c r="E51" s="814"/>
      <c r="F51" s="814"/>
      <c r="G51" s="814"/>
      <c r="H51" s="814"/>
      <c r="I51" s="814"/>
      <c r="J51" s="852"/>
      <c r="K51" s="852"/>
      <c r="L51" s="852"/>
      <c r="M51" s="853"/>
      <c r="N51" s="852"/>
      <c r="O51" s="854"/>
      <c r="P51" s="854"/>
      <c r="Q51" s="854"/>
      <c r="R51" s="854"/>
      <c r="S51" s="854"/>
      <c r="T51" s="855"/>
      <c r="U51" s="855"/>
      <c r="V51" s="855"/>
      <c r="W51" s="855"/>
      <c r="X51" s="855"/>
      <c r="Y51" s="855"/>
      <c r="Z51" s="713"/>
      <c r="AA51" s="856"/>
      <c r="AB51" s="854"/>
      <c r="AC51" s="50"/>
      <c r="AD51" s="50"/>
      <c r="AE51" s="50"/>
      <c r="AF51" s="50"/>
      <c r="AG51" s="50"/>
      <c r="AH51" s="50"/>
      <c r="AI51" s="50"/>
      <c r="AJ51" s="50"/>
      <c r="AK51" s="50"/>
      <c r="AL51" s="50"/>
      <c r="AM51" s="50"/>
      <c r="AN51" s="50"/>
      <c r="AO51" s="50"/>
      <c r="AP51" s="50"/>
      <c r="AQ51" s="50"/>
      <c r="AR51" s="50"/>
      <c r="AS51" s="50"/>
      <c r="AT51" s="50"/>
      <c r="AU51" s="50"/>
      <c r="AV51" s="50"/>
      <c r="AW51" s="50"/>
      <c r="AX51" s="50"/>
      <c r="AY51" s="50"/>
      <c r="AZ51" s="50"/>
      <c r="BA51" s="50"/>
      <c r="BB51" s="50"/>
      <c r="BC51" s="50"/>
    </row>
    <row r="52" spans="1:55" ht="14.4" x14ac:dyDescent="0.3">
      <c r="A52" s="816" t="s">
        <v>71</v>
      </c>
      <c r="B52" s="817"/>
      <c r="C52" s="857"/>
      <c r="D52" s="857"/>
      <c r="E52" s="857"/>
      <c r="F52" s="857"/>
      <c r="G52" s="857"/>
      <c r="H52" s="857"/>
      <c r="I52" s="819" t="s">
        <v>23</v>
      </c>
      <c r="J52" s="819" t="s">
        <v>23</v>
      </c>
      <c r="K52" s="819" t="s">
        <v>23</v>
      </c>
      <c r="L52" s="819" t="s">
        <v>23</v>
      </c>
      <c r="M52" s="819" t="s">
        <v>23</v>
      </c>
      <c r="N52" s="819" t="s">
        <v>23</v>
      </c>
      <c r="O52" s="819" t="s">
        <v>23</v>
      </c>
      <c r="P52" s="819" t="s">
        <v>23</v>
      </c>
      <c r="Q52" s="819" t="s">
        <v>23</v>
      </c>
      <c r="R52" s="819" t="s">
        <v>23</v>
      </c>
      <c r="S52" s="819" t="s">
        <v>23</v>
      </c>
      <c r="T52" s="819" t="s">
        <v>23</v>
      </c>
      <c r="U52" s="819"/>
      <c r="V52" s="819"/>
      <c r="W52" s="819"/>
      <c r="X52" s="819"/>
      <c r="Y52" s="819" t="s">
        <v>23</v>
      </c>
      <c r="Z52" s="819" t="s">
        <v>23</v>
      </c>
      <c r="AA52" s="819" t="s">
        <v>23</v>
      </c>
      <c r="AB52" s="819" t="s">
        <v>23</v>
      </c>
      <c r="AC52" s="50"/>
      <c r="AD52" s="50"/>
      <c r="AE52" s="50"/>
      <c r="AF52" s="50"/>
      <c r="AG52" s="50"/>
      <c r="AH52" s="50"/>
      <c r="AI52" s="50"/>
      <c r="AJ52" s="50"/>
      <c r="AK52" s="50"/>
      <c r="AL52" s="50"/>
      <c r="AM52" s="50"/>
      <c r="AN52" s="50"/>
      <c r="AO52" s="50"/>
      <c r="AP52" s="50"/>
      <c r="AQ52" s="50"/>
      <c r="AR52" s="50"/>
      <c r="AS52" s="50"/>
      <c r="AT52" s="50"/>
      <c r="AU52" s="50"/>
      <c r="AV52" s="50"/>
      <c r="AW52" s="50"/>
      <c r="AX52" s="50"/>
      <c r="AY52" s="50"/>
      <c r="AZ52" s="50"/>
      <c r="BA52" s="50"/>
      <c r="BB52" s="50"/>
      <c r="BC52" s="50"/>
    </row>
    <row r="53" spans="1:55" ht="13.5" customHeight="1" thickBot="1" x14ac:dyDescent="0.35">
      <c r="A53" s="1170"/>
      <c r="B53" s="55"/>
      <c r="C53" s="820"/>
      <c r="D53" s="820"/>
      <c r="E53" s="820"/>
      <c r="F53" s="820"/>
      <c r="G53" s="820"/>
      <c r="H53" s="820"/>
      <c r="I53" s="820"/>
      <c r="J53" s="852"/>
      <c r="K53" s="852"/>
      <c r="L53" s="852"/>
      <c r="M53" s="853"/>
      <c r="N53" s="852"/>
      <c r="O53" s="854"/>
      <c r="P53" s="854"/>
      <c r="Q53" s="854"/>
      <c r="R53" s="854"/>
      <c r="S53" s="854"/>
      <c r="T53" s="855"/>
      <c r="U53" s="855"/>
      <c r="V53" s="855"/>
      <c r="W53" s="855"/>
      <c r="X53" s="855"/>
      <c r="Y53" s="855"/>
      <c r="Z53" s="713"/>
      <c r="AA53" s="856"/>
      <c r="AB53" s="854"/>
      <c r="AC53" s="50"/>
      <c r="AD53" s="50"/>
      <c r="AE53" s="50"/>
      <c r="AF53" s="50"/>
      <c r="AG53" s="50"/>
      <c r="AH53" s="50"/>
      <c r="AI53" s="50"/>
      <c r="AJ53" s="50"/>
      <c r="AK53" s="50"/>
      <c r="AL53" s="50"/>
      <c r="AM53" s="50"/>
      <c r="AN53" s="50"/>
      <c r="AO53" s="50"/>
      <c r="AP53" s="50"/>
      <c r="AQ53" s="50"/>
      <c r="AR53" s="50"/>
      <c r="AS53" s="50"/>
      <c r="AT53" s="50"/>
      <c r="AU53" s="50"/>
      <c r="AV53" s="50"/>
      <c r="AW53" s="50"/>
      <c r="AX53" s="50"/>
      <c r="AY53" s="50"/>
      <c r="AZ53" s="50"/>
      <c r="BA53" s="50"/>
      <c r="BB53" s="50"/>
      <c r="BC53" s="50"/>
    </row>
    <row r="54" spans="1:55" ht="27.6" x14ac:dyDescent="0.3">
      <c r="A54" s="2243" t="s">
        <v>180</v>
      </c>
      <c r="B54" s="2244"/>
      <c r="C54" s="1244" t="s">
        <v>176</v>
      </c>
      <c r="D54" s="2164" t="s">
        <v>177</v>
      </c>
      <c r="E54" s="2165"/>
      <c r="F54" s="2165"/>
      <c r="G54" s="2166"/>
      <c r="H54" s="2167"/>
      <c r="I54" s="2231"/>
      <c r="J54" s="2247" t="s">
        <v>428</v>
      </c>
      <c r="K54" s="2248"/>
      <c r="L54" s="2173" t="s">
        <v>429</v>
      </c>
      <c r="M54" s="2171"/>
      <c r="N54" s="2174"/>
      <c r="O54" s="2173" t="s">
        <v>430</v>
      </c>
      <c r="P54" s="2170"/>
      <c r="Q54" s="2170"/>
      <c r="R54" s="2171"/>
      <c r="S54" s="2174"/>
      <c r="T54" s="2173" t="s">
        <v>418</v>
      </c>
      <c r="U54" s="2171"/>
      <c r="V54" s="2171"/>
      <c r="W54" s="2171"/>
      <c r="X54" s="2171"/>
      <c r="Y54" s="2171"/>
      <c r="Z54" s="2171"/>
      <c r="AA54" s="2174"/>
      <c r="AB54" s="2259" t="s">
        <v>433</v>
      </c>
      <c r="AC54" s="50"/>
      <c r="AD54" s="50"/>
      <c r="AE54" s="50"/>
      <c r="AF54" s="50"/>
      <c r="AG54" s="50"/>
      <c r="AH54" s="50"/>
      <c r="AI54" s="50"/>
      <c r="AJ54" s="50"/>
      <c r="AK54" s="50"/>
      <c r="AL54" s="50"/>
      <c r="AM54" s="50"/>
      <c r="AN54" s="50"/>
      <c r="AO54" s="50"/>
      <c r="AP54" s="50"/>
      <c r="AQ54" s="50"/>
      <c r="AR54" s="50"/>
      <c r="AS54" s="50"/>
      <c r="AT54" s="50"/>
      <c r="AU54" s="50"/>
      <c r="AV54" s="50"/>
      <c r="AW54" s="50"/>
      <c r="AX54" s="50"/>
      <c r="AY54" s="50"/>
      <c r="AZ54" s="50"/>
      <c r="BA54" s="50"/>
      <c r="BB54" s="50"/>
      <c r="BC54" s="50"/>
    </row>
    <row r="55" spans="1:55" ht="44.25" customHeight="1" thickBot="1" x14ac:dyDescent="0.35">
      <c r="A55" s="2245"/>
      <c r="B55" s="2246"/>
      <c r="C55" s="1250" t="str">
        <f>C14</f>
        <v>Q1</v>
      </c>
      <c r="D55" s="821" t="str">
        <f t="shared" ref="D55:I55" si="74">D14</f>
        <v>Q4-19</v>
      </c>
      <c r="E55" s="925" t="str">
        <f t="shared" si="74"/>
        <v>Q3-19</v>
      </c>
      <c r="F55" s="925" t="str">
        <f t="shared" si="74"/>
        <v>Q2-19</v>
      </c>
      <c r="G55" s="822" t="str">
        <f t="shared" si="74"/>
        <v>Q1-19</v>
      </c>
      <c r="H55" s="822" t="str">
        <f t="shared" si="74"/>
        <v>2018-2019</v>
      </c>
      <c r="I55" s="823" t="str">
        <f t="shared" si="74"/>
        <v>25% of previous year total</v>
      </c>
      <c r="J55" s="858" t="s">
        <v>434</v>
      </c>
      <c r="K55" s="859" t="s">
        <v>435</v>
      </c>
      <c r="L55" s="831" t="s">
        <v>436</v>
      </c>
      <c r="M55" s="826" t="s">
        <v>437</v>
      </c>
      <c r="N55" s="860" t="s">
        <v>435</v>
      </c>
      <c r="O55" s="828" t="s">
        <v>438</v>
      </c>
      <c r="P55" s="925" t="s">
        <v>470</v>
      </c>
      <c r="Q55" s="925" t="s">
        <v>471</v>
      </c>
      <c r="R55" s="829" t="s">
        <v>439</v>
      </c>
      <c r="S55" s="830" t="s">
        <v>440</v>
      </c>
      <c r="T55" s="2156" t="s">
        <v>441</v>
      </c>
      <c r="U55" s="2155"/>
      <c r="V55" s="829" t="str">
        <f>V14</f>
        <v>Q1</v>
      </c>
      <c r="W55" s="829" t="str">
        <f t="shared" ref="W55:X55" si="75">W14</f>
        <v>Q4-19</v>
      </c>
      <c r="X55" s="829" t="str">
        <f t="shared" si="75"/>
        <v>2018-2019</v>
      </c>
      <c r="Y55" s="2157" t="s">
        <v>442</v>
      </c>
      <c r="Z55" s="2155"/>
      <c r="AA55" s="830" t="s">
        <v>445</v>
      </c>
      <c r="AB55" s="2260" t="s">
        <v>433</v>
      </c>
      <c r="AC55" s="50"/>
      <c r="AD55" s="50"/>
      <c r="AE55" s="50"/>
      <c r="AF55" s="50"/>
      <c r="AG55" s="50"/>
      <c r="AH55" s="50"/>
      <c r="AI55" s="50"/>
      <c r="AJ55" s="50"/>
      <c r="AK55" s="50"/>
      <c r="AL55" s="50"/>
      <c r="AM55" s="50"/>
      <c r="AN55" s="50"/>
      <c r="AO55" s="50"/>
      <c r="AP55" s="50"/>
      <c r="AQ55" s="50"/>
      <c r="AR55" s="50"/>
      <c r="AS55" s="50"/>
      <c r="AT55" s="50"/>
      <c r="AU55" s="50"/>
      <c r="AV55" s="50"/>
      <c r="AW55" s="50"/>
      <c r="AX55" s="50"/>
      <c r="AY55" s="50"/>
      <c r="AZ55" s="50"/>
      <c r="BA55" s="50"/>
      <c r="BB55" s="50"/>
      <c r="BC55" s="50"/>
    </row>
    <row r="56" spans="1:55" ht="12.75" customHeight="1" thickBot="1" x14ac:dyDescent="0.35">
      <c r="A56" s="2225" t="s">
        <v>77</v>
      </c>
      <c r="B56" s="2226"/>
      <c r="C56" s="1177">
        <f t="shared" ref="C56:H56" ca="1" si="76">INDIRECT(CONCATENATE("'",C$14,"'!$D$64"),TRUE)</f>
        <v>5025581</v>
      </c>
      <c r="D56" s="733">
        <f t="shared" ca="1" si="76"/>
        <v>4632492.45567476</v>
      </c>
      <c r="E56" s="734">
        <f t="shared" ca="1" si="76"/>
        <v>4558988</v>
      </c>
      <c r="F56" s="734">
        <f t="shared" ca="1" si="76"/>
        <v>4734057</v>
      </c>
      <c r="G56" s="734">
        <f t="shared" ca="1" si="76"/>
        <v>4377355</v>
      </c>
      <c r="H56" s="734">
        <f t="shared" ca="1" si="76"/>
        <v>18302892.45567476</v>
      </c>
      <c r="I56" s="735">
        <f t="shared" ref="I56:I113" ca="1" si="77">H56/4</f>
        <v>4575723.11391869</v>
      </c>
      <c r="J56" s="844"/>
      <c r="K56" s="845"/>
      <c r="L56" s="861"/>
      <c r="M56" s="862"/>
      <c r="N56" s="863"/>
      <c r="O56" s="738">
        <f t="shared" ca="1" si="54"/>
        <v>8.4854653965752314E-2</v>
      </c>
      <c r="P56" s="739">
        <f ca="1">IF(OR(+$J56="missing?",+$J56="new category"),"",IF($E56=0,"",IF(SUM($C56:$I56)=0,"",IFERROR((($C56-$E56)/$E56),"N/A"))))</f>
        <v>0.10234573988788739</v>
      </c>
      <c r="Q56" s="739">
        <f ca="1">IF(OR(+$J56="missing?",+$J56="new category"),"",IF($F56=0,"",IF(SUM($C56:$I56)=0,"",IFERROR((($C56-$F56)/$F56),"N/A"))))</f>
        <v>6.1580162638514915E-2</v>
      </c>
      <c r="R56" s="739">
        <f t="shared" ca="1" si="11"/>
        <v>0.14808623015496802</v>
      </c>
      <c r="S56" s="740">
        <f t="shared" ca="1" si="12"/>
        <v>9.831405329420112E-2</v>
      </c>
      <c r="T56" s="864"/>
      <c r="U56" s="746"/>
      <c r="V56" s="746"/>
      <c r="W56" s="746"/>
      <c r="X56" s="746"/>
      <c r="Y56" s="746"/>
      <c r="Z56" s="865"/>
      <c r="AA56" s="866"/>
      <c r="AB56" s="867" t="str">
        <f>IF(AND(OR(AA56="OK",Z56="L",Z56=""),OR(J56="",K56="OK"),OR(+L56="",N56="OK")),"","Unresolved issue")</f>
        <v/>
      </c>
      <c r="AC56" s="50"/>
      <c r="AD56" s="50"/>
      <c r="AE56" s="50"/>
      <c r="AF56" s="50"/>
      <c r="AG56" s="50"/>
      <c r="AH56" s="50"/>
      <c r="AI56" s="50"/>
      <c r="AJ56" s="50"/>
      <c r="AK56" s="50"/>
      <c r="AL56" s="50"/>
      <c r="AM56" s="50"/>
      <c r="AN56" s="50"/>
      <c r="AO56" s="50"/>
      <c r="AP56" s="50"/>
      <c r="AQ56" s="50"/>
      <c r="AR56" s="50"/>
      <c r="AS56" s="50"/>
      <c r="AT56" s="50"/>
      <c r="AU56" s="50"/>
      <c r="AV56" s="50"/>
      <c r="AW56" s="50"/>
      <c r="AX56" s="50"/>
      <c r="AY56" s="50"/>
      <c r="AZ56" s="50"/>
      <c r="BA56" s="50"/>
      <c r="BB56" s="50"/>
      <c r="BC56" s="50"/>
    </row>
    <row r="57" spans="1:55" ht="12.75" customHeight="1" x14ac:dyDescent="0.3">
      <c r="A57" s="2235" t="s">
        <v>84</v>
      </c>
      <c r="B57" s="747" t="str">
        <f>'Q1'!C65</f>
        <v>Small petrol car, up to 1.4 l</v>
      </c>
      <c r="C57" s="1262">
        <f t="shared" ref="C57:H66" ca="1" si="78">INDEX(INDIRECT(CONCATENATE("'",C$14,"'!$D$65:$D$85"),TRUE),MATCH($B57,INDIRECT(CONCATENATE("'",C$14,"'!$C$65:$C$85"),TRUE),0))</f>
        <v>18959</v>
      </c>
      <c r="D57" s="748">
        <f t="shared" ca="1" si="78"/>
        <v>16704</v>
      </c>
      <c r="E57" s="749">
        <f t="shared" ca="1" si="78"/>
        <v>10764</v>
      </c>
      <c r="F57" s="749">
        <f t="shared" ca="1" si="78"/>
        <v>8312</v>
      </c>
      <c r="G57" s="749">
        <f t="shared" ca="1" si="78"/>
        <v>8973</v>
      </c>
      <c r="H57" s="749">
        <f t="shared" ca="1" si="78"/>
        <v>44753</v>
      </c>
      <c r="I57" s="750">
        <f t="shared" ca="1" si="77"/>
        <v>11188.25</v>
      </c>
      <c r="J57" s="868" t="str">
        <f t="shared" ref="J57:J113" ca="1" si="79">IF(AND(C57&gt;0,SUM(D57:I57)&gt;0),"",IF(AND(C57=0,SUM(C57:I57)=0),"",IF(AND(C57=0,D57&gt;0),"Missing value?",IF(AND(C57=0,I57&gt;0),"Missing value?","New category"))))</f>
        <v/>
      </c>
      <c r="K57" s="809"/>
      <c r="L57" s="869"/>
      <c r="M57" s="870"/>
      <c r="N57" s="754"/>
      <c r="O57" s="755">
        <f t="shared" ca="1" si="54"/>
        <v>0.13499760536398467</v>
      </c>
      <c r="P57" s="756">
        <f t="shared" ref="P57:P113" ca="1" si="80">IF(OR(+$J57="missing?",+$J57="new category"),"",IF($E57=0,"",IF(SUM($C57:$I57)=0,"",IFERROR((($C57-$E57)/$E57),"N/A"))))</f>
        <v>0.7613340765514679</v>
      </c>
      <c r="Q57" s="756">
        <f t="shared" ref="Q57:Q113" ca="1" si="81">IF(OR(+$J57="missing?",+$J57="new category"),"",IF($F57=0,"",IF(SUM($C57:$I57)=0,"",IFERROR((($C57-$F57)/$F57),"N/A"))))</f>
        <v>1.2809191530317614</v>
      </c>
      <c r="R57" s="756">
        <f t="shared" ca="1" si="11"/>
        <v>1.1128942382703666</v>
      </c>
      <c r="S57" s="757">
        <f t="shared" ca="1" si="12"/>
        <v>0.69454561705360529</v>
      </c>
      <c r="T57" s="1066">
        <f t="shared" ref="T57:T113" ca="1" si="82">IF(SUM(C57:I57)=0,"",IF(OR(AND(C57=0,SUM(D57:I57)&gt;0),AND(C57&gt;0,SUM(D57:I57)=0)),1,IF(MAX(IF(O57&lt;0,-O57,O57),IF(P57&lt;0,-P57,P57),IF(Q57&lt;0,-Q57,Q57),IF(R57&lt;0,-R57,R57),IF(S57&lt;0,-S57,S57))=0,"",MAX(IF(O57&lt;0,-O57,O57),IF(P57&lt;0,-P57,P57),IF(Q57&lt;0,-Q57,Q57),IF(R57&lt;0,-R57,R57),IF(S57&lt;0,-S57,S57)))))</f>
        <v>1.2809191530317614</v>
      </c>
      <c r="U57" s="1166" t="str">
        <f t="shared" ref="U57:U77" ca="1" si="83">IF(+T57="","",IF(T57&gt;L$3,"H",IF(T57&gt;L$4,"M","")))</f>
        <v>H</v>
      </c>
      <c r="V57" s="1350">
        <f t="shared" ref="V57:X77" ca="1" si="84">INDEX(INDIRECT(CONCATENATE("'",V$14,"'!$F$65:$F$85"),TRUE),MATCH($B57,INDIRECT(CONCATENATE("'",V$14,"'!$C$65:$C$85"),TRUE),0))</f>
        <v>2.91418789</v>
      </c>
      <c r="W57" s="1350">
        <f t="shared" ca="1" si="84"/>
        <v>2.5999776000000003</v>
      </c>
      <c r="X57" s="1350">
        <f t="shared" ca="1" si="84"/>
        <v>6.9658044500000003</v>
      </c>
      <c r="Y57" s="1067">
        <f ca="1">IF(V57=0,IF(W57&gt;0, W57/L$8, IF(X57&gt;0,X57/L$10, "")), IF(T57="", "", V57/L$7*T57))</f>
        <v>5.0770452631966972E-5</v>
      </c>
      <c r="Z57" s="1166" t="str">
        <f t="shared" ref="Z57:Z77" ca="1" si="85">IF(+Y57="","",IF(Y57&gt;L$3,"H",IF(Y57&gt;L$4,"M","")))</f>
        <v/>
      </c>
      <c r="AA57" s="751"/>
      <c r="AB57" s="871" t="str">
        <f ca="1">IF((CONCATENATE(IF(K57="OK","",J57), "    ",IF(L57="","",IF(N57="OK","",CONCATENATE(M57," = ",ROUND(L57,3),"kgCO2e/kWh"))),"    ",IF(AND(+AA57="",Z57="M"),"Value change with medium impact",IF(AND(AA57="",Z57="H"),"Value change with high impact",""))," "))="         ","",(CONCATENATE(IF(K57="OK","",J57), "    ",IF(L57="","",IF(N57="OK","",CONCATENATE(M57," = ",ROUND(L57,3),"kgCO2e/kWh"))),"    ",IF(AND(+AA57="",Z57="M"),"Value change with medium impact",IF(AND(AA57="",Z57="H"),"Value change with high impact",""))," ")))</f>
        <v/>
      </c>
      <c r="AC57" s="50"/>
      <c r="AD57" s="50"/>
      <c r="AE57" s="50"/>
      <c r="AF57" s="50"/>
      <c r="AG57" s="50"/>
      <c r="AH57" s="50"/>
      <c r="AI57" s="50"/>
      <c r="AJ57" s="50"/>
      <c r="AK57" s="50"/>
      <c r="AL57" s="50"/>
      <c r="AM57" s="50"/>
      <c r="AN57" s="50"/>
      <c r="AO57" s="50"/>
      <c r="AP57" s="50"/>
      <c r="AQ57" s="50"/>
      <c r="AR57" s="50"/>
      <c r="AS57" s="50"/>
      <c r="AT57" s="50"/>
      <c r="AU57" s="50"/>
      <c r="AV57" s="50"/>
      <c r="AW57" s="50"/>
      <c r="AX57" s="50"/>
      <c r="AY57" s="50"/>
      <c r="AZ57" s="50"/>
      <c r="BA57" s="50"/>
      <c r="BB57" s="50"/>
      <c r="BC57" s="50"/>
    </row>
    <row r="58" spans="1:55" ht="12.75" customHeight="1" x14ac:dyDescent="0.3">
      <c r="A58" s="2236"/>
      <c r="B58" s="747" t="str">
        <f>'Q1'!C66</f>
        <v>Medium petrol car, 1.4 - 2.0 l</v>
      </c>
      <c r="C58" s="1262">
        <f t="shared" ca="1" si="78"/>
        <v>0</v>
      </c>
      <c r="D58" s="768">
        <f t="shared" ca="1" si="78"/>
        <v>0</v>
      </c>
      <c r="E58" s="769">
        <f t="shared" ca="1" si="78"/>
        <v>0</v>
      </c>
      <c r="F58" s="769">
        <f t="shared" ca="1" si="78"/>
        <v>0</v>
      </c>
      <c r="G58" s="769">
        <f t="shared" ca="1" si="78"/>
        <v>0</v>
      </c>
      <c r="H58" s="769">
        <f t="shared" ca="1" si="78"/>
        <v>0</v>
      </c>
      <c r="I58" s="770">
        <f t="shared" ca="1" si="77"/>
        <v>0</v>
      </c>
      <c r="J58" s="872" t="str">
        <f t="shared" ca="1" si="79"/>
        <v/>
      </c>
      <c r="K58" s="782"/>
      <c r="L58" s="873"/>
      <c r="M58" s="874"/>
      <c r="N58" s="775"/>
      <c r="O58" s="776" t="str">
        <f t="shared" ca="1" si="54"/>
        <v/>
      </c>
      <c r="P58" s="777" t="str">
        <f t="shared" ca="1" si="80"/>
        <v/>
      </c>
      <c r="Q58" s="777" t="str">
        <f t="shared" ca="1" si="81"/>
        <v/>
      </c>
      <c r="R58" s="777" t="str">
        <f t="shared" ca="1" si="11"/>
        <v/>
      </c>
      <c r="S58" s="778" t="str">
        <f t="shared" ca="1" si="12"/>
        <v/>
      </c>
      <c r="T58" s="1066" t="str">
        <f t="shared" ca="1" si="82"/>
        <v/>
      </c>
      <c r="U58" s="1165" t="str">
        <f t="shared" ca="1" si="83"/>
        <v/>
      </c>
      <c r="V58" s="1350">
        <f t="shared" ca="1" si="84"/>
        <v>0</v>
      </c>
      <c r="W58" s="1350">
        <f t="shared" ca="1" si="84"/>
        <v>0</v>
      </c>
      <c r="X58" s="1350">
        <f t="shared" ca="1" si="84"/>
        <v>0</v>
      </c>
      <c r="Y58" s="1067" t="str">
        <f t="shared" ref="Y58:Y77" ca="1" si="86">IF(V58=0,IF(W58&gt;0, W58/L$8, IF(X58&gt;0,X58/L$10, "")), IF(T58="", "", V58/L$7*T58))</f>
        <v/>
      </c>
      <c r="Z58" s="1165" t="str">
        <f t="shared" ca="1" si="85"/>
        <v/>
      </c>
      <c r="AA58" s="772"/>
      <c r="AB58" s="871" t="str">
        <f t="shared" ref="AB58:AB75" ca="1" si="87">IF((CONCATENATE(IF(K58="OK","",J58), "    ",IF(L58="","",IF(N58="OK","",CONCATENATE(M58," = ",ROUND(L58,3),"kgCO2e/kWh"))),"    ",IF(AND(+AA58="",Z58="M"),"Value change with medium impact",IF(AND(AA58="",Z58="H"),"Value change with high impact",""))," "))="         ","",(CONCATENATE(IF(K58="OK","",J58), "    ",IF(L58="","",IF(N58="OK","",CONCATENATE(M58," = ",ROUND(L58,3),"kgCO2e/kWh"))),"    ",IF(AND(+AA58="",Z58="M"),"Value change with medium impact",IF(AND(AA58="",Z58="H"),"Value change with high impact",""))," ")))</f>
        <v/>
      </c>
      <c r="AC58" s="50"/>
      <c r="AD58" s="50"/>
      <c r="AE58" s="50"/>
      <c r="AF58" s="50"/>
      <c r="AG58" s="50"/>
      <c r="AH58" s="50"/>
      <c r="AI58" s="50"/>
      <c r="AJ58" s="50"/>
      <c r="AK58" s="50"/>
      <c r="AL58" s="50"/>
      <c r="AM58" s="50"/>
      <c r="AN58" s="50"/>
      <c r="AO58" s="50"/>
      <c r="AP58" s="50"/>
      <c r="AQ58" s="50"/>
      <c r="AR58" s="50"/>
      <c r="AS58" s="50"/>
      <c r="AT58" s="50"/>
      <c r="AU58" s="50"/>
      <c r="AV58" s="50"/>
      <c r="AW58" s="50"/>
      <c r="AX58" s="50"/>
      <c r="AY58" s="50"/>
      <c r="AZ58" s="50"/>
      <c r="BA58" s="50"/>
      <c r="BB58" s="50"/>
      <c r="BC58" s="50"/>
    </row>
    <row r="59" spans="1:55" ht="12.75" customHeight="1" x14ac:dyDescent="0.3">
      <c r="A59" s="2236"/>
      <c r="B59" s="747" t="str">
        <f>'Q1'!C67</f>
        <v>Large petrol car, &gt;2.0 l</v>
      </c>
      <c r="C59" s="1262">
        <f t="shared" ca="1" si="78"/>
        <v>0</v>
      </c>
      <c r="D59" s="768">
        <f t="shared" ca="1" si="78"/>
        <v>0</v>
      </c>
      <c r="E59" s="769">
        <f t="shared" ca="1" si="78"/>
        <v>0</v>
      </c>
      <c r="F59" s="769">
        <f t="shared" ca="1" si="78"/>
        <v>0</v>
      </c>
      <c r="G59" s="769">
        <f t="shared" ca="1" si="78"/>
        <v>0</v>
      </c>
      <c r="H59" s="769">
        <f t="shared" ca="1" si="78"/>
        <v>0</v>
      </c>
      <c r="I59" s="770">
        <f t="shared" ca="1" si="77"/>
        <v>0</v>
      </c>
      <c r="J59" s="872" t="str">
        <f t="shared" ca="1" si="79"/>
        <v/>
      </c>
      <c r="K59" s="782"/>
      <c r="L59" s="873"/>
      <c r="M59" s="874"/>
      <c r="N59" s="775"/>
      <c r="O59" s="776" t="str">
        <f t="shared" ca="1" si="54"/>
        <v/>
      </c>
      <c r="P59" s="777" t="str">
        <f t="shared" ca="1" si="80"/>
        <v/>
      </c>
      <c r="Q59" s="777" t="str">
        <f t="shared" ca="1" si="81"/>
        <v/>
      </c>
      <c r="R59" s="777" t="str">
        <f t="shared" ca="1" si="11"/>
        <v/>
      </c>
      <c r="S59" s="778" t="str">
        <f t="shared" ca="1" si="12"/>
        <v/>
      </c>
      <c r="T59" s="1066" t="str">
        <f t="shared" ca="1" si="82"/>
        <v/>
      </c>
      <c r="U59" s="1165" t="str">
        <f t="shared" ca="1" si="83"/>
        <v/>
      </c>
      <c r="V59" s="1350">
        <f t="shared" ca="1" si="84"/>
        <v>0</v>
      </c>
      <c r="W59" s="1350">
        <f t="shared" ca="1" si="84"/>
        <v>0</v>
      </c>
      <c r="X59" s="1350">
        <f t="shared" ca="1" si="84"/>
        <v>0</v>
      </c>
      <c r="Y59" s="1067" t="str">
        <f t="shared" ca="1" si="86"/>
        <v/>
      </c>
      <c r="Z59" s="1165" t="str">
        <f t="shared" ca="1" si="85"/>
        <v/>
      </c>
      <c r="AA59" s="772"/>
      <c r="AB59" s="871" t="str">
        <f t="shared" ca="1" si="87"/>
        <v/>
      </c>
      <c r="AC59" s="50"/>
      <c r="AD59" s="50"/>
      <c r="AE59" s="50"/>
      <c r="AF59" s="50"/>
      <c r="AG59" s="50"/>
      <c r="AH59" s="50"/>
      <c r="AI59" s="50"/>
      <c r="AJ59" s="50"/>
      <c r="AK59" s="50"/>
      <c r="AL59" s="50"/>
      <c r="AM59" s="50"/>
      <c r="AN59" s="50"/>
      <c r="AO59" s="50"/>
      <c r="AP59" s="50"/>
      <c r="AQ59" s="50"/>
      <c r="AR59" s="50"/>
      <c r="AS59" s="50"/>
      <c r="AT59" s="50"/>
      <c r="AU59" s="50"/>
      <c r="AV59" s="50"/>
      <c r="AW59" s="50"/>
      <c r="AX59" s="50"/>
      <c r="AY59" s="50"/>
      <c r="AZ59" s="50"/>
      <c r="BA59" s="50"/>
      <c r="BB59" s="50"/>
      <c r="BC59" s="50"/>
    </row>
    <row r="60" spans="1:55" ht="12.75" customHeight="1" x14ac:dyDescent="0.3">
      <c r="A60" s="2236"/>
      <c r="B60" s="747" t="str">
        <f>'Q1'!C68</f>
        <v>Average petrol car</v>
      </c>
      <c r="C60" s="1262">
        <f t="shared" ca="1" si="78"/>
        <v>0</v>
      </c>
      <c r="D60" s="768">
        <f t="shared" ca="1" si="78"/>
        <v>0</v>
      </c>
      <c r="E60" s="769">
        <f t="shared" ca="1" si="78"/>
        <v>0</v>
      </c>
      <c r="F60" s="769">
        <f t="shared" ca="1" si="78"/>
        <v>0</v>
      </c>
      <c r="G60" s="769">
        <f t="shared" ca="1" si="78"/>
        <v>0</v>
      </c>
      <c r="H60" s="769">
        <f t="shared" ca="1" si="78"/>
        <v>0</v>
      </c>
      <c r="I60" s="770">
        <f t="shared" ca="1" si="77"/>
        <v>0</v>
      </c>
      <c r="J60" s="872" t="str">
        <f t="shared" ca="1" si="79"/>
        <v/>
      </c>
      <c r="K60" s="782"/>
      <c r="L60" s="873"/>
      <c r="M60" s="874"/>
      <c r="N60" s="775"/>
      <c r="O60" s="776" t="str">
        <f t="shared" ca="1" si="54"/>
        <v/>
      </c>
      <c r="P60" s="777" t="str">
        <f t="shared" ca="1" si="80"/>
        <v/>
      </c>
      <c r="Q60" s="777" t="str">
        <f t="shared" ca="1" si="81"/>
        <v/>
      </c>
      <c r="R60" s="777" t="str">
        <f t="shared" ca="1" si="11"/>
        <v/>
      </c>
      <c r="S60" s="778" t="str">
        <f t="shared" ca="1" si="12"/>
        <v/>
      </c>
      <c r="T60" s="1066" t="str">
        <f t="shared" ca="1" si="82"/>
        <v/>
      </c>
      <c r="U60" s="1165" t="str">
        <f t="shared" ca="1" si="83"/>
        <v/>
      </c>
      <c r="V60" s="1350">
        <f t="shared" ca="1" si="84"/>
        <v>0</v>
      </c>
      <c r="W60" s="1350">
        <f t="shared" ca="1" si="84"/>
        <v>0</v>
      </c>
      <c r="X60" s="1350">
        <f t="shared" ca="1" si="84"/>
        <v>0</v>
      </c>
      <c r="Y60" s="1067" t="str">
        <f t="shared" ca="1" si="86"/>
        <v/>
      </c>
      <c r="Z60" s="1165" t="str">
        <f t="shared" ca="1" si="85"/>
        <v/>
      </c>
      <c r="AA60" s="772"/>
      <c r="AB60" s="871" t="str">
        <f t="shared" ca="1" si="87"/>
        <v/>
      </c>
      <c r="AC60" s="50"/>
      <c r="AD60" s="50"/>
      <c r="AE60" s="50"/>
      <c r="AF60" s="50"/>
      <c r="AG60" s="50"/>
      <c r="AH60" s="50"/>
      <c r="AI60" s="50"/>
      <c r="AJ60" s="50"/>
      <c r="AK60" s="50"/>
      <c r="AL60" s="50"/>
      <c r="AM60" s="50"/>
      <c r="AN60" s="50"/>
      <c r="AO60" s="50"/>
      <c r="AP60" s="50"/>
      <c r="AQ60" s="50"/>
      <c r="AR60" s="50"/>
      <c r="AS60" s="50"/>
      <c r="AT60" s="50"/>
      <c r="AU60" s="50"/>
      <c r="AV60" s="50"/>
      <c r="AW60" s="50"/>
      <c r="AX60" s="50"/>
      <c r="AY60" s="50"/>
      <c r="AZ60" s="50"/>
      <c r="BA60" s="50"/>
      <c r="BB60" s="50"/>
      <c r="BC60" s="50"/>
    </row>
    <row r="61" spans="1:55" ht="12.75" customHeight="1" x14ac:dyDescent="0.3">
      <c r="A61" s="2236"/>
      <c r="B61" s="747" t="str">
        <f>'Q1'!C69</f>
        <v>Small diesel car, up to 1.7 l</v>
      </c>
      <c r="C61" s="1262">
        <f t="shared" ca="1" si="78"/>
        <v>995648</v>
      </c>
      <c r="D61" s="768">
        <f t="shared" ca="1" si="78"/>
        <v>1115679</v>
      </c>
      <c r="E61" s="769">
        <f t="shared" ca="1" si="78"/>
        <v>1172655</v>
      </c>
      <c r="F61" s="769">
        <f t="shared" ca="1" si="78"/>
        <v>1235894</v>
      </c>
      <c r="G61" s="769">
        <f t="shared" ca="1" si="78"/>
        <v>1261201</v>
      </c>
      <c r="H61" s="769">
        <f t="shared" ca="1" si="78"/>
        <v>4785429</v>
      </c>
      <c r="I61" s="770">
        <f t="shared" ca="1" si="77"/>
        <v>1196357.25</v>
      </c>
      <c r="J61" s="872" t="str">
        <f t="shared" ca="1" si="79"/>
        <v/>
      </c>
      <c r="K61" s="782"/>
      <c r="L61" s="873"/>
      <c r="M61" s="874"/>
      <c r="N61" s="775"/>
      <c r="O61" s="776">
        <f t="shared" ca="1" si="54"/>
        <v>-0.1075856048200244</v>
      </c>
      <c r="P61" s="777">
        <f t="shared" ca="1" si="80"/>
        <v>-0.15094550400586704</v>
      </c>
      <c r="Q61" s="777">
        <f t="shared" ca="1" si="81"/>
        <v>-0.19439045743405178</v>
      </c>
      <c r="R61" s="777">
        <f t="shared" ca="1" si="11"/>
        <v>-0.2105556529054449</v>
      </c>
      <c r="S61" s="778">
        <f t="shared" ca="1" si="12"/>
        <v>-0.16776698599017978</v>
      </c>
      <c r="T61" s="1066">
        <f t="shared" ca="1" si="82"/>
        <v>0.2105556529054449</v>
      </c>
      <c r="U61" s="1165" t="str">
        <f t="shared" ca="1" si="83"/>
        <v>H</v>
      </c>
      <c r="V61" s="1350">
        <f t="shared" ca="1" si="84"/>
        <v>141.46166784000002</v>
      </c>
      <c r="W61" s="1350">
        <f t="shared" ca="1" si="84"/>
        <v>162.14162906999999</v>
      </c>
      <c r="X61" s="1350">
        <f t="shared" ca="1" si="84"/>
        <v>695.46639657000003</v>
      </c>
      <c r="Y61" s="1067">
        <f t="shared" ca="1" si="86"/>
        <v>4.0511418146888445E-4</v>
      </c>
      <c r="Z61" s="1165" t="str">
        <f t="shared" ca="1" si="85"/>
        <v/>
      </c>
      <c r="AA61" s="772"/>
      <c r="AB61" s="871" t="str">
        <f t="shared" ca="1" si="87"/>
        <v/>
      </c>
      <c r="AC61" s="50"/>
      <c r="AD61" s="50"/>
      <c r="AE61" s="50"/>
      <c r="AF61" s="50"/>
      <c r="AG61" s="50"/>
      <c r="AH61" s="50"/>
      <c r="AI61" s="50"/>
      <c r="AJ61" s="50"/>
      <c r="AK61" s="50"/>
      <c r="AL61" s="50"/>
      <c r="AM61" s="50"/>
      <c r="AN61" s="50"/>
      <c r="AO61" s="50"/>
      <c r="AP61" s="50"/>
      <c r="AQ61" s="50"/>
      <c r="AR61" s="50"/>
      <c r="AS61" s="50"/>
      <c r="AT61" s="50"/>
      <c r="AU61" s="50"/>
      <c r="AV61" s="50"/>
      <c r="AW61" s="50"/>
      <c r="AX61" s="50"/>
      <c r="AY61" s="50"/>
      <c r="AZ61" s="50"/>
      <c r="BA61" s="50"/>
      <c r="BB61" s="50"/>
      <c r="BC61" s="50"/>
    </row>
    <row r="62" spans="1:55" ht="12.75" customHeight="1" x14ac:dyDescent="0.3">
      <c r="A62" s="2236"/>
      <c r="B62" s="747" t="str">
        <f>'Q1'!C70</f>
        <v>Medium diesel car, 1.7 - 2.0 l</v>
      </c>
      <c r="C62" s="1262">
        <f t="shared" ca="1" si="78"/>
        <v>338654</v>
      </c>
      <c r="D62" s="768">
        <f t="shared" ca="1" si="78"/>
        <v>364905</v>
      </c>
      <c r="E62" s="769">
        <f t="shared" ca="1" si="78"/>
        <v>341109</v>
      </c>
      <c r="F62" s="769">
        <f t="shared" ca="1" si="78"/>
        <v>267216</v>
      </c>
      <c r="G62" s="769">
        <f t="shared" ca="1" si="78"/>
        <v>261047</v>
      </c>
      <c r="H62" s="769">
        <f t="shared" ca="1" si="78"/>
        <v>1234277</v>
      </c>
      <c r="I62" s="770">
        <f t="shared" ca="1" si="77"/>
        <v>308569.25</v>
      </c>
      <c r="J62" s="872" t="str">
        <f t="shared" ca="1" si="79"/>
        <v/>
      </c>
      <c r="K62" s="782"/>
      <c r="L62" s="873"/>
      <c r="M62" s="874"/>
      <c r="N62" s="775"/>
      <c r="O62" s="776">
        <f t="shared" ca="1" si="54"/>
        <v>-7.193927186528E-2</v>
      </c>
      <c r="P62" s="777">
        <f t="shared" ca="1" si="80"/>
        <v>-7.1971129463016224E-3</v>
      </c>
      <c r="Q62" s="777">
        <f t="shared" ca="1" si="81"/>
        <v>0.26734177594156039</v>
      </c>
      <c r="R62" s="777">
        <f t="shared" ca="1" si="11"/>
        <v>0.29729129237263785</v>
      </c>
      <c r="S62" s="778">
        <f t="shared" ca="1" si="12"/>
        <v>9.7497563350852356E-2</v>
      </c>
      <c r="T62" s="1066">
        <f t="shared" ca="1" si="82"/>
        <v>0.29729129237263785</v>
      </c>
      <c r="U62" s="1165" t="str">
        <f t="shared" ca="1" si="83"/>
        <v>H</v>
      </c>
      <c r="V62" s="1350">
        <f t="shared" ca="1" si="84"/>
        <v>57.777758940000005</v>
      </c>
      <c r="W62" s="1350">
        <f t="shared" ca="1" si="84"/>
        <v>63.321964649999991</v>
      </c>
      <c r="X62" s="1350">
        <f t="shared" ca="1" si="84"/>
        <v>214.18408780999999</v>
      </c>
      <c r="Y62" s="1067">
        <f t="shared" ca="1" si="86"/>
        <v>2.3362248986347623E-4</v>
      </c>
      <c r="Z62" s="1165" t="str">
        <f t="shared" ca="1" si="85"/>
        <v/>
      </c>
      <c r="AA62" s="772"/>
      <c r="AB62" s="871" t="str">
        <f t="shared" ca="1" si="87"/>
        <v/>
      </c>
      <c r="AC62" s="50"/>
      <c r="AD62" s="50"/>
      <c r="AE62" s="50"/>
      <c r="AF62" s="50"/>
      <c r="AG62" s="50"/>
      <c r="AH62" s="50"/>
      <c r="AI62" s="50"/>
      <c r="AJ62" s="50"/>
      <c r="AK62" s="50"/>
      <c r="AL62" s="50"/>
      <c r="AM62" s="50"/>
      <c r="AN62" s="50"/>
      <c r="AO62" s="50"/>
      <c r="AP62" s="50"/>
      <c r="AQ62" s="50"/>
      <c r="AR62" s="50"/>
      <c r="AS62" s="50"/>
      <c r="AT62" s="50"/>
      <c r="AU62" s="50"/>
      <c r="AV62" s="50"/>
      <c r="AW62" s="50"/>
      <c r="AX62" s="50"/>
      <c r="AY62" s="50"/>
      <c r="AZ62" s="50"/>
      <c r="BA62" s="50"/>
      <c r="BB62" s="50"/>
      <c r="BC62" s="50"/>
    </row>
    <row r="63" spans="1:55" ht="12.75" customHeight="1" x14ac:dyDescent="0.3">
      <c r="A63" s="2236"/>
      <c r="B63" s="747" t="str">
        <f>'Q1'!C71</f>
        <v>Large diesel car, &gt;2.0 l</v>
      </c>
      <c r="C63" s="1262">
        <f t="shared" ca="1" si="78"/>
        <v>4775</v>
      </c>
      <c r="D63" s="768">
        <f t="shared" ca="1" si="78"/>
        <v>9625</v>
      </c>
      <c r="E63" s="769">
        <f t="shared" ca="1" si="78"/>
        <v>8992</v>
      </c>
      <c r="F63" s="769">
        <f t="shared" ca="1" si="78"/>
        <v>8029</v>
      </c>
      <c r="G63" s="769">
        <f t="shared" ca="1" si="78"/>
        <v>13825</v>
      </c>
      <c r="H63" s="769">
        <f t="shared" ca="1" si="78"/>
        <v>40471</v>
      </c>
      <c r="I63" s="770">
        <f t="shared" ca="1" si="77"/>
        <v>10117.75</v>
      </c>
      <c r="J63" s="872" t="str">
        <f t="shared" ca="1" si="79"/>
        <v/>
      </c>
      <c r="K63" s="782"/>
      <c r="L63" s="873"/>
      <c r="M63" s="874"/>
      <c r="N63" s="775"/>
      <c r="O63" s="776">
        <f t="shared" ca="1" si="54"/>
        <v>-0.50389610389610384</v>
      </c>
      <c r="P63" s="777">
        <f t="shared" ca="1" si="80"/>
        <v>-0.4689724199288256</v>
      </c>
      <c r="Q63" s="777">
        <f t="shared" ca="1" si="81"/>
        <v>-0.40528085689376014</v>
      </c>
      <c r="R63" s="777">
        <f t="shared" ca="1" si="11"/>
        <v>-0.65461121157323687</v>
      </c>
      <c r="S63" s="778">
        <f t="shared" ca="1" si="12"/>
        <v>-0.52805712732573939</v>
      </c>
      <c r="T63" s="1066">
        <f t="shared" ca="1" si="82"/>
        <v>0.65461121157323687</v>
      </c>
      <c r="U63" s="1165" t="str">
        <f t="shared" ca="1" si="83"/>
        <v>H</v>
      </c>
      <c r="V63" s="1350">
        <f t="shared" ca="1" si="84"/>
        <v>1.00021925</v>
      </c>
      <c r="W63" s="1350">
        <f t="shared" ca="1" si="84"/>
        <v>2.0713000000000004</v>
      </c>
      <c r="X63" s="1350">
        <f t="shared" ca="1" si="84"/>
        <v>8.7093592000000015</v>
      </c>
      <c r="Y63" s="1067">
        <f t="shared" ca="1" si="86"/>
        <v>8.9053381398000163E-6</v>
      </c>
      <c r="Z63" s="1165" t="str">
        <f t="shared" ca="1" si="85"/>
        <v/>
      </c>
      <c r="AA63" s="772"/>
      <c r="AB63" s="871" t="str">
        <f t="shared" ca="1" si="87"/>
        <v/>
      </c>
      <c r="AC63" s="50"/>
      <c r="AD63" s="50"/>
      <c r="AE63" s="50"/>
      <c r="AF63" s="50"/>
      <c r="AG63" s="50"/>
      <c r="AH63" s="50"/>
      <c r="AI63" s="50"/>
      <c r="AJ63" s="50"/>
      <c r="AK63" s="50"/>
      <c r="AL63" s="50"/>
      <c r="AM63" s="50"/>
      <c r="AN63" s="50"/>
      <c r="AO63" s="50"/>
      <c r="AP63" s="50"/>
      <c r="AQ63" s="50"/>
      <c r="AR63" s="50"/>
      <c r="AS63" s="50"/>
      <c r="AT63" s="50"/>
      <c r="AU63" s="50"/>
      <c r="AV63" s="50"/>
      <c r="AW63" s="50"/>
      <c r="AX63" s="50"/>
      <c r="AY63" s="50"/>
      <c r="AZ63" s="50"/>
      <c r="BA63" s="50"/>
      <c r="BB63" s="50"/>
      <c r="BC63" s="50"/>
    </row>
    <row r="64" spans="1:55" ht="12.75" customHeight="1" x14ac:dyDescent="0.3">
      <c r="A64" s="2236"/>
      <c r="B64" s="747" t="str">
        <f>'Q1'!C72</f>
        <v>Average diesel car</v>
      </c>
      <c r="C64" s="1262">
        <f t="shared" ca="1" si="78"/>
        <v>0</v>
      </c>
      <c r="D64" s="768">
        <f t="shared" ca="1" si="78"/>
        <v>0</v>
      </c>
      <c r="E64" s="769">
        <f t="shared" ca="1" si="78"/>
        <v>0</v>
      </c>
      <c r="F64" s="769">
        <f t="shared" ca="1" si="78"/>
        <v>0</v>
      </c>
      <c r="G64" s="769">
        <f t="shared" ca="1" si="78"/>
        <v>0</v>
      </c>
      <c r="H64" s="769">
        <f t="shared" ca="1" si="78"/>
        <v>0</v>
      </c>
      <c r="I64" s="770">
        <f t="shared" ca="1" si="77"/>
        <v>0</v>
      </c>
      <c r="J64" s="872" t="str">
        <f t="shared" ca="1" si="79"/>
        <v/>
      </c>
      <c r="K64" s="782"/>
      <c r="L64" s="873"/>
      <c r="M64" s="874"/>
      <c r="N64" s="775"/>
      <c r="O64" s="776" t="str">
        <f t="shared" ca="1" si="54"/>
        <v/>
      </c>
      <c r="P64" s="777" t="str">
        <f t="shared" ca="1" si="80"/>
        <v/>
      </c>
      <c r="Q64" s="777" t="str">
        <f t="shared" ca="1" si="81"/>
        <v/>
      </c>
      <c r="R64" s="777" t="str">
        <f t="shared" ca="1" si="11"/>
        <v/>
      </c>
      <c r="S64" s="778" t="str">
        <f t="shared" ca="1" si="12"/>
        <v/>
      </c>
      <c r="T64" s="1066" t="str">
        <f t="shared" ca="1" si="82"/>
        <v/>
      </c>
      <c r="U64" s="1165" t="str">
        <f t="shared" ca="1" si="83"/>
        <v/>
      </c>
      <c r="V64" s="1350">
        <f t="shared" ca="1" si="84"/>
        <v>0</v>
      </c>
      <c r="W64" s="1350">
        <f t="shared" ca="1" si="84"/>
        <v>0</v>
      </c>
      <c r="X64" s="1350">
        <f t="shared" ca="1" si="84"/>
        <v>0</v>
      </c>
      <c r="Y64" s="1067" t="str">
        <f t="shared" ca="1" si="86"/>
        <v/>
      </c>
      <c r="Z64" s="1165" t="str">
        <f t="shared" ca="1" si="85"/>
        <v/>
      </c>
      <c r="AA64" s="772"/>
      <c r="AB64" s="871" t="str">
        <f t="shared" ca="1" si="87"/>
        <v/>
      </c>
      <c r="AC64" s="50"/>
      <c r="AD64" s="50"/>
      <c r="AE64" s="50"/>
      <c r="AF64" s="50"/>
      <c r="AG64" s="50"/>
      <c r="AH64" s="50"/>
      <c r="AI64" s="50"/>
      <c r="AJ64" s="50"/>
      <c r="AK64" s="50"/>
      <c r="AL64" s="50"/>
      <c r="AM64" s="50"/>
      <c r="AN64" s="50"/>
      <c r="AO64" s="50"/>
      <c r="AP64" s="50"/>
      <c r="AQ64" s="50"/>
      <c r="AR64" s="50"/>
      <c r="AS64" s="50"/>
      <c r="AT64" s="50"/>
      <c r="AU64" s="50"/>
      <c r="AV64" s="50"/>
      <c r="AW64" s="50"/>
      <c r="AX64" s="50"/>
      <c r="AY64" s="50"/>
      <c r="AZ64" s="50"/>
      <c r="BA64" s="50"/>
      <c r="BB64" s="50"/>
      <c r="BC64" s="50"/>
    </row>
    <row r="65" spans="1:55" ht="12.75" customHeight="1" x14ac:dyDescent="0.3">
      <c r="A65" s="2236"/>
      <c r="B65" s="747" t="str">
        <f>'Q1'!C73</f>
        <v>Hybrid - Medium</v>
      </c>
      <c r="C65" s="1262">
        <f t="shared" ca="1" si="78"/>
        <v>310267</v>
      </c>
      <c r="D65" s="768">
        <f t="shared" ca="1" si="78"/>
        <v>211836</v>
      </c>
      <c r="E65" s="769">
        <f t="shared" ca="1" si="78"/>
        <v>152153</v>
      </c>
      <c r="F65" s="769">
        <f t="shared" ca="1" si="78"/>
        <v>52212</v>
      </c>
      <c r="G65" s="769">
        <f t="shared" ca="1" si="78"/>
        <v>52212</v>
      </c>
      <c r="H65" s="769">
        <f t="shared" ca="1" si="78"/>
        <v>468413</v>
      </c>
      <c r="I65" s="770">
        <f t="shared" ca="1" si="77"/>
        <v>117103.25</v>
      </c>
      <c r="J65" s="872" t="str">
        <f t="shared" ca="1" si="79"/>
        <v/>
      </c>
      <c r="K65" s="782"/>
      <c r="L65" s="873"/>
      <c r="M65" s="874"/>
      <c r="N65" s="775"/>
      <c r="O65" s="776">
        <f t="shared" ca="1" si="54"/>
        <v>0.46465662115976508</v>
      </c>
      <c r="P65" s="777">
        <f t="shared" ca="1" si="80"/>
        <v>1.0391776698454844</v>
      </c>
      <c r="Q65" s="777">
        <f t="shared" ca="1" si="81"/>
        <v>4.9424461809545699</v>
      </c>
      <c r="R65" s="777">
        <f t="shared" ca="1" si="11"/>
        <v>4.9424461809545699</v>
      </c>
      <c r="S65" s="778">
        <f t="shared" ca="1" si="12"/>
        <v>1.6495165591048926</v>
      </c>
      <c r="T65" s="1066">
        <f t="shared" ca="1" si="82"/>
        <v>4.9424461809545699</v>
      </c>
      <c r="U65" s="1165" t="str">
        <f t="shared" ca="1" si="83"/>
        <v>H</v>
      </c>
      <c r="V65" s="1350">
        <f t="shared" ca="1" si="84"/>
        <v>33.803589649999999</v>
      </c>
      <c r="W65" s="1350">
        <f t="shared" ca="1" si="84"/>
        <v>24.441637680000003</v>
      </c>
      <c r="X65" s="1350">
        <f t="shared" ca="1" si="84"/>
        <v>54.045491940000005</v>
      </c>
      <c r="Y65" s="1067">
        <f t="shared" ca="1" si="86"/>
        <v>2.2723568644684128E-3</v>
      </c>
      <c r="Z65" s="1165" t="str">
        <f t="shared" ca="1" si="85"/>
        <v>M</v>
      </c>
      <c r="AA65" s="772"/>
      <c r="AB65" s="871" t="str">
        <f t="shared" ca="1" si="87"/>
        <v xml:space="preserve">        Value change with medium impact </v>
      </c>
      <c r="AC65" s="50"/>
      <c r="AD65" s="50"/>
      <c r="AE65" s="50"/>
      <c r="AF65" s="50"/>
      <c r="AG65" s="50"/>
      <c r="AH65" s="50"/>
      <c r="AI65" s="50"/>
      <c r="AJ65" s="50"/>
      <c r="AK65" s="50"/>
      <c r="AL65" s="50"/>
      <c r="AM65" s="50"/>
      <c r="AN65" s="50"/>
      <c r="AO65" s="50"/>
      <c r="AP65" s="50"/>
      <c r="AQ65" s="50"/>
      <c r="AR65" s="50"/>
      <c r="AS65" s="50"/>
      <c r="AT65" s="50"/>
      <c r="AU65" s="50"/>
      <c r="AV65" s="50"/>
      <c r="AW65" s="50"/>
      <c r="AX65" s="50"/>
      <c r="AY65" s="50"/>
      <c r="AZ65" s="50"/>
      <c r="BA65" s="50"/>
      <c r="BB65" s="50"/>
      <c r="BC65" s="50"/>
    </row>
    <row r="66" spans="1:55" ht="12.75" customHeight="1" x14ac:dyDescent="0.3">
      <c r="A66" s="2236"/>
      <c r="B66" s="747" t="str">
        <f>'Q1'!C74</f>
        <v>Hybrid - Large</v>
      </c>
      <c r="C66" s="1262">
        <f t="shared" ca="1" si="78"/>
        <v>0</v>
      </c>
      <c r="D66" s="768">
        <f t="shared" ca="1" si="78"/>
        <v>0</v>
      </c>
      <c r="E66" s="769">
        <f t="shared" ca="1" si="78"/>
        <v>0</v>
      </c>
      <c r="F66" s="769">
        <f t="shared" ca="1" si="78"/>
        <v>0</v>
      </c>
      <c r="G66" s="769">
        <f t="shared" ca="1" si="78"/>
        <v>0</v>
      </c>
      <c r="H66" s="769">
        <f t="shared" ca="1" si="78"/>
        <v>0</v>
      </c>
      <c r="I66" s="770">
        <f t="shared" ca="1" si="77"/>
        <v>0</v>
      </c>
      <c r="J66" s="872" t="str">
        <f t="shared" ca="1" si="79"/>
        <v/>
      </c>
      <c r="K66" s="782"/>
      <c r="L66" s="873"/>
      <c r="M66" s="874"/>
      <c r="N66" s="775"/>
      <c r="O66" s="776" t="str">
        <f t="shared" ca="1" si="54"/>
        <v/>
      </c>
      <c r="P66" s="777" t="str">
        <f t="shared" ca="1" si="80"/>
        <v/>
      </c>
      <c r="Q66" s="777" t="str">
        <f t="shared" ca="1" si="81"/>
        <v/>
      </c>
      <c r="R66" s="777" t="str">
        <f t="shared" ca="1" si="11"/>
        <v/>
      </c>
      <c r="S66" s="778" t="str">
        <f t="shared" ca="1" si="12"/>
        <v/>
      </c>
      <c r="T66" s="1066" t="str">
        <f t="shared" ca="1" si="82"/>
        <v/>
      </c>
      <c r="U66" s="1165" t="str">
        <f t="shared" ca="1" si="83"/>
        <v/>
      </c>
      <c r="V66" s="1350">
        <f t="shared" ca="1" si="84"/>
        <v>0</v>
      </c>
      <c r="W66" s="1350">
        <f t="shared" ca="1" si="84"/>
        <v>0</v>
      </c>
      <c r="X66" s="1350">
        <f t="shared" ca="1" si="84"/>
        <v>0</v>
      </c>
      <c r="Y66" s="1067" t="str">
        <f t="shared" ca="1" si="86"/>
        <v/>
      </c>
      <c r="Z66" s="1165" t="str">
        <f t="shared" ca="1" si="85"/>
        <v/>
      </c>
      <c r="AA66" s="772"/>
      <c r="AB66" s="871" t="str">
        <f t="shared" ca="1" si="87"/>
        <v/>
      </c>
      <c r="AC66" s="50"/>
      <c r="AD66" s="50"/>
      <c r="AE66" s="50"/>
      <c r="AF66" s="50"/>
      <c r="AG66" s="50"/>
      <c r="AH66" s="50"/>
      <c r="AI66" s="50"/>
      <c r="AJ66" s="50"/>
      <c r="AK66" s="50"/>
      <c r="AL66" s="50"/>
      <c r="AM66" s="50"/>
      <c r="AN66" s="50"/>
      <c r="AO66" s="50"/>
      <c r="AP66" s="50"/>
      <c r="AQ66" s="50"/>
      <c r="AR66" s="50"/>
      <c r="AS66" s="50"/>
      <c r="AT66" s="50"/>
      <c r="AU66" s="50"/>
      <c r="AV66" s="50"/>
      <c r="AW66" s="50"/>
      <c r="AX66" s="50"/>
      <c r="AY66" s="50"/>
      <c r="AZ66" s="50"/>
      <c r="BA66" s="50"/>
      <c r="BB66" s="50"/>
      <c r="BC66" s="50"/>
    </row>
    <row r="67" spans="1:55" ht="12.75" customHeight="1" x14ac:dyDescent="0.3">
      <c r="A67" s="2236"/>
      <c r="B67" s="747" t="str">
        <f>'Q1'!C75</f>
        <v>LPG - Average</v>
      </c>
      <c r="C67" s="1262">
        <f t="shared" ref="C67:H77" ca="1" si="88">INDEX(INDIRECT(CONCATENATE("'",C$14,"'!$D$65:$D$85"),TRUE),MATCH($B67,INDIRECT(CONCATENATE("'",C$14,"'!$C$65:$C$85"),TRUE),0))</f>
        <v>0</v>
      </c>
      <c r="D67" s="768">
        <f t="shared" ca="1" si="88"/>
        <v>0</v>
      </c>
      <c r="E67" s="769">
        <f t="shared" ca="1" si="88"/>
        <v>0</v>
      </c>
      <c r="F67" s="769">
        <f t="shared" ca="1" si="88"/>
        <v>0</v>
      </c>
      <c r="G67" s="769">
        <f t="shared" ca="1" si="88"/>
        <v>0</v>
      </c>
      <c r="H67" s="769">
        <f t="shared" ca="1" si="88"/>
        <v>0</v>
      </c>
      <c r="I67" s="770">
        <f t="shared" ca="1" si="77"/>
        <v>0</v>
      </c>
      <c r="J67" s="872" t="str">
        <f t="shared" ca="1" si="79"/>
        <v/>
      </c>
      <c r="K67" s="782"/>
      <c r="L67" s="873"/>
      <c r="M67" s="874"/>
      <c r="N67" s="775"/>
      <c r="O67" s="776" t="str">
        <f t="shared" ca="1" si="54"/>
        <v/>
      </c>
      <c r="P67" s="777" t="str">
        <f t="shared" ca="1" si="80"/>
        <v/>
      </c>
      <c r="Q67" s="777" t="str">
        <f t="shared" ca="1" si="81"/>
        <v/>
      </c>
      <c r="R67" s="777" t="str">
        <f t="shared" ca="1" si="11"/>
        <v/>
      </c>
      <c r="S67" s="778" t="str">
        <f t="shared" ca="1" si="12"/>
        <v/>
      </c>
      <c r="T67" s="1066" t="str">
        <f t="shared" ca="1" si="82"/>
        <v/>
      </c>
      <c r="U67" s="1165" t="str">
        <f t="shared" ca="1" si="83"/>
        <v/>
      </c>
      <c r="V67" s="1350">
        <f t="shared" ca="1" si="84"/>
        <v>0</v>
      </c>
      <c r="W67" s="1350">
        <f t="shared" ca="1" si="84"/>
        <v>0</v>
      </c>
      <c r="X67" s="1350">
        <f t="shared" ca="1" si="84"/>
        <v>0</v>
      </c>
      <c r="Y67" s="1067" t="str">
        <f t="shared" ca="1" si="86"/>
        <v/>
      </c>
      <c r="Z67" s="1165" t="str">
        <f t="shared" ca="1" si="85"/>
        <v/>
      </c>
      <c r="AA67" s="772"/>
      <c r="AB67" s="871" t="str">
        <f t="shared" ca="1" si="87"/>
        <v/>
      </c>
      <c r="AC67" s="50"/>
      <c r="AD67" s="50"/>
      <c r="AE67" s="50"/>
      <c r="AF67" s="50"/>
      <c r="AG67" s="50"/>
      <c r="AH67" s="50"/>
      <c r="AI67" s="50"/>
      <c r="AJ67" s="50"/>
      <c r="AK67" s="50"/>
      <c r="AL67" s="50"/>
      <c r="AM67" s="50"/>
      <c r="AN67" s="50"/>
      <c r="AO67" s="50"/>
      <c r="AP67" s="50"/>
      <c r="AQ67" s="50"/>
      <c r="AR67" s="50"/>
      <c r="AS67" s="50"/>
      <c r="AT67" s="50"/>
      <c r="AU67" s="50"/>
      <c r="AV67" s="50"/>
      <c r="AW67" s="50"/>
      <c r="AX67" s="50"/>
      <c r="AY67" s="50"/>
      <c r="AZ67" s="50"/>
      <c r="BA67" s="50"/>
      <c r="BB67" s="50"/>
      <c r="BC67" s="50"/>
    </row>
    <row r="68" spans="1:55" ht="12.75" customHeight="1" x14ac:dyDescent="0.3">
      <c r="A68" s="2236"/>
      <c r="B68" s="747" t="str">
        <f>'Q1'!C76</f>
        <v>Unknown - Average</v>
      </c>
      <c r="C68" s="1262">
        <f t="shared" ca="1" si="88"/>
        <v>60542</v>
      </c>
      <c r="D68" s="768">
        <f t="shared" ca="1" si="88"/>
        <v>50707</v>
      </c>
      <c r="E68" s="769">
        <f t="shared" ca="1" si="88"/>
        <v>76334</v>
      </c>
      <c r="F68" s="769">
        <f t="shared" ca="1" si="88"/>
        <v>67282</v>
      </c>
      <c r="G68" s="769">
        <f t="shared" ca="1" si="88"/>
        <v>70014</v>
      </c>
      <c r="H68" s="769">
        <f t="shared" ca="1" si="88"/>
        <v>264337</v>
      </c>
      <c r="I68" s="770">
        <f t="shared" ca="1" si="77"/>
        <v>66084.25</v>
      </c>
      <c r="J68" s="872" t="str">
        <f t="shared" ca="1" si="79"/>
        <v/>
      </c>
      <c r="K68" s="782"/>
      <c r="L68" s="873"/>
      <c r="M68" s="874"/>
      <c r="N68" s="775"/>
      <c r="O68" s="776">
        <f t="shared" ca="1" si="54"/>
        <v>0.19395744177332519</v>
      </c>
      <c r="P68" s="777">
        <f t="shared" ca="1" si="80"/>
        <v>-0.20688028925511567</v>
      </c>
      <c r="Q68" s="777">
        <f t="shared" ca="1" si="81"/>
        <v>-0.10017538123123569</v>
      </c>
      <c r="R68" s="777">
        <f t="shared" ca="1" si="11"/>
        <v>-0.13528722826863199</v>
      </c>
      <c r="S68" s="778">
        <f t="shared" ca="1" si="12"/>
        <v>-8.3866428082334299E-2</v>
      </c>
      <c r="T68" s="1066">
        <f t="shared" ca="1" si="82"/>
        <v>0.20688028925511567</v>
      </c>
      <c r="U68" s="1165" t="str">
        <f t="shared" ca="1" si="83"/>
        <v>H</v>
      </c>
      <c r="V68" s="1350">
        <f t="shared" ca="1" si="84"/>
        <v>10.7219882</v>
      </c>
      <c r="W68" s="1350">
        <f t="shared" ca="1" si="84"/>
        <v>9.1597124799999996</v>
      </c>
      <c r="X68" s="1350">
        <f t="shared" ca="1" si="84"/>
        <v>47.749835679999997</v>
      </c>
      <c r="Y68" s="1067">
        <f t="shared" ca="1" si="86"/>
        <v>3.0169367569933822E-5</v>
      </c>
      <c r="Z68" s="1165" t="str">
        <f t="shared" ca="1" si="85"/>
        <v/>
      </c>
      <c r="AA68" s="772"/>
      <c r="AB68" s="871" t="str">
        <f t="shared" ca="1" si="87"/>
        <v/>
      </c>
      <c r="AC68" s="50"/>
      <c r="AD68" s="50"/>
      <c r="AE68" s="50"/>
      <c r="AF68" s="50"/>
      <c r="AG68" s="50"/>
      <c r="AH68" s="50"/>
      <c r="AI68" s="50"/>
      <c r="AJ68" s="50"/>
      <c r="AK68" s="50"/>
      <c r="AL68" s="50"/>
      <c r="AM68" s="50"/>
      <c r="AN68" s="50"/>
      <c r="AO68" s="50"/>
      <c r="AP68" s="50"/>
      <c r="AQ68" s="50"/>
      <c r="AR68" s="50"/>
      <c r="AS68" s="50"/>
      <c r="AT68" s="50"/>
      <c r="AU68" s="50"/>
      <c r="AV68" s="50"/>
      <c r="AW68" s="50"/>
      <c r="AX68" s="50"/>
      <c r="AY68" s="50"/>
      <c r="AZ68" s="50"/>
      <c r="BA68" s="50"/>
      <c r="BB68" s="50"/>
      <c r="BC68" s="50"/>
    </row>
    <row r="69" spans="1:55" ht="12.75" customHeight="1" x14ac:dyDescent="0.3">
      <c r="A69" s="2236"/>
      <c r="B69" s="747" t="str">
        <f>'Q1'!C77</f>
        <v>Small petrol motorbike (mopeds/scooters up to 125cc)</v>
      </c>
      <c r="C69" s="1262">
        <f t="shared" ca="1" si="88"/>
        <v>0</v>
      </c>
      <c r="D69" s="768">
        <f t="shared" ca="1" si="88"/>
        <v>0</v>
      </c>
      <c r="E69" s="769">
        <f t="shared" ca="1" si="88"/>
        <v>0</v>
      </c>
      <c r="F69" s="769">
        <f t="shared" ca="1" si="88"/>
        <v>0</v>
      </c>
      <c r="G69" s="769">
        <f t="shared" ca="1" si="88"/>
        <v>0</v>
      </c>
      <c r="H69" s="769">
        <f t="shared" ca="1" si="88"/>
        <v>0</v>
      </c>
      <c r="I69" s="770">
        <f t="shared" ca="1" si="77"/>
        <v>0</v>
      </c>
      <c r="J69" s="872" t="str">
        <f t="shared" ca="1" si="79"/>
        <v/>
      </c>
      <c r="K69" s="782"/>
      <c r="L69" s="873"/>
      <c r="M69" s="874"/>
      <c r="N69" s="775"/>
      <c r="O69" s="776" t="str">
        <f t="shared" ca="1" si="54"/>
        <v/>
      </c>
      <c r="P69" s="777" t="str">
        <f t="shared" ca="1" si="80"/>
        <v/>
      </c>
      <c r="Q69" s="777" t="str">
        <f t="shared" ca="1" si="81"/>
        <v/>
      </c>
      <c r="R69" s="777" t="str">
        <f t="shared" ca="1" si="11"/>
        <v/>
      </c>
      <c r="S69" s="778" t="str">
        <f t="shared" ca="1" si="12"/>
        <v/>
      </c>
      <c r="T69" s="1066" t="str">
        <f t="shared" ca="1" si="82"/>
        <v/>
      </c>
      <c r="U69" s="1165" t="str">
        <f t="shared" ca="1" si="83"/>
        <v/>
      </c>
      <c r="V69" s="1350">
        <f t="shared" ca="1" si="84"/>
        <v>0</v>
      </c>
      <c r="W69" s="1350">
        <f t="shared" ca="1" si="84"/>
        <v>0</v>
      </c>
      <c r="X69" s="1350">
        <f t="shared" ca="1" si="84"/>
        <v>0</v>
      </c>
      <c r="Y69" s="1067" t="str">
        <f t="shared" ca="1" si="86"/>
        <v/>
      </c>
      <c r="Z69" s="1165" t="str">
        <f t="shared" ca="1" si="85"/>
        <v/>
      </c>
      <c r="AA69" s="772"/>
      <c r="AB69" s="871" t="str">
        <f t="shared" ca="1" si="87"/>
        <v/>
      </c>
      <c r="AC69" s="50"/>
      <c r="AD69" s="50"/>
      <c r="AE69" s="50"/>
      <c r="AF69" s="50"/>
      <c r="AG69" s="50"/>
      <c r="AH69" s="50"/>
      <c r="AI69" s="50"/>
      <c r="AJ69" s="50"/>
      <c r="AK69" s="50"/>
      <c r="AL69" s="50"/>
      <c r="AM69" s="50"/>
      <c r="AN69" s="50"/>
      <c r="AO69" s="50"/>
      <c r="AP69" s="50"/>
      <c r="AQ69" s="50"/>
      <c r="AR69" s="50"/>
      <c r="AS69" s="50"/>
      <c r="AT69" s="50"/>
      <c r="AU69" s="50"/>
      <c r="AV69" s="50"/>
      <c r="AW69" s="50"/>
      <c r="AX69" s="50"/>
      <c r="AY69" s="50"/>
      <c r="AZ69" s="50"/>
      <c r="BA69" s="50"/>
      <c r="BB69" s="50"/>
      <c r="BC69" s="50"/>
    </row>
    <row r="70" spans="1:55" ht="12.75" customHeight="1" x14ac:dyDescent="0.3">
      <c r="A70" s="2236"/>
      <c r="B70" s="747" t="str">
        <f>'Q1'!C78</f>
        <v>Medium petrol motorbike (125-500cc)</v>
      </c>
      <c r="C70" s="1262">
        <f t="shared" ca="1" si="88"/>
        <v>0</v>
      </c>
      <c r="D70" s="768">
        <f t="shared" ca="1" si="88"/>
        <v>0</v>
      </c>
      <c r="E70" s="769">
        <f t="shared" ca="1" si="88"/>
        <v>0</v>
      </c>
      <c r="F70" s="769">
        <f t="shared" ca="1" si="88"/>
        <v>0</v>
      </c>
      <c r="G70" s="769">
        <f t="shared" ca="1" si="88"/>
        <v>0</v>
      </c>
      <c r="H70" s="769">
        <f t="shared" ca="1" si="88"/>
        <v>0</v>
      </c>
      <c r="I70" s="770">
        <f t="shared" ca="1" si="77"/>
        <v>0</v>
      </c>
      <c r="J70" s="872" t="str">
        <f t="shared" ca="1" si="79"/>
        <v/>
      </c>
      <c r="K70" s="782"/>
      <c r="L70" s="873"/>
      <c r="M70" s="874"/>
      <c r="N70" s="775"/>
      <c r="O70" s="776" t="str">
        <f t="shared" ca="1" si="54"/>
        <v/>
      </c>
      <c r="P70" s="777" t="str">
        <f t="shared" ca="1" si="80"/>
        <v/>
      </c>
      <c r="Q70" s="777" t="str">
        <f t="shared" ca="1" si="81"/>
        <v/>
      </c>
      <c r="R70" s="777" t="str">
        <f t="shared" ca="1" si="11"/>
        <v/>
      </c>
      <c r="S70" s="778" t="str">
        <f t="shared" ca="1" si="12"/>
        <v/>
      </c>
      <c r="T70" s="1066" t="str">
        <f t="shared" ca="1" si="82"/>
        <v/>
      </c>
      <c r="U70" s="1165" t="str">
        <f t="shared" ca="1" si="83"/>
        <v/>
      </c>
      <c r="V70" s="1350">
        <f t="shared" ca="1" si="84"/>
        <v>0</v>
      </c>
      <c r="W70" s="1350">
        <f t="shared" ca="1" si="84"/>
        <v>0</v>
      </c>
      <c r="X70" s="1350">
        <f t="shared" ca="1" si="84"/>
        <v>0</v>
      </c>
      <c r="Y70" s="1067" t="str">
        <f t="shared" ca="1" si="86"/>
        <v/>
      </c>
      <c r="Z70" s="1165" t="str">
        <f t="shared" ca="1" si="85"/>
        <v/>
      </c>
      <c r="AA70" s="772"/>
      <c r="AB70" s="871" t="str">
        <f t="shared" ca="1" si="87"/>
        <v/>
      </c>
      <c r="AC70" s="50"/>
      <c r="AD70" s="50"/>
      <c r="AE70" s="50"/>
      <c r="AF70" s="50"/>
      <c r="AG70" s="50"/>
      <c r="AH70" s="50"/>
      <c r="AI70" s="50"/>
      <c r="AJ70" s="50"/>
      <c r="AK70" s="50"/>
      <c r="AL70" s="50"/>
      <c r="AM70" s="50"/>
      <c r="AN70" s="50"/>
      <c r="AO70" s="50"/>
      <c r="AP70" s="50"/>
      <c r="AQ70" s="50"/>
      <c r="AR70" s="50"/>
      <c r="AS70" s="50"/>
      <c r="AT70" s="50"/>
      <c r="AU70" s="50"/>
      <c r="AV70" s="50"/>
      <c r="AW70" s="50"/>
      <c r="AX70" s="50"/>
      <c r="AY70" s="50"/>
      <c r="AZ70" s="50"/>
      <c r="BA70" s="50"/>
      <c r="BB70" s="50"/>
      <c r="BC70" s="50"/>
    </row>
    <row r="71" spans="1:55" ht="12.75" customHeight="1" x14ac:dyDescent="0.3">
      <c r="A71" s="2236"/>
      <c r="B71" s="747" t="str">
        <f>'Q1'!C79</f>
        <v>Large petrol motorbike (over 500cc)</v>
      </c>
      <c r="C71" s="1262">
        <f t="shared" ca="1" si="88"/>
        <v>0</v>
      </c>
      <c r="D71" s="768">
        <f t="shared" ca="1" si="88"/>
        <v>0</v>
      </c>
      <c r="E71" s="769">
        <f t="shared" ca="1" si="88"/>
        <v>0</v>
      </c>
      <c r="F71" s="769">
        <f t="shared" ca="1" si="88"/>
        <v>0</v>
      </c>
      <c r="G71" s="769">
        <f t="shared" ca="1" si="88"/>
        <v>0</v>
      </c>
      <c r="H71" s="769">
        <f t="shared" ca="1" si="88"/>
        <v>0</v>
      </c>
      <c r="I71" s="770">
        <f t="shared" ca="1" si="77"/>
        <v>0</v>
      </c>
      <c r="J71" s="872" t="str">
        <f t="shared" ca="1" si="79"/>
        <v/>
      </c>
      <c r="K71" s="782"/>
      <c r="L71" s="873"/>
      <c r="M71" s="874"/>
      <c r="N71" s="775"/>
      <c r="O71" s="776" t="str">
        <f t="shared" ca="1" si="54"/>
        <v/>
      </c>
      <c r="P71" s="777" t="str">
        <f t="shared" ca="1" si="80"/>
        <v/>
      </c>
      <c r="Q71" s="777" t="str">
        <f t="shared" ca="1" si="81"/>
        <v/>
      </c>
      <c r="R71" s="777" t="str">
        <f t="shared" ca="1" si="11"/>
        <v/>
      </c>
      <c r="S71" s="778" t="str">
        <f t="shared" ca="1" si="12"/>
        <v/>
      </c>
      <c r="T71" s="1066" t="str">
        <f t="shared" ca="1" si="82"/>
        <v/>
      </c>
      <c r="U71" s="1165" t="str">
        <f t="shared" ca="1" si="83"/>
        <v/>
      </c>
      <c r="V71" s="1350">
        <f t="shared" ca="1" si="84"/>
        <v>0</v>
      </c>
      <c r="W71" s="1350">
        <f t="shared" ca="1" si="84"/>
        <v>0</v>
      </c>
      <c r="X71" s="1350">
        <f t="shared" ca="1" si="84"/>
        <v>0</v>
      </c>
      <c r="Y71" s="1067" t="str">
        <f t="shared" ca="1" si="86"/>
        <v/>
      </c>
      <c r="Z71" s="1165" t="str">
        <f t="shared" ca="1" si="85"/>
        <v/>
      </c>
      <c r="AA71" s="772"/>
      <c r="AB71" s="871" t="str">
        <f ca="1">IF((CONCATENATE(IF(K71="OK","",J71), "    ",IF(L71="","",IF(N71="OK","",CONCATENATE(M71," = ",ROUND(L71,3),"kgCO2e/kWh"))),"    ",IF(AND(+AA71="",Z71="M"),"Value change with medium impact",IF(AND(AA71="",Z71="H"),"Value change with high impact",""))," "))="         ","",(CONCATENATE(IF(K71="OK","",J71), "    ",IF(L71="","",IF(N71="OK","",CONCATENATE(M71," = ",ROUND(L71,3),"kgCO2e/kWh"))),"    ",IF(AND(+AA71="",Z71="M"),"Value change with medium impact",IF(AND(AA71="",Z71="H"),"Value change with high impact",""))," ")))</f>
        <v/>
      </c>
      <c r="AC71" s="50"/>
      <c r="AD71" s="50"/>
      <c r="AE71" s="50"/>
      <c r="AF71" s="50"/>
      <c r="AG71" s="50"/>
      <c r="AH71" s="50"/>
      <c r="AI71" s="50"/>
      <c r="AJ71" s="50"/>
      <c r="AK71" s="50"/>
      <c r="AL71" s="50"/>
      <c r="AM71" s="50"/>
      <c r="AN71" s="50"/>
      <c r="AO71" s="50"/>
      <c r="AP71" s="50"/>
      <c r="AQ71" s="50"/>
      <c r="AR71" s="50"/>
      <c r="AS71" s="50"/>
      <c r="AT71" s="50"/>
      <c r="AU71" s="50"/>
      <c r="AV71" s="50"/>
      <c r="AW71" s="50"/>
      <c r="AX71" s="50"/>
      <c r="AY71" s="50"/>
      <c r="AZ71" s="50"/>
      <c r="BA71" s="50"/>
      <c r="BB71" s="50"/>
      <c r="BC71" s="50"/>
    </row>
    <row r="72" spans="1:55" ht="12.75" customHeight="1" x14ac:dyDescent="0.3">
      <c r="A72" s="2236"/>
      <c r="B72" s="747" t="str">
        <f>'Q1'!C80</f>
        <v>Average petrol motorbike (unknown engine size)</v>
      </c>
      <c r="C72" s="1262">
        <f t="shared" ca="1" si="88"/>
        <v>0</v>
      </c>
      <c r="D72" s="768">
        <f t="shared" ca="1" si="88"/>
        <v>0</v>
      </c>
      <c r="E72" s="769">
        <f t="shared" ca="1" si="88"/>
        <v>0</v>
      </c>
      <c r="F72" s="769">
        <f t="shared" ca="1" si="88"/>
        <v>0</v>
      </c>
      <c r="G72" s="769">
        <f t="shared" ca="1" si="88"/>
        <v>0</v>
      </c>
      <c r="H72" s="769">
        <f t="shared" ca="1" si="88"/>
        <v>0</v>
      </c>
      <c r="I72" s="770">
        <f t="shared" ca="1" si="77"/>
        <v>0</v>
      </c>
      <c r="J72" s="872" t="str">
        <f t="shared" ca="1" si="79"/>
        <v/>
      </c>
      <c r="K72" s="782"/>
      <c r="L72" s="873"/>
      <c r="M72" s="874"/>
      <c r="N72" s="775"/>
      <c r="O72" s="776" t="str">
        <f t="shared" ca="1" si="54"/>
        <v/>
      </c>
      <c r="P72" s="777" t="str">
        <f t="shared" ca="1" si="80"/>
        <v/>
      </c>
      <c r="Q72" s="777" t="str">
        <f t="shared" ca="1" si="81"/>
        <v/>
      </c>
      <c r="R72" s="777" t="str">
        <f t="shared" ca="1" si="11"/>
        <v/>
      </c>
      <c r="S72" s="778" t="str">
        <f t="shared" ca="1" si="12"/>
        <v/>
      </c>
      <c r="T72" s="1066" t="str">
        <f t="shared" ca="1" si="82"/>
        <v/>
      </c>
      <c r="U72" s="1165" t="str">
        <f t="shared" ca="1" si="83"/>
        <v/>
      </c>
      <c r="V72" s="1350">
        <f t="shared" ca="1" si="84"/>
        <v>0</v>
      </c>
      <c r="W72" s="1350">
        <f t="shared" ca="1" si="84"/>
        <v>0</v>
      </c>
      <c r="X72" s="1350">
        <f t="shared" ca="1" si="84"/>
        <v>0</v>
      </c>
      <c r="Y72" s="1067" t="str">
        <f t="shared" ca="1" si="86"/>
        <v/>
      </c>
      <c r="Z72" s="1165" t="str">
        <f t="shared" ca="1" si="85"/>
        <v/>
      </c>
      <c r="AA72" s="772"/>
      <c r="AB72" s="871" t="str">
        <f t="shared" ca="1" si="87"/>
        <v/>
      </c>
      <c r="AC72" s="55"/>
      <c r="AD72" s="96"/>
      <c r="AE72" s="96"/>
      <c r="AF72" s="96"/>
      <c r="AG72" s="96"/>
      <c r="AH72" s="96"/>
      <c r="AI72" s="96"/>
      <c r="AJ72" s="96"/>
      <c r="AK72" s="192"/>
      <c r="AL72" s="875"/>
      <c r="AM72" s="875"/>
      <c r="AN72" s="875"/>
      <c r="AO72" s="50"/>
      <c r="AP72" s="97"/>
      <c r="AQ72" s="97"/>
      <c r="AR72" s="97"/>
      <c r="AS72" s="97"/>
      <c r="AT72" s="97"/>
      <c r="AU72" s="97"/>
      <c r="AV72" s="97"/>
      <c r="AW72" s="97"/>
      <c r="AX72" s="97"/>
      <c r="AY72" s="97"/>
      <c r="AZ72" s="97"/>
      <c r="BA72" s="97"/>
      <c r="BB72" s="97"/>
      <c r="BC72" s="97"/>
    </row>
    <row r="73" spans="1:55" ht="12.75" customHeight="1" x14ac:dyDescent="0.3">
      <c r="A73" s="2236"/>
      <c r="B73" s="747" t="str">
        <f>'Q1'!C81</f>
        <v>Other 1 (enter CO2 factor and specify fuel in "Notes")</v>
      </c>
      <c r="C73" s="1262">
        <f t="shared" ca="1" si="88"/>
        <v>2898749</v>
      </c>
      <c r="D73" s="768">
        <f t="shared" ca="1" si="88"/>
        <v>2443325.45567476</v>
      </c>
      <c r="E73" s="769">
        <f t="shared" ca="1" si="88"/>
        <v>2418935</v>
      </c>
      <c r="F73" s="769">
        <f t="shared" ca="1" si="88"/>
        <v>2703211</v>
      </c>
      <c r="G73" s="769">
        <f t="shared" ca="1" si="88"/>
        <v>2336859</v>
      </c>
      <c r="H73" s="769">
        <f t="shared" ca="1" si="88"/>
        <v>9902330.45567476</v>
      </c>
      <c r="I73" s="770">
        <f t="shared" ca="1" si="77"/>
        <v>2475582.61391869</v>
      </c>
      <c r="J73" s="872" t="str">
        <f t="shared" ca="1" si="79"/>
        <v/>
      </c>
      <c r="K73" s="782"/>
      <c r="L73" s="784">
        <f ca="1">IF(C73&gt;0,'Q1'!E81,"")</f>
        <v>0.80745999999999996</v>
      </c>
      <c r="M73" s="785" t="str">
        <f ca="1">IF(L73="","",IF('Q1'!I81=0,"Fuel type not stated",'Q1'!I81))</f>
        <v>Rigid Commercials: &lt;3000CC. Restated in Q2 1920 following provision of data from All Star (originally estimated) for HMPPS and HMCTS. New figure represents a 9% increase compared to the originally reported figure.</v>
      </c>
      <c r="N73" s="772"/>
      <c r="O73" s="776">
        <f t="shared" ca="1" si="54"/>
        <v>0.18639495744109461</v>
      </c>
      <c r="P73" s="777">
        <f t="shared" ca="1" si="80"/>
        <v>0.19835754164539354</v>
      </c>
      <c r="Q73" s="777">
        <f t="shared" ca="1" si="81"/>
        <v>7.2335455870814372E-2</v>
      </c>
      <c r="R73" s="777">
        <f t="shared" ca="1" si="11"/>
        <v>0.24044668505887604</v>
      </c>
      <c r="S73" s="778">
        <f t="shared" ca="1" si="12"/>
        <v>0.17093607933021654</v>
      </c>
      <c r="T73" s="1066">
        <f t="shared" ca="1" si="82"/>
        <v>0.24044668505887604</v>
      </c>
      <c r="U73" s="1165" t="str">
        <f t="shared" ca="1" si="83"/>
        <v>H</v>
      </c>
      <c r="V73" s="1350">
        <f t="shared" ca="1" si="84"/>
        <v>2340.62386754</v>
      </c>
      <c r="W73" s="1350">
        <f t="shared" ca="1" si="84"/>
        <v>1972.8875724391416</v>
      </c>
      <c r="X73" s="1350">
        <f t="shared" ca="1" si="84"/>
        <v>7995.7357497391422</v>
      </c>
      <c r="Y73" s="1067">
        <f t="shared" ca="1" si="86"/>
        <v>7.6545945152807649E-3</v>
      </c>
      <c r="Z73" s="1165" t="str">
        <f t="shared" ca="1" si="85"/>
        <v>M</v>
      </c>
      <c r="AA73" s="772"/>
      <c r="AB73" s="871" t="str">
        <f t="shared" ca="1" si="87"/>
        <v xml:space="preserve">    Rigid Commercials: &lt;3000CC. Restated in Q2 1920 following provision of data from All Star (originally estimated) for HMPPS and HMCTS. New figure represents a 9% increase compared to the originally reported figure. = 0.807kgCO2e/kWh    Value change with medium impact </v>
      </c>
      <c r="AC73" s="55"/>
      <c r="AD73" s="96"/>
      <c r="AE73" s="96"/>
      <c r="AF73" s="96"/>
      <c r="AG73" s="96"/>
      <c r="AH73" s="96"/>
      <c r="AI73" s="96"/>
      <c r="AJ73" s="96"/>
      <c r="AK73" s="192"/>
      <c r="AL73" s="875"/>
      <c r="AM73" s="875"/>
      <c r="AN73" s="875"/>
      <c r="AO73" s="50"/>
      <c r="AP73" s="97"/>
      <c r="AQ73" s="97"/>
      <c r="AR73" s="97"/>
      <c r="AS73" s="97"/>
      <c r="AT73" s="97"/>
      <c r="AU73" s="97"/>
      <c r="AV73" s="97"/>
      <c r="AW73" s="97"/>
      <c r="AX73" s="97"/>
      <c r="AY73" s="97"/>
      <c r="AZ73" s="97"/>
      <c r="BA73" s="97"/>
      <c r="BB73" s="97"/>
      <c r="BC73" s="97"/>
    </row>
    <row r="74" spans="1:55" ht="12.75" customHeight="1" x14ac:dyDescent="0.3">
      <c r="A74" s="2236"/>
      <c r="B74" s="747" t="str">
        <f>'Q1'!C82</f>
        <v>Other 2 (enter CO2 factor and specify fuel in "Notes")</v>
      </c>
      <c r="C74" s="1262">
        <f t="shared" ca="1" si="88"/>
        <v>397987</v>
      </c>
      <c r="D74" s="768">
        <f t="shared" ca="1" si="88"/>
        <v>419711</v>
      </c>
      <c r="E74" s="769">
        <f t="shared" ca="1" si="88"/>
        <v>378046</v>
      </c>
      <c r="F74" s="769">
        <f t="shared" ca="1" si="88"/>
        <v>391901</v>
      </c>
      <c r="G74" s="769">
        <f t="shared" ca="1" si="88"/>
        <v>373224</v>
      </c>
      <c r="H74" s="769">
        <f t="shared" ca="1" si="88"/>
        <v>1562882</v>
      </c>
      <c r="I74" s="770">
        <f t="shared" ca="1" si="77"/>
        <v>390720.5</v>
      </c>
      <c r="J74" s="872" t="str">
        <f t="shared" ca="1" si="79"/>
        <v/>
      </c>
      <c r="K74" s="782"/>
      <c r="L74" s="784">
        <f ca="1">IF(C74&gt;0,'Q1'!E82,"")</f>
        <v>0.80745999999999996</v>
      </c>
      <c r="M74" s="785" t="str">
        <f ca="1">IF(L74="","",IF('Q1'!I82=0,"Fuel type not stated",'Q1'!I82))</f>
        <v>Rigid Commercials: &gt;3000CC</v>
      </c>
      <c r="N74" s="772"/>
      <c r="O74" s="776">
        <f t="shared" ca="1" si="54"/>
        <v>-5.1759424937635662E-2</v>
      </c>
      <c r="P74" s="777">
        <f t="shared" ca="1" si="80"/>
        <v>5.2747549240039569E-2</v>
      </c>
      <c r="Q74" s="777">
        <f t="shared" ca="1" si="81"/>
        <v>1.5529432178024553E-2</v>
      </c>
      <c r="R74" s="777">
        <f t="shared" ca="1" si="11"/>
        <v>6.6348895033545532E-2</v>
      </c>
      <c r="S74" s="778">
        <f t="shared" ca="1" si="12"/>
        <v>1.8597693235957672E-2</v>
      </c>
      <c r="T74" s="1066">
        <f t="shared" ca="1" si="82"/>
        <v>6.6348895033545532E-2</v>
      </c>
      <c r="U74" s="1165" t="str">
        <f t="shared" ca="1" si="83"/>
        <v>H</v>
      </c>
      <c r="V74" s="1350">
        <f t="shared" ca="1" si="84"/>
        <v>321.35858301999997</v>
      </c>
      <c r="W74" s="1350">
        <f t="shared" ca="1" si="84"/>
        <v>338.89984405999996</v>
      </c>
      <c r="X74" s="1350">
        <f t="shared" ca="1" si="84"/>
        <v>1261.9646997199998</v>
      </c>
      <c r="Y74" s="1067">
        <f t="shared" ca="1" si="86"/>
        <v>2.8999824186477406E-4</v>
      </c>
      <c r="Z74" s="1165" t="str">
        <f t="shared" ca="1" si="85"/>
        <v/>
      </c>
      <c r="AA74" s="772"/>
      <c r="AB74" s="871" t="str">
        <f t="shared" ca="1" si="87"/>
        <v xml:space="preserve">    Rigid Commercials: &gt;3000CC = 0.807kgCO2e/kWh     </v>
      </c>
      <c r="AC74" s="55"/>
      <c r="AD74" s="96"/>
      <c r="AE74" s="96"/>
      <c r="AF74" s="96"/>
      <c r="AG74" s="96"/>
      <c r="AH74" s="96"/>
      <c r="AI74" s="96"/>
      <c r="AJ74" s="96"/>
      <c r="AK74" s="192"/>
      <c r="AL74" s="875"/>
      <c r="AM74" s="875"/>
      <c r="AN74" s="875"/>
      <c r="AO74" s="50"/>
      <c r="AP74" s="97"/>
      <c r="AQ74" s="97"/>
      <c r="AR74" s="97"/>
      <c r="AS74" s="97"/>
      <c r="AT74" s="97"/>
      <c r="AU74" s="97"/>
      <c r="AV74" s="97"/>
      <c r="AW74" s="97"/>
      <c r="AX74" s="97"/>
      <c r="AY74" s="97"/>
      <c r="AZ74" s="97"/>
      <c r="BA74" s="97"/>
      <c r="BB74" s="97"/>
      <c r="BC74" s="97"/>
    </row>
    <row r="75" spans="1:55" ht="12.75" customHeight="1" x14ac:dyDescent="0.3">
      <c r="A75" s="2236"/>
      <c r="B75" s="747" t="str">
        <f>'Q1'!C83</f>
        <v>Other 3 (enter CO2 factor and specify fuel in "Notes")</v>
      </c>
      <c r="C75" s="1262">
        <f t="shared" ca="1" si="88"/>
        <v>0</v>
      </c>
      <c r="D75" s="768">
        <f t="shared" ca="1" si="88"/>
        <v>0</v>
      </c>
      <c r="E75" s="769">
        <f t="shared" ca="1" si="88"/>
        <v>0</v>
      </c>
      <c r="F75" s="769">
        <f t="shared" ca="1" si="88"/>
        <v>0</v>
      </c>
      <c r="G75" s="769">
        <f t="shared" ca="1" si="88"/>
        <v>0</v>
      </c>
      <c r="H75" s="769">
        <f t="shared" ca="1" si="88"/>
        <v>0</v>
      </c>
      <c r="I75" s="770">
        <f t="shared" ca="1" si="77"/>
        <v>0</v>
      </c>
      <c r="J75" s="876" t="str">
        <f t="shared" ca="1" si="79"/>
        <v/>
      </c>
      <c r="K75" s="877"/>
      <c r="L75" s="878" t="str">
        <f ca="1">IF(C75&gt;0,'Q1'!E83,"")</f>
        <v/>
      </c>
      <c r="M75" s="879" t="str">
        <f ca="1">IF(L75="","",IF('Q1'!I83=0,"Fuel type not stated",'Q1'!I83))</f>
        <v/>
      </c>
      <c r="N75" s="880"/>
      <c r="O75" s="881" t="str">
        <f t="shared" ca="1" si="54"/>
        <v/>
      </c>
      <c r="P75" s="882" t="str">
        <f t="shared" ca="1" si="80"/>
        <v/>
      </c>
      <c r="Q75" s="882" t="str">
        <f t="shared" ca="1" si="81"/>
        <v/>
      </c>
      <c r="R75" s="882" t="str">
        <f t="shared" ca="1" si="11"/>
        <v/>
      </c>
      <c r="S75" s="883" t="str">
        <f t="shared" ca="1" si="12"/>
        <v/>
      </c>
      <c r="T75" s="1066" t="str">
        <f t="shared" ca="1" si="82"/>
        <v/>
      </c>
      <c r="U75" s="1165" t="str">
        <f t="shared" ca="1" si="83"/>
        <v/>
      </c>
      <c r="V75" s="1350">
        <f t="shared" ca="1" si="84"/>
        <v>0</v>
      </c>
      <c r="W75" s="1350">
        <f t="shared" ca="1" si="84"/>
        <v>0</v>
      </c>
      <c r="X75" s="1350">
        <f t="shared" ca="1" si="84"/>
        <v>0</v>
      </c>
      <c r="Y75" s="1067" t="str">
        <f t="shared" ca="1" si="86"/>
        <v/>
      </c>
      <c r="Z75" s="884" t="str">
        <f t="shared" ca="1" si="85"/>
        <v/>
      </c>
      <c r="AA75" s="880"/>
      <c r="AB75" s="871" t="str">
        <f t="shared" ca="1" si="87"/>
        <v/>
      </c>
      <c r="AC75" s="55"/>
      <c r="AD75" s="96"/>
      <c r="AE75" s="96"/>
      <c r="AF75" s="96"/>
      <c r="AG75" s="96"/>
      <c r="AH75" s="96"/>
      <c r="AI75" s="96"/>
      <c r="AJ75" s="96"/>
      <c r="AK75" s="192"/>
      <c r="AL75" s="875"/>
      <c r="AM75" s="875"/>
      <c r="AN75" s="875"/>
      <c r="AO75" s="50"/>
      <c r="AP75" s="97"/>
      <c r="AQ75" s="97"/>
      <c r="AR75" s="97"/>
      <c r="AS75" s="97"/>
      <c r="AT75" s="97"/>
      <c r="AU75" s="97"/>
      <c r="AV75" s="97"/>
      <c r="AW75" s="97"/>
      <c r="AX75" s="97"/>
      <c r="AY75" s="97"/>
      <c r="AZ75" s="97"/>
      <c r="BA75" s="97"/>
      <c r="BB75" s="97"/>
      <c r="BC75" s="97"/>
    </row>
    <row r="76" spans="1:55" ht="12.75" customHeight="1" x14ac:dyDescent="0.3">
      <c r="A76" s="2236"/>
      <c r="B76" s="747" t="str">
        <f>'Q1'!C84</f>
        <v>Other 4 (enter CO2 factor and specify fuel in "Notes")</v>
      </c>
      <c r="C76" s="1262">
        <f t="shared" ca="1" si="88"/>
        <v>0</v>
      </c>
      <c r="D76" s="768">
        <f t="shared" ca="1" si="88"/>
        <v>0</v>
      </c>
      <c r="E76" s="769">
        <f t="shared" ca="1" si="88"/>
        <v>0</v>
      </c>
      <c r="F76" s="769">
        <f t="shared" ca="1" si="88"/>
        <v>0</v>
      </c>
      <c r="G76" s="769">
        <f t="shared" ca="1" si="88"/>
        <v>0</v>
      </c>
      <c r="H76" s="769">
        <f t="shared" ca="1" si="88"/>
        <v>0</v>
      </c>
      <c r="I76" s="770">
        <f t="shared" ca="1" si="77"/>
        <v>0</v>
      </c>
      <c r="J76" s="876" t="str">
        <f t="shared" ref="J76:J77" ca="1" si="89">IF(AND(C76&gt;0,SUM(D76:I76)&gt;0),"",IF(AND(C76=0,SUM(C76:I76)=0),"",IF(AND(C76=0,D76&gt;0),"Missing value?",IF(AND(C76=0,I76&gt;0),"Missing value?","New category"))))</f>
        <v/>
      </c>
      <c r="K76" s="877"/>
      <c r="L76" s="878" t="str">
        <f ca="1">IF(C76&gt;0,'Q1'!E84,"")</f>
        <v/>
      </c>
      <c r="M76" s="879" t="str">
        <f ca="1">IF(L76="","",IF('Q1'!I84=0,"Fuel type not stated",'Q1'!I84))</f>
        <v/>
      </c>
      <c r="N76" s="880"/>
      <c r="O76" s="881" t="str">
        <f t="shared" ca="1" si="54"/>
        <v/>
      </c>
      <c r="P76" s="882" t="str">
        <f t="shared" ca="1" si="80"/>
        <v/>
      </c>
      <c r="Q76" s="882" t="str">
        <f t="shared" ca="1" si="81"/>
        <v/>
      </c>
      <c r="R76" s="882" t="str">
        <f t="shared" ca="1" si="11"/>
        <v/>
      </c>
      <c r="S76" s="883" t="str">
        <f t="shared" ca="1" si="12"/>
        <v/>
      </c>
      <c r="T76" s="1066" t="str">
        <f t="shared" ref="T76:T77" ca="1" si="90">IF(SUM(C76:I76)=0,"",IF(OR(AND(C76=0,SUM(D76:I76)&gt;0),AND(C76&gt;0,SUM(D76:I76)=0)),1,IF(MAX(IF(O76&lt;0,-O76,O76),IF(P76&lt;0,-P76,P76),IF(Q76&lt;0,-Q76,Q76),IF(R76&lt;0,-R76,R76),IF(S76&lt;0,-S76,S76))=0,"",MAX(IF(O76&lt;0,-O76,O76),IF(P76&lt;0,-P76,P76),IF(Q76&lt;0,-Q76,Q76),IF(R76&lt;0,-R76,R76),IF(S76&lt;0,-S76,S76)))))</f>
        <v/>
      </c>
      <c r="U76" s="1165" t="str">
        <f t="shared" ca="1" si="83"/>
        <v/>
      </c>
      <c r="V76" s="1350">
        <f t="shared" ca="1" si="84"/>
        <v>0</v>
      </c>
      <c r="W76" s="1350">
        <f t="shared" ca="1" si="84"/>
        <v>0</v>
      </c>
      <c r="X76" s="1350">
        <f t="shared" ca="1" si="84"/>
        <v>0</v>
      </c>
      <c r="Y76" s="1067" t="str">
        <f t="shared" ca="1" si="86"/>
        <v/>
      </c>
      <c r="Z76" s="884" t="str">
        <f t="shared" ca="1" si="85"/>
        <v/>
      </c>
      <c r="AA76" s="880"/>
      <c r="AB76" s="871" t="str">
        <f t="shared" ref="AB76:AB77" ca="1" si="91">IF((CONCATENATE(IF(K76="OK","",J76), "    ",IF(L76="","",IF(N76="OK","",CONCATENATE(M76," = ",ROUND(L76,3),"kgCO2e/kWh"))),"    ",IF(AND(+AA76="",Z76="M"),"Value change with medium impact",IF(AND(AA76="",Z76="H"),"Value change with high impact",""))," "))="         ","",(CONCATENATE(IF(K76="OK","",J76), "    ",IF(L76="","",IF(N76="OK","",CONCATENATE(M76," = ",ROUND(L76,3),"kgCO2e/kWh"))),"    ",IF(AND(+AA76="",Z76="M"),"Value change with medium impact",IF(AND(AA76="",Z76="H"),"Value change with high impact",""))," ")))</f>
        <v/>
      </c>
      <c r="AC76" s="55"/>
      <c r="AD76" s="96"/>
      <c r="AE76" s="96"/>
      <c r="AF76" s="96"/>
      <c r="AG76" s="96"/>
      <c r="AH76" s="96"/>
      <c r="AI76" s="96"/>
      <c r="AJ76" s="96"/>
      <c r="AK76" s="192"/>
      <c r="AL76" s="875"/>
      <c r="AM76" s="875"/>
      <c r="AN76" s="875"/>
      <c r="AO76" s="50"/>
      <c r="AP76" s="97"/>
      <c r="AQ76" s="97"/>
      <c r="AR76" s="97"/>
      <c r="AS76" s="97"/>
      <c r="AT76" s="97"/>
      <c r="AU76" s="97"/>
      <c r="AV76" s="97"/>
      <c r="AW76" s="97"/>
      <c r="AX76" s="97"/>
      <c r="AY76" s="97"/>
      <c r="AZ76" s="97"/>
      <c r="BA76" s="97"/>
      <c r="BB76" s="97"/>
      <c r="BC76" s="97"/>
    </row>
    <row r="77" spans="1:55" ht="12.75" customHeight="1" thickBot="1" x14ac:dyDescent="0.35">
      <c r="A77" s="2237"/>
      <c r="B77" s="747" t="str">
        <f>'Q1'!C85</f>
        <v>Other 5 (enter CO2 factor and specify fuel in "Notes")</v>
      </c>
      <c r="C77" s="1262">
        <f t="shared" ca="1" si="88"/>
        <v>0</v>
      </c>
      <c r="D77" s="768">
        <f t="shared" ca="1" si="88"/>
        <v>0</v>
      </c>
      <c r="E77" s="769">
        <f t="shared" ca="1" si="88"/>
        <v>0</v>
      </c>
      <c r="F77" s="769">
        <f t="shared" ca="1" si="88"/>
        <v>0</v>
      </c>
      <c r="G77" s="769">
        <f t="shared" ca="1" si="88"/>
        <v>0</v>
      </c>
      <c r="H77" s="769">
        <f t="shared" ca="1" si="88"/>
        <v>0</v>
      </c>
      <c r="I77" s="770">
        <f t="shared" ca="1" si="77"/>
        <v>0</v>
      </c>
      <c r="J77" s="876" t="str">
        <f t="shared" ca="1" si="89"/>
        <v/>
      </c>
      <c r="K77" s="877"/>
      <c r="L77" s="878" t="str">
        <f ca="1">IF(C77&gt;0,'Q1'!E85,"")</f>
        <v/>
      </c>
      <c r="M77" s="879" t="str">
        <f ca="1">IF(L77="","",IF('Q1'!I85=0,"Fuel type not stated",'Q1'!I85))</f>
        <v/>
      </c>
      <c r="N77" s="880"/>
      <c r="O77" s="881" t="str">
        <f t="shared" ca="1" si="54"/>
        <v/>
      </c>
      <c r="P77" s="882" t="str">
        <f t="shared" ca="1" si="80"/>
        <v/>
      </c>
      <c r="Q77" s="882" t="str">
        <f t="shared" ca="1" si="81"/>
        <v/>
      </c>
      <c r="R77" s="882" t="str">
        <f t="shared" ca="1" si="11"/>
        <v/>
      </c>
      <c r="S77" s="883" t="str">
        <f t="shared" ca="1" si="12"/>
        <v/>
      </c>
      <c r="T77" s="1066" t="str">
        <f t="shared" ca="1" si="90"/>
        <v/>
      </c>
      <c r="U77" s="1165" t="str">
        <f t="shared" ca="1" si="83"/>
        <v/>
      </c>
      <c r="V77" s="1350">
        <f t="shared" ca="1" si="84"/>
        <v>0</v>
      </c>
      <c r="W77" s="1350">
        <f t="shared" ca="1" si="84"/>
        <v>0</v>
      </c>
      <c r="X77" s="1350">
        <f t="shared" ca="1" si="84"/>
        <v>0</v>
      </c>
      <c r="Y77" s="1067" t="str">
        <f t="shared" ca="1" si="86"/>
        <v/>
      </c>
      <c r="Z77" s="884" t="str">
        <f t="shared" ca="1" si="85"/>
        <v/>
      </c>
      <c r="AA77" s="880"/>
      <c r="AB77" s="871" t="str">
        <f t="shared" ca="1" si="91"/>
        <v/>
      </c>
      <c r="AC77" s="55"/>
      <c r="AD77" s="96"/>
      <c r="AE77" s="96"/>
      <c r="AF77" s="96"/>
      <c r="AG77" s="96"/>
      <c r="AH77" s="96"/>
      <c r="AI77" s="96"/>
      <c r="AJ77" s="96"/>
      <c r="AK77" s="192"/>
      <c r="AL77" s="875"/>
      <c r="AM77" s="875"/>
      <c r="AN77" s="875"/>
      <c r="AO77" s="50"/>
      <c r="AP77" s="97"/>
      <c r="AQ77" s="97"/>
      <c r="AR77" s="97"/>
      <c r="AS77" s="97"/>
      <c r="AT77" s="97"/>
      <c r="AU77" s="97"/>
      <c r="AV77" s="97"/>
      <c r="AW77" s="97"/>
      <c r="AX77" s="97"/>
      <c r="AY77" s="97"/>
      <c r="AZ77" s="97"/>
      <c r="BA77" s="97"/>
      <c r="BB77" s="97"/>
      <c r="BC77" s="97"/>
    </row>
    <row r="78" spans="1:55" ht="12.75" customHeight="1" thickBot="1" x14ac:dyDescent="0.35">
      <c r="A78" s="2225" t="s">
        <v>110</v>
      </c>
      <c r="B78" s="2226"/>
      <c r="C78" s="1177">
        <f t="shared" ref="C78:H78" ca="1" si="92">INDIRECT(CONCATENATE("'",C$14,"'!$D$86"),TRUE)</f>
        <v>12714336.17</v>
      </c>
      <c r="D78" s="733">
        <f t="shared" ca="1" si="92"/>
        <v>12365451.85</v>
      </c>
      <c r="E78" s="734">
        <f t="shared" ca="1" si="92"/>
        <v>13042866</v>
      </c>
      <c r="F78" s="734">
        <f t="shared" ca="1" si="92"/>
        <v>9681339</v>
      </c>
      <c r="G78" s="734">
        <f t="shared" ca="1" si="92"/>
        <v>15401114</v>
      </c>
      <c r="H78" s="734">
        <f t="shared" ca="1" si="92"/>
        <v>50490770.850000001</v>
      </c>
      <c r="I78" s="735">
        <f t="shared" ca="1" si="77"/>
        <v>12622692.7125</v>
      </c>
      <c r="J78" s="885"/>
      <c r="K78" s="851"/>
      <c r="L78" s="850"/>
      <c r="M78" s="744"/>
      <c r="N78" s="863"/>
      <c r="O78" s="738">
        <f t="shared" ca="1" si="54"/>
        <v>2.8214441674446398E-2</v>
      </c>
      <c r="P78" s="739">
        <f t="shared" ca="1" si="80"/>
        <v>-2.5188469313416246E-2</v>
      </c>
      <c r="Q78" s="739">
        <f t="shared" ca="1" si="81"/>
        <v>0.31328281862663832</v>
      </c>
      <c r="R78" s="739">
        <f t="shared" ca="1" si="11"/>
        <v>-0.1744534733006976</v>
      </c>
      <c r="S78" s="740">
        <f t="shared" ca="1" si="12"/>
        <v>7.2602145665200948E-3</v>
      </c>
      <c r="T78" s="886"/>
      <c r="U78" s="887"/>
      <c r="V78" s="887"/>
      <c r="W78" s="887"/>
      <c r="X78" s="887"/>
      <c r="Y78" s="887"/>
      <c r="Z78" s="888"/>
      <c r="AA78" s="741"/>
      <c r="AB78" s="889"/>
      <c r="AC78" s="95"/>
      <c r="AD78" s="666"/>
      <c r="AE78" s="666"/>
      <c r="AF78" s="666"/>
      <c r="AG78" s="666"/>
      <c r="AH78" s="666"/>
      <c r="AI78" s="666"/>
      <c r="AJ78" s="666"/>
      <c r="AK78" s="192"/>
      <c r="AL78" s="875"/>
      <c r="AM78" s="875"/>
      <c r="AN78" s="875"/>
      <c r="AO78" s="50"/>
      <c r="AP78" s="890"/>
      <c r="AQ78" s="890"/>
      <c r="AR78" s="890"/>
      <c r="AS78" s="890"/>
      <c r="AT78" s="890"/>
      <c r="AU78" s="890"/>
      <c r="AV78" s="890"/>
      <c r="AW78" s="890"/>
      <c r="AX78" s="890"/>
      <c r="AY78" s="890"/>
      <c r="AZ78" s="890"/>
      <c r="BA78" s="890"/>
      <c r="BB78" s="890"/>
      <c r="BC78" s="890"/>
    </row>
    <row r="79" spans="1:55" ht="12.75" customHeight="1" x14ac:dyDescent="0.3">
      <c r="A79" s="2238" t="s">
        <v>111</v>
      </c>
      <c r="B79" s="747" t="str">
        <f>'Q1'!C87</f>
        <v>Small petrol car, up to 1.4 l</v>
      </c>
      <c r="C79" s="1262">
        <f t="shared" ref="C79:H88" ca="1" si="93">INDEX(INDIRECT(CONCATENATE("'",C$14,"'!$D$87:$D$107"),TRUE),MATCH($B79,INDIRECT(CONCATENATE("'",C$14,"'!$C$87:$C$107"),TRUE),0))</f>
        <v>0</v>
      </c>
      <c r="D79" s="748">
        <f t="shared" ca="1" si="93"/>
        <v>0</v>
      </c>
      <c r="E79" s="749">
        <f t="shared" ca="1" si="93"/>
        <v>0</v>
      </c>
      <c r="F79" s="749">
        <f t="shared" ca="1" si="93"/>
        <v>0</v>
      </c>
      <c r="G79" s="749">
        <f t="shared" ca="1" si="93"/>
        <v>0</v>
      </c>
      <c r="H79" s="749">
        <f t="shared" ca="1" si="93"/>
        <v>0</v>
      </c>
      <c r="I79" s="750">
        <f t="shared" ca="1" si="77"/>
        <v>0</v>
      </c>
      <c r="J79" s="868" t="str">
        <f t="shared" ca="1" si="79"/>
        <v/>
      </c>
      <c r="K79" s="809"/>
      <c r="L79" s="752"/>
      <c r="M79" s="753"/>
      <c r="N79" s="754"/>
      <c r="O79" s="755" t="str">
        <f t="shared" ca="1" si="54"/>
        <v/>
      </c>
      <c r="P79" s="756" t="str">
        <f t="shared" ca="1" si="80"/>
        <v/>
      </c>
      <c r="Q79" s="756" t="str">
        <f t="shared" ca="1" si="81"/>
        <v/>
      </c>
      <c r="R79" s="756" t="str">
        <f t="shared" ca="1" si="11"/>
        <v/>
      </c>
      <c r="S79" s="757" t="str">
        <f t="shared" ca="1" si="12"/>
        <v/>
      </c>
      <c r="T79" s="1066" t="str">
        <f t="shared" ca="1" si="82"/>
        <v/>
      </c>
      <c r="U79" s="1166" t="str">
        <f t="shared" ref="U79:U99" ca="1" si="94">IF(+T79="","",IF(T79&gt;L$3,"H",IF(T79&gt;L$4,"M","")))</f>
        <v/>
      </c>
      <c r="V79" s="1350">
        <f t="shared" ref="V79:X99" ca="1" si="95">INDEX(INDIRECT(CONCATENATE("'",V$14,"'!$F$87:$F$107"),TRUE),MATCH($B79,INDIRECT(CONCATENATE("'",V$14,"'!$C$87:$C$107"),TRUE),0))</f>
        <v>0</v>
      </c>
      <c r="W79" s="1350">
        <f t="shared" ca="1" si="95"/>
        <v>0</v>
      </c>
      <c r="X79" s="1350">
        <f t="shared" ca="1" si="95"/>
        <v>0</v>
      </c>
      <c r="Y79" s="1067" t="str">
        <f t="shared" ref="Y79:Y99" ca="1" si="96">IF(V79=0,IF(W79&gt;0, W79/L$8, IF(X79&gt;0,X79/L$10, "")), IF(T79="", "", V79/L$7*T79))</f>
        <v/>
      </c>
      <c r="Z79" s="1166" t="str">
        <f t="shared" ref="Z79:Z99" ca="1" si="97">IF(+Y79="","",IF(Y79&gt;L$3,"H",IF(Y79&gt;L$4,"M","")))</f>
        <v/>
      </c>
      <c r="AA79" s="751"/>
      <c r="AB79" s="871" t="str">
        <f t="shared" ref="AB79:AB113" ca="1" si="98">IF((CONCATENATE(IF(K79="OK","",J79), "    ",IF(L79="","",IF(N79="OK","",CONCATENATE(M79," = ",ROUND(L79,3),"kgCO2e/kWh"))),"    ",IF(AND(+AA79="",Z79="M"),"Value change with medium impact",IF(AND(AA79="",Z79="H"),"Value change with high impact",""))," "))="         ","",(CONCATENATE(IF(K79="OK","",J79), "    ",IF(L79="","",IF(N79="OK","",CONCATENATE(M79," = ",ROUND(L79,3),"kgCO2e/kWh"))),"    ",IF(AND(+AA79="",Z79="M"),"Value change with medium impact",IF(AND(AA79="",Z79="H"),"Value change with high impact",""))," ")))</f>
        <v/>
      </c>
      <c r="AC79" s="55"/>
      <c r="AD79" s="96"/>
      <c r="AE79" s="96"/>
      <c r="AF79" s="96"/>
      <c r="AG79" s="96"/>
      <c r="AH79" s="96"/>
      <c r="AI79" s="96"/>
      <c r="AJ79" s="96"/>
      <c r="AK79" s="192"/>
      <c r="AL79" s="875"/>
      <c r="AM79" s="875"/>
      <c r="AN79" s="875"/>
      <c r="AO79" s="50"/>
      <c r="AP79" s="97"/>
      <c r="AQ79" s="97"/>
      <c r="AR79" s="97"/>
      <c r="AS79" s="97"/>
      <c r="AT79" s="97"/>
      <c r="AU79" s="97"/>
      <c r="AV79" s="97"/>
      <c r="AW79" s="97"/>
      <c r="AX79" s="97"/>
      <c r="AY79" s="97"/>
      <c r="AZ79" s="97"/>
      <c r="BA79" s="97"/>
      <c r="BB79" s="97"/>
      <c r="BC79" s="97"/>
    </row>
    <row r="80" spans="1:55" ht="12.75" customHeight="1" x14ac:dyDescent="0.3">
      <c r="A80" s="2239"/>
      <c r="B80" s="747" t="str">
        <f>'Q1'!C88</f>
        <v>Medium petrol car, 1.4 - 2.0 l</v>
      </c>
      <c r="C80" s="1262">
        <f t="shared" ca="1" si="93"/>
        <v>0</v>
      </c>
      <c r="D80" s="768">
        <f t="shared" ca="1" si="93"/>
        <v>0</v>
      </c>
      <c r="E80" s="769">
        <f t="shared" ca="1" si="93"/>
        <v>0</v>
      </c>
      <c r="F80" s="769">
        <f t="shared" ca="1" si="93"/>
        <v>0</v>
      </c>
      <c r="G80" s="769">
        <f t="shared" ca="1" si="93"/>
        <v>0</v>
      </c>
      <c r="H80" s="769">
        <f t="shared" ca="1" si="93"/>
        <v>0</v>
      </c>
      <c r="I80" s="770">
        <f t="shared" ca="1" si="77"/>
        <v>0</v>
      </c>
      <c r="J80" s="872" t="str">
        <f t="shared" ca="1" si="79"/>
        <v/>
      </c>
      <c r="K80" s="782"/>
      <c r="L80" s="773"/>
      <c r="M80" s="774"/>
      <c r="N80" s="775"/>
      <c r="O80" s="776" t="str">
        <f t="shared" ca="1" si="54"/>
        <v/>
      </c>
      <c r="P80" s="777" t="str">
        <f t="shared" ca="1" si="80"/>
        <v/>
      </c>
      <c r="Q80" s="777" t="str">
        <f t="shared" ca="1" si="81"/>
        <v/>
      </c>
      <c r="R80" s="777" t="str">
        <f t="shared" ca="1" si="11"/>
        <v/>
      </c>
      <c r="S80" s="778" t="str">
        <f t="shared" ca="1" si="12"/>
        <v/>
      </c>
      <c r="T80" s="1066" t="str">
        <f t="shared" ca="1" si="82"/>
        <v/>
      </c>
      <c r="U80" s="1165" t="str">
        <f t="shared" ca="1" si="94"/>
        <v/>
      </c>
      <c r="V80" s="1350">
        <f t="shared" ca="1" si="95"/>
        <v>0</v>
      </c>
      <c r="W80" s="1350">
        <f t="shared" ca="1" si="95"/>
        <v>0</v>
      </c>
      <c r="X80" s="1350">
        <f t="shared" ca="1" si="95"/>
        <v>0</v>
      </c>
      <c r="Y80" s="1067" t="str">
        <f t="shared" ca="1" si="96"/>
        <v/>
      </c>
      <c r="Z80" s="1165" t="str">
        <f t="shared" ca="1" si="97"/>
        <v/>
      </c>
      <c r="AA80" s="772"/>
      <c r="AB80" s="871" t="str">
        <f t="shared" ca="1" si="98"/>
        <v/>
      </c>
      <c r="AC80" s="55"/>
      <c r="AD80" s="96"/>
      <c r="AE80" s="96"/>
      <c r="AF80" s="96"/>
      <c r="AG80" s="96"/>
      <c r="AH80" s="96"/>
      <c r="AI80" s="96"/>
      <c r="AJ80" s="96"/>
      <c r="AK80" s="192"/>
      <c r="AL80" s="875"/>
      <c r="AM80" s="875"/>
      <c r="AN80" s="875"/>
      <c r="AO80" s="50"/>
      <c r="AP80" s="97"/>
      <c r="AQ80" s="97"/>
      <c r="AR80" s="97"/>
      <c r="AS80" s="97"/>
      <c r="AT80" s="97"/>
      <c r="AU80" s="97"/>
      <c r="AV80" s="97"/>
      <c r="AW80" s="97"/>
      <c r="AX80" s="97"/>
      <c r="AY80" s="97"/>
      <c r="AZ80" s="97"/>
      <c r="BA80" s="97"/>
      <c r="BB80" s="97"/>
      <c r="BC80" s="97"/>
    </row>
    <row r="81" spans="1:55" ht="12.75" customHeight="1" x14ac:dyDescent="0.3">
      <c r="A81" s="2239"/>
      <c r="B81" s="747" t="str">
        <f>'Q1'!C89</f>
        <v>Large petrol car, &gt;2.0 l</v>
      </c>
      <c r="C81" s="1262">
        <f t="shared" ca="1" si="93"/>
        <v>0</v>
      </c>
      <c r="D81" s="768">
        <f t="shared" ca="1" si="93"/>
        <v>0</v>
      </c>
      <c r="E81" s="769">
        <f t="shared" ca="1" si="93"/>
        <v>0</v>
      </c>
      <c r="F81" s="769">
        <f t="shared" ca="1" si="93"/>
        <v>0</v>
      </c>
      <c r="G81" s="769">
        <f t="shared" ca="1" si="93"/>
        <v>0</v>
      </c>
      <c r="H81" s="769">
        <f t="shared" ca="1" si="93"/>
        <v>0</v>
      </c>
      <c r="I81" s="770">
        <f t="shared" ca="1" si="77"/>
        <v>0</v>
      </c>
      <c r="J81" s="872" t="str">
        <f t="shared" ca="1" si="79"/>
        <v/>
      </c>
      <c r="K81" s="782"/>
      <c r="L81" s="773"/>
      <c r="M81" s="774"/>
      <c r="N81" s="775"/>
      <c r="O81" s="776" t="str">
        <f t="shared" ca="1" si="54"/>
        <v/>
      </c>
      <c r="P81" s="777" t="str">
        <f t="shared" ca="1" si="80"/>
        <v/>
      </c>
      <c r="Q81" s="777" t="str">
        <f t="shared" ca="1" si="81"/>
        <v/>
      </c>
      <c r="R81" s="777" t="str">
        <f t="shared" ca="1" si="11"/>
        <v/>
      </c>
      <c r="S81" s="778" t="str">
        <f t="shared" ca="1" si="12"/>
        <v/>
      </c>
      <c r="T81" s="1066" t="str">
        <f t="shared" ca="1" si="82"/>
        <v/>
      </c>
      <c r="U81" s="1165" t="str">
        <f t="shared" ca="1" si="94"/>
        <v/>
      </c>
      <c r="V81" s="1350">
        <f t="shared" ca="1" si="95"/>
        <v>0</v>
      </c>
      <c r="W81" s="1350">
        <f t="shared" ca="1" si="95"/>
        <v>0</v>
      </c>
      <c r="X81" s="1350">
        <f t="shared" ca="1" si="95"/>
        <v>0</v>
      </c>
      <c r="Y81" s="1067" t="str">
        <f t="shared" ca="1" si="96"/>
        <v/>
      </c>
      <c r="Z81" s="1165" t="str">
        <f t="shared" ca="1" si="97"/>
        <v/>
      </c>
      <c r="AA81" s="772"/>
      <c r="AB81" s="871" t="str">
        <f t="shared" ca="1" si="98"/>
        <v/>
      </c>
      <c r="AC81" s="55"/>
      <c r="AD81" s="96"/>
      <c r="AE81" s="96"/>
      <c r="AF81" s="96"/>
      <c r="AG81" s="96"/>
      <c r="AH81" s="96"/>
      <c r="AI81" s="96"/>
      <c r="AJ81" s="96"/>
      <c r="AK81" s="192"/>
      <c r="AL81" s="875"/>
      <c r="AM81" s="875"/>
      <c r="AN81" s="875"/>
      <c r="AO81" s="50"/>
      <c r="AP81" s="97"/>
      <c r="AQ81" s="97"/>
      <c r="AR81" s="97"/>
      <c r="AS81" s="97"/>
      <c r="AT81" s="97"/>
      <c r="AU81" s="97"/>
      <c r="AV81" s="97"/>
      <c r="AW81" s="97"/>
      <c r="AX81" s="97"/>
      <c r="AY81" s="97"/>
      <c r="AZ81" s="97"/>
      <c r="BA81" s="97"/>
      <c r="BB81" s="97"/>
      <c r="BC81" s="97"/>
    </row>
    <row r="82" spans="1:55" ht="12.75" customHeight="1" x14ac:dyDescent="0.3">
      <c r="A82" s="2239"/>
      <c r="B82" s="747" t="str">
        <f>'Q1'!C90</f>
        <v>Average petrol car</v>
      </c>
      <c r="C82" s="1262">
        <f t="shared" ca="1" si="93"/>
        <v>0</v>
      </c>
      <c r="D82" s="768">
        <f t="shared" ca="1" si="93"/>
        <v>0</v>
      </c>
      <c r="E82" s="769">
        <f t="shared" ca="1" si="93"/>
        <v>0</v>
      </c>
      <c r="F82" s="769">
        <f t="shared" ca="1" si="93"/>
        <v>0</v>
      </c>
      <c r="G82" s="769">
        <f t="shared" ca="1" si="93"/>
        <v>0</v>
      </c>
      <c r="H82" s="769">
        <f t="shared" ca="1" si="93"/>
        <v>0</v>
      </c>
      <c r="I82" s="770">
        <f t="shared" ca="1" si="77"/>
        <v>0</v>
      </c>
      <c r="J82" s="872" t="str">
        <f t="shared" ca="1" si="79"/>
        <v/>
      </c>
      <c r="K82" s="782"/>
      <c r="L82" s="773"/>
      <c r="M82" s="774"/>
      <c r="N82" s="775"/>
      <c r="O82" s="776" t="str">
        <f t="shared" ca="1" si="54"/>
        <v/>
      </c>
      <c r="P82" s="777" t="str">
        <f t="shared" ca="1" si="80"/>
        <v/>
      </c>
      <c r="Q82" s="777" t="str">
        <f t="shared" ca="1" si="81"/>
        <v/>
      </c>
      <c r="R82" s="777" t="str">
        <f t="shared" ref="R82:R113" ca="1" si="99">IF(OR(+$J82="missing?",+$J82="new category"),"",IF($G82=0,"",IF(SUM($C82:$I82)=0,"",IFERROR((($C82-$G82)/$G82),"N/A"))))</f>
        <v/>
      </c>
      <c r="S82" s="778" t="str">
        <f t="shared" ref="S82:S113" ca="1" si="100">IF(OR(+$J82="missing?",+$J82="new category"),"",IF($I82=0,"",IF(SUM($C82:$I82)=0,"",IFERROR((($C82-$I82)/$I82),"N/A"))))</f>
        <v/>
      </c>
      <c r="T82" s="1066" t="str">
        <f t="shared" ca="1" si="82"/>
        <v/>
      </c>
      <c r="U82" s="1165" t="str">
        <f t="shared" ca="1" si="94"/>
        <v/>
      </c>
      <c r="V82" s="1350">
        <f t="shared" ca="1" si="95"/>
        <v>0</v>
      </c>
      <c r="W82" s="1350">
        <f t="shared" ca="1" si="95"/>
        <v>0</v>
      </c>
      <c r="X82" s="1350">
        <f t="shared" ca="1" si="95"/>
        <v>0</v>
      </c>
      <c r="Y82" s="1067" t="str">
        <f t="shared" ca="1" si="96"/>
        <v/>
      </c>
      <c r="Z82" s="1165" t="str">
        <f t="shared" ca="1" si="97"/>
        <v/>
      </c>
      <c r="AA82" s="772"/>
      <c r="AB82" s="871" t="str">
        <f t="shared" ca="1" si="98"/>
        <v/>
      </c>
      <c r="AC82" s="55"/>
      <c r="AD82" s="96"/>
      <c r="AE82" s="96"/>
      <c r="AF82" s="96"/>
      <c r="AG82" s="96"/>
      <c r="AH82" s="96"/>
      <c r="AI82" s="96"/>
      <c r="AJ82" s="96"/>
      <c r="AK82" s="192"/>
      <c r="AL82" s="875"/>
      <c r="AM82" s="875"/>
      <c r="AN82" s="875"/>
      <c r="AO82" s="50"/>
      <c r="AP82" s="97"/>
      <c r="AQ82" s="97"/>
      <c r="AR82" s="97"/>
      <c r="AS82" s="97"/>
      <c r="AT82" s="97"/>
      <c r="AU82" s="97"/>
      <c r="AV82" s="97"/>
      <c r="AW82" s="97"/>
      <c r="AX82" s="97"/>
      <c r="AY82" s="97"/>
      <c r="AZ82" s="97"/>
      <c r="BA82" s="97"/>
      <c r="BB82" s="97"/>
      <c r="BC82" s="97"/>
    </row>
    <row r="83" spans="1:55" ht="12.75" customHeight="1" x14ac:dyDescent="0.3">
      <c r="A83" s="2239"/>
      <c r="B83" s="747" t="str">
        <f>'Q1'!C91</f>
        <v>Small diesel car, up to 1.7 l</v>
      </c>
      <c r="C83" s="1262">
        <f t="shared" ca="1" si="93"/>
        <v>0</v>
      </c>
      <c r="D83" s="768">
        <f t="shared" ca="1" si="93"/>
        <v>0</v>
      </c>
      <c r="E83" s="769">
        <f t="shared" ca="1" si="93"/>
        <v>0</v>
      </c>
      <c r="F83" s="769">
        <f t="shared" ca="1" si="93"/>
        <v>0</v>
      </c>
      <c r="G83" s="769">
        <f t="shared" ca="1" si="93"/>
        <v>0</v>
      </c>
      <c r="H83" s="769">
        <f t="shared" ca="1" si="93"/>
        <v>0</v>
      </c>
      <c r="I83" s="770">
        <f t="shared" ca="1" si="77"/>
        <v>0</v>
      </c>
      <c r="J83" s="872" t="str">
        <f t="shared" ca="1" si="79"/>
        <v/>
      </c>
      <c r="K83" s="782"/>
      <c r="L83" s="773"/>
      <c r="M83" s="774"/>
      <c r="N83" s="775"/>
      <c r="O83" s="776" t="str">
        <f t="shared" ca="1" si="54"/>
        <v/>
      </c>
      <c r="P83" s="777" t="str">
        <f t="shared" ca="1" si="80"/>
        <v/>
      </c>
      <c r="Q83" s="777" t="str">
        <f t="shared" ca="1" si="81"/>
        <v/>
      </c>
      <c r="R83" s="777" t="str">
        <f t="shared" ca="1" si="99"/>
        <v/>
      </c>
      <c r="S83" s="778" t="str">
        <f t="shared" ca="1" si="100"/>
        <v/>
      </c>
      <c r="T83" s="1066" t="str">
        <f t="shared" ca="1" si="82"/>
        <v/>
      </c>
      <c r="U83" s="1165" t="str">
        <f t="shared" ca="1" si="94"/>
        <v/>
      </c>
      <c r="V83" s="1350">
        <f t="shared" ca="1" si="95"/>
        <v>0</v>
      </c>
      <c r="W83" s="1350">
        <f t="shared" ca="1" si="95"/>
        <v>0</v>
      </c>
      <c r="X83" s="1350">
        <f t="shared" ca="1" si="95"/>
        <v>0</v>
      </c>
      <c r="Y83" s="1067" t="str">
        <f t="shared" ca="1" si="96"/>
        <v/>
      </c>
      <c r="Z83" s="1165" t="str">
        <f t="shared" ca="1" si="97"/>
        <v/>
      </c>
      <c r="AA83" s="772"/>
      <c r="AB83" s="871" t="str">
        <f t="shared" ca="1" si="98"/>
        <v/>
      </c>
      <c r="AC83" s="55"/>
      <c r="AD83" s="96"/>
      <c r="AE83" s="96"/>
      <c r="AF83" s="96"/>
      <c r="AG83" s="96"/>
      <c r="AH83" s="96"/>
      <c r="AI83" s="96"/>
      <c r="AJ83" s="96"/>
      <c r="AK83" s="192"/>
      <c r="AL83" s="875"/>
      <c r="AM83" s="875"/>
      <c r="AN83" s="875"/>
      <c r="AO83" s="50"/>
      <c r="AP83" s="97"/>
      <c r="AQ83" s="97"/>
      <c r="AR83" s="97"/>
      <c r="AS83" s="97"/>
      <c r="AT83" s="97"/>
      <c r="AU83" s="97"/>
      <c r="AV83" s="97"/>
      <c r="AW83" s="97"/>
      <c r="AX83" s="97"/>
      <c r="AY83" s="97"/>
      <c r="AZ83" s="97"/>
      <c r="BA83" s="97"/>
      <c r="BB83" s="97"/>
      <c r="BC83" s="97"/>
    </row>
    <row r="84" spans="1:55" ht="12.75" customHeight="1" x14ac:dyDescent="0.3">
      <c r="A84" s="2239"/>
      <c r="B84" s="747" t="str">
        <f>'Q1'!C92</f>
        <v>Medium diesel car, 1.7 - 2.0 l</v>
      </c>
      <c r="C84" s="1262">
        <f t="shared" ca="1" si="93"/>
        <v>0</v>
      </c>
      <c r="D84" s="768">
        <f t="shared" ca="1" si="93"/>
        <v>0</v>
      </c>
      <c r="E84" s="769">
        <f t="shared" ca="1" si="93"/>
        <v>0</v>
      </c>
      <c r="F84" s="769">
        <f t="shared" ca="1" si="93"/>
        <v>0</v>
      </c>
      <c r="G84" s="769">
        <f t="shared" ca="1" si="93"/>
        <v>0</v>
      </c>
      <c r="H84" s="769">
        <f t="shared" ca="1" si="93"/>
        <v>0</v>
      </c>
      <c r="I84" s="770">
        <f t="shared" ca="1" si="77"/>
        <v>0</v>
      </c>
      <c r="J84" s="872" t="str">
        <f t="shared" ca="1" si="79"/>
        <v/>
      </c>
      <c r="K84" s="782"/>
      <c r="L84" s="773"/>
      <c r="M84" s="774"/>
      <c r="N84" s="775"/>
      <c r="O84" s="776" t="str">
        <f t="shared" ca="1" si="54"/>
        <v/>
      </c>
      <c r="P84" s="777" t="str">
        <f t="shared" ca="1" si="80"/>
        <v/>
      </c>
      <c r="Q84" s="777" t="str">
        <f t="shared" ca="1" si="81"/>
        <v/>
      </c>
      <c r="R84" s="777" t="str">
        <f t="shared" ca="1" si="99"/>
        <v/>
      </c>
      <c r="S84" s="778" t="str">
        <f t="shared" ca="1" si="100"/>
        <v/>
      </c>
      <c r="T84" s="1066" t="str">
        <f t="shared" ca="1" si="82"/>
        <v/>
      </c>
      <c r="U84" s="1165" t="str">
        <f t="shared" ca="1" si="94"/>
        <v/>
      </c>
      <c r="V84" s="1350">
        <f t="shared" ca="1" si="95"/>
        <v>0</v>
      </c>
      <c r="W84" s="1350">
        <f t="shared" ca="1" si="95"/>
        <v>0</v>
      </c>
      <c r="X84" s="1350">
        <f t="shared" ca="1" si="95"/>
        <v>0</v>
      </c>
      <c r="Y84" s="1067" t="str">
        <f t="shared" ca="1" si="96"/>
        <v/>
      </c>
      <c r="Z84" s="1165" t="str">
        <f t="shared" ca="1" si="97"/>
        <v/>
      </c>
      <c r="AA84" s="772"/>
      <c r="AB84" s="871" t="str">
        <f t="shared" ca="1" si="98"/>
        <v/>
      </c>
      <c r="AC84" s="55"/>
      <c r="AD84" s="96"/>
      <c r="AE84" s="96"/>
      <c r="AF84" s="96"/>
      <c r="AG84" s="96"/>
      <c r="AH84" s="96"/>
      <c r="AI84" s="96"/>
      <c r="AJ84" s="96"/>
      <c r="AK84" s="192"/>
      <c r="AL84" s="875"/>
      <c r="AM84" s="875"/>
      <c r="AN84" s="875"/>
      <c r="AO84" s="50"/>
      <c r="AP84" s="97"/>
      <c r="AQ84" s="97"/>
      <c r="AR84" s="97"/>
      <c r="AS84" s="97"/>
      <c r="AT84" s="97"/>
      <c r="AU84" s="97"/>
      <c r="AV84" s="97"/>
      <c r="AW84" s="97"/>
      <c r="AX84" s="97"/>
      <c r="AY84" s="97"/>
      <c r="AZ84" s="97"/>
      <c r="BA84" s="97"/>
      <c r="BB84" s="97"/>
      <c r="BC84" s="97"/>
    </row>
    <row r="85" spans="1:55" ht="12.75" customHeight="1" x14ac:dyDescent="0.3">
      <c r="A85" s="2239"/>
      <c r="B85" s="747" t="str">
        <f>'Q1'!C93</f>
        <v>Large diesel car, &gt;2.0 l</v>
      </c>
      <c r="C85" s="1262">
        <f t="shared" ca="1" si="93"/>
        <v>0</v>
      </c>
      <c r="D85" s="768">
        <f t="shared" ca="1" si="93"/>
        <v>0</v>
      </c>
      <c r="E85" s="769">
        <f t="shared" ca="1" si="93"/>
        <v>0</v>
      </c>
      <c r="F85" s="769">
        <f t="shared" ca="1" si="93"/>
        <v>0</v>
      </c>
      <c r="G85" s="769">
        <f t="shared" ca="1" si="93"/>
        <v>0</v>
      </c>
      <c r="H85" s="769">
        <f t="shared" ca="1" si="93"/>
        <v>0</v>
      </c>
      <c r="I85" s="770">
        <f t="shared" ca="1" si="77"/>
        <v>0</v>
      </c>
      <c r="J85" s="872" t="str">
        <f t="shared" ca="1" si="79"/>
        <v/>
      </c>
      <c r="K85" s="782"/>
      <c r="L85" s="773"/>
      <c r="M85" s="774"/>
      <c r="N85" s="775"/>
      <c r="O85" s="776" t="str">
        <f t="shared" ca="1" si="54"/>
        <v/>
      </c>
      <c r="P85" s="777" t="str">
        <f t="shared" ca="1" si="80"/>
        <v/>
      </c>
      <c r="Q85" s="777" t="str">
        <f t="shared" ca="1" si="81"/>
        <v/>
      </c>
      <c r="R85" s="777" t="str">
        <f t="shared" ca="1" si="99"/>
        <v/>
      </c>
      <c r="S85" s="778" t="str">
        <f t="shared" ca="1" si="100"/>
        <v/>
      </c>
      <c r="T85" s="1066" t="str">
        <f t="shared" ca="1" si="82"/>
        <v/>
      </c>
      <c r="U85" s="1165" t="str">
        <f t="shared" ca="1" si="94"/>
        <v/>
      </c>
      <c r="V85" s="1350">
        <f t="shared" ca="1" si="95"/>
        <v>0</v>
      </c>
      <c r="W85" s="1350">
        <f t="shared" ca="1" si="95"/>
        <v>0</v>
      </c>
      <c r="X85" s="1350">
        <f t="shared" ca="1" si="95"/>
        <v>0</v>
      </c>
      <c r="Y85" s="1067" t="str">
        <f t="shared" ca="1" si="96"/>
        <v/>
      </c>
      <c r="Z85" s="1165" t="str">
        <f t="shared" ca="1" si="97"/>
        <v/>
      </c>
      <c r="AA85" s="772"/>
      <c r="AB85" s="871" t="str">
        <f t="shared" ca="1" si="98"/>
        <v/>
      </c>
      <c r="AC85" s="55"/>
      <c r="AD85" s="96"/>
      <c r="AE85" s="96"/>
      <c r="AF85" s="96"/>
      <c r="AG85" s="96"/>
      <c r="AH85" s="96"/>
      <c r="AI85" s="96"/>
      <c r="AJ85" s="96"/>
      <c r="AK85" s="192"/>
      <c r="AL85" s="875"/>
      <c r="AM85" s="875"/>
      <c r="AN85" s="875"/>
      <c r="AO85" s="50"/>
      <c r="AP85" s="97"/>
      <c r="AQ85" s="97"/>
      <c r="AR85" s="97"/>
      <c r="AS85" s="97"/>
      <c r="AT85" s="97"/>
      <c r="AU85" s="97"/>
      <c r="AV85" s="97"/>
      <c r="AW85" s="97"/>
      <c r="AX85" s="97"/>
      <c r="AY85" s="97"/>
      <c r="AZ85" s="97"/>
      <c r="BA85" s="97"/>
      <c r="BB85" s="97"/>
      <c r="BC85" s="97"/>
    </row>
    <row r="86" spans="1:55" ht="12.75" customHeight="1" x14ac:dyDescent="0.3">
      <c r="A86" s="2239"/>
      <c r="B86" s="747" t="str">
        <f>'Q1'!C94</f>
        <v>Average diesel car</v>
      </c>
      <c r="C86" s="1262">
        <f t="shared" ca="1" si="93"/>
        <v>0</v>
      </c>
      <c r="D86" s="768">
        <f t="shared" ca="1" si="93"/>
        <v>0</v>
      </c>
      <c r="E86" s="769">
        <f t="shared" ca="1" si="93"/>
        <v>0</v>
      </c>
      <c r="F86" s="769">
        <f t="shared" ca="1" si="93"/>
        <v>0</v>
      </c>
      <c r="G86" s="769">
        <f t="shared" ca="1" si="93"/>
        <v>0</v>
      </c>
      <c r="H86" s="769">
        <f t="shared" ca="1" si="93"/>
        <v>0</v>
      </c>
      <c r="I86" s="770">
        <f t="shared" ca="1" si="77"/>
        <v>0</v>
      </c>
      <c r="J86" s="872" t="str">
        <f t="shared" ca="1" si="79"/>
        <v/>
      </c>
      <c r="K86" s="782"/>
      <c r="L86" s="773"/>
      <c r="M86" s="774"/>
      <c r="N86" s="775"/>
      <c r="O86" s="776" t="str">
        <f t="shared" ca="1" si="54"/>
        <v/>
      </c>
      <c r="P86" s="777" t="str">
        <f t="shared" ca="1" si="80"/>
        <v/>
      </c>
      <c r="Q86" s="777" t="str">
        <f t="shared" ca="1" si="81"/>
        <v/>
      </c>
      <c r="R86" s="777" t="str">
        <f t="shared" ca="1" si="99"/>
        <v/>
      </c>
      <c r="S86" s="778" t="str">
        <f t="shared" ca="1" si="100"/>
        <v/>
      </c>
      <c r="T86" s="1066" t="str">
        <f t="shared" ca="1" si="82"/>
        <v/>
      </c>
      <c r="U86" s="1165" t="str">
        <f t="shared" ca="1" si="94"/>
        <v/>
      </c>
      <c r="V86" s="1350">
        <f t="shared" ca="1" si="95"/>
        <v>0</v>
      </c>
      <c r="W86" s="1350">
        <f t="shared" ca="1" si="95"/>
        <v>0</v>
      </c>
      <c r="X86" s="1350">
        <f t="shared" ca="1" si="95"/>
        <v>0</v>
      </c>
      <c r="Y86" s="1067" t="str">
        <f t="shared" ca="1" si="96"/>
        <v/>
      </c>
      <c r="Z86" s="1165" t="str">
        <f t="shared" ca="1" si="97"/>
        <v/>
      </c>
      <c r="AA86" s="772"/>
      <c r="AB86" s="871" t="str">
        <f t="shared" ca="1" si="98"/>
        <v/>
      </c>
      <c r="AC86" s="55"/>
      <c r="AD86" s="96"/>
      <c r="AE86" s="96"/>
      <c r="AF86" s="96"/>
      <c r="AG86" s="96"/>
      <c r="AH86" s="96"/>
      <c r="AI86" s="96"/>
      <c r="AJ86" s="96"/>
      <c r="AK86" s="192"/>
      <c r="AL86" s="875"/>
      <c r="AM86" s="875"/>
      <c r="AN86" s="875"/>
      <c r="AO86" s="50"/>
      <c r="AP86" s="97"/>
      <c r="AQ86" s="97"/>
      <c r="AR86" s="97"/>
      <c r="AS86" s="97"/>
      <c r="AT86" s="97"/>
      <c r="AU86" s="97"/>
      <c r="AV86" s="97"/>
      <c r="AW86" s="97"/>
      <c r="AX86" s="97"/>
      <c r="AY86" s="97"/>
      <c r="AZ86" s="97"/>
      <c r="BA86" s="97"/>
      <c r="BB86" s="97"/>
      <c r="BC86" s="97"/>
    </row>
    <row r="87" spans="1:55" ht="12.75" customHeight="1" x14ac:dyDescent="0.3">
      <c r="A87" s="2239"/>
      <c r="B87" s="747" t="str">
        <f>'Q1'!C95</f>
        <v>Hybrid - Medium</v>
      </c>
      <c r="C87" s="1262">
        <f t="shared" ca="1" si="93"/>
        <v>0</v>
      </c>
      <c r="D87" s="768">
        <f t="shared" ca="1" si="93"/>
        <v>0</v>
      </c>
      <c r="E87" s="769">
        <f t="shared" ca="1" si="93"/>
        <v>0</v>
      </c>
      <c r="F87" s="769">
        <f t="shared" ca="1" si="93"/>
        <v>0</v>
      </c>
      <c r="G87" s="769">
        <f t="shared" ca="1" si="93"/>
        <v>0</v>
      </c>
      <c r="H87" s="769">
        <f t="shared" ca="1" si="93"/>
        <v>0</v>
      </c>
      <c r="I87" s="770">
        <f t="shared" ca="1" si="77"/>
        <v>0</v>
      </c>
      <c r="J87" s="872" t="str">
        <f t="shared" ca="1" si="79"/>
        <v/>
      </c>
      <c r="K87" s="782"/>
      <c r="L87" s="773"/>
      <c r="M87" s="774"/>
      <c r="N87" s="775"/>
      <c r="O87" s="776" t="str">
        <f t="shared" ca="1" si="54"/>
        <v/>
      </c>
      <c r="P87" s="777" t="str">
        <f t="shared" ca="1" si="80"/>
        <v/>
      </c>
      <c r="Q87" s="777" t="str">
        <f t="shared" ca="1" si="81"/>
        <v/>
      </c>
      <c r="R87" s="777" t="str">
        <f t="shared" ca="1" si="99"/>
        <v/>
      </c>
      <c r="S87" s="778" t="str">
        <f t="shared" ca="1" si="100"/>
        <v/>
      </c>
      <c r="T87" s="1066" t="str">
        <f t="shared" ca="1" si="82"/>
        <v/>
      </c>
      <c r="U87" s="1165" t="str">
        <f t="shared" ca="1" si="94"/>
        <v/>
      </c>
      <c r="V87" s="1350">
        <f t="shared" ca="1" si="95"/>
        <v>0</v>
      </c>
      <c r="W87" s="1350">
        <f t="shared" ca="1" si="95"/>
        <v>0</v>
      </c>
      <c r="X87" s="1350">
        <f t="shared" ca="1" si="95"/>
        <v>0</v>
      </c>
      <c r="Y87" s="1067" t="str">
        <f t="shared" ca="1" si="96"/>
        <v/>
      </c>
      <c r="Z87" s="1165" t="str">
        <f t="shared" ca="1" si="97"/>
        <v/>
      </c>
      <c r="AA87" s="772"/>
      <c r="AB87" s="871" t="str">
        <f t="shared" ca="1" si="98"/>
        <v/>
      </c>
      <c r="AC87" s="55"/>
      <c r="AD87" s="96"/>
      <c r="AE87" s="96"/>
      <c r="AF87" s="96"/>
      <c r="AG87" s="96"/>
      <c r="AH87" s="96"/>
      <c r="AI87" s="96"/>
      <c r="AJ87" s="96"/>
      <c r="AK87" s="192"/>
      <c r="AL87" s="875"/>
      <c r="AM87" s="875"/>
      <c r="AN87" s="875"/>
      <c r="AO87" s="50"/>
      <c r="AP87" s="97"/>
      <c r="AQ87" s="97"/>
      <c r="AR87" s="97"/>
      <c r="AS87" s="97"/>
      <c r="AT87" s="97"/>
      <c r="AU87" s="97"/>
      <c r="AV87" s="97"/>
      <c r="AW87" s="97"/>
      <c r="AX87" s="97"/>
      <c r="AY87" s="97"/>
      <c r="AZ87" s="97"/>
      <c r="BA87" s="97"/>
      <c r="BB87" s="97"/>
      <c r="BC87" s="97"/>
    </row>
    <row r="88" spans="1:55" ht="12.75" customHeight="1" x14ac:dyDescent="0.3">
      <c r="A88" s="2239"/>
      <c r="B88" s="747" t="str">
        <f>'Q1'!C96</f>
        <v>Hybrid - Large</v>
      </c>
      <c r="C88" s="1262">
        <f t="shared" ca="1" si="93"/>
        <v>0</v>
      </c>
      <c r="D88" s="768">
        <f t="shared" ca="1" si="93"/>
        <v>0</v>
      </c>
      <c r="E88" s="769">
        <f t="shared" ca="1" si="93"/>
        <v>0</v>
      </c>
      <c r="F88" s="769">
        <f t="shared" ca="1" si="93"/>
        <v>0</v>
      </c>
      <c r="G88" s="769">
        <f t="shared" ca="1" si="93"/>
        <v>0</v>
      </c>
      <c r="H88" s="769">
        <f t="shared" ca="1" si="93"/>
        <v>0</v>
      </c>
      <c r="I88" s="770">
        <f t="shared" ca="1" si="77"/>
        <v>0</v>
      </c>
      <c r="J88" s="872" t="str">
        <f t="shared" ca="1" si="79"/>
        <v/>
      </c>
      <c r="K88" s="782"/>
      <c r="L88" s="773"/>
      <c r="M88" s="774"/>
      <c r="N88" s="775"/>
      <c r="O88" s="776" t="str">
        <f t="shared" ca="1" si="54"/>
        <v/>
      </c>
      <c r="P88" s="777" t="str">
        <f t="shared" ca="1" si="80"/>
        <v/>
      </c>
      <c r="Q88" s="777" t="str">
        <f t="shared" ca="1" si="81"/>
        <v/>
      </c>
      <c r="R88" s="777" t="str">
        <f t="shared" ca="1" si="99"/>
        <v/>
      </c>
      <c r="S88" s="778" t="str">
        <f t="shared" ca="1" si="100"/>
        <v/>
      </c>
      <c r="T88" s="1066" t="str">
        <f t="shared" ca="1" si="82"/>
        <v/>
      </c>
      <c r="U88" s="1165" t="str">
        <f t="shared" ca="1" si="94"/>
        <v/>
      </c>
      <c r="V88" s="1350">
        <f t="shared" ca="1" si="95"/>
        <v>0</v>
      </c>
      <c r="W88" s="1350">
        <f t="shared" ca="1" si="95"/>
        <v>0</v>
      </c>
      <c r="X88" s="1350">
        <f t="shared" ca="1" si="95"/>
        <v>0</v>
      </c>
      <c r="Y88" s="1067" t="str">
        <f t="shared" ca="1" si="96"/>
        <v/>
      </c>
      <c r="Z88" s="1165" t="str">
        <f t="shared" ca="1" si="97"/>
        <v/>
      </c>
      <c r="AA88" s="772"/>
      <c r="AB88" s="871" t="str">
        <f t="shared" ca="1" si="98"/>
        <v/>
      </c>
      <c r="AC88" s="55"/>
      <c r="AD88" s="96"/>
      <c r="AE88" s="96"/>
      <c r="AF88" s="96"/>
      <c r="AG88" s="96"/>
      <c r="AH88" s="96"/>
      <c r="AI88" s="96"/>
      <c r="AJ88" s="96"/>
      <c r="AK88" s="192"/>
      <c r="AL88" s="875"/>
      <c r="AM88" s="875"/>
      <c r="AN88" s="875"/>
      <c r="AO88" s="50"/>
      <c r="AP88" s="97"/>
      <c r="AQ88" s="97"/>
      <c r="AR88" s="97"/>
      <c r="AS88" s="97"/>
      <c r="AT88" s="97"/>
      <c r="AU88" s="97"/>
      <c r="AV88" s="97"/>
      <c r="AW88" s="97"/>
      <c r="AX88" s="97"/>
      <c r="AY88" s="97"/>
      <c r="AZ88" s="97"/>
      <c r="BA88" s="97"/>
      <c r="BB88" s="97"/>
      <c r="BC88" s="97"/>
    </row>
    <row r="89" spans="1:55" ht="12.75" customHeight="1" x14ac:dyDescent="0.3">
      <c r="A89" s="2239"/>
      <c r="B89" s="747" t="str">
        <f>'Q1'!C97</f>
        <v>LPG - Average</v>
      </c>
      <c r="C89" s="1262">
        <f t="shared" ref="C89:H99" ca="1" si="101">INDEX(INDIRECT(CONCATENATE("'",C$14,"'!$D$87:$D$107"),TRUE),MATCH($B89,INDIRECT(CONCATENATE("'",C$14,"'!$C$87:$C$107"),TRUE),0))</f>
        <v>0</v>
      </c>
      <c r="D89" s="768">
        <f t="shared" ca="1" si="101"/>
        <v>0</v>
      </c>
      <c r="E89" s="769">
        <f t="shared" ca="1" si="101"/>
        <v>0</v>
      </c>
      <c r="F89" s="769">
        <f t="shared" ca="1" si="101"/>
        <v>0</v>
      </c>
      <c r="G89" s="769">
        <f t="shared" ca="1" si="101"/>
        <v>0</v>
      </c>
      <c r="H89" s="769">
        <f t="shared" ca="1" si="101"/>
        <v>0</v>
      </c>
      <c r="I89" s="770">
        <f t="shared" ca="1" si="77"/>
        <v>0</v>
      </c>
      <c r="J89" s="872" t="str">
        <f t="shared" ca="1" si="79"/>
        <v/>
      </c>
      <c r="K89" s="782"/>
      <c r="L89" s="773"/>
      <c r="M89" s="774"/>
      <c r="N89" s="775"/>
      <c r="O89" s="776" t="str">
        <f t="shared" ca="1" si="54"/>
        <v/>
      </c>
      <c r="P89" s="777" t="str">
        <f t="shared" ca="1" si="80"/>
        <v/>
      </c>
      <c r="Q89" s="777" t="str">
        <f t="shared" ca="1" si="81"/>
        <v/>
      </c>
      <c r="R89" s="777" t="str">
        <f t="shared" ca="1" si="99"/>
        <v/>
      </c>
      <c r="S89" s="778" t="str">
        <f t="shared" ca="1" si="100"/>
        <v/>
      </c>
      <c r="T89" s="1066" t="str">
        <f t="shared" ca="1" si="82"/>
        <v/>
      </c>
      <c r="U89" s="1165" t="str">
        <f t="shared" ca="1" si="94"/>
        <v/>
      </c>
      <c r="V89" s="1350">
        <f t="shared" ca="1" si="95"/>
        <v>0</v>
      </c>
      <c r="W89" s="1350">
        <f t="shared" ca="1" si="95"/>
        <v>0</v>
      </c>
      <c r="X89" s="1350">
        <f t="shared" ca="1" si="95"/>
        <v>0</v>
      </c>
      <c r="Y89" s="1067" t="str">
        <f t="shared" ca="1" si="96"/>
        <v/>
      </c>
      <c r="Z89" s="1165" t="str">
        <f t="shared" ca="1" si="97"/>
        <v/>
      </c>
      <c r="AA89" s="772"/>
      <c r="AB89" s="871" t="str">
        <f t="shared" ca="1" si="98"/>
        <v/>
      </c>
      <c r="AC89" s="55"/>
      <c r="AD89" s="96"/>
      <c r="AE89" s="96"/>
      <c r="AF89" s="96"/>
      <c r="AG89" s="96"/>
      <c r="AH89" s="96"/>
      <c r="AI89" s="96"/>
      <c r="AJ89" s="96"/>
      <c r="AK89" s="192"/>
      <c r="AL89" s="875"/>
      <c r="AM89" s="875"/>
      <c r="AN89" s="875"/>
      <c r="AO89" s="50"/>
      <c r="AP89" s="97"/>
      <c r="AQ89" s="97"/>
      <c r="AR89" s="97"/>
      <c r="AS89" s="97"/>
      <c r="AT89" s="97"/>
      <c r="AU89" s="97"/>
      <c r="AV89" s="97"/>
      <c r="AW89" s="97"/>
      <c r="AX89" s="97"/>
      <c r="AY89" s="97"/>
      <c r="AZ89" s="97"/>
      <c r="BA89" s="97"/>
      <c r="BB89" s="97"/>
      <c r="BC89" s="97"/>
    </row>
    <row r="90" spans="1:55" ht="12.75" customHeight="1" x14ac:dyDescent="0.3">
      <c r="A90" s="2239"/>
      <c r="B90" s="747" t="str">
        <f>'Q1'!C98</f>
        <v>Unknown - Average</v>
      </c>
      <c r="C90" s="1262">
        <f t="shared" ca="1" si="101"/>
        <v>12714336.17</v>
      </c>
      <c r="D90" s="768">
        <f t="shared" ca="1" si="101"/>
        <v>12365451.85</v>
      </c>
      <c r="E90" s="769">
        <f t="shared" ca="1" si="101"/>
        <v>13042866</v>
      </c>
      <c r="F90" s="769">
        <f t="shared" ca="1" si="101"/>
        <v>9681339</v>
      </c>
      <c r="G90" s="769">
        <f t="shared" ca="1" si="101"/>
        <v>15401114</v>
      </c>
      <c r="H90" s="769">
        <f t="shared" ca="1" si="101"/>
        <v>50490770.850000001</v>
      </c>
      <c r="I90" s="770">
        <f t="shared" ca="1" si="77"/>
        <v>12622692.7125</v>
      </c>
      <c r="J90" s="872" t="str">
        <f t="shared" ca="1" si="79"/>
        <v/>
      </c>
      <c r="K90" s="782"/>
      <c r="L90" s="773"/>
      <c r="M90" s="774"/>
      <c r="N90" s="775"/>
      <c r="O90" s="776">
        <f t="shared" ca="1" si="54"/>
        <v>2.8214441674446398E-2</v>
      </c>
      <c r="P90" s="777">
        <f t="shared" ca="1" si="80"/>
        <v>-2.5188469313416246E-2</v>
      </c>
      <c r="Q90" s="777">
        <f t="shared" ca="1" si="81"/>
        <v>0.31328281862663832</v>
      </c>
      <c r="R90" s="777">
        <f t="shared" ca="1" si="99"/>
        <v>-0.1744534733006976</v>
      </c>
      <c r="S90" s="778">
        <f t="shared" ca="1" si="100"/>
        <v>7.2602145665200948E-3</v>
      </c>
      <c r="T90" s="1066">
        <f t="shared" ca="1" si="82"/>
        <v>0.31328281862663832</v>
      </c>
      <c r="U90" s="1165" t="str">
        <f t="shared" ca="1" si="94"/>
        <v>H</v>
      </c>
      <c r="V90" s="1350">
        <f t="shared" ca="1" si="95"/>
        <v>2251.7089357069999</v>
      </c>
      <c r="W90" s="1350">
        <f t="shared" ca="1" si="95"/>
        <v>2233.6952221840002</v>
      </c>
      <c r="X90" s="1350">
        <f t="shared" ca="1" si="95"/>
        <v>9120.652846343999</v>
      </c>
      <c r="Y90" s="1067">
        <f t="shared" ca="1" si="96"/>
        <v>9.5944612996575074E-3</v>
      </c>
      <c r="Z90" s="1165" t="str">
        <f t="shared" ca="1" si="97"/>
        <v>M</v>
      </c>
      <c r="AA90" s="772"/>
      <c r="AB90" s="871" t="str">
        <f t="shared" ca="1" si="98"/>
        <v xml:space="preserve">        Value change with medium impact </v>
      </c>
      <c r="AC90" s="55"/>
      <c r="AD90" s="96"/>
      <c r="AE90" s="96"/>
      <c r="AF90" s="96"/>
      <c r="AG90" s="96"/>
      <c r="AH90" s="96"/>
      <c r="AI90" s="96"/>
      <c r="AJ90" s="96"/>
      <c r="AK90" s="192"/>
      <c r="AL90" s="875"/>
      <c r="AM90" s="875"/>
      <c r="AN90" s="875"/>
      <c r="AO90" s="50"/>
      <c r="AP90" s="97"/>
      <c r="AQ90" s="97"/>
      <c r="AR90" s="97"/>
      <c r="AS90" s="97"/>
      <c r="AT90" s="97"/>
      <c r="AU90" s="97"/>
      <c r="AV90" s="97"/>
      <c r="AW90" s="97"/>
      <c r="AX90" s="97"/>
      <c r="AY90" s="97"/>
      <c r="AZ90" s="97"/>
      <c r="BA90" s="97"/>
      <c r="BB90" s="97"/>
      <c r="BC90" s="97"/>
    </row>
    <row r="91" spans="1:55" ht="12.75" customHeight="1" x14ac:dyDescent="0.3">
      <c r="A91" s="2239"/>
      <c r="B91" s="747" t="str">
        <f>'Q1'!C99</f>
        <v>Small petrol motorbike (mopeds/scooters up to 125cc)</v>
      </c>
      <c r="C91" s="1262">
        <f t="shared" ca="1" si="101"/>
        <v>0</v>
      </c>
      <c r="D91" s="768">
        <f t="shared" ca="1" si="101"/>
        <v>0</v>
      </c>
      <c r="E91" s="769">
        <f t="shared" ca="1" si="101"/>
        <v>0</v>
      </c>
      <c r="F91" s="769">
        <f t="shared" ca="1" si="101"/>
        <v>0</v>
      </c>
      <c r="G91" s="769">
        <f t="shared" ca="1" si="101"/>
        <v>0</v>
      </c>
      <c r="H91" s="769">
        <f t="shared" ca="1" si="101"/>
        <v>0</v>
      </c>
      <c r="I91" s="770">
        <f t="shared" ca="1" si="77"/>
        <v>0</v>
      </c>
      <c r="J91" s="872" t="str">
        <f t="shared" ca="1" si="79"/>
        <v/>
      </c>
      <c r="K91" s="782"/>
      <c r="L91" s="773"/>
      <c r="M91" s="774"/>
      <c r="N91" s="775"/>
      <c r="O91" s="776" t="str">
        <f t="shared" ca="1" si="54"/>
        <v/>
      </c>
      <c r="P91" s="777" t="str">
        <f t="shared" ca="1" si="80"/>
        <v/>
      </c>
      <c r="Q91" s="777" t="str">
        <f t="shared" ca="1" si="81"/>
        <v/>
      </c>
      <c r="R91" s="777" t="str">
        <f t="shared" ca="1" si="99"/>
        <v/>
      </c>
      <c r="S91" s="778" t="str">
        <f t="shared" ca="1" si="100"/>
        <v/>
      </c>
      <c r="T91" s="1066" t="str">
        <f t="shared" ca="1" si="82"/>
        <v/>
      </c>
      <c r="U91" s="1165" t="str">
        <f t="shared" ca="1" si="94"/>
        <v/>
      </c>
      <c r="V91" s="1350">
        <f t="shared" ca="1" si="95"/>
        <v>0</v>
      </c>
      <c r="W91" s="1350">
        <f t="shared" ca="1" si="95"/>
        <v>0</v>
      </c>
      <c r="X91" s="1350">
        <f t="shared" ca="1" si="95"/>
        <v>0</v>
      </c>
      <c r="Y91" s="1067" t="str">
        <f t="shared" ca="1" si="96"/>
        <v/>
      </c>
      <c r="Z91" s="1165" t="str">
        <f t="shared" ca="1" si="97"/>
        <v/>
      </c>
      <c r="AA91" s="772"/>
      <c r="AB91" s="871" t="str">
        <f t="shared" ca="1" si="98"/>
        <v/>
      </c>
      <c r="AC91" s="55"/>
      <c r="AD91" s="96"/>
      <c r="AE91" s="96"/>
      <c r="AF91" s="96"/>
      <c r="AG91" s="96"/>
      <c r="AH91" s="96"/>
      <c r="AI91" s="96"/>
      <c r="AJ91" s="96"/>
      <c r="AK91" s="192"/>
      <c r="AL91" s="875"/>
      <c r="AM91" s="875"/>
      <c r="AN91" s="875"/>
      <c r="AO91" s="50"/>
      <c r="AP91" s="97"/>
      <c r="AQ91" s="97"/>
      <c r="AR91" s="97"/>
      <c r="AS91" s="97"/>
      <c r="AT91" s="97"/>
      <c r="AU91" s="97"/>
      <c r="AV91" s="97"/>
      <c r="AW91" s="97"/>
      <c r="AX91" s="97"/>
      <c r="AY91" s="97"/>
      <c r="AZ91" s="97"/>
      <c r="BA91" s="97"/>
      <c r="BB91" s="97"/>
      <c r="BC91" s="97"/>
    </row>
    <row r="92" spans="1:55" ht="12.75" customHeight="1" x14ac:dyDescent="0.3">
      <c r="A92" s="2239"/>
      <c r="B92" s="747" t="str">
        <f>'Q1'!C100</f>
        <v>Medium petrol motorbike (125-500cc)</v>
      </c>
      <c r="C92" s="1262">
        <f t="shared" ca="1" si="101"/>
        <v>0</v>
      </c>
      <c r="D92" s="768">
        <f t="shared" ca="1" si="101"/>
        <v>0</v>
      </c>
      <c r="E92" s="769">
        <f t="shared" ca="1" si="101"/>
        <v>0</v>
      </c>
      <c r="F92" s="769">
        <f t="shared" ca="1" si="101"/>
        <v>0</v>
      </c>
      <c r="G92" s="769">
        <f t="shared" ca="1" si="101"/>
        <v>0</v>
      </c>
      <c r="H92" s="769">
        <f t="shared" ca="1" si="101"/>
        <v>0</v>
      </c>
      <c r="I92" s="770">
        <f t="shared" ca="1" si="77"/>
        <v>0</v>
      </c>
      <c r="J92" s="872" t="str">
        <f t="shared" ca="1" si="79"/>
        <v/>
      </c>
      <c r="K92" s="782"/>
      <c r="L92" s="773"/>
      <c r="M92" s="774"/>
      <c r="N92" s="775"/>
      <c r="O92" s="776" t="str">
        <f t="shared" ca="1" si="54"/>
        <v/>
      </c>
      <c r="P92" s="777" t="str">
        <f t="shared" ca="1" si="80"/>
        <v/>
      </c>
      <c r="Q92" s="777" t="str">
        <f t="shared" ca="1" si="81"/>
        <v/>
      </c>
      <c r="R92" s="777" t="str">
        <f t="shared" ca="1" si="99"/>
        <v/>
      </c>
      <c r="S92" s="778" t="str">
        <f t="shared" ca="1" si="100"/>
        <v/>
      </c>
      <c r="T92" s="1066" t="str">
        <f t="shared" ca="1" si="82"/>
        <v/>
      </c>
      <c r="U92" s="1165" t="str">
        <f t="shared" ca="1" si="94"/>
        <v/>
      </c>
      <c r="V92" s="1350">
        <f t="shared" ca="1" si="95"/>
        <v>0</v>
      </c>
      <c r="W92" s="1350">
        <f t="shared" ca="1" si="95"/>
        <v>0</v>
      </c>
      <c r="X92" s="1350">
        <f t="shared" ca="1" si="95"/>
        <v>0</v>
      </c>
      <c r="Y92" s="1067" t="str">
        <f t="shared" ca="1" si="96"/>
        <v/>
      </c>
      <c r="Z92" s="1165" t="str">
        <f t="shared" ca="1" si="97"/>
        <v/>
      </c>
      <c r="AA92" s="772"/>
      <c r="AB92" s="871" t="str">
        <f t="shared" ca="1" si="98"/>
        <v/>
      </c>
      <c r="AC92" s="55"/>
      <c r="AD92" s="96"/>
      <c r="AE92" s="96"/>
      <c r="AF92" s="96"/>
      <c r="AG92" s="96"/>
      <c r="AH92" s="96"/>
      <c r="AI92" s="96"/>
      <c r="AJ92" s="96"/>
      <c r="AK92" s="192"/>
      <c r="AL92" s="875"/>
      <c r="AM92" s="875"/>
      <c r="AN92" s="875"/>
      <c r="AO92" s="50"/>
      <c r="AP92" s="97"/>
      <c r="AQ92" s="97"/>
      <c r="AR92" s="97"/>
      <c r="AS92" s="97"/>
      <c r="AT92" s="97"/>
      <c r="AU92" s="97"/>
      <c r="AV92" s="97"/>
      <c r="AW92" s="97"/>
      <c r="AX92" s="97"/>
      <c r="AY92" s="97"/>
      <c r="AZ92" s="97"/>
      <c r="BA92" s="97"/>
      <c r="BB92" s="97"/>
      <c r="BC92" s="97"/>
    </row>
    <row r="93" spans="1:55" ht="12.75" customHeight="1" x14ac:dyDescent="0.3">
      <c r="A93" s="2239"/>
      <c r="B93" s="747" t="str">
        <f>'Q1'!C101</f>
        <v>Large petrol motorbike (over 500cc)</v>
      </c>
      <c r="C93" s="1262">
        <f t="shared" ca="1" si="101"/>
        <v>0</v>
      </c>
      <c r="D93" s="768">
        <f t="shared" ca="1" si="101"/>
        <v>0</v>
      </c>
      <c r="E93" s="769">
        <f t="shared" ca="1" si="101"/>
        <v>0</v>
      </c>
      <c r="F93" s="769">
        <f t="shared" ca="1" si="101"/>
        <v>0</v>
      </c>
      <c r="G93" s="769">
        <f t="shared" ca="1" si="101"/>
        <v>0</v>
      </c>
      <c r="H93" s="769">
        <f t="shared" ca="1" si="101"/>
        <v>0</v>
      </c>
      <c r="I93" s="770">
        <f t="shared" ca="1" si="77"/>
        <v>0</v>
      </c>
      <c r="J93" s="872" t="str">
        <f t="shared" ca="1" si="79"/>
        <v/>
      </c>
      <c r="K93" s="782"/>
      <c r="L93" s="773"/>
      <c r="M93" s="774"/>
      <c r="N93" s="775"/>
      <c r="O93" s="776" t="str">
        <f t="shared" ca="1" si="54"/>
        <v/>
      </c>
      <c r="P93" s="777" t="str">
        <f t="shared" ca="1" si="80"/>
        <v/>
      </c>
      <c r="Q93" s="777" t="str">
        <f t="shared" ca="1" si="81"/>
        <v/>
      </c>
      <c r="R93" s="777" t="str">
        <f t="shared" ca="1" si="99"/>
        <v/>
      </c>
      <c r="S93" s="778" t="str">
        <f t="shared" ca="1" si="100"/>
        <v/>
      </c>
      <c r="T93" s="1066" t="str">
        <f t="shared" ca="1" si="82"/>
        <v/>
      </c>
      <c r="U93" s="1165" t="str">
        <f t="shared" ca="1" si="94"/>
        <v/>
      </c>
      <c r="V93" s="1350">
        <f t="shared" ca="1" si="95"/>
        <v>0</v>
      </c>
      <c r="W93" s="1350">
        <f t="shared" ca="1" si="95"/>
        <v>0</v>
      </c>
      <c r="X93" s="1350">
        <f t="shared" ca="1" si="95"/>
        <v>0</v>
      </c>
      <c r="Y93" s="1067" t="str">
        <f t="shared" ca="1" si="96"/>
        <v/>
      </c>
      <c r="Z93" s="1165" t="str">
        <f t="shared" ca="1" si="97"/>
        <v/>
      </c>
      <c r="AA93" s="772"/>
      <c r="AB93" s="871" t="str">
        <f t="shared" ca="1" si="98"/>
        <v/>
      </c>
      <c r="AC93" s="55"/>
      <c r="AD93" s="96"/>
      <c r="AE93" s="96"/>
      <c r="AF93" s="96"/>
      <c r="AG93" s="96"/>
      <c r="AH93" s="96"/>
      <c r="AI93" s="96"/>
      <c r="AJ93" s="96"/>
      <c r="AK93" s="192"/>
      <c r="AL93" s="875"/>
      <c r="AM93" s="875"/>
      <c r="AN93" s="875"/>
      <c r="AO93" s="50"/>
      <c r="AP93" s="97"/>
      <c r="AQ93" s="97"/>
      <c r="AR93" s="97"/>
      <c r="AS93" s="97"/>
      <c r="AT93" s="97"/>
      <c r="AU93" s="97"/>
      <c r="AV93" s="97"/>
      <c r="AW93" s="97"/>
      <c r="AX93" s="97"/>
      <c r="AY93" s="97"/>
      <c r="AZ93" s="97"/>
      <c r="BA93" s="97"/>
      <c r="BB93" s="97"/>
      <c r="BC93" s="97"/>
    </row>
    <row r="94" spans="1:55" ht="12.75" customHeight="1" x14ac:dyDescent="0.3">
      <c r="A94" s="2239"/>
      <c r="B94" s="747" t="str">
        <f>'Q1'!C102</f>
        <v>Average petrol motorbike (unknown engine size)</v>
      </c>
      <c r="C94" s="1262">
        <f t="shared" ca="1" si="101"/>
        <v>0</v>
      </c>
      <c r="D94" s="768">
        <f t="shared" ca="1" si="101"/>
        <v>0</v>
      </c>
      <c r="E94" s="769">
        <f t="shared" ca="1" si="101"/>
        <v>0</v>
      </c>
      <c r="F94" s="769">
        <f t="shared" ca="1" si="101"/>
        <v>0</v>
      </c>
      <c r="G94" s="769">
        <f t="shared" ca="1" si="101"/>
        <v>0</v>
      </c>
      <c r="H94" s="769">
        <f t="shared" ca="1" si="101"/>
        <v>0</v>
      </c>
      <c r="I94" s="770">
        <f t="shared" ca="1" si="77"/>
        <v>0</v>
      </c>
      <c r="J94" s="872" t="str">
        <f t="shared" ca="1" si="79"/>
        <v/>
      </c>
      <c r="K94" s="782"/>
      <c r="L94" s="773"/>
      <c r="M94" s="774"/>
      <c r="N94" s="775"/>
      <c r="O94" s="776" t="str">
        <f t="shared" ca="1" si="54"/>
        <v/>
      </c>
      <c r="P94" s="777" t="str">
        <f t="shared" ca="1" si="80"/>
        <v/>
      </c>
      <c r="Q94" s="777" t="str">
        <f t="shared" ca="1" si="81"/>
        <v/>
      </c>
      <c r="R94" s="777" t="str">
        <f t="shared" ca="1" si="99"/>
        <v/>
      </c>
      <c r="S94" s="778" t="str">
        <f t="shared" ca="1" si="100"/>
        <v/>
      </c>
      <c r="T94" s="1066" t="str">
        <f t="shared" ca="1" si="82"/>
        <v/>
      </c>
      <c r="U94" s="1165" t="str">
        <f t="shared" ca="1" si="94"/>
        <v/>
      </c>
      <c r="V94" s="1350">
        <f t="shared" ca="1" si="95"/>
        <v>0</v>
      </c>
      <c r="W94" s="1350">
        <f t="shared" ca="1" si="95"/>
        <v>0</v>
      </c>
      <c r="X94" s="1350">
        <f t="shared" ca="1" si="95"/>
        <v>0</v>
      </c>
      <c r="Y94" s="1067" t="str">
        <f t="shared" ca="1" si="96"/>
        <v/>
      </c>
      <c r="Z94" s="1165" t="str">
        <f t="shared" ca="1" si="97"/>
        <v/>
      </c>
      <c r="AA94" s="772"/>
      <c r="AB94" s="871" t="str">
        <f t="shared" ca="1" si="98"/>
        <v/>
      </c>
      <c r="AC94" s="55"/>
      <c r="AD94" s="96"/>
      <c r="AE94" s="96"/>
      <c r="AF94" s="96"/>
      <c r="AG94" s="96"/>
      <c r="AH94" s="96"/>
      <c r="AI94" s="96"/>
      <c r="AJ94" s="96"/>
      <c r="AK94" s="192"/>
      <c r="AL94" s="875"/>
      <c r="AM94" s="875"/>
      <c r="AN94" s="875"/>
      <c r="AO94" s="50"/>
      <c r="AP94" s="97"/>
      <c r="AQ94" s="97"/>
      <c r="AR94" s="97"/>
      <c r="AS94" s="97"/>
      <c r="AT94" s="97"/>
      <c r="AU94" s="97"/>
      <c r="AV94" s="97"/>
      <c r="AW94" s="97"/>
      <c r="AX94" s="97"/>
      <c r="AY94" s="97"/>
      <c r="AZ94" s="97"/>
      <c r="BA94" s="97"/>
      <c r="BB94" s="97"/>
      <c r="BC94" s="97"/>
    </row>
    <row r="95" spans="1:55" ht="12.75" customHeight="1" x14ac:dyDescent="0.3">
      <c r="A95" s="2239"/>
      <c r="B95" s="747" t="str">
        <f>'Q1'!C103</f>
        <v>Other 1 (enter CO2 factor and specify fuel in "Notes")</v>
      </c>
      <c r="C95" s="1262">
        <f t="shared" ca="1" si="101"/>
        <v>0</v>
      </c>
      <c r="D95" s="768">
        <f t="shared" ca="1" si="101"/>
        <v>0</v>
      </c>
      <c r="E95" s="769">
        <f t="shared" ca="1" si="101"/>
        <v>0</v>
      </c>
      <c r="F95" s="769">
        <f t="shared" ca="1" si="101"/>
        <v>0</v>
      </c>
      <c r="G95" s="769">
        <f t="shared" ca="1" si="101"/>
        <v>0</v>
      </c>
      <c r="H95" s="769">
        <f t="shared" ca="1" si="101"/>
        <v>0</v>
      </c>
      <c r="I95" s="770">
        <f t="shared" ca="1" si="77"/>
        <v>0</v>
      </c>
      <c r="J95" s="872" t="str">
        <f t="shared" ca="1" si="79"/>
        <v/>
      </c>
      <c r="K95" s="782"/>
      <c r="L95" s="891" t="str">
        <f ca="1">IF(C95&gt;0,'Q1'!E103,"")</f>
        <v/>
      </c>
      <c r="M95" s="785" t="str">
        <f ca="1">IF(L95="","",IF('Q1'!I103=0,"Fuel type not stated",'Q1'!I103))</f>
        <v/>
      </c>
      <c r="N95" s="772"/>
      <c r="O95" s="776" t="str">
        <f t="shared" ca="1" si="54"/>
        <v/>
      </c>
      <c r="P95" s="777" t="str">
        <f t="shared" ca="1" si="80"/>
        <v/>
      </c>
      <c r="Q95" s="777" t="str">
        <f t="shared" ca="1" si="81"/>
        <v/>
      </c>
      <c r="R95" s="777" t="str">
        <f t="shared" ca="1" si="99"/>
        <v/>
      </c>
      <c r="S95" s="778" t="str">
        <f t="shared" ca="1" si="100"/>
        <v/>
      </c>
      <c r="T95" s="1066" t="str">
        <f t="shared" ca="1" si="82"/>
        <v/>
      </c>
      <c r="U95" s="1165" t="str">
        <f t="shared" ca="1" si="94"/>
        <v/>
      </c>
      <c r="V95" s="1350">
        <f t="shared" ca="1" si="95"/>
        <v>0</v>
      </c>
      <c r="W95" s="1350">
        <f t="shared" ca="1" si="95"/>
        <v>0</v>
      </c>
      <c r="X95" s="1350">
        <f t="shared" ca="1" si="95"/>
        <v>0</v>
      </c>
      <c r="Y95" s="1067" t="str">
        <f t="shared" ca="1" si="96"/>
        <v/>
      </c>
      <c r="Z95" s="1165" t="str">
        <f t="shared" ca="1" si="97"/>
        <v/>
      </c>
      <c r="AA95" s="772"/>
      <c r="AB95" s="871" t="str">
        <f t="shared" ca="1" si="98"/>
        <v/>
      </c>
      <c r="AC95" s="55"/>
      <c r="AD95" s="96"/>
      <c r="AE95" s="96"/>
      <c r="AF95" s="96"/>
      <c r="AG95" s="96"/>
      <c r="AH95" s="96"/>
      <c r="AI95" s="96"/>
      <c r="AJ95" s="96"/>
      <c r="AK95" s="192"/>
      <c r="AL95" s="875"/>
      <c r="AM95" s="875"/>
      <c r="AN95" s="875"/>
      <c r="AO95" s="50"/>
      <c r="AP95" s="97"/>
      <c r="AQ95" s="97"/>
      <c r="AR95" s="97"/>
      <c r="AS95" s="97"/>
      <c r="AT95" s="97"/>
      <c r="AU95" s="97"/>
      <c r="AV95" s="97"/>
      <c r="AW95" s="97"/>
      <c r="AX95" s="97"/>
      <c r="AY95" s="97"/>
      <c r="AZ95" s="97"/>
      <c r="BA95" s="97"/>
      <c r="BB95" s="97"/>
      <c r="BC95" s="97"/>
    </row>
    <row r="96" spans="1:55" ht="12.75" customHeight="1" x14ac:dyDescent="0.3">
      <c r="A96" s="2239"/>
      <c r="B96" s="747" t="str">
        <f>'Q1'!C104</f>
        <v>Other 2 (enter CO2 factor and specify fuel in "Notes")</v>
      </c>
      <c r="C96" s="1262">
        <f t="shared" ca="1" si="101"/>
        <v>0</v>
      </c>
      <c r="D96" s="768">
        <f t="shared" ca="1" si="101"/>
        <v>0</v>
      </c>
      <c r="E96" s="769">
        <f t="shared" ca="1" si="101"/>
        <v>0</v>
      </c>
      <c r="F96" s="769">
        <f t="shared" ca="1" si="101"/>
        <v>0</v>
      </c>
      <c r="G96" s="769">
        <f t="shared" ca="1" si="101"/>
        <v>0</v>
      </c>
      <c r="H96" s="769">
        <f t="shared" ca="1" si="101"/>
        <v>0</v>
      </c>
      <c r="I96" s="770">
        <f t="shared" ca="1" si="77"/>
        <v>0</v>
      </c>
      <c r="J96" s="872" t="str">
        <f t="shared" ca="1" si="79"/>
        <v/>
      </c>
      <c r="K96" s="782"/>
      <c r="L96" s="784" t="str">
        <f ca="1">IF(C96&gt;0,'Q1'!E104,"")</f>
        <v/>
      </c>
      <c r="M96" s="785" t="str">
        <f ca="1">IF(L96="","",IF('Q1'!I104=0,"Fuel type not stated",'Q1'!I104))</f>
        <v/>
      </c>
      <c r="N96" s="772"/>
      <c r="O96" s="776" t="str">
        <f t="shared" ca="1" si="54"/>
        <v/>
      </c>
      <c r="P96" s="777" t="str">
        <f t="shared" ca="1" si="80"/>
        <v/>
      </c>
      <c r="Q96" s="777" t="str">
        <f t="shared" ca="1" si="81"/>
        <v/>
      </c>
      <c r="R96" s="777" t="str">
        <f t="shared" ca="1" si="99"/>
        <v/>
      </c>
      <c r="S96" s="778" t="str">
        <f t="shared" ca="1" si="100"/>
        <v/>
      </c>
      <c r="T96" s="1066" t="str">
        <f t="shared" ca="1" si="82"/>
        <v/>
      </c>
      <c r="U96" s="1165" t="str">
        <f t="shared" ca="1" si="94"/>
        <v/>
      </c>
      <c r="V96" s="1350">
        <f t="shared" ca="1" si="95"/>
        <v>0</v>
      </c>
      <c r="W96" s="1350">
        <f t="shared" ca="1" si="95"/>
        <v>0</v>
      </c>
      <c r="X96" s="1350">
        <f t="shared" ca="1" si="95"/>
        <v>0</v>
      </c>
      <c r="Y96" s="1067" t="str">
        <f t="shared" ca="1" si="96"/>
        <v/>
      </c>
      <c r="Z96" s="1165" t="str">
        <f t="shared" ca="1" si="97"/>
        <v/>
      </c>
      <c r="AA96" s="772"/>
      <c r="AB96" s="871" t="str">
        <f t="shared" ca="1" si="98"/>
        <v/>
      </c>
      <c r="AC96" s="55"/>
      <c r="AD96" s="96"/>
      <c r="AE96" s="96"/>
      <c r="AF96" s="96"/>
      <c r="AG96" s="96"/>
      <c r="AH96" s="96"/>
      <c r="AI96" s="96"/>
      <c r="AJ96" s="96"/>
      <c r="AK96" s="192"/>
      <c r="AL96" s="875"/>
      <c r="AM96" s="875"/>
      <c r="AN96" s="875"/>
      <c r="AO96" s="50"/>
      <c r="AP96" s="97"/>
      <c r="AQ96" s="97"/>
      <c r="AR96" s="97"/>
      <c r="AS96" s="97"/>
      <c r="AT96" s="97"/>
      <c r="AU96" s="97"/>
      <c r="AV96" s="97"/>
      <c r="AW96" s="97"/>
      <c r="AX96" s="97"/>
      <c r="AY96" s="97"/>
      <c r="AZ96" s="97"/>
      <c r="BA96" s="97"/>
      <c r="BB96" s="97"/>
      <c r="BC96" s="97"/>
    </row>
    <row r="97" spans="1:55" ht="12.75" customHeight="1" x14ac:dyDescent="0.3">
      <c r="A97" s="2239"/>
      <c r="B97" s="747" t="str">
        <f>'Q1'!C105</f>
        <v>Other 3 (enter CO2 factor and specify fuel in "Notes")</v>
      </c>
      <c r="C97" s="1262">
        <f t="shared" ca="1" si="101"/>
        <v>0</v>
      </c>
      <c r="D97" s="768">
        <f t="shared" ca="1" si="101"/>
        <v>0</v>
      </c>
      <c r="E97" s="769">
        <f t="shared" ca="1" si="101"/>
        <v>0</v>
      </c>
      <c r="F97" s="769">
        <f t="shared" ca="1" si="101"/>
        <v>0</v>
      </c>
      <c r="G97" s="769">
        <f t="shared" ca="1" si="101"/>
        <v>0</v>
      </c>
      <c r="H97" s="769">
        <f t="shared" ca="1" si="101"/>
        <v>0</v>
      </c>
      <c r="I97" s="770">
        <f t="shared" ca="1" si="77"/>
        <v>0</v>
      </c>
      <c r="J97" s="872" t="str">
        <f t="shared" ref="J97:J99" ca="1" si="102">IF(AND(C97&gt;0,SUM(D97:I97)&gt;0),"",IF(AND(C97=0,SUM(C97:I97)=0),"",IF(AND(C97=0,D97&gt;0),"Missing value?",IF(AND(C97=0,I97&gt;0),"Missing value?","New category"))))</f>
        <v/>
      </c>
      <c r="K97" s="782"/>
      <c r="L97" s="784" t="str">
        <f ca="1">IF(C97&gt;0,'Q1'!E105,"")</f>
        <v/>
      </c>
      <c r="M97" s="785" t="str">
        <f ca="1">IF(L97="","",IF('Q1'!I105=0,"Fuel type not stated",'Q1'!I105))</f>
        <v/>
      </c>
      <c r="N97" s="772"/>
      <c r="O97" s="776" t="str">
        <f t="shared" ca="1" si="54"/>
        <v/>
      </c>
      <c r="P97" s="777" t="str">
        <f t="shared" ca="1" si="80"/>
        <v/>
      </c>
      <c r="Q97" s="777" t="str">
        <f t="shared" ca="1" si="81"/>
        <v/>
      </c>
      <c r="R97" s="777" t="str">
        <f t="shared" ca="1" si="99"/>
        <v/>
      </c>
      <c r="S97" s="778" t="str">
        <f t="shared" ca="1" si="100"/>
        <v/>
      </c>
      <c r="T97" s="1066" t="str">
        <f t="shared" ref="T97:T99" ca="1" si="103">IF(SUM(C97:I97)=0,"",IF(OR(AND(C97=0,SUM(D97:I97)&gt;0),AND(C97&gt;0,SUM(D97:I97)=0)),1,IF(MAX(IF(O97&lt;0,-O97,O97),IF(P97&lt;0,-P97,P97),IF(Q97&lt;0,-Q97,Q97),IF(R97&lt;0,-R97,R97),IF(S97&lt;0,-S97,S97))=0,"",MAX(IF(O97&lt;0,-O97,O97),IF(P97&lt;0,-P97,P97),IF(Q97&lt;0,-Q97,Q97),IF(R97&lt;0,-R97,R97),IF(S97&lt;0,-S97,S97)))))</f>
        <v/>
      </c>
      <c r="U97" s="1165" t="str">
        <f t="shared" ca="1" si="94"/>
        <v/>
      </c>
      <c r="V97" s="1350">
        <f t="shared" ca="1" si="95"/>
        <v>0</v>
      </c>
      <c r="W97" s="1350">
        <f t="shared" ca="1" si="95"/>
        <v>0</v>
      </c>
      <c r="X97" s="1350">
        <f t="shared" ca="1" si="95"/>
        <v>0</v>
      </c>
      <c r="Y97" s="1067" t="str">
        <f t="shared" ca="1" si="96"/>
        <v/>
      </c>
      <c r="Z97" s="1165" t="str">
        <f t="shared" ca="1" si="97"/>
        <v/>
      </c>
      <c r="AA97" s="772"/>
      <c r="AB97" s="871" t="str">
        <f t="shared" ref="AB97:AB99" ca="1" si="104">IF((CONCATENATE(IF(K97="OK","",J97), "    ",IF(L97="","",IF(N97="OK","",CONCATENATE(M97," = ",ROUND(L97,3),"kgCO2e/kWh"))),"    ",IF(AND(+AA97="",Z97="M"),"Value change with medium impact",IF(AND(AA97="",Z97="H"),"Value change with high impact",""))," "))="         ","",(CONCATENATE(IF(K97="OK","",J97), "    ",IF(L97="","",IF(N97="OK","",CONCATENATE(M97," = ",ROUND(L97,3),"kgCO2e/kWh"))),"    ",IF(AND(+AA97="",Z97="M"),"Value change with medium impact",IF(AND(AA97="",Z97="H"),"Value change with high impact",""))," ")))</f>
        <v/>
      </c>
      <c r="AC97" s="55"/>
      <c r="AD97" s="96"/>
      <c r="AE97" s="96"/>
      <c r="AF97" s="96"/>
      <c r="AG97" s="96"/>
      <c r="AH97" s="96"/>
      <c r="AI97" s="96"/>
      <c r="AJ97" s="96"/>
      <c r="AK97" s="192"/>
      <c r="AL97" s="875"/>
      <c r="AM97" s="875"/>
      <c r="AN97" s="875"/>
      <c r="AO97" s="50"/>
      <c r="AP97" s="97"/>
      <c r="AQ97" s="97"/>
      <c r="AR97" s="97"/>
      <c r="AS97" s="97"/>
      <c r="AT97" s="97"/>
      <c r="AU97" s="97"/>
      <c r="AV97" s="97"/>
      <c r="AW97" s="97"/>
      <c r="AX97" s="97"/>
      <c r="AY97" s="97"/>
      <c r="AZ97" s="97"/>
      <c r="BA97" s="97"/>
      <c r="BB97" s="97"/>
      <c r="BC97" s="97"/>
    </row>
    <row r="98" spans="1:55" ht="12.75" customHeight="1" x14ac:dyDescent="0.3">
      <c r="A98" s="2239"/>
      <c r="B98" s="747" t="str">
        <f>'Q1'!C106</f>
        <v>Other 4 (enter CO2 factor and specify fuel in "Notes")</v>
      </c>
      <c r="C98" s="1262">
        <f t="shared" ca="1" si="101"/>
        <v>0</v>
      </c>
      <c r="D98" s="768">
        <f t="shared" ca="1" si="101"/>
        <v>0</v>
      </c>
      <c r="E98" s="769">
        <f t="shared" ca="1" si="101"/>
        <v>0</v>
      </c>
      <c r="F98" s="769">
        <f t="shared" ca="1" si="101"/>
        <v>0</v>
      </c>
      <c r="G98" s="769">
        <f t="shared" ca="1" si="101"/>
        <v>0</v>
      </c>
      <c r="H98" s="769">
        <f t="shared" ca="1" si="101"/>
        <v>0</v>
      </c>
      <c r="I98" s="770">
        <f t="shared" ca="1" si="77"/>
        <v>0</v>
      </c>
      <c r="J98" s="872" t="str">
        <f t="shared" ca="1" si="102"/>
        <v/>
      </c>
      <c r="K98" s="782"/>
      <c r="L98" s="784" t="str">
        <f ca="1">IF(C98&gt;0,'Q1'!E106,"")</f>
        <v/>
      </c>
      <c r="M98" s="785" t="str">
        <f ca="1">IF(L98="","",IF('Q1'!I106=0,"Fuel type not stated",'Q1'!I106))</f>
        <v/>
      </c>
      <c r="N98" s="772"/>
      <c r="O98" s="776" t="str">
        <f t="shared" ca="1" si="54"/>
        <v/>
      </c>
      <c r="P98" s="777" t="str">
        <f t="shared" ca="1" si="80"/>
        <v/>
      </c>
      <c r="Q98" s="777" t="str">
        <f t="shared" ca="1" si="81"/>
        <v/>
      </c>
      <c r="R98" s="777" t="str">
        <f t="shared" ca="1" si="99"/>
        <v/>
      </c>
      <c r="S98" s="778" t="str">
        <f t="shared" ca="1" si="100"/>
        <v/>
      </c>
      <c r="T98" s="1066" t="str">
        <f t="shared" ca="1" si="103"/>
        <v/>
      </c>
      <c r="U98" s="1165" t="str">
        <f t="shared" ca="1" si="94"/>
        <v/>
      </c>
      <c r="V98" s="1350">
        <f t="shared" ca="1" si="95"/>
        <v>0</v>
      </c>
      <c r="W98" s="1350">
        <f t="shared" ca="1" si="95"/>
        <v>0</v>
      </c>
      <c r="X98" s="1350">
        <f t="shared" ca="1" si="95"/>
        <v>0</v>
      </c>
      <c r="Y98" s="1067" t="str">
        <f t="shared" ca="1" si="96"/>
        <v/>
      </c>
      <c r="Z98" s="1165" t="str">
        <f t="shared" ca="1" si="97"/>
        <v/>
      </c>
      <c r="AA98" s="772"/>
      <c r="AB98" s="871" t="str">
        <f t="shared" ca="1" si="104"/>
        <v/>
      </c>
      <c r="AC98" s="55"/>
      <c r="AD98" s="96"/>
      <c r="AE98" s="96"/>
      <c r="AF98" s="96"/>
      <c r="AG98" s="96"/>
      <c r="AH98" s="96"/>
      <c r="AI98" s="96"/>
      <c r="AJ98" s="96"/>
      <c r="AK98" s="192"/>
      <c r="AL98" s="875"/>
      <c r="AM98" s="875"/>
      <c r="AN98" s="875"/>
      <c r="AO98" s="50"/>
      <c r="AP98" s="97"/>
      <c r="AQ98" s="97"/>
      <c r="AR98" s="97"/>
      <c r="AS98" s="97"/>
      <c r="AT98" s="97"/>
      <c r="AU98" s="97"/>
      <c r="AV98" s="97"/>
      <c r="AW98" s="97"/>
      <c r="AX98" s="97"/>
      <c r="AY98" s="97"/>
      <c r="AZ98" s="97"/>
      <c r="BA98" s="97"/>
      <c r="BB98" s="97"/>
      <c r="BC98" s="97"/>
    </row>
    <row r="99" spans="1:55" ht="12.75" customHeight="1" thickBot="1" x14ac:dyDescent="0.35">
      <c r="A99" s="2240"/>
      <c r="B99" s="747" t="str">
        <f>'Q1'!C107</f>
        <v>Other 5 (enter CO2 factor and specify fuel in "Notes")</v>
      </c>
      <c r="C99" s="1262">
        <f t="shared" ca="1" si="101"/>
        <v>0</v>
      </c>
      <c r="D99" s="768">
        <f t="shared" ca="1" si="101"/>
        <v>0</v>
      </c>
      <c r="E99" s="769">
        <f t="shared" ca="1" si="101"/>
        <v>0</v>
      </c>
      <c r="F99" s="769">
        <f t="shared" ca="1" si="101"/>
        <v>0</v>
      </c>
      <c r="G99" s="769">
        <f t="shared" ca="1" si="101"/>
        <v>0</v>
      </c>
      <c r="H99" s="769">
        <f t="shared" ca="1" si="101"/>
        <v>0</v>
      </c>
      <c r="I99" s="770">
        <f t="shared" ca="1" si="77"/>
        <v>0</v>
      </c>
      <c r="J99" s="872" t="str">
        <f t="shared" ca="1" si="102"/>
        <v/>
      </c>
      <c r="K99" s="782"/>
      <c r="L99" s="784" t="str">
        <f ca="1">IF(C99&gt;0,'Q1'!E107,"")</f>
        <v/>
      </c>
      <c r="M99" s="785" t="str">
        <f ca="1">IF(L99="","",IF('Q1'!I107=0,"Fuel type not stated",'Q1'!I107))</f>
        <v/>
      </c>
      <c r="N99" s="772"/>
      <c r="O99" s="776" t="str">
        <f t="shared" ca="1" si="54"/>
        <v/>
      </c>
      <c r="P99" s="777" t="str">
        <f t="shared" ca="1" si="80"/>
        <v/>
      </c>
      <c r="Q99" s="777" t="str">
        <f t="shared" ca="1" si="81"/>
        <v/>
      </c>
      <c r="R99" s="777" t="str">
        <f t="shared" ca="1" si="99"/>
        <v/>
      </c>
      <c r="S99" s="778" t="str">
        <f t="shared" ca="1" si="100"/>
        <v/>
      </c>
      <c r="T99" s="1066" t="str">
        <f t="shared" ca="1" si="103"/>
        <v/>
      </c>
      <c r="U99" s="1165" t="str">
        <f t="shared" ca="1" si="94"/>
        <v/>
      </c>
      <c r="V99" s="1350">
        <f t="shared" ca="1" si="95"/>
        <v>0</v>
      </c>
      <c r="W99" s="1350">
        <f t="shared" ca="1" si="95"/>
        <v>0</v>
      </c>
      <c r="X99" s="1350">
        <f t="shared" ca="1" si="95"/>
        <v>0</v>
      </c>
      <c r="Y99" s="1067" t="str">
        <f t="shared" ca="1" si="96"/>
        <v/>
      </c>
      <c r="Z99" s="1165" t="str">
        <f t="shared" ca="1" si="97"/>
        <v/>
      </c>
      <c r="AA99" s="772"/>
      <c r="AB99" s="871" t="str">
        <f t="shared" ca="1" si="104"/>
        <v/>
      </c>
      <c r="AC99" s="55"/>
      <c r="AD99" s="96"/>
      <c r="AE99" s="96"/>
      <c r="AF99" s="96"/>
      <c r="AG99" s="96"/>
      <c r="AH99" s="96"/>
      <c r="AI99" s="96"/>
      <c r="AJ99" s="96"/>
      <c r="AK99" s="192"/>
      <c r="AL99" s="875"/>
      <c r="AM99" s="875"/>
      <c r="AN99" s="875"/>
      <c r="AO99" s="50"/>
      <c r="AP99" s="97"/>
      <c r="AQ99" s="97"/>
      <c r="AR99" s="97"/>
      <c r="AS99" s="97"/>
      <c r="AT99" s="97"/>
      <c r="AU99" s="97"/>
      <c r="AV99" s="97"/>
      <c r="AW99" s="97"/>
      <c r="AX99" s="97"/>
      <c r="AY99" s="97"/>
      <c r="AZ99" s="97"/>
      <c r="BA99" s="97"/>
      <c r="BB99" s="97"/>
      <c r="BC99" s="97"/>
    </row>
    <row r="100" spans="1:55" ht="12.75" customHeight="1" thickBot="1" x14ac:dyDescent="0.35">
      <c r="A100" s="2225" t="s">
        <v>181</v>
      </c>
      <c r="B100" s="2226"/>
      <c r="C100" s="1177">
        <f t="shared" ref="C100:H100" ca="1" si="105">INDIRECT(CONCATENATE("'",C$14,"'!$D$108"),TRUE)</f>
        <v>16674515.7476753</v>
      </c>
      <c r="D100" s="840">
        <f t="shared" ca="1" si="105"/>
        <v>15021573.755060541</v>
      </c>
      <c r="E100" s="743">
        <f t="shared" ca="1" si="105"/>
        <v>20791048.699523926</v>
      </c>
      <c r="F100" s="743">
        <f t="shared" ca="1" si="105"/>
        <v>12963126.112548828</v>
      </c>
      <c r="G100" s="743">
        <f t="shared" ca="1" si="105"/>
        <v>14676410.224322509</v>
      </c>
      <c r="H100" s="743">
        <f t="shared" ca="1" si="105"/>
        <v>63452158.791455805</v>
      </c>
      <c r="I100" s="841">
        <f t="shared" ca="1" si="77"/>
        <v>15863039.697863951</v>
      </c>
      <c r="J100" s="736"/>
      <c r="K100" s="737"/>
      <c r="L100" s="850"/>
      <c r="M100" s="744"/>
      <c r="N100" s="863"/>
      <c r="O100" s="738">
        <f t="shared" ca="1" si="54"/>
        <v>0.11003787083613047</v>
      </c>
      <c r="P100" s="739">
        <f t="shared" ca="1" si="80"/>
        <v>-0.19799544560457341</v>
      </c>
      <c r="Q100" s="739">
        <f t="shared" ca="1" si="81"/>
        <v>0.28630359705701675</v>
      </c>
      <c r="R100" s="739">
        <f t="shared" ca="1" si="99"/>
        <v>0.13614402246957</v>
      </c>
      <c r="S100" s="740">
        <f t="shared" ca="1" si="100"/>
        <v>5.115514209553533E-2</v>
      </c>
      <c r="T100" s="886"/>
      <c r="U100" s="887"/>
      <c r="V100" s="887"/>
      <c r="W100" s="887"/>
      <c r="X100" s="887"/>
      <c r="Y100" s="887"/>
      <c r="Z100" s="888"/>
      <c r="AA100" s="741"/>
      <c r="AB100" s="892"/>
      <c r="AC100" s="95"/>
      <c r="AD100" s="96"/>
      <c r="AE100" s="96"/>
      <c r="AF100" s="96"/>
      <c r="AG100" s="96"/>
      <c r="AH100" s="96"/>
      <c r="AI100" s="96"/>
      <c r="AJ100" s="96"/>
      <c r="AK100" s="192"/>
      <c r="AL100" s="875"/>
      <c r="AM100" s="875"/>
      <c r="AN100" s="875"/>
      <c r="AO100" s="50"/>
      <c r="AP100" s="97"/>
      <c r="AQ100" s="97"/>
      <c r="AR100" s="97"/>
      <c r="AS100" s="97"/>
      <c r="AT100" s="97"/>
      <c r="AU100" s="97"/>
      <c r="AV100" s="97"/>
      <c r="AW100" s="97"/>
      <c r="AX100" s="97"/>
      <c r="AY100" s="97"/>
      <c r="AZ100" s="97"/>
      <c r="BA100" s="97"/>
      <c r="BB100" s="97"/>
      <c r="BC100" s="97"/>
    </row>
    <row r="101" spans="1:55" ht="12.75" customHeight="1" x14ac:dyDescent="0.3">
      <c r="A101" s="2228" t="s">
        <v>113</v>
      </c>
      <c r="B101" s="893" t="str">
        <f>'Q1'!C109</f>
        <v>Domestic Flight</v>
      </c>
      <c r="C101" s="1262">
        <f t="shared" ref="C101:H113" ca="1" si="106">INDEX(INDIRECT(CONCATENATE("'",C$14,"'!$D$109:$D$121"),TRUE),MATCH($B101,INDIRECT(CONCATENATE("'",C$14,"'!$C$109:$C$121"),TRUE),0))</f>
        <v>435237.56767529901</v>
      </c>
      <c r="D101" s="798">
        <f t="shared" ca="1" si="106"/>
        <v>465520.31636884098</v>
      </c>
      <c r="E101" s="761">
        <f t="shared" ca="1" si="106"/>
        <v>466893.88702392502</v>
      </c>
      <c r="F101" s="761">
        <f t="shared" ca="1" si="106"/>
        <v>436211.67211914063</v>
      </c>
      <c r="G101" s="761">
        <f t="shared" ca="1" si="106"/>
        <v>469460.71846313478</v>
      </c>
      <c r="H101" s="761">
        <f t="shared" ca="1" si="106"/>
        <v>1838086.5939750415</v>
      </c>
      <c r="I101" s="799">
        <f t="shared" ca="1" si="77"/>
        <v>459521.64849376038</v>
      </c>
      <c r="J101" s="894" t="str">
        <f t="shared" ca="1" si="79"/>
        <v/>
      </c>
      <c r="K101" s="762"/>
      <c r="L101" s="895"/>
      <c r="M101" s="763"/>
      <c r="N101" s="896"/>
      <c r="O101" s="802">
        <f t="shared" ref="O101:O113" ca="1" si="107">IF(OR(+$J101="missing?",+$J101="new category"),"",IF($D101=0,"",IF(SUM($C101:$I101)=0,"",IFERROR((($C101-$D101)/$D101),"N/A"))))</f>
        <v>-6.5051400827688802E-2</v>
      </c>
      <c r="P101" s="764">
        <f t="shared" ca="1" si="80"/>
        <v>-6.7801957207899471E-2</v>
      </c>
      <c r="Q101" s="764">
        <f t="shared" ca="1" si="81"/>
        <v>-2.2331003641176315E-3</v>
      </c>
      <c r="R101" s="764">
        <f t="shared" ca="1" si="99"/>
        <v>-7.2898859141764805E-2</v>
      </c>
      <c r="S101" s="803">
        <f t="shared" ca="1" si="100"/>
        <v>-5.2846434761149481E-2</v>
      </c>
      <c r="T101" s="1236">
        <f t="shared" ca="1" si="82"/>
        <v>7.2898859141764805E-2</v>
      </c>
      <c r="U101" s="766" t="str">
        <f t="shared" ref="U101:U113" ca="1" si="108">IF(+T101="","",IF(T101&gt;L$3,"H",IF(T101&gt;L$4,"M","")))</f>
        <v>H</v>
      </c>
      <c r="V101" s="1349">
        <f t="shared" ref="V101:X113" ca="1" si="109">INDEX(INDIRECT(CONCATENATE("'",V$14,"'!$F$109:$F$121"),TRUE),MATCH($B101,INDIRECT(CONCATENATE("'",V$14,"'!$C$109:$C$121"),TRUE),0))</f>
        <v>58.683081249660567</v>
      </c>
      <c r="W101" s="1349">
        <f t="shared" ca="1" si="109"/>
        <v>73.445140313512056</v>
      </c>
      <c r="X101" s="1349">
        <f t="shared" ca="1" si="109"/>
        <v>289.99492193144232</v>
      </c>
      <c r="Y101" s="1067">
        <f t="shared" ref="Y101:Y113" ca="1" si="110">IF(V101=0,IF(W101&gt;0, W101/L$8, IF(X101&gt;0,X101/L$10, "")), IF(T101="", "", V101/L$7*T101))</f>
        <v>5.8184245556820914E-5</v>
      </c>
      <c r="Z101" s="766" t="str">
        <f t="shared" ref="Z101:Z113" ca="1" si="111">IF(+Y101="","",IF(Y101&gt;L$3,"H",IF(Y101&gt;L$4,"M","")))</f>
        <v/>
      </c>
      <c r="AA101" s="801"/>
      <c r="AB101" s="871" t="str">
        <f t="shared" ca="1" si="98"/>
        <v/>
      </c>
      <c r="AC101" s="55"/>
      <c r="AD101" s="96"/>
      <c r="AE101" s="96"/>
      <c r="AF101" s="96"/>
      <c r="AG101" s="96"/>
      <c r="AH101" s="96"/>
      <c r="AI101" s="96"/>
      <c r="AJ101" s="96"/>
      <c r="AK101" s="192"/>
      <c r="AL101" s="875"/>
      <c r="AM101" s="875"/>
      <c r="AN101" s="875"/>
      <c r="AO101" s="50"/>
      <c r="AP101" s="97"/>
      <c r="AQ101" s="97"/>
      <c r="AR101" s="97"/>
      <c r="AS101" s="97"/>
      <c r="AT101" s="97"/>
      <c r="AU101" s="97"/>
      <c r="AV101" s="97"/>
      <c r="AW101" s="97"/>
      <c r="AX101" s="97"/>
      <c r="AY101" s="97"/>
      <c r="AZ101" s="97"/>
      <c r="BA101" s="97"/>
      <c r="BB101" s="97"/>
      <c r="BC101" s="97"/>
    </row>
    <row r="102" spans="1:55" ht="12.75" customHeight="1" x14ac:dyDescent="0.3">
      <c r="A102" s="2229"/>
      <c r="B102" s="767" t="str">
        <f>'Q1'!C110</f>
        <v>Rail - National /Average</v>
      </c>
      <c r="C102" s="1179">
        <f t="shared" ca="1" si="106"/>
        <v>16196591.720000001</v>
      </c>
      <c r="D102" s="768">
        <f t="shared" ca="1" si="106"/>
        <v>14549585.4386917</v>
      </c>
      <c r="E102" s="769">
        <f t="shared" ca="1" si="106"/>
        <v>20318532.8125</v>
      </c>
      <c r="F102" s="769">
        <f t="shared" ca="1" si="106"/>
        <v>12521236.440429688</v>
      </c>
      <c r="G102" s="769">
        <f t="shared" ca="1" si="106"/>
        <v>14201745.505859375</v>
      </c>
      <c r="H102" s="769">
        <f t="shared" ca="1" si="106"/>
        <v>61591100.197480761</v>
      </c>
      <c r="I102" s="770">
        <f t="shared" ca="1" si="77"/>
        <v>15397775.04937019</v>
      </c>
      <c r="J102" s="872" t="str">
        <f t="shared" ca="1" si="79"/>
        <v/>
      </c>
      <c r="K102" s="782"/>
      <c r="L102" s="773"/>
      <c r="M102" s="774"/>
      <c r="N102" s="775"/>
      <c r="O102" s="776">
        <f t="shared" ca="1" si="107"/>
        <v>0.11319953329587099</v>
      </c>
      <c r="P102" s="777">
        <f t="shared" ca="1" si="80"/>
        <v>-0.2028660794820861</v>
      </c>
      <c r="Q102" s="777">
        <f t="shared" ca="1" si="81"/>
        <v>0.2935297402182262</v>
      </c>
      <c r="R102" s="777">
        <f t="shared" ca="1" si="99"/>
        <v>0.14046486140155021</v>
      </c>
      <c r="S102" s="778">
        <f t="shared" ca="1" si="100"/>
        <v>5.1878707674878281E-2</v>
      </c>
      <c r="T102" s="1066">
        <f t="shared" ca="1" si="82"/>
        <v>0.2935297402182262</v>
      </c>
      <c r="U102" s="1165" t="str">
        <f t="shared" ca="1" si="108"/>
        <v>H</v>
      </c>
      <c r="V102" s="1350">
        <f t="shared" ca="1" si="109"/>
        <v>666.48974927799998</v>
      </c>
      <c r="W102" s="1350">
        <f t="shared" ca="1" si="109"/>
        <v>643.6736598077207</v>
      </c>
      <c r="X102" s="1350">
        <f t="shared" ca="1" si="109"/>
        <v>2724.7902727365486</v>
      </c>
      <c r="Y102" s="1067">
        <f t="shared" ca="1" si="110"/>
        <v>2.6608313642925577E-3</v>
      </c>
      <c r="Z102" s="1165" t="str">
        <f t="shared" ca="1" si="111"/>
        <v>M</v>
      </c>
      <c r="AA102" s="772"/>
      <c r="AB102" s="871" t="str">
        <f t="shared" ca="1" si="98"/>
        <v xml:space="preserve">        Value change with medium impact </v>
      </c>
      <c r="AC102" s="55"/>
      <c r="AD102" s="96"/>
      <c r="AE102" s="96"/>
      <c r="AF102" s="96"/>
      <c r="AG102" s="96"/>
      <c r="AH102" s="96"/>
      <c r="AI102" s="96"/>
      <c r="AJ102" s="96"/>
      <c r="AK102" s="192"/>
      <c r="AL102" s="875"/>
      <c r="AM102" s="875"/>
      <c r="AN102" s="875"/>
      <c r="AO102" s="50"/>
      <c r="AP102" s="97"/>
      <c r="AQ102" s="97"/>
      <c r="AR102" s="97"/>
      <c r="AS102" s="97"/>
      <c r="AT102" s="97"/>
      <c r="AU102" s="97"/>
      <c r="AV102" s="97"/>
      <c r="AW102" s="97"/>
      <c r="AX102" s="97"/>
      <c r="AY102" s="97"/>
      <c r="AZ102" s="97"/>
      <c r="BA102" s="97"/>
      <c r="BB102" s="97"/>
      <c r="BC102" s="97"/>
    </row>
    <row r="103" spans="1:55" ht="12.75" customHeight="1" x14ac:dyDescent="0.3">
      <c r="A103" s="2229"/>
      <c r="B103" s="767" t="str">
        <f>'Q1'!C111</f>
        <v>Light Railway / Tram</v>
      </c>
      <c r="C103" s="1179">
        <f t="shared" ca="1" si="106"/>
        <v>0</v>
      </c>
      <c r="D103" s="768">
        <f t="shared" ca="1" si="106"/>
        <v>0</v>
      </c>
      <c r="E103" s="769">
        <f t="shared" ca="1" si="106"/>
        <v>0</v>
      </c>
      <c r="F103" s="769">
        <f t="shared" ca="1" si="106"/>
        <v>0</v>
      </c>
      <c r="G103" s="769">
        <f t="shared" ca="1" si="106"/>
        <v>0</v>
      </c>
      <c r="H103" s="769">
        <f t="shared" ca="1" si="106"/>
        <v>0</v>
      </c>
      <c r="I103" s="770">
        <f t="shared" ca="1" si="77"/>
        <v>0</v>
      </c>
      <c r="J103" s="872" t="str">
        <f t="shared" ca="1" si="79"/>
        <v/>
      </c>
      <c r="K103" s="782"/>
      <c r="L103" s="773"/>
      <c r="M103" s="774"/>
      <c r="N103" s="775"/>
      <c r="O103" s="776" t="str">
        <f t="shared" ca="1" si="107"/>
        <v/>
      </c>
      <c r="P103" s="777" t="str">
        <f t="shared" ca="1" si="80"/>
        <v/>
      </c>
      <c r="Q103" s="777" t="str">
        <f t="shared" ca="1" si="81"/>
        <v/>
      </c>
      <c r="R103" s="777" t="str">
        <f t="shared" ca="1" si="99"/>
        <v/>
      </c>
      <c r="S103" s="778" t="str">
        <f t="shared" ca="1" si="100"/>
        <v/>
      </c>
      <c r="T103" s="1066" t="str">
        <f t="shared" ca="1" si="82"/>
        <v/>
      </c>
      <c r="U103" s="1165" t="str">
        <f t="shared" ca="1" si="108"/>
        <v/>
      </c>
      <c r="V103" s="1350">
        <f t="shared" ca="1" si="109"/>
        <v>0</v>
      </c>
      <c r="W103" s="1350">
        <f t="shared" ca="1" si="109"/>
        <v>0</v>
      </c>
      <c r="X103" s="1350">
        <f t="shared" ca="1" si="109"/>
        <v>0</v>
      </c>
      <c r="Y103" s="1067" t="str">
        <f t="shared" ca="1" si="110"/>
        <v/>
      </c>
      <c r="Z103" s="1165" t="str">
        <f t="shared" ca="1" si="111"/>
        <v/>
      </c>
      <c r="AA103" s="772"/>
      <c r="AB103" s="871" t="str">
        <f t="shared" ca="1" si="98"/>
        <v/>
      </c>
      <c r="AC103" s="55"/>
      <c r="AD103" s="96"/>
      <c r="AE103" s="96"/>
      <c r="AF103" s="96"/>
      <c r="AG103" s="96"/>
      <c r="AH103" s="96"/>
      <c r="AI103" s="96"/>
      <c r="AJ103" s="96"/>
      <c r="AK103" s="192"/>
      <c r="AL103" s="875"/>
      <c r="AM103" s="875"/>
      <c r="AN103" s="875"/>
      <c r="AO103" s="50"/>
      <c r="AP103" s="97"/>
      <c r="AQ103" s="97"/>
      <c r="AR103" s="97"/>
      <c r="AS103" s="97"/>
      <c r="AT103" s="97"/>
      <c r="AU103" s="97"/>
      <c r="AV103" s="97"/>
      <c r="AW103" s="97"/>
      <c r="AX103" s="97"/>
      <c r="AY103" s="97"/>
      <c r="AZ103" s="97"/>
      <c r="BA103" s="97"/>
      <c r="BB103" s="97"/>
      <c r="BC103" s="97"/>
    </row>
    <row r="104" spans="1:55" ht="12.75" customHeight="1" x14ac:dyDescent="0.3">
      <c r="A104" s="2229"/>
      <c r="B104" s="767" t="str">
        <f>'Q1'!C112</f>
        <v>London Underground</v>
      </c>
      <c r="C104" s="1179">
        <f t="shared" ca="1" si="106"/>
        <v>41369.46</v>
      </c>
      <c r="D104" s="768">
        <f t="shared" ca="1" si="106"/>
        <v>5420</v>
      </c>
      <c r="E104" s="769">
        <f t="shared" ca="1" si="106"/>
        <v>4710</v>
      </c>
      <c r="F104" s="769">
        <f t="shared" ca="1" si="106"/>
        <v>4190</v>
      </c>
      <c r="G104" s="769">
        <f t="shared" ca="1" si="106"/>
        <v>3800</v>
      </c>
      <c r="H104" s="769">
        <f t="shared" ca="1" si="106"/>
        <v>18120</v>
      </c>
      <c r="I104" s="770">
        <f t="shared" ca="1" si="77"/>
        <v>4530</v>
      </c>
      <c r="J104" s="872" t="str">
        <f t="shared" ca="1" si="79"/>
        <v/>
      </c>
      <c r="K104" s="782"/>
      <c r="L104" s="773"/>
      <c r="M104" s="774"/>
      <c r="N104" s="775"/>
      <c r="O104" s="776">
        <f t="shared" ca="1" si="107"/>
        <v>6.6327416974169742</v>
      </c>
      <c r="P104" s="777">
        <f t="shared" ca="1" si="80"/>
        <v>7.7833248407643314</v>
      </c>
      <c r="Q104" s="777">
        <f t="shared" ca="1" si="81"/>
        <v>8.8733794749403341</v>
      </c>
      <c r="R104" s="777">
        <f t="shared" ca="1" si="99"/>
        <v>9.8866999999999994</v>
      </c>
      <c r="S104" s="778">
        <f t="shared" ca="1" si="100"/>
        <v>8.1323311258278146</v>
      </c>
      <c r="T104" s="1066">
        <f t="shared" ca="1" si="82"/>
        <v>9.8866999999999994</v>
      </c>
      <c r="U104" s="1165" t="str">
        <f t="shared" ca="1" si="108"/>
        <v>H</v>
      </c>
      <c r="V104" s="1350">
        <f t="shared" ca="1" si="109"/>
        <v>1.2758341464</v>
      </c>
      <c r="W104" s="1350">
        <f t="shared" ca="1" si="109"/>
        <v>0.203792</v>
      </c>
      <c r="X104" s="1350">
        <f t="shared" ca="1" si="109"/>
        <v>0.68131200000000003</v>
      </c>
      <c r="Y104" s="1067">
        <f t="shared" ca="1" si="110"/>
        <v>1.7156051618161101E-4</v>
      </c>
      <c r="Z104" s="1165" t="str">
        <f t="shared" ca="1" si="111"/>
        <v/>
      </c>
      <c r="AA104" s="772"/>
      <c r="AB104" s="871" t="str">
        <f t="shared" ca="1" si="98"/>
        <v/>
      </c>
      <c r="AC104" s="55"/>
      <c r="AD104" s="96"/>
      <c r="AE104" s="96"/>
      <c r="AF104" s="96"/>
      <c r="AG104" s="96"/>
      <c r="AH104" s="96"/>
      <c r="AI104" s="96"/>
      <c r="AJ104" s="96"/>
      <c r="AK104" s="192"/>
      <c r="AL104" s="875"/>
      <c r="AM104" s="875"/>
      <c r="AN104" s="875"/>
      <c r="AO104" s="50"/>
      <c r="AP104" s="97"/>
      <c r="AQ104" s="97"/>
      <c r="AR104" s="97"/>
      <c r="AS104" s="97"/>
      <c r="AT104" s="97"/>
      <c r="AU104" s="97"/>
      <c r="AV104" s="97"/>
      <c r="AW104" s="97"/>
      <c r="AX104" s="97"/>
      <c r="AY104" s="97"/>
      <c r="AZ104" s="97"/>
      <c r="BA104" s="97"/>
      <c r="BB104" s="97"/>
      <c r="BC104" s="97"/>
    </row>
    <row r="105" spans="1:55" ht="12.75" customHeight="1" x14ac:dyDescent="0.3">
      <c r="A105" s="2229"/>
      <c r="B105" s="767" t="str">
        <f>'Q1'!C113</f>
        <v>Taxi - Regular</v>
      </c>
      <c r="C105" s="1179">
        <f t="shared" ca="1" si="106"/>
        <v>1317</v>
      </c>
      <c r="D105" s="768">
        <f t="shared" ca="1" si="106"/>
        <v>1048</v>
      </c>
      <c r="E105" s="769">
        <f t="shared" ca="1" si="106"/>
        <v>912</v>
      </c>
      <c r="F105" s="769">
        <f t="shared" ca="1" si="106"/>
        <v>1488</v>
      </c>
      <c r="G105" s="769">
        <f t="shared" ca="1" si="106"/>
        <v>1404</v>
      </c>
      <c r="H105" s="769">
        <f t="shared" ca="1" si="106"/>
        <v>4852</v>
      </c>
      <c r="I105" s="770">
        <f t="shared" ca="1" si="77"/>
        <v>1213</v>
      </c>
      <c r="J105" s="872" t="str">
        <f t="shared" ca="1" si="79"/>
        <v/>
      </c>
      <c r="K105" s="782"/>
      <c r="L105" s="773"/>
      <c r="M105" s="774"/>
      <c r="N105" s="775"/>
      <c r="O105" s="776">
        <f t="shared" ca="1" si="107"/>
        <v>0.25667938931297712</v>
      </c>
      <c r="P105" s="777">
        <f t="shared" ca="1" si="80"/>
        <v>0.44407894736842107</v>
      </c>
      <c r="Q105" s="777">
        <f t="shared" ca="1" si="81"/>
        <v>-0.11491935483870967</v>
      </c>
      <c r="R105" s="777">
        <f t="shared" ca="1" si="99"/>
        <v>-6.1965811965811968E-2</v>
      </c>
      <c r="S105" s="778">
        <f t="shared" ca="1" si="100"/>
        <v>8.5737840065952184E-2</v>
      </c>
      <c r="T105" s="1066">
        <f t="shared" ca="1" si="82"/>
        <v>0.44407894736842107</v>
      </c>
      <c r="U105" s="1165" t="str">
        <f t="shared" ca="1" si="108"/>
        <v>H</v>
      </c>
      <c r="V105" s="1350">
        <f t="shared" ca="1" si="109"/>
        <v>0.19778705999999999</v>
      </c>
      <c r="W105" s="1350">
        <f t="shared" ca="1" si="109"/>
        <v>0.16080512</v>
      </c>
      <c r="X105" s="1350">
        <f t="shared" ca="1" si="109"/>
        <v>0.74449087999999997</v>
      </c>
      <c r="Y105" s="1067">
        <f t="shared" ca="1" si="110"/>
        <v>1.1946201241853038E-6</v>
      </c>
      <c r="Z105" s="1165" t="str">
        <f t="shared" ca="1" si="111"/>
        <v/>
      </c>
      <c r="AA105" s="772"/>
      <c r="AB105" s="871" t="str">
        <f t="shared" ca="1" si="98"/>
        <v/>
      </c>
      <c r="AC105" s="55"/>
      <c r="AD105" s="96"/>
      <c r="AE105" s="96"/>
      <c r="AF105" s="96"/>
      <c r="AG105" s="96"/>
      <c r="AH105" s="96"/>
      <c r="AI105" s="96"/>
      <c r="AJ105" s="96"/>
      <c r="AK105" s="192"/>
      <c r="AL105" s="875"/>
      <c r="AM105" s="875"/>
      <c r="AN105" s="875"/>
      <c r="AO105" s="50"/>
      <c r="AP105" s="97"/>
      <c r="AQ105" s="97"/>
      <c r="AR105" s="97"/>
      <c r="AS105" s="97"/>
      <c r="AT105" s="97"/>
      <c r="AU105" s="97"/>
      <c r="AV105" s="97"/>
      <c r="AW105" s="97"/>
      <c r="AX105" s="97"/>
      <c r="AY105" s="97"/>
      <c r="AZ105" s="97"/>
      <c r="BA105" s="97"/>
      <c r="BB105" s="97"/>
      <c r="BC105" s="97"/>
    </row>
    <row r="106" spans="1:55" ht="12.75" customHeight="1" x14ac:dyDescent="0.3">
      <c r="A106" s="2229"/>
      <c r="B106" s="767" t="str">
        <f>'Q1'!C114</f>
        <v>Taxi - Black cab</v>
      </c>
      <c r="C106" s="1179">
        <f t="shared" ca="1" si="106"/>
        <v>0</v>
      </c>
      <c r="D106" s="768">
        <f t="shared" ca="1" si="106"/>
        <v>0</v>
      </c>
      <c r="E106" s="769">
        <f t="shared" ca="1" si="106"/>
        <v>0</v>
      </c>
      <c r="F106" s="769">
        <f t="shared" ca="1" si="106"/>
        <v>0</v>
      </c>
      <c r="G106" s="769">
        <f t="shared" ca="1" si="106"/>
        <v>0</v>
      </c>
      <c r="H106" s="769">
        <f t="shared" ca="1" si="106"/>
        <v>0</v>
      </c>
      <c r="I106" s="770">
        <f t="shared" ca="1" si="77"/>
        <v>0</v>
      </c>
      <c r="J106" s="872" t="str">
        <f t="shared" ca="1" si="79"/>
        <v/>
      </c>
      <c r="K106" s="782"/>
      <c r="L106" s="773"/>
      <c r="M106" s="774"/>
      <c r="N106" s="775"/>
      <c r="O106" s="776" t="str">
        <f t="shared" ca="1" si="107"/>
        <v/>
      </c>
      <c r="P106" s="777" t="str">
        <f t="shared" ca="1" si="80"/>
        <v/>
      </c>
      <c r="Q106" s="777" t="str">
        <f t="shared" ca="1" si="81"/>
        <v/>
      </c>
      <c r="R106" s="777" t="str">
        <f t="shared" ca="1" si="99"/>
        <v/>
      </c>
      <c r="S106" s="778" t="str">
        <f t="shared" ca="1" si="100"/>
        <v/>
      </c>
      <c r="T106" s="1066" t="str">
        <f t="shared" ca="1" si="82"/>
        <v/>
      </c>
      <c r="U106" s="1165" t="str">
        <f t="shared" ca="1" si="108"/>
        <v/>
      </c>
      <c r="V106" s="1350">
        <f t="shared" ca="1" si="109"/>
        <v>0</v>
      </c>
      <c r="W106" s="1350">
        <f t="shared" ca="1" si="109"/>
        <v>0</v>
      </c>
      <c r="X106" s="1350">
        <f t="shared" ca="1" si="109"/>
        <v>0</v>
      </c>
      <c r="Y106" s="1067" t="str">
        <f t="shared" ca="1" si="110"/>
        <v/>
      </c>
      <c r="Z106" s="1165" t="str">
        <f t="shared" ca="1" si="111"/>
        <v/>
      </c>
      <c r="AA106" s="772"/>
      <c r="AB106" s="871" t="str">
        <f t="shared" ca="1" si="98"/>
        <v/>
      </c>
      <c r="AC106" s="55"/>
      <c r="AD106" s="96"/>
      <c r="AE106" s="96"/>
      <c r="AF106" s="96"/>
      <c r="AG106" s="96"/>
      <c r="AH106" s="96"/>
      <c r="AI106" s="96"/>
      <c r="AJ106" s="96"/>
      <c r="AK106" s="192"/>
      <c r="AL106" s="875"/>
      <c r="AM106" s="875"/>
      <c r="AN106" s="875"/>
      <c r="AO106" s="50"/>
      <c r="AP106" s="97"/>
      <c r="AQ106" s="97"/>
      <c r="AR106" s="97"/>
      <c r="AS106" s="97"/>
      <c r="AT106" s="97"/>
      <c r="AU106" s="97"/>
      <c r="AV106" s="97"/>
      <c r="AW106" s="97"/>
      <c r="AX106" s="97"/>
      <c r="AY106" s="97"/>
      <c r="AZ106" s="97"/>
      <c r="BA106" s="97"/>
      <c r="BB106" s="97"/>
      <c r="BC106" s="97"/>
    </row>
    <row r="107" spans="1:55" ht="12.75" customHeight="1" x14ac:dyDescent="0.3">
      <c r="A107" s="2229"/>
      <c r="B107" s="767" t="str">
        <f>'Q1'!C115</f>
        <v>Bus - Local</v>
      </c>
      <c r="C107" s="1179">
        <f t="shared" ca="1" si="106"/>
        <v>0</v>
      </c>
      <c r="D107" s="768">
        <f t="shared" ca="1" si="106"/>
        <v>0</v>
      </c>
      <c r="E107" s="769">
        <f t="shared" ca="1" si="106"/>
        <v>0</v>
      </c>
      <c r="F107" s="769">
        <f t="shared" ca="1" si="106"/>
        <v>0</v>
      </c>
      <c r="G107" s="769">
        <f t="shared" ca="1" si="106"/>
        <v>0</v>
      </c>
      <c r="H107" s="769">
        <f t="shared" ca="1" si="106"/>
        <v>0</v>
      </c>
      <c r="I107" s="770">
        <f t="shared" ca="1" si="77"/>
        <v>0</v>
      </c>
      <c r="J107" s="872" t="str">
        <f t="shared" ca="1" si="79"/>
        <v/>
      </c>
      <c r="K107" s="782"/>
      <c r="L107" s="773"/>
      <c r="M107" s="774"/>
      <c r="N107" s="775"/>
      <c r="O107" s="776" t="str">
        <f t="shared" ca="1" si="107"/>
        <v/>
      </c>
      <c r="P107" s="777" t="str">
        <f t="shared" ca="1" si="80"/>
        <v/>
      </c>
      <c r="Q107" s="777" t="str">
        <f t="shared" ca="1" si="81"/>
        <v/>
      </c>
      <c r="R107" s="777" t="str">
        <f t="shared" ca="1" si="99"/>
        <v/>
      </c>
      <c r="S107" s="778" t="str">
        <f t="shared" ca="1" si="100"/>
        <v/>
      </c>
      <c r="T107" s="1066" t="str">
        <f t="shared" ca="1" si="82"/>
        <v/>
      </c>
      <c r="U107" s="1165" t="str">
        <f t="shared" ca="1" si="108"/>
        <v/>
      </c>
      <c r="V107" s="1350">
        <f t="shared" ca="1" si="109"/>
        <v>0</v>
      </c>
      <c r="W107" s="1350">
        <f t="shared" ca="1" si="109"/>
        <v>0</v>
      </c>
      <c r="X107" s="1350">
        <f t="shared" ca="1" si="109"/>
        <v>0</v>
      </c>
      <c r="Y107" s="1067" t="str">
        <f t="shared" ca="1" si="110"/>
        <v/>
      </c>
      <c r="Z107" s="1165" t="str">
        <f t="shared" ca="1" si="111"/>
        <v/>
      </c>
      <c r="AA107" s="772"/>
      <c r="AB107" s="871" t="str">
        <f t="shared" ca="1" si="98"/>
        <v/>
      </c>
      <c r="AC107" s="55"/>
      <c r="AD107" s="96"/>
      <c r="AE107" s="96"/>
      <c r="AF107" s="96"/>
      <c r="AG107" s="96"/>
      <c r="AH107" s="96"/>
      <c r="AI107" s="96"/>
      <c r="AJ107" s="96"/>
      <c r="AK107" s="192"/>
      <c r="AL107" s="875"/>
      <c r="AM107" s="875"/>
      <c r="AN107" s="875"/>
      <c r="AO107" s="50"/>
      <c r="AP107" s="97"/>
      <c r="AQ107" s="97"/>
      <c r="AR107" s="97"/>
      <c r="AS107" s="97"/>
      <c r="AT107" s="97"/>
      <c r="AU107" s="97"/>
      <c r="AV107" s="97"/>
      <c r="AW107" s="97"/>
      <c r="AX107" s="97"/>
      <c r="AY107" s="97"/>
      <c r="AZ107" s="97"/>
      <c r="BA107" s="97"/>
      <c r="BB107" s="97"/>
      <c r="BC107" s="97"/>
    </row>
    <row r="108" spans="1:55" ht="12.75" customHeight="1" x14ac:dyDescent="0.3">
      <c r="A108" s="2229"/>
      <c r="B108" s="767" t="str">
        <f>'Q1'!C116</f>
        <v>Bus - Transport for London</v>
      </c>
      <c r="C108" s="1179">
        <f t="shared" ca="1" si="106"/>
        <v>0</v>
      </c>
      <c r="D108" s="768">
        <f t="shared" ca="1" si="106"/>
        <v>0</v>
      </c>
      <c r="E108" s="769">
        <f t="shared" ca="1" si="106"/>
        <v>0</v>
      </c>
      <c r="F108" s="769">
        <f t="shared" ca="1" si="106"/>
        <v>0</v>
      </c>
      <c r="G108" s="769">
        <f t="shared" ca="1" si="106"/>
        <v>0</v>
      </c>
      <c r="H108" s="769">
        <f t="shared" ca="1" si="106"/>
        <v>0</v>
      </c>
      <c r="I108" s="770">
        <f t="shared" ca="1" si="77"/>
        <v>0</v>
      </c>
      <c r="J108" s="872" t="str">
        <f t="shared" ca="1" si="79"/>
        <v/>
      </c>
      <c r="K108" s="782"/>
      <c r="L108" s="773"/>
      <c r="M108" s="774"/>
      <c r="N108" s="775"/>
      <c r="O108" s="776" t="str">
        <f t="shared" ca="1" si="107"/>
        <v/>
      </c>
      <c r="P108" s="777" t="str">
        <f t="shared" ca="1" si="80"/>
        <v/>
      </c>
      <c r="Q108" s="777" t="str">
        <f t="shared" ca="1" si="81"/>
        <v/>
      </c>
      <c r="R108" s="777" t="str">
        <f t="shared" ca="1" si="99"/>
        <v/>
      </c>
      <c r="S108" s="778" t="str">
        <f t="shared" ca="1" si="100"/>
        <v/>
      </c>
      <c r="T108" s="1066" t="str">
        <f t="shared" ca="1" si="82"/>
        <v/>
      </c>
      <c r="U108" s="1165" t="str">
        <f t="shared" ca="1" si="108"/>
        <v/>
      </c>
      <c r="V108" s="1350">
        <f t="shared" ca="1" si="109"/>
        <v>0</v>
      </c>
      <c r="W108" s="1350">
        <f t="shared" ca="1" si="109"/>
        <v>0</v>
      </c>
      <c r="X108" s="1350">
        <f t="shared" ca="1" si="109"/>
        <v>0</v>
      </c>
      <c r="Y108" s="1067" t="str">
        <f t="shared" ca="1" si="110"/>
        <v/>
      </c>
      <c r="Z108" s="1165" t="str">
        <f t="shared" ca="1" si="111"/>
        <v/>
      </c>
      <c r="AA108" s="772"/>
      <c r="AB108" s="871" t="str">
        <f t="shared" ca="1" si="98"/>
        <v/>
      </c>
      <c r="AC108" s="55"/>
      <c r="AD108" s="96"/>
      <c r="AE108" s="96"/>
      <c r="AF108" s="96"/>
      <c r="AG108" s="96"/>
      <c r="AH108" s="96"/>
      <c r="AI108" s="96"/>
      <c r="AJ108" s="96"/>
      <c r="AK108" s="192"/>
      <c r="AL108" s="875"/>
      <c r="AM108" s="875"/>
      <c r="AN108" s="875"/>
      <c r="AO108" s="50"/>
      <c r="AP108" s="97"/>
      <c r="AQ108" s="97"/>
      <c r="AR108" s="97"/>
      <c r="AS108" s="97"/>
      <c r="AT108" s="97"/>
      <c r="AU108" s="97"/>
      <c r="AV108" s="97"/>
      <c r="AW108" s="97"/>
      <c r="AX108" s="97"/>
      <c r="AY108" s="97"/>
      <c r="AZ108" s="97"/>
      <c r="BA108" s="97"/>
      <c r="BB108" s="97"/>
      <c r="BC108" s="97"/>
    </row>
    <row r="109" spans="1:55" ht="12.75" customHeight="1" x14ac:dyDescent="0.3">
      <c r="A109" s="2229"/>
      <c r="B109" s="767" t="str">
        <f>'Q1'!C117</f>
        <v>Bus - Average</v>
      </c>
      <c r="C109" s="1179">
        <f t="shared" ca="1" si="106"/>
        <v>0</v>
      </c>
      <c r="D109" s="768">
        <f t="shared" ca="1" si="106"/>
        <v>0</v>
      </c>
      <c r="E109" s="769">
        <f t="shared" ca="1" si="106"/>
        <v>0</v>
      </c>
      <c r="F109" s="769">
        <f t="shared" ca="1" si="106"/>
        <v>0</v>
      </c>
      <c r="G109" s="769">
        <f t="shared" ca="1" si="106"/>
        <v>0</v>
      </c>
      <c r="H109" s="769">
        <f t="shared" ca="1" si="106"/>
        <v>0</v>
      </c>
      <c r="I109" s="770">
        <f t="shared" ca="1" si="77"/>
        <v>0</v>
      </c>
      <c r="J109" s="872" t="str">
        <f t="shared" ca="1" si="79"/>
        <v/>
      </c>
      <c r="K109" s="782"/>
      <c r="L109" s="773"/>
      <c r="M109" s="774"/>
      <c r="N109" s="775"/>
      <c r="O109" s="776" t="str">
        <f t="shared" ca="1" si="107"/>
        <v/>
      </c>
      <c r="P109" s="777" t="str">
        <f t="shared" ca="1" si="80"/>
        <v/>
      </c>
      <c r="Q109" s="777" t="str">
        <f t="shared" ca="1" si="81"/>
        <v/>
      </c>
      <c r="R109" s="777" t="str">
        <f t="shared" ca="1" si="99"/>
        <v/>
      </c>
      <c r="S109" s="778" t="str">
        <f t="shared" ca="1" si="100"/>
        <v/>
      </c>
      <c r="T109" s="1066" t="str">
        <f t="shared" ca="1" si="82"/>
        <v/>
      </c>
      <c r="U109" s="1165" t="str">
        <f t="shared" ca="1" si="108"/>
        <v/>
      </c>
      <c r="V109" s="1350">
        <f t="shared" ca="1" si="109"/>
        <v>0</v>
      </c>
      <c r="W109" s="1350">
        <f t="shared" ca="1" si="109"/>
        <v>0</v>
      </c>
      <c r="X109" s="1350">
        <f t="shared" ca="1" si="109"/>
        <v>0</v>
      </c>
      <c r="Y109" s="1067" t="str">
        <f t="shared" ca="1" si="110"/>
        <v/>
      </c>
      <c r="Z109" s="1165" t="str">
        <f t="shared" ca="1" si="111"/>
        <v/>
      </c>
      <c r="AA109" s="772"/>
      <c r="AB109" s="871" t="str">
        <f t="shared" ca="1" si="98"/>
        <v/>
      </c>
      <c r="AC109" s="55"/>
      <c r="AD109" s="96"/>
      <c r="AE109" s="96"/>
      <c r="AF109" s="96"/>
      <c r="AG109" s="96"/>
      <c r="AH109" s="96"/>
      <c r="AI109" s="96"/>
      <c r="AJ109" s="96"/>
      <c r="AK109" s="192"/>
      <c r="AL109" s="875"/>
      <c r="AM109" s="875"/>
      <c r="AN109" s="875"/>
      <c r="AO109" s="50"/>
      <c r="AP109" s="97"/>
      <c r="AQ109" s="97"/>
      <c r="AR109" s="97"/>
      <c r="AS109" s="97"/>
      <c r="AT109" s="97"/>
      <c r="AU109" s="97"/>
      <c r="AV109" s="97"/>
      <c r="AW109" s="97"/>
      <c r="AX109" s="97"/>
      <c r="AY109" s="97"/>
      <c r="AZ109" s="97"/>
      <c r="BA109" s="97"/>
      <c r="BB109" s="97"/>
      <c r="BC109" s="97"/>
    </row>
    <row r="110" spans="1:55" ht="12.75" customHeight="1" x14ac:dyDescent="0.3">
      <c r="A110" s="2229"/>
      <c r="B110" s="767" t="str">
        <f>'Q1'!C118</f>
        <v>Coach</v>
      </c>
      <c r="C110" s="1179">
        <f t="shared" ca="1" si="106"/>
        <v>0</v>
      </c>
      <c r="D110" s="768">
        <f t="shared" ca="1" si="106"/>
        <v>0</v>
      </c>
      <c r="E110" s="769">
        <f t="shared" ca="1" si="106"/>
        <v>0</v>
      </c>
      <c r="F110" s="769">
        <f t="shared" ca="1" si="106"/>
        <v>0</v>
      </c>
      <c r="G110" s="769">
        <f t="shared" ca="1" si="106"/>
        <v>0</v>
      </c>
      <c r="H110" s="769">
        <f t="shared" ca="1" si="106"/>
        <v>0</v>
      </c>
      <c r="I110" s="770">
        <f t="shared" ca="1" si="77"/>
        <v>0</v>
      </c>
      <c r="J110" s="872" t="str">
        <f t="shared" ca="1" si="79"/>
        <v/>
      </c>
      <c r="K110" s="782"/>
      <c r="L110" s="773"/>
      <c r="M110" s="774"/>
      <c r="N110" s="775"/>
      <c r="O110" s="776" t="str">
        <f t="shared" ca="1" si="107"/>
        <v/>
      </c>
      <c r="P110" s="777" t="str">
        <f t="shared" ca="1" si="80"/>
        <v/>
      </c>
      <c r="Q110" s="777" t="str">
        <f t="shared" ca="1" si="81"/>
        <v/>
      </c>
      <c r="R110" s="777" t="str">
        <f t="shared" ca="1" si="99"/>
        <v/>
      </c>
      <c r="S110" s="778" t="str">
        <f t="shared" ca="1" si="100"/>
        <v/>
      </c>
      <c r="T110" s="1066" t="str">
        <f t="shared" ca="1" si="82"/>
        <v/>
      </c>
      <c r="U110" s="1165" t="str">
        <f t="shared" ca="1" si="108"/>
        <v/>
      </c>
      <c r="V110" s="1350">
        <f t="shared" ca="1" si="109"/>
        <v>0</v>
      </c>
      <c r="W110" s="1350">
        <f t="shared" ca="1" si="109"/>
        <v>0</v>
      </c>
      <c r="X110" s="1350">
        <f t="shared" ca="1" si="109"/>
        <v>0</v>
      </c>
      <c r="Y110" s="1067" t="str">
        <f t="shared" ca="1" si="110"/>
        <v/>
      </c>
      <c r="Z110" s="1165" t="str">
        <f t="shared" ca="1" si="111"/>
        <v/>
      </c>
      <c r="AA110" s="772"/>
      <c r="AB110" s="871" t="str">
        <f t="shared" ca="1" si="98"/>
        <v/>
      </c>
      <c r="AC110" s="55"/>
      <c r="AD110" s="96"/>
      <c r="AE110" s="96"/>
      <c r="AF110" s="96"/>
      <c r="AG110" s="96"/>
      <c r="AH110" s="96"/>
      <c r="AI110" s="96"/>
      <c r="AJ110" s="96"/>
      <c r="AK110" s="192"/>
      <c r="AL110" s="875"/>
      <c r="AM110" s="875"/>
      <c r="AN110" s="875"/>
      <c r="AO110" s="50"/>
      <c r="AP110" s="97"/>
      <c r="AQ110" s="97"/>
      <c r="AR110" s="97"/>
      <c r="AS110" s="97"/>
      <c r="AT110" s="97"/>
      <c r="AU110" s="97"/>
      <c r="AV110" s="97"/>
      <c r="AW110" s="97"/>
      <c r="AX110" s="97"/>
      <c r="AY110" s="97"/>
      <c r="AZ110" s="97"/>
      <c r="BA110" s="97"/>
      <c r="BB110" s="97"/>
      <c r="BC110" s="97"/>
    </row>
    <row r="111" spans="1:55" ht="12.75" customHeight="1" x14ac:dyDescent="0.3">
      <c r="A111" s="2229"/>
      <c r="B111" s="767" t="str">
        <f>'Q1'!C119</f>
        <v>Other 1 (enter CO2 factor and specify fuel in "Notes")</v>
      </c>
      <c r="C111" s="1179">
        <f t="shared" ca="1" si="106"/>
        <v>0</v>
      </c>
      <c r="D111" s="768">
        <f t="shared" ca="1" si="106"/>
        <v>0</v>
      </c>
      <c r="E111" s="769">
        <f t="shared" ca="1" si="106"/>
        <v>0</v>
      </c>
      <c r="F111" s="769">
        <f t="shared" ca="1" si="106"/>
        <v>0</v>
      </c>
      <c r="G111" s="769">
        <f t="shared" ca="1" si="106"/>
        <v>0</v>
      </c>
      <c r="H111" s="769">
        <f t="shared" ca="1" si="106"/>
        <v>0</v>
      </c>
      <c r="I111" s="770">
        <f t="shared" ca="1" si="77"/>
        <v>0</v>
      </c>
      <c r="J111" s="872" t="str">
        <f t="shared" ca="1" si="79"/>
        <v/>
      </c>
      <c r="K111" s="782"/>
      <c r="L111" s="784" t="str">
        <f ca="1">IF(C111&gt;0,'Q1'!E119,"")</f>
        <v/>
      </c>
      <c r="M111" s="785" t="str">
        <f ca="1">IF(L111="","",IF('Q1'!I119=0,"Fuel type not stated",'Q1'!I119))</f>
        <v/>
      </c>
      <c r="N111" s="772"/>
      <c r="O111" s="776" t="str">
        <f t="shared" ca="1" si="107"/>
        <v/>
      </c>
      <c r="P111" s="777" t="str">
        <f t="shared" ca="1" si="80"/>
        <v/>
      </c>
      <c r="Q111" s="777" t="str">
        <f t="shared" ca="1" si="81"/>
        <v/>
      </c>
      <c r="R111" s="777" t="str">
        <f t="shared" ca="1" si="99"/>
        <v/>
      </c>
      <c r="S111" s="778" t="str">
        <f t="shared" ca="1" si="100"/>
        <v/>
      </c>
      <c r="T111" s="1066" t="str">
        <f t="shared" ca="1" si="82"/>
        <v/>
      </c>
      <c r="U111" s="1165" t="str">
        <f t="shared" ca="1" si="108"/>
        <v/>
      </c>
      <c r="V111" s="1350">
        <f t="shared" ca="1" si="109"/>
        <v>0</v>
      </c>
      <c r="W111" s="1350">
        <f t="shared" ca="1" si="109"/>
        <v>0</v>
      </c>
      <c r="X111" s="1350">
        <f t="shared" ca="1" si="109"/>
        <v>0</v>
      </c>
      <c r="Y111" s="1067" t="str">
        <f t="shared" ca="1" si="110"/>
        <v/>
      </c>
      <c r="Z111" s="1165" t="str">
        <f t="shared" ca="1" si="111"/>
        <v/>
      </c>
      <c r="AA111" s="772"/>
      <c r="AB111" s="871" t="str">
        <f ca="1">IF((CONCATENATE(IF(K111="OK","",J111), "    ",IF(L111="","",IF(N111="OK","",CONCATENATE(M111," = ",ROUND(L111,3),"kgCO2e/kWh"))),"    ",IF(AND(+AA111="",Z111="M"),"Value change with medium impact",IF(AND(AA111="",Z111="H"),"Value change with high impact",""))," "))="         ","",(CONCATENATE(IF(K111="OK","",J111), "    ",IF(L111="","",IF(N111="OK","",CONCATENATE(M111," = ",ROUND(L111,3),"kgCO2e/kWh"))),"    ",IF(AND(+AA111="",Z111="M"),"Value change with medium impact",IF(AND(AA111="",Z111="H"),"Value change with high impact",""))," ")))</f>
        <v/>
      </c>
      <c r="AC111" s="55"/>
      <c r="AD111" s="96"/>
      <c r="AE111" s="96"/>
      <c r="AF111" s="96"/>
      <c r="AG111" s="96"/>
      <c r="AH111" s="96"/>
      <c r="AI111" s="96"/>
      <c r="AJ111" s="96"/>
      <c r="AK111" s="192"/>
      <c r="AL111" s="875"/>
      <c r="AM111" s="875"/>
      <c r="AN111" s="875"/>
      <c r="AO111" s="50"/>
      <c r="AP111" s="97"/>
      <c r="AQ111" s="97"/>
      <c r="AR111" s="97"/>
      <c r="AS111" s="97"/>
      <c r="AT111" s="97"/>
      <c r="AU111" s="97"/>
      <c r="AV111" s="97"/>
      <c r="AW111" s="97"/>
      <c r="AX111" s="97"/>
      <c r="AY111" s="97"/>
      <c r="AZ111" s="97"/>
      <c r="BA111" s="97"/>
      <c r="BB111" s="97"/>
      <c r="BC111" s="97"/>
    </row>
    <row r="112" spans="1:55" ht="12.75" customHeight="1" x14ac:dyDescent="0.3">
      <c r="A112" s="2229"/>
      <c r="B112" s="767" t="str">
        <f>'Q1'!C120</f>
        <v>Other 2 (enter CO2 factor and specify fuel in "Notes")</v>
      </c>
      <c r="C112" s="1179">
        <f t="shared" ca="1" si="106"/>
        <v>0</v>
      </c>
      <c r="D112" s="768">
        <f t="shared" ca="1" si="106"/>
        <v>0</v>
      </c>
      <c r="E112" s="769">
        <f t="shared" ca="1" si="106"/>
        <v>0</v>
      </c>
      <c r="F112" s="769">
        <f t="shared" ca="1" si="106"/>
        <v>0</v>
      </c>
      <c r="G112" s="769">
        <f t="shared" ca="1" si="106"/>
        <v>0</v>
      </c>
      <c r="H112" s="769">
        <f t="shared" ca="1" si="106"/>
        <v>0</v>
      </c>
      <c r="I112" s="770">
        <f t="shared" ca="1" si="77"/>
        <v>0</v>
      </c>
      <c r="J112" s="872" t="str">
        <f t="shared" ca="1" si="79"/>
        <v/>
      </c>
      <c r="K112" s="782"/>
      <c r="L112" s="784" t="str">
        <f ca="1">IF(C112&gt;0,'Q1'!E120,"")</f>
        <v/>
      </c>
      <c r="M112" s="785" t="str">
        <f ca="1">IF(L112="","",IF('Q1'!I120=0,"Fuel type not stated",'Q1'!I120))</f>
        <v/>
      </c>
      <c r="N112" s="772"/>
      <c r="O112" s="810" t="str">
        <f t="shared" ca="1" si="107"/>
        <v/>
      </c>
      <c r="P112" s="783" t="str">
        <f t="shared" ca="1" si="80"/>
        <v/>
      </c>
      <c r="Q112" s="783" t="str">
        <f t="shared" ca="1" si="81"/>
        <v/>
      </c>
      <c r="R112" s="783" t="str">
        <f t="shared" ca="1" si="99"/>
        <v/>
      </c>
      <c r="S112" s="811" t="str">
        <f t="shared" ca="1" si="100"/>
        <v/>
      </c>
      <c r="T112" s="1066" t="str">
        <f t="shared" ca="1" si="82"/>
        <v/>
      </c>
      <c r="U112" s="1165" t="str">
        <f t="shared" ca="1" si="108"/>
        <v/>
      </c>
      <c r="V112" s="1350">
        <f t="shared" ca="1" si="109"/>
        <v>0</v>
      </c>
      <c r="W112" s="1350">
        <f t="shared" ca="1" si="109"/>
        <v>0</v>
      </c>
      <c r="X112" s="1350">
        <f t="shared" ca="1" si="109"/>
        <v>0</v>
      </c>
      <c r="Y112" s="1067" t="str">
        <f t="shared" ca="1" si="110"/>
        <v/>
      </c>
      <c r="Z112" s="1165" t="str">
        <f t="shared" ca="1" si="111"/>
        <v/>
      </c>
      <c r="AA112" s="772"/>
      <c r="AB112" s="871" t="str">
        <f t="shared" ca="1" si="98"/>
        <v/>
      </c>
      <c r="AC112" s="55"/>
      <c r="AD112" s="96"/>
      <c r="AE112" s="96"/>
      <c r="AF112" s="96"/>
      <c r="AG112" s="96"/>
      <c r="AH112" s="96"/>
      <c r="AI112" s="96"/>
      <c r="AJ112" s="96"/>
      <c r="AK112" s="192"/>
      <c r="AL112" s="875"/>
      <c r="AM112" s="875"/>
      <c r="AN112" s="875"/>
      <c r="AO112" s="50"/>
      <c r="AP112" s="97"/>
      <c r="AQ112" s="97"/>
      <c r="AR112" s="97"/>
      <c r="AS112" s="97"/>
      <c r="AT112" s="97"/>
      <c r="AU112" s="97"/>
      <c r="AV112" s="97"/>
      <c r="AW112" s="97"/>
      <c r="AX112" s="97"/>
      <c r="AY112" s="97"/>
      <c r="AZ112" s="97"/>
      <c r="BA112" s="97"/>
      <c r="BB112" s="97"/>
      <c r="BC112" s="97"/>
    </row>
    <row r="113" spans="1:55" ht="12.75" customHeight="1" thickBot="1" x14ac:dyDescent="0.35">
      <c r="A113" s="2230"/>
      <c r="B113" s="1178" t="str">
        <f>'Q1'!C121</f>
        <v>Other 3 (enter CO2 factor and specify fuel in "Notes")</v>
      </c>
      <c r="C113" s="1181">
        <f t="shared" ca="1" si="106"/>
        <v>0</v>
      </c>
      <c r="D113" s="786">
        <f t="shared" ca="1" si="106"/>
        <v>0</v>
      </c>
      <c r="E113" s="787">
        <f t="shared" ca="1" si="106"/>
        <v>0</v>
      </c>
      <c r="F113" s="787">
        <f t="shared" ca="1" si="106"/>
        <v>0</v>
      </c>
      <c r="G113" s="787">
        <f t="shared" ca="1" si="106"/>
        <v>0</v>
      </c>
      <c r="H113" s="787">
        <f t="shared" ca="1" si="106"/>
        <v>0</v>
      </c>
      <c r="I113" s="788">
        <f t="shared" ca="1" si="77"/>
        <v>0</v>
      </c>
      <c r="J113" s="849" t="str">
        <f t="shared" ca="1" si="79"/>
        <v/>
      </c>
      <c r="K113" s="796"/>
      <c r="L113" s="791" t="str">
        <f ca="1">IF(C113&gt;0,'Q1'!E121,"")</f>
        <v/>
      </c>
      <c r="M113" s="792" t="str">
        <f ca="1">IF(L113="","",IF('Q1'!I121=0,"Fuel type not stated",'Q1'!I121))</f>
        <v/>
      </c>
      <c r="N113" s="790"/>
      <c r="O113" s="813" t="str">
        <f t="shared" ca="1" si="107"/>
        <v/>
      </c>
      <c r="P113" s="1072" t="str">
        <f t="shared" ca="1" si="80"/>
        <v/>
      </c>
      <c r="Q113" s="1072" t="str">
        <f t="shared" ca="1" si="81"/>
        <v/>
      </c>
      <c r="R113" s="1072" t="str">
        <f t="shared" ca="1" si="99"/>
        <v/>
      </c>
      <c r="S113" s="1075" t="str">
        <f t="shared" ca="1" si="100"/>
        <v/>
      </c>
      <c r="T113" s="813" t="str">
        <f t="shared" ca="1" si="82"/>
        <v/>
      </c>
      <c r="U113" s="1163" t="str">
        <f t="shared" ca="1" si="108"/>
        <v/>
      </c>
      <c r="V113" s="1351">
        <f t="shared" ca="1" si="109"/>
        <v>0</v>
      </c>
      <c r="W113" s="1351">
        <f t="shared" ca="1" si="109"/>
        <v>0</v>
      </c>
      <c r="X113" s="1351">
        <f t="shared" ca="1" si="109"/>
        <v>0</v>
      </c>
      <c r="Y113" s="1073" t="str">
        <f t="shared" ca="1" si="110"/>
        <v/>
      </c>
      <c r="Z113" s="1163" t="str">
        <f t="shared" ca="1" si="111"/>
        <v/>
      </c>
      <c r="AA113" s="790"/>
      <c r="AB113" s="897" t="str">
        <f t="shared" ca="1" si="98"/>
        <v/>
      </c>
      <c r="AC113" s="55"/>
      <c r="AD113" s="96"/>
      <c r="AE113" s="96"/>
      <c r="AF113" s="96"/>
      <c r="AG113" s="96"/>
      <c r="AH113" s="96"/>
      <c r="AI113" s="96"/>
      <c r="AJ113" s="96"/>
      <c r="AK113" s="192"/>
      <c r="AL113" s="875"/>
      <c r="AM113" s="875"/>
      <c r="AN113" s="875"/>
      <c r="AO113" s="50"/>
      <c r="AP113" s="97"/>
      <c r="AQ113" s="97"/>
      <c r="AR113" s="97"/>
      <c r="AS113" s="97"/>
      <c r="AT113" s="97"/>
      <c r="AU113" s="97"/>
      <c r="AV113" s="97"/>
      <c r="AW113" s="97"/>
      <c r="AX113" s="97"/>
      <c r="AY113" s="97"/>
      <c r="AZ113" s="97"/>
      <c r="BA113" s="97"/>
      <c r="BB113" s="97"/>
      <c r="BC113" s="97"/>
    </row>
    <row r="114" spans="1:55" ht="12" customHeight="1" x14ac:dyDescent="0.3">
      <c r="A114" s="898"/>
      <c r="B114" s="898"/>
      <c r="C114" s="898"/>
      <c r="D114" s="898"/>
      <c r="E114" s="898"/>
      <c r="F114" s="898"/>
      <c r="G114" s="898"/>
      <c r="H114" s="898"/>
      <c r="I114" s="898"/>
      <c r="J114" s="852" t="str">
        <f>IF(AND(C114&gt;0,SUM(D114:I114)&gt;0),"",IF(AND(C114=0,SUM(C114:I114)=0),"",IF(AND(C114=0,D114&gt;0),"missing?",IF(AND(C114=0,I114&gt;0),"missing?","new category"))))</f>
        <v/>
      </c>
      <c r="K114" s="852"/>
      <c r="L114" s="852"/>
      <c r="M114" s="853"/>
      <c r="N114" s="852"/>
      <c r="O114" s="854" t="str">
        <f>IF(OR(+$J114="missing?",+$J114="new category"),"",IF($D114=0,"",IF(SUM($C114:$I114)=0,"",IFERROR((($C114-$D114)/$D114),"N/A"))))</f>
        <v/>
      </c>
      <c r="P114" s="854"/>
      <c r="Q114" s="854"/>
      <c r="R114" s="854" t="str">
        <f>IF(OR(+$J114="missing?",+$J114="new category"),"",IF($G114=0,"",IF(SUM($C114:$I114)=0,"",IFERROR((($C114-$G114)/$G114),"N/A"))))</f>
        <v/>
      </c>
      <c r="S114" s="854" t="str">
        <f>IF(OR(+$J114="missing?",+$J114="new category"),"",IF($I114=0,"",IF(SUM($C114:$I114)=0,"",IFERROR((($C114-$I114)/$I114),"N/A"))))</f>
        <v/>
      </c>
      <c r="T114" s="855" t="str">
        <f>IF(MAX(IF(O114&lt;0,-O114,O114),IF(R114&lt;0,-R114,R114),IF(S114&lt;0,-S114,S114))=0,"",MAX(IF(O114&lt;0,-O114,O114),IF(R114&lt;0,-R114,R114),IF(S114&lt;0,-S114,S114)))</f>
        <v/>
      </c>
      <c r="U114" s="855"/>
      <c r="V114" s="855"/>
      <c r="W114" s="855"/>
      <c r="X114" s="855"/>
      <c r="Y114" s="855" t="str">
        <f>IF('Q1'!F122=0,"",'Q1'!F122/L$7*MAX(T114:T114))</f>
        <v/>
      </c>
      <c r="Z114" s="713" t="str">
        <f>IF(+Y114="","",IF(Y114&gt;L$3,"H",IF(Y114&lt;L$4,"L","M")))</f>
        <v/>
      </c>
      <c r="AA114" s="856"/>
      <c r="AB114" s="854" t="str">
        <f>IF(AND(OR(AA114="OK",Z114="L",Z114=""),OR(J114="",K114="OK"),OR(+L114="",N114="OK")),"","Unresolved issue")</f>
        <v/>
      </c>
      <c r="AC114" s="55"/>
      <c r="AD114" s="875"/>
      <c r="AE114" s="875"/>
      <c r="AF114" s="875"/>
      <c r="AG114" s="875"/>
      <c r="AH114" s="875"/>
      <c r="AI114" s="875"/>
      <c r="AJ114" s="875"/>
      <c r="AK114" s="875"/>
      <c r="AL114" s="875"/>
      <c r="AM114" s="875"/>
      <c r="AN114" s="875"/>
      <c r="AO114" s="50"/>
      <c r="AP114" s="194"/>
      <c r="AQ114" s="194"/>
      <c r="AR114" s="194"/>
      <c r="AS114" s="194"/>
      <c r="AT114" s="194"/>
      <c r="AU114" s="194"/>
      <c r="AV114" s="194"/>
      <c r="AW114" s="194"/>
      <c r="AX114" s="194"/>
      <c r="AY114" s="194"/>
      <c r="AZ114" s="194"/>
      <c r="BA114" s="194"/>
      <c r="BB114" s="194"/>
      <c r="BC114" s="194"/>
    </row>
    <row r="115" spans="1:55" ht="12.75" customHeight="1" x14ac:dyDescent="0.3">
      <c r="A115" s="898"/>
      <c r="B115" s="898"/>
      <c r="C115" s="898"/>
      <c r="D115" s="898"/>
      <c r="E115" s="898"/>
      <c r="F115" s="898"/>
      <c r="G115" s="898"/>
      <c r="H115" s="898"/>
      <c r="I115" s="814"/>
      <c r="J115" s="852"/>
      <c r="K115" s="852"/>
      <c r="L115" s="852"/>
      <c r="M115" s="853"/>
      <c r="N115" s="852"/>
      <c r="O115" s="854"/>
      <c r="P115" s="854"/>
      <c r="Q115" s="854"/>
      <c r="R115" s="854"/>
      <c r="S115" s="854"/>
      <c r="T115" s="855"/>
      <c r="U115" s="855"/>
      <c r="V115" s="855"/>
      <c r="W115" s="855"/>
      <c r="X115" s="855"/>
      <c r="Y115" s="855"/>
      <c r="Z115" s="713"/>
      <c r="AA115" s="856"/>
      <c r="AB115" s="854"/>
      <c r="AC115" s="191"/>
      <c r="AD115" s="96"/>
      <c r="AE115" s="96"/>
      <c r="AF115" s="96"/>
      <c r="AG115" s="96"/>
      <c r="AH115" s="96"/>
      <c r="AI115" s="96"/>
      <c r="AJ115" s="96"/>
      <c r="AK115" s="192"/>
      <c r="AL115" s="875"/>
      <c r="AM115" s="875"/>
      <c r="AN115" s="875"/>
      <c r="AO115" s="50"/>
      <c r="AP115" s="97"/>
      <c r="AQ115" s="97"/>
      <c r="AR115" s="97"/>
      <c r="AS115" s="97"/>
      <c r="AT115" s="97"/>
      <c r="AU115" s="97"/>
      <c r="AV115" s="97"/>
      <c r="AW115" s="97"/>
      <c r="AX115" s="97"/>
      <c r="AY115" s="97"/>
      <c r="AZ115" s="97"/>
      <c r="BA115" s="97"/>
      <c r="BB115" s="97"/>
      <c r="BC115" s="97"/>
    </row>
    <row r="116" spans="1:55" ht="14.4" x14ac:dyDescent="0.3">
      <c r="A116" s="90"/>
      <c r="B116" s="90"/>
      <c r="C116" s="814"/>
      <c r="D116" s="814"/>
      <c r="E116" s="814"/>
      <c r="F116" s="814"/>
      <c r="G116" s="814"/>
      <c r="H116" s="814"/>
      <c r="I116" s="814"/>
      <c r="J116" s="852" t="str">
        <f>IF(AND(C116&gt;0,SUM(D116:I116)&gt;0),"",IF(AND(C116=0,SUM(C116:I116)=0),"",IF(AND(C116=0,D116&gt;0),"missing?",IF(AND(C116=0,I116&gt;0),"missing?","new category"))))</f>
        <v/>
      </c>
      <c r="K116" s="852"/>
      <c r="L116" s="854"/>
      <c r="M116" s="899"/>
      <c r="N116" s="55"/>
      <c r="O116" s="854" t="str">
        <f>IF(OR(+$J116="missing?",+$J116="new category"),"",IF($D116=0,"",IF(SUM($C116:$I116)=0,"",IFERROR((($C116-$D116)/$D116),"N/A"))))</f>
        <v/>
      </c>
      <c r="P116" s="854"/>
      <c r="Q116" s="854"/>
      <c r="R116" s="854" t="str">
        <f>IF(OR(+$J116="missing?",+$J116="new category"),"",IF($G116=0,"",IF(SUM($C116:$I116)=0,"",IFERROR((($C116-$G116)/$G116),"N/A"))))</f>
        <v/>
      </c>
      <c r="S116" s="854" t="str">
        <f>IF(OR(+$J116="missing?",+$J116="new category"),"",IF($I116=0,"",IF(SUM($C116:$I116)=0,"",IFERROR((($C116-$I116)/$I116),"N/A"))))</f>
        <v/>
      </c>
      <c r="T116" s="855" t="str">
        <f>IF(MAX(IF(O116&lt;0,-O116,O116),IF(R116&lt;0,-R116,R116),IF(S116&lt;0,-S116,S116))=0,"",MAX(IF(O116&lt;0,-O116,O116),IF(R116&lt;0,-R116,R116),IF(S116&lt;0,-S116,S116)))</f>
        <v/>
      </c>
      <c r="U116" s="855"/>
      <c r="V116" s="855"/>
      <c r="W116" s="855"/>
      <c r="X116" s="855"/>
      <c r="Y116" s="855"/>
      <c r="Z116" s="713" t="str">
        <f>IF(+Y116="","",IF(Y116&gt;L$3,"H",IF(Y116&lt;L$4,"L","M")))</f>
        <v/>
      </c>
      <c r="AA116" s="854"/>
      <c r="AB116" s="854"/>
      <c r="AC116" s="55"/>
      <c r="AD116" s="55"/>
      <c r="AE116" s="55"/>
      <c r="AF116" s="55"/>
      <c r="AG116" s="55"/>
      <c r="AH116" s="55"/>
      <c r="AI116" s="55"/>
      <c r="AJ116" s="98"/>
      <c r="AK116" s="55"/>
      <c r="AL116" s="99"/>
      <c r="AM116" s="110"/>
      <c r="AN116" s="1182"/>
      <c r="AO116" s="50"/>
      <c r="AP116" s="55"/>
      <c r="AQ116" s="55"/>
      <c r="AR116" s="55"/>
      <c r="AS116" s="55"/>
      <c r="AT116" s="55"/>
      <c r="AU116" s="55"/>
      <c r="AV116" s="55"/>
      <c r="AW116" s="55"/>
      <c r="AX116" s="55"/>
      <c r="AY116" s="55"/>
      <c r="AZ116" s="55"/>
      <c r="BA116" s="55"/>
      <c r="BB116" s="55"/>
      <c r="BC116" s="55"/>
    </row>
    <row r="117" spans="1:55" thickBot="1" x14ac:dyDescent="0.35">
      <c r="A117" s="673"/>
      <c r="B117" s="673"/>
      <c r="C117" s="671"/>
      <c r="D117" s="671"/>
      <c r="E117" s="671"/>
      <c r="F117" s="671"/>
      <c r="G117" s="671"/>
      <c r="H117" s="671"/>
      <c r="I117" s="671"/>
      <c r="J117" s="852" t="str">
        <f>IF(AND(C117&gt;0,SUM(D117:I117)&gt;0),"",IF(AND(C117=0,SUM(C117:I117)=0),"",IF(AND(C117=0,D117&gt;0),"missing?",IF(AND(C117=0,I117&gt;0),"missing?","new category"))))</f>
        <v/>
      </c>
      <c r="K117" s="852"/>
      <c r="L117" s="672"/>
      <c r="M117" s="672"/>
      <c r="N117" s="50"/>
      <c r="O117" s="854" t="str">
        <f>IF(OR(+$J117="missing?",+$J117="new category"),"",IF($D117=0,"",IF(SUM($C117:$I117)=0,"",IFERROR((($C117-$D117)/$D117),"N/A"))))</f>
        <v/>
      </c>
      <c r="P117" s="854"/>
      <c r="Q117" s="854"/>
      <c r="R117" s="854" t="str">
        <f>IF(OR(+$J117="missing?",+$J117="new category"),"",IF($G117=0,"",IF(SUM($C117:$I117)=0,"",IFERROR((($C117-$G117)/$G117),"N/A"))))</f>
        <v/>
      </c>
      <c r="S117" s="854" t="str">
        <f>IF(OR(+$J117="missing?",+$J117="new category"),"",IF($I117=0,"",IF(SUM($C117:$I117)=0,"",IFERROR((($C117-$I117)/$I117),"N/A"))))</f>
        <v/>
      </c>
      <c r="T117" s="855" t="str">
        <f>IF(MAX(IF(O117&lt;0,-O117,O117),IF(R117&lt;0,-R117,R117),IF(S117&lt;0,-S117,S117))=0,"",MAX(IF(O117&lt;0,-O117,O117),IF(R117&lt;0,-R117,R117),IF(S117&lt;0,-S117,S117)))</f>
        <v/>
      </c>
      <c r="U117" s="855"/>
      <c r="V117" s="855"/>
      <c r="W117" s="855"/>
      <c r="X117" s="855"/>
      <c r="Y117" s="855"/>
      <c r="Z117" s="713" t="str">
        <f>IF(+Y117="","",IF(Y117&gt;L$3,"H",IF(Y117&lt;L$4,"L","M")))</f>
        <v/>
      </c>
      <c r="AA117" s="672"/>
      <c r="AB117" s="672"/>
      <c r="AC117" s="50"/>
      <c r="AD117" s="50"/>
      <c r="AE117" s="50"/>
      <c r="AF117" s="50"/>
      <c r="AG117" s="50"/>
      <c r="AH117" s="50"/>
      <c r="AI117" s="50"/>
      <c r="AJ117" s="105"/>
      <c r="AK117" s="50"/>
      <c r="AL117" s="106"/>
      <c r="AM117" s="195"/>
      <c r="AN117" s="196"/>
      <c r="AO117" s="50"/>
      <c r="AP117" s="50"/>
      <c r="AQ117" s="50"/>
      <c r="AR117" s="50"/>
      <c r="AS117" s="50"/>
      <c r="AT117" s="50"/>
      <c r="AU117" s="50"/>
      <c r="AV117" s="50"/>
      <c r="AW117" s="50"/>
      <c r="AX117" s="50"/>
      <c r="AY117" s="50"/>
      <c r="AZ117" s="50"/>
      <c r="BA117" s="50"/>
      <c r="BB117" s="50"/>
      <c r="BC117" s="50"/>
    </row>
    <row r="118" spans="1:55" ht="27.6" x14ac:dyDescent="0.3">
      <c r="A118" s="100"/>
      <c r="B118" s="101"/>
      <c r="C118" s="1282" t="s">
        <v>176</v>
      </c>
      <c r="D118" s="2164" t="s">
        <v>177</v>
      </c>
      <c r="E118" s="2165"/>
      <c r="F118" s="2165"/>
      <c r="G118" s="2166"/>
      <c r="H118" s="2167"/>
      <c r="I118" s="2231"/>
      <c r="J118" s="2168" t="s">
        <v>428</v>
      </c>
      <c r="K118" s="2169"/>
      <c r="L118" s="2170"/>
      <c r="M118" s="2171"/>
      <c r="N118" s="2172"/>
      <c r="O118" s="2173" t="s">
        <v>430</v>
      </c>
      <c r="P118" s="2170"/>
      <c r="Q118" s="2170"/>
      <c r="R118" s="2171"/>
      <c r="S118" s="2174"/>
      <c r="T118" s="2170" t="s">
        <v>418</v>
      </c>
      <c r="U118" s="2171"/>
      <c r="V118" s="2171"/>
      <c r="W118" s="2171"/>
      <c r="X118" s="2171"/>
      <c r="Y118" s="2171"/>
      <c r="Z118" s="2171"/>
      <c r="AA118" s="2172"/>
      <c r="AB118" s="2192" t="s">
        <v>433</v>
      </c>
      <c r="AC118" s="50"/>
      <c r="AD118" s="192"/>
      <c r="AE118" s="192"/>
      <c r="AF118" s="192"/>
      <c r="AG118" s="192"/>
      <c r="AH118" s="192"/>
      <c r="AI118" s="192"/>
      <c r="AJ118" s="192"/>
      <c r="AK118" s="192"/>
      <c r="AL118" s="192"/>
      <c r="AM118" s="900"/>
      <c r="AN118" s="900"/>
      <c r="AO118" s="50"/>
      <c r="AP118" s="50"/>
      <c r="AQ118" s="50"/>
      <c r="AR118" s="50"/>
      <c r="AS118" s="50"/>
      <c r="AT118" s="50"/>
      <c r="AU118" s="50"/>
      <c r="AV118" s="50"/>
      <c r="AW118" s="50"/>
      <c r="AX118" s="50"/>
      <c r="AY118" s="50"/>
      <c r="AZ118" s="50"/>
      <c r="BA118" s="50"/>
      <c r="BB118" s="50"/>
      <c r="BC118" s="50"/>
    </row>
    <row r="119" spans="1:55" ht="51.75" customHeight="1" thickBot="1" x14ac:dyDescent="0.35">
      <c r="A119" s="901"/>
      <c r="B119" s="103"/>
      <c r="C119" s="1283" t="str">
        <f>C14</f>
        <v>Q1</v>
      </c>
      <c r="D119" s="721" t="str">
        <f t="shared" ref="D119:I119" si="112">D14</f>
        <v>Q4-19</v>
      </c>
      <c r="E119" s="925" t="str">
        <f t="shared" si="112"/>
        <v>Q3-19</v>
      </c>
      <c r="F119" s="925" t="str">
        <f t="shared" si="112"/>
        <v>Q2-19</v>
      </c>
      <c r="G119" s="722" t="str">
        <f t="shared" si="112"/>
        <v>Q1-19</v>
      </c>
      <c r="H119" s="722" t="str">
        <f t="shared" si="112"/>
        <v>2018-2019</v>
      </c>
      <c r="I119" s="723" t="str">
        <f t="shared" si="112"/>
        <v>25% of previous year total</v>
      </c>
      <c r="J119" s="724" t="s">
        <v>434</v>
      </c>
      <c r="K119" s="725" t="s">
        <v>435</v>
      </c>
      <c r="L119" s="1158"/>
      <c r="M119" s="726"/>
      <c r="N119" s="902"/>
      <c r="O119" s="728" t="s">
        <v>438</v>
      </c>
      <c r="P119" s="925" t="s">
        <v>470</v>
      </c>
      <c r="Q119" s="925" t="s">
        <v>471</v>
      </c>
      <c r="R119" s="1169" t="s">
        <v>439</v>
      </c>
      <c r="S119" s="729" t="s">
        <v>440</v>
      </c>
      <c r="T119" s="2156" t="s">
        <v>441</v>
      </c>
      <c r="U119" s="2155"/>
      <c r="V119" s="1169" t="str">
        <f>V14</f>
        <v>Q1</v>
      </c>
      <c r="W119" s="1169" t="str">
        <f t="shared" ref="W119:X119" si="113">W14</f>
        <v>Q4-19</v>
      </c>
      <c r="X119" s="1169" t="str">
        <f t="shared" si="113"/>
        <v>2018-2019</v>
      </c>
      <c r="Y119" s="2157" t="s">
        <v>442</v>
      </c>
      <c r="Z119" s="2155"/>
      <c r="AA119" s="1159" t="s">
        <v>435</v>
      </c>
      <c r="AB119" s="2193"/>
      <c r="AC119" s="50"/>
      <c r="AD119" s="192"/>
      <c r="AE119" s="192"/>
      <c r="AF119" s="192"/>
      <c r="AG119" s="192"/>
      <c r="AH119" s="192"/>
      <c r="AI119" s="192"/>
      <c r="AJ119" s="193"/>
      <c r="AK119" s="192"/>
      <c r="AL119" s="192"/>
      <c r="AM119" s="900"/>
      <c r="AN119" s="900"/>
      <c r="AO119" s="50"/>
      <c r="AP119" s="50"/>
      <c r="AQ119" s="50"/>
      <c r="AR119" s="50"/>
      <c r="AS119" s="50"/>
      <c r="AT119" s="50"/>
      <c r="AU119" s="50"/>
      <c r="AV119" s="50"/>
      <c r="AW119" s="50"/>
      <c r="AX119" s="50"/>
      <c r="AY119" s="50"/>
      <c r="AZ119" s="50"/>
      <c r="BA119" s="50"/>
      <c r="BB119" s="50"/>
      <c r="BC119" s="50"/>
    </row>
    <row r="120" spans="1:55" ht="12" customHeight="1" x14ac:dyDescent="0.3">
      <c r="A120" s="2232" t="s">
        <v>182</v>
      </c>
      <c r="B120" s="903" t="str">
        <f>'Q1'!O68</f>
        <v>STANDARD Petrol (average biofuel blend)*</v>
      </c>
      <c r="C120" s="1262">
        <f t="shared" ref="C120:H126" ca="1" si="114">INDEX(INDIRECT(CONCATENATE("'",C$14,"'!$R$68:$R$74"),TRUE),MATCH($B120,INDIRECT(CONCATENATE("'",C$14,"'!$O$68:$O$74"),TRUE),0))</f>
        <v>44776</v>
      </c>
      <c r="D120" s="798">
        <f t="shared" ca="1" si="114"/>
        <v>6967</v>
      </c>
      <c r="E120" s="761">
        <f t="shared" ca="1" si="114"/>
        <v>3156</v>
      </c>
      <c r="F120" s="761">
        <f t="shared" ca="1" si="114"/>
        <v>11097</v>
      </c>
      <c r="G120" s="761">
        <f t="shared" ca="1" si="114"/>
        <v>2600</v>
      </c>
      <c r="H120" s="761">
        <f t="shared" ca="1" si="114"/>
        <v>23820</v>
      </c>
      <c r="I120" s="799">
        <f t="shared" ref="I120:I133" ca="1" si="115">H120/4</f>
        <v>5955</v>
      </c>
      <c r="J120" s="800" t="str">
        <f t="shared" ref="J120:J125" ca="1" si="116">IF(AND(C120&gt;0,SUM(D120:I120)&gt;0),"",IF(AND(C120=0,SUM(C120:I120)=0),"",IF(AND(C120=0,D120&gt;0),"Missing value?",IF(AND(C120=0,I120&gt;0),"Missing value?","New category"))))</f>
        <v/>
      </c>
      <c r="K120" s="801"/>
      <c r="L120" s="904">
        <f ca="1">IF(C120&gt;0,'Q1'!E128,"")</f>
        <v>0.15831999999999999</v>
      </c>
      <c r="M120" s="763" t="str">
        <f ca="1">IF(L120="","",IF('Q1'!I128=0,"fuel type not stated",'Q1'!I128))</f>
        <v>fuel type not stated</v>
      </c>
      <c r="N120" s="905"/>
      <c r="O120" s="906">
        <f t="shared" ref="O120:O126" ca="1" si="117">IF(OR(+$J120="missing?",+$J120="new category"),"",IF($D120=0,"",IF(SUM($C120:$I120)=0,"",IFERROR((($C120-$D120)/$D120),"N/A"))))</f>
        <v>5.4268695277737908</v>
      </c>
      <c r="P120" s="765">
        <f t="shared" ref="P120:P126" ca="1" si="118">IF(OR(+$J120="missing?",+$J120="new category"),"",IF($E120=0,"",IF(SUM($C120:$I120)=0,"",IFERROR((($C120-$E120)/$E120),"N/A"))))</f>
        <v>13.187579214195184</v>
      </c>
      <c r="Q120" s="765">
        <f t="shared" ref="Q120:Q126" ca="1" si="119">IF(OR(+$J120="missing?",+$J120="new category"),"",IF($F120=0,"",IF(SUM($C120:$I120)=0,"",IFERROR((($C120-$F120)/$F120),"N/A"))))</f>
        <v>3.0349644047940885</v>
      </c>
      <c r="R120" s="765">
        <f t="shared" ref="R120:R126" ca="1" si="120">IF(OR(+$J120="missing?",+$J120="new category"),"",IF($G120=0,"",IF(SUM($C120:$I120)=0,"",IFERROR((($C120-$G120)/$G120),"N/A"))))</f>
        <v>16.221538461538461</v>
      </c>
      <c r="S120" s="907">
        <f t="shared" ref="S120:S126" ca="1" si="121">IF(OR(+$J120="missing?",+$J120="new category"),"",IF($I120=0,"",IF(SUM($C120:$I120)=0,"",IFERROR((($C120-$I120)/$I120),"N/A"))))</f>
        <v>6.519059613769941</v>
      </c>
      <c r="T120" s="1236">
        <f t="shared" ref="T120:T125" ca="1" si="122">IF(SUM(C120:I120)=0,"",IF(OR(AND(C120=0,SUM(D120:I120)&gt;0),AND(C120&gt;0,SUM(D120:I120)=0)),1,IF(MAX(IF(O120&lt;0,-O120,O120),IF(P120&lt;0,-P120,P120),IF(Q120&lt;0,-Q120,Q120),IF(R120&lt;0,-R120,R120),IF(S120&lt;0,-S120,S120))=0,"",MAX(IF(O120&lt;0,-O120,O120),IF(P120&lt;0,-P120,P120),IF(Q120&lt;0,-Q120,Q120),IF(R120&lt;0,-R120,R120),IF(S120&lt;0,-S120,S120)))))</f>
        <v>16.221538461538461</v>
      </c>
      <c r="U120" s="766" t="str">
        <f t="shared" ref="U120:U133" ca="1" si="123">IF(+T120="","",IF(T120&gt;L$3,"H",IF(T120&gt;L$4,"M","")))</f>
        <v>H</v>
      </c>
      <c r="V120" s="1349">
        <f t="shared" ref="V120:X126" ca="1" si="124">INDEX(INDIRECT(CONCATENATE("'",V$14,"'!$T$68:$T$74"),TRUE),MATCH($B120,INDIRECT(CONCATENATE("'",V$14,"'!$O$68:$O$74"),TRUE),0))</f>
        <v>98.911975039999987</v>
      </c>
      <c r="W120" s="1349">
        <f t="shared" ca="1" si="124"/>
        <v>15.348788689999999</v>
      </c>
      <c r="X120" s="1349">
        <f t="shared" ca="1" si="124"/>
        <v>52.477127400000001</v>
      </c>
      <c r="Y120" s="1237">
        <f t="shared" ref="Y120:Y133" ca="1" si="125">IF(V120=0,IF(W120&gt;0, W120/L$8, IF(X120&gt;0,X120/L$10, "")), IF(T120="", "", V120/L$7*T120))</f>
        <v>2.1822910976095098E-2</v>
      </c>
      <c r="Z120" s="766" t="str">
        <f t="shared" ref="Z120:Z133" ca="1" si="126">IF(+Y120="","",IF(Y120&gt;L$3,"H",IF(Y120&gt;L$4,"M","")))</f>
        <v>M</v>
      </c>
      <c r="AA120" s="801"/>
      <c r="AB120" s="758" t="str">
        <f t="shared" ref="AB120:AB125" ca="1" si="127">IF((CONCATENATE(IF(K120="OK","",J120), "    ",IF(L120="","",IF(N120="OK","",CONCATENATE(M120," = ",ROUND(L120,3),"kgCO2e/kWh"))),"    ",IF(AND(+AA120="",Z120="M"),"Value change with medium impact",IF(AND(AA120="",Z120="H"),"Value change with high impact",""))," "))="         ","",(CONCATENATE(IF(K120="OK","",J120), "    ",IF(L120="","",IF(N120="OK","",CONCATENATE(M120," = ",ROUND(L120,3),"kgCO2e/kWh"))),"    ",IF(AND(+AA120="",Z120="M"),"Value change with medium impact",IF(AND(AA120="",Z120="H"),"Value change with high impact",""))," ")))</f>
        <v xml:space="preserve">    fuel type not stated = 0.158kgCO2e/kWh    Value change with medium impact </v>
      </c>
      <c r="AC120" s="50"/>
      <c r="AD120" s="96"/>
      <c r="AE120" s="96"/>
      <c r="AF120" s="96"/>
      <c r="AG120" s="96"/>
      <c r="AH120" s="96"/>
      <c r="AI120" s="96"/>
      <c r="AJ120" s="96"/>
      <c r="AK120" s="192"/>
      <c r="AL120" s="875"/>
      <c r="AM120" s="875"/>
      <c r="AN120" s="875"/>
      <c r="AO120" s="50"/>
      <c r="AP120" s="50"/>
      <c r="AQ120" s="50"/>
      <c r="AR120" s="50"/>
      <c r="AS120" s="50"/>
      <c r="AT120" s="50"/>
      <c r="AU120" s="50"/>
      <c r="AV120" s="50"/>
      <c r="AW120" s="50"/>
      <c r="AX120" s="50"/>
      <c r="AY120" s="50"/>
      <c r="AZ120" s="50"/>
      <c r="BA120" s="50"/>
      <c r="BB120" s="50"/>
      <c r="BC120" s="50"/>
    </row>
    <row r="121" spans="1:55" ht="14.4" x14ac:dyDescent="0.3">
      <c r="A121" s="2233"/>
      <c r="B121" s="908" t="str">
        <f>'Q1'!O69</f>
        <v>Petrol (100% mineral petrol)</v>
      </c>
      <c r="C121" s="1183">
        <f t="shared" ca="1" si="114"/>
        <v>0</v>
      </c>
      <c r="D121" s="768">
        <f t="shared" ca="1" si="114"/>
        <v>0</v>
      </c>
      <c r="E121" s="769">
        <f t="shared" ca="1" si="114"/>
        <v>0</v>
      </c>
      <c r="F121" s="769">
        <f t="shared" ca="1" si="114"/>
        <v>0</v>
      </c>
      <c r="G121" s="769">
        <f t="shared" ca="1" si="114"/>
        <v>0</v>
      </c>
      <c r="H121" s="769">
        <f t="shared" ca="1" si="114"/>
        <v>0</v>
      </c>
      <c r="I121" s="770">
        <f t="shared" ca="1" si="115"/>
        <v>0</v>
      </c>
      <c r="J121" s="771" t="str">
        <f t="shared" ca="1" si="116"/>
        <v/>
      </c>
      <c r="K121" s="772"/>
      <c r="L121" s="909" t="str">
        <f ca="1">IF(C121&gt;0,'Q1'!E129,"")</f>
        <v/>
      </c>
      <c r="M121" s="774" t="str">
        <f ca="1">IF(L121="","",IF('Q1'!I129=0,"fuel type not stated",'Q1'!I129))</f>
        <v/>
      </c>
      <c r="N121" s="910"/>
      <c r="O121" s="810" t="str">
        <f t="shared" ca="1" si="117"/>
        <v/>
      </c>
      <c r="P121" s="783" t="str">
        <f t="shared" ca="1" si="118"/>
        <v/>
      </c>
      <c r="Q121" s="783" t="str">
        <f t="shared" ca="1" si="119"/>
        <v/>
      </c>
      <c r="R121" s="783" t="str">
        <f t="shared" ca="1" si="120"/>
        <v/>
      </c>
      <c r="S121" s="811" t="str">
        <f t="shared" ca="1" si="121"/>
        <v/>
      </c>
      <c r="T121" s="1066" t="str">
        <f t="shared" ca="1" si="122"/>
        <v/>
      </c>
      <c r="U121" s="1165" t="str">
        <f t="shared" ca="1" si="123"/>
        <v/>
      </c>
      <c r="V121" s="1350">
        <f t="shared" ca="1" si="124"/>
        <v>0</v>
      </c>
      <c r="W121" s="1350">
        <f t="shared" ca="1" si="124"/>
        <v>0</v>
      </c>
      <c r="X121" s="1350">
        <f t="shared" ca="1" si="124"/>
        <v>0</v>
      </c>
      <c r="Y121" s="1067" t="str">
        <f t="shared" ca="1" si="125"/>
        <v/>
      </c>
      <c r="Z121" s="1165" t="str">
        <f t="shared" ca="1" si="126"/>
        <v/>
      </c>
      <c r="AA121" s="772"/>
      <c r="AB121" s="804" t="str">
        <f t="shared" ca="1" si="127"/>
        <v/>
      </c>
      <c r="AC121" s="50"/>
      <c r="AD121" s="96"/>
      <c r="AE121" s="96"/>
      <c r="AF121" s="96"/>
      <c r="AG121" s="96"/>
      <c r="AH121" s="96"/>
      <c r="AI121" s="96"/>
      <c r="AJ121" s="96"/>
      <c r="AK121" s="192"/>
      <c r="AL121" s="875"/>
      <c r="AM121" s="875"/>
      <c r="AN121" s="875"/>
      <c r="AO121" s="50"/>
      <c r="AP121" s="50"/>
      <c r="AQ121" s="50"/>
      <c r="AR121" s="50"/>
      <c r="AS121" s="50"/>
      <c r="AT121" s="50"/>
      <c r="AU121" s="50"/>
      <c r="AV121" s="50"/>
      <c r="AW121" s="50"/>
      <c r="AX121" s="50"/>
      <c r="AY121" s="50"/>
      <c r="AZ121" s="50"/>
      <c r="BA121" s="50"/>
      <c r="BB121" s="50"/>
      <c r="BC121" s="50"/>
    </row>
    <row r="122" spans="1:55" ht="14.4" x14ac:dyDescent="0.3">
      <c r="A122" s="2233"/>
      <c r="B122" s="908" t="str">
        <f>'Q1'!O70</f>
        <v>STANDARD Diesel (average biofuel blend)*</v>
      </c>
      <c r="C122" s="1183">
        <f t="shared" ca="1" si="114"/>
        <v>402867</v>
      </c>
      <c r="D122" s="768">
        <f t="shared" ca="1" si="114"/>
        <v>109567</v>
      </c>
      <c r="E122" s="769">
        <f t="shared" ca="1" si="114"/>
        <v>47417</v>
      </c>
      <c r="F122" s="769">
        <f t="shared" ca="1" si="114"/>
        <v>159681</v>
      </c>
      <c r="G122" s="769">
        <f t="shared" ca="1" si="114"/>
        <v>400171</v>
      </c>
      <c r="H122" s="769">
        <f t="shared" ca="1" si="114"/>
        <v>716836</v>
      </c>
      <c r="I122" s="770">
        <f t="shared" ca="1" si="115"/>
        <v>179209</v>
      </c>
      <c r="J122" s="771" t="str">
        <f t="shared" ca="1" si="116"/>
        <v/>
      </c>
      <c r="K122" s="772"/>
      <c r="L122" s="909">
        <f ca="1">IF(C122&gt;0,'Q1'!E130,"")</f>
        <v>0.2336</v>
      </c>
      <c r="M122" s="774" t="str">
        <f ca="1">IF(L122="","",IF('Q1'!I130=0,"fuel type not stated",'Q1'!I130))</f>
        <v>fuel type not stated</v>
      </c>
      <c r="N122" s="910"/>
      <c r="O122" s="810">
        <f t="shared" ca="1" si="117"/>
        <v>2.6769008916918415</v>
      </c>
      <c r="P122" s="783">
        <f t="shared" ca="1" si="118"/>
        <v>7.496256616825189</v>
      </c>
      <c r="Q122" s="783">
        <f t="shared" ca="1" si="119"/>
        <v>1.5229488793281605</v>
      </c>
      <c r="R122" s="783">
        <f t="shared" ca="1" si="120"/>
        <v>6.7371198812507657E-3</v>
      </c>
      <c r="S122" s="811">
        <f t="shared" ca="1" si="121"/>
        <v>1.2480288378373854</v>
      </c>
      <c r="T122" s="1066">
        <f t="shared" ca="1" si="122"/>
        <v>7.496256616825189</v>
      </c>
      <c r="U122" s="1165" t="str">
        <f t="shared" ca="1" si="123"/>
        <v>H</v>
      </c>
      <c r="V122" s="1350">
        <f t="shared" ca="1" si="124"/>
        <v>1045.0813133700001</v>
      </c>
      <c r="W122" s="1350">
        <f t="shared" ca="1" si="124"/>
        <v>287.82593497999994</v>
      </c>
      <c r="X122" s="1350">
        <f t="shared" ca="1" si="124"/>
        <v>1883.08516184</v>
      </c>
      <c r="Y122" s="1067">
        <f t="shared" ca="1" si="125"/>
        <v>0.10655315025268774</v>
      </c>
      <c r="Z122" s="1165" t="str">
        <f t="shared" ca="1" si="126"/>
        <v>H</v>
      </c>
      <c r="AA122" s="772"/>
      <c r="AB122" s="804" t="str">
        <f t="shared" ca="1" si="127"/>
        <v xml:space="preserve">    fuel type not stated = 0.234kgCO2e/kWh    Value change with high impact </v>
      </c>
      <c r="AC122" s="50"/>
      <c r="AD122" s="96"/>
      <c r="AE122" s="96"/>
      <c r="AF122" s="96"/>
      <c r="AG122" s="96"/>
      <c r="AH122" s="96"/>
      <c r="AI122" s="96"/>
      <c r="AJ122" s="96"/>
      <c r="AK122" s="192"/>
      <c r="AL122" s="875"/>
      <c r="AM122" s="875"/>
      <c r="AN122" s="875"/>
      <c r="AO122" s="50"/>
      <c r="AP122" s="50"/>
      <c r="AQ122" s="50"/>
      <c r="AR122" s="50"/>
      <c r="AS122" s="50"/>
      <c r="AT122" s="50"/>
      <c r="AU122" s="50"/>
      <c r="AV122" s="50"/>
      <c r="AW122" s="50"/>
      <c r="AX122" s="50"/>
      <c r="AY122" s="50"/>
      <c r="AZ122" s="50"/>
      <c r="BA122" s="50"/>
      <c r="BB122" s="50"/>
      <c r="BC122" s="50"/>
    </row>
    <row r="123" spans="1:55" ht="14.4" x14ac:dyDescent="0.3">
      <c r="A123" s="2233"/>
      <c r="B123" s="908" t="str">
        <f>'Q1'!O71</f>
        <v>Diesel (100% mineral diesel)</v>
      </c>
      <c r="C123" s="1183">
        <f t="shared" ca="1" si="114"/>
        <v>0</v>
      </c>
      <c r="D123" s="768">
        <f t="shared" ca="1" si="114"/>
        <v>0</v>
      </c>
      <c r="E123" s="769">
        <f t="shared" ca="1" si="114"/>
        <v>0</v>
      </c>
      <c r="F123" s="769">
        <f t="shared" ca="1" si="114"/>
        <v>0</v>
      </c>
      <c r="G123" s="769">
        <f t="shared" ca="1" si="114"/>
        <v>0</v>
      </c>
      <c r="H123" s="769">
        <f t="shared" ca="1" si="114"/>
        <v>0</v>
      </c>
      <c r="I123" s="770">
        <f t="shared" ca="1" si="115"/>
        <v>0</v>
      </c>
      <c r="J123" s="771" t="str">
        <f t="shared" ca="1" si="116"/>
        <v/>
      </c>
      <c r="K123" s="772"/>
      <c r="L123" s="909" t="str">
        <f ca="1">IF(C123&gt;0,'Q1'!E131,"")</f>
        <v/>
      </c>
      <c r="M123" s="774" t="str">
        <f ca="1">IF(L123="","",IF('Q1'!I131=0,"fuel type not stated",'Q1'!I131))</f>
        <v/>
      </c>
      <c r="N123" s="910"/>
      <c r="O123" s="810" t="str">
        <f t="shared" ca="1" si="117"/>
        <v/>
      </c>
      <c r="P123" s="783" t="str">
        <f t="shared" ca="1" si="118"/>
        <v/>
      </c>
      <c r="Q123" s="783" t="str">
        <f t="shared" ca="1" si="119"/>
        <v/>
      </c>
      <c r="R123" s="783" t="str">
        <f t="shared" ca="1" si="120"/>
        <v/>
      </c>
      <c r="S123" s="811" t="str">
        <f t="shared" ca="1" si="121"/>
        <v/>
      </c>
      <c r="T123" s="1066" t="str">
        <f t="shared" ca="1" si="122"/>
        <v/>
      </c>
      <c r="U123" s="1165" t="str">
        <f t="shared" ca="1" si="123"/>
        <v/>
      </c>
      <c r="V123" s="1350">
        <f t="shared" ca="1" si="124"/>
        <v>0</v>
      </c>
      <c r="W123" s="1350">
        <f t="shared" ca="1" si="124"/>
        <v>0</v>
      </c>
      <c r="X123" s="1350">
        <f t="shared" ca="1" si="124"/>
        <v>0</v>
      </c>
      <c r="Y123" s="1067" t="str">
        <f t="shared" ca="1" si="125"/>
        <v/>
      </c>
      <c r="Z123" s="1165" t="str">
        <f t="shared" ca="1" si="126"/>
        <v/>
      </c>
      <c r="AA123" s="772"/>
      <c r="AB123" s="804" t="str">
        <f t="shared" ca="1" si="127"/>
        <v/>
      </c>
      <c r="AC123" s="50"/>
      <c r="AD123" s="96"/>
      <c r="AE123" s="96"/>
      <c r="AF123" s="96"/>
      <c r="AG123" s="96"/>
      <c r="AH123" s="96"/>
      <c r="AI123" s="96"/>
      <c r="AJ123" s="96"/>
      <c r="AK123" s="192"/>
      <c r="AL123" s="875"/>
      <c r="AM123" s="875"/>
      <c r="AN123" s="875"/>
      <c r="AO123" s="50"/>
      <c r="AP123" s="50"/>
      <c r="AQ123" s="50"/>
      <c r="AR123" s="50"/>
      <c r="AS123" s="50"/>
      <c r="AT123" s="50"/>
      <c r="AU123" s="50"/>
      <c r="AV123" s="50"/>
      <c r="AW123" s="50"/>
      <c r="AX123" s="50"/>
      <c r="AY123" s="50"/>
      <c r="AZ123" s="50"/>
      <c r="BA123" s="50"/>
      <c r="BB123" s="50"/>
      <c r="BC123" s="50"/>
    </row>
    <row r="124" spans="1:55" ht="14.4" x14ac:dyDescent="0.3">
      <c r="A124" s="2233"/>
      <c r="B124" s="908" t="str">
        <f>'Q1'!O72</f>
        <v>Compressed Natural Gas (CNG)</v>
      </c>
      <c r="C124" s="1183">
        <f t="shared" ca="1" si="114"/>
        <v>0</v>
      </c>
      <c r="D124" s="768">
        <f t="shared" ca="1" si="114"/>
        <v>0</v>
      </c>
      <c r="E124" s="769">
        <f t="shared" ca="1" si="114"/>
        <v>0</v>
      </c>
      <c r="F124" s="769">
        <f t="shared" ca="1" si="114"/>
        <v>0</v>
      </c>
      <c r="G124" s="769">
        <f t="shared" ca="1" si="114"/>
        <v>0</v>
      </c>
      <c r="H124" s="769">
        <f t="shared" ca="1" si="114"/>
        <v>0</v>
      </c>
      <c r="I124" s="770">
        <f t="shared" ca="1" si="115"/>
        <v>0</v>
      </c>
      <c r="J124" s="771" t="str">
        <f t="shared" ca="1" si="116"/>
        <v/>
      </c>
      <c r="K124" s="772"/>
      <c r="L124" s="909" t="str">
        <f ca="1">IF(C124&gt;0,'Q1'!E132,"")</f>
        <v/>
      </c>
      <c r="M124" s="774" t="str">
        <f ca="1">IF(L124="","",IF('Q1'!I132=0,"fuel type not stated",'Q1'!I132))</f>
        <v/>
      </c>
      <c r="N124" s="910"/>
      <c r="O124" s="810" t="str">
        <f t="shared" ca="1" si="117"/>
        <v/>
      </c>
      <c r="P124" s="783" t="str">
        <f t="shared" ca="1" si="118"/>
        <v/>
      </c>
      <c r="Q124" s="783" t="str">
        <f t="shared" ca="1" si="119"/>
        <v/>
      </c>
      <c r="R124" s="783" t="str">
        <f t="shared" ca="1" si="120"/>
        <v/>
      </c>
      <c r="S124" s="811" t="str">
        <f t="shared" ca="1" si="121"/>
        <v/>
      </c>
      <c r="T124" s="1066" t="str">
        <f t="shared" ca="1" si="122"/>
        <v/>
      </c>
      <c r="U124" s="1165" t="str">
        <f t="shared" ca="1" si="123"/>
        <v/>
      </c>
      <c r="V124" s="1350">
        <f t="shared" ca="1" si="124"/>
        <v>0</v>
      </c>
      <c r="W124" s="1350">
        <f t="shared" ca="1" si="124"/>
        <v>0</v>
      </c>
      <c r="X124" s="1350">
        <f t="shared" ca="1" si="124"/>
        <v>0</v>
      </c>
      <c r="Y124" s="1067" t="str">
        <f t="shared" ca="1" si="125"/>
        <v/>
      </c>
      <c r="Z124" s="1165" t="str">
        <f t="shared" ca="1" si="126"/>
        <v/>
      </c>
      <c r="AA124" s="772"/>
      <c r="AB124" s="804" t="str">
        <f t="shared" ca="1" si="127"/>
        <v/>
      </c>
      <c r="AC124" s="50"/>
      <c r="AD124" s="96"/>
      <c r="AE124" s="96"/>
      <c r="AF124" s="96"/>
      <c r="AG124" s="96"/>
      <c r="AH124" s="96"/>
      <c r="AI124" s="96"/>
      <c r="AJ124" s="96"/>
      <c r="AK124" s="192"/>
      <c r="AL124" s="875"/>
      <c r="AM124" s="875"/>
      <c r="AN124" s="875"/>
      <c r="AO124" s="50"/>
      <c r="AP124" s="50"/>
      <c r="AQ124" s="50"/>
      <c r="AR124" s="50"/>
      <c r="AS124" s="50"/>
      <c r="AT124" s="50"/>
      <c r="AU124" s="50"/>
      <c r="AV124" s="50"/>
      <c r="AW124" s="50"/>
      <c r="AX124" s="50"/>
      <c r="AY124" s="50"/>
      <c r="AZ124" s="50"/>
      <c r="BA124" s="50"/>
      <c r="BB124" s="50"/>
      <c r="BC124" s="50"/>
    </row>
    <row r="125" spans="1:55" ht="14.4" x14ac:dyDescent="0.3">
      <c r="A125" s="2233"/>
      <c r="B125" s="908" t="str">
        <f>'Q1'!O73</f>
        <v>Liquid Petroleum Gas (LPG)</v>
      </c>
      <c r="C125" s="1183">
        <f t="shared" ca="1" si="114"/>
        <v>0</v>
      </c>
      <c r="D125" s="768">
        <f t="shared" ca="1" si="114"/>
        <v>0</v>
      </c>
      <c r="E125" s="769">
        <f t="shared" ca="1" si="114"/>
        <v>0</v>
      </c>
      <c r="F125" s="769">
        <f t="shared" ca="1" si="114"/>
        <v>0</v>
      </c>
      <c r="G125" s="769">
        <f t="shared" ca="1" si="114"/>
        <v>0</v>
      </c>
      <c r="H125" s="769">
        <f t="shared" ca="1" si="114"/>
        <v>0</v>
      </c>
      <c r="I125" s="770">
        <f t="shared" ca="1" si="115"/>
        <v>0</v>
      </c>
      <c r="J125" s="771" t="str">
        <f t="shared" ca="1" si="116"/>
        <v/>
      </c>
      <c r="K125" s="772"/>
      <c r="L125" s="909" t="str">
        <f ca="1">IF(C125&gt;0,'Q1'!E133,"")</f>
        <v/>
      </c>
      <c r="M125" s="774" t="str">
        <f ca="1">IF(L125="","",IF('Q1'!I133=0,"fuel type not stated",'Q1'!I133))</f>
        <v/>
      </c>
      <c r="N125" s="910"/>
      <c r="O125" s="810" t="str">
        <f t="shared" ca="1" si="117"/>
        <v/>
      </c>
      <c r="P125" s="783" t="str">
        <f t="shared" ca="1" si="118"/>
        <v/>
      </c>
      <c r="Q125" s="783" t="str">
        <f t="shared" ca="1" si="119"/>
        <v/>
      </c>
      <c r="R125" s="783" t="str">
        <f t="shared" ca="1" si="120"/>
        <v/>
      </c>
      <c r="S125" s="811" t="str">
        <f t="shared" ca="1" si="121"/>
        <v/>
      </c>
      <c r="T125" s="1066" t="str">
        <f t="shared" ca="1" si="122"/>
        <v/>
      </c>
      <c r="U125" s="1165" t="str">
        <f t="shared" ca="1" si="123"/>
        <v/>
      </c>
      <c r="V125" s="1350">
        <f t="shared" ca="1" si="124"/>
        <v>0</v>
      </c>
      <c r="W125" s="1350">
        <f t="shared" ca="1" si="124"/>
        <v>0</v>
      </c>
      <c r="X125" s="1350">
        <f t="shared" ca="1" si="124"/>
        <v>0</v>
      </c>
      <c r="Y125" s="1067" t="str">
        <f t="shared" ca="1" si="125"/>
        <v/>
      </c>
      <c r="Z125" s="1165" t="str">
        <f t="shared" ca="1" si="126"/>
        <v/>
      </c>
      <c r="AA125" s="772"/>
      <c r="AB125" s="804" t="str">
        <f t="shared" ca="1" si="127"/>
        <v/>
      </c>
      <c r="AC125" s="50"/>
      <c r="AD125" s="96"/>
      <c r="AE125" s="96"/>
      <c r="AF125" s="96"/>
      <c r="AG125" s="96"/>
      <c r="AH125" s="96"/>
      <c r="AI125" s="96"/>
      <c r="AJ125" s="96"/>
      <c r="AK125" s="192"/>
      <c r="AL125" s="875"/>
      <c r="AM125" s="875"/>
      <c r="AN125" s="875"/>
      <c r="AO125" s="50"/>
      <c r="AP125" s="50"/>
      <c r="AQ125" s="50"/>
      <c r="AR125" s="50"/>
      <c r="AS125" s="50"/>
      <c r="AT125" s="50"/>
      <c r="AU125" s="50"/>
      <c r="AV125" s="50"/>
      <c r="AW125" s="50"/>
      <c r="AX125" s="50"/>
      <c r="AY125" s="50"/>
      <c r="AZ125" s="50"/>
      <c r="BA125" s="50"/>
      <c r="BB125" s="50"/>
      <c r="BC125" s="50"/>
    </row>
    <row r="126" spans="1:55" thickBot="1" x14ac:dyDescent="0.35">
      <c r="A126" s="2234"/>
      <c r="B126" s="911" t="str">
        <f>'Q1'!O74</f>
        <v>Other (enter CO2 factor and specify fuel in "Notes")</v>
      </c>
      <c r="C126" s="1184">
        <f t="shared" ca="1" si="114"/>
        <v>0</v>
      </c>
      <c r="D126" s="786">
        <f t="shared" ca="1" si="114"/>
        <v>0</v>
      </c>
      <c r="E126" s="787">
        <f t="shared" ca="1" si="114"/>
        <v>0</v>
      </c>
      <c r="F126" s="787">
        <f t="shared" ca="1" si="114"/>
        <v>0</v>
      </c>
      <c r="G126" s="787">
        <f t="shared" ca="1" si="114"/>
        <v>0</v>
      </c>
      <c r="H126" s="787">
        <f t="shared" ca="1" si="114"/>
        <v>0</v>
      </c>
      <c r="I126" s="788">
        <f t="shared" ca="1" si="115"/>
        <v>0</v>
      </c>
      <c r="J126" s="812" t="str">
        <f t="shared" ref="J126" ca="1" si="128">IF(AND(C126&gt;0,SUM(D126:I126)&gt;0),"",IF(AND(C126=0,SUM(C126:I126)=0),"",IF(AND(C126=0,D126&gt;0),"Missing value?",IF(AND(C126=0,I126&gt;0),"Missing value?","New category"))))</f>
        <v/>
      </c>
      <c r="K126" s="790"/>
      <c r="L126" s="912" t="str">
        <f ca="1">IF(C126&gt;0,'Q1'!E134,"")</f>
        <v/>
      </c>
      <c r="M126" s="913" t="str">
        <f ca="1">IF(L126="","",IF('Q1'!I134=0,"fuel type not stated",'Q1'!I134))</f>
        <v/>
      </c>
      <c r="N126" s="914"/>
      <c r="O126" s="813" t="str">
        <f t="shared" ca="1" si="117"/>
        <v/>
      </c>
      <c r="P126" s="1072" t="str">
        <f t="shared" ca="1" si="118"/>
        <v/>
      </c>
      <c r="Q126" s="1072" t="str">
        <f t="shared" ca="1" si="119"/>
        <v/>
      </c>
      <c r="R126" s="1072" t="str">
        <f t="shared" ca="1" si="120"/>
        <v/>
      </c>
      <c r="S126" s="1075" t="str">
        <f t="shared" ca="1" si="121"/>
        <v/>
      </c>
      <c r="T126" s="1238" t="str">
        <f t="shared" ref="T126" ca="1" si="129">IF(SUM(C126:I126)=0,"",IF(OR(AND(C126=0,SUM(D126:I126)&gt;0),AND(C126&gt;0,SUM(D126:I126)=0)),1,IF(MAX(IF(O126&lt;0,-O126,O126),IF(P126&lt;0,-P126,P126),IF(Q126&lt;0,-Q126,Q126),IF(R126&lt;0,-R126,R126),IF(S126&lt;0,-S126,S126))=0,"",MAX(IF(O126&lt;0,-O126,O126),IF(P126&lt;0,-P126,P126),IF(Q126&lt;0,-Q126,Q126),IF(R126&lt;0,-R126,R126),IF(S126&lt;0,-S126,S126)))))</f>
        <v/>
      </c>
      <c r="U126" s="1163" t="str">
        <f t="shared" ca="1" si="123"/>
        <v/>
      </c>
      <c r="V126" s="1351">
        <f t="shared" ca="1" si="124"/>
        <v>0</v>
      </c>
      <c r="W126" s="1351">
        <f t="shared" ca="1" si="124"/>
        <v>0</v>
      </c>
      <c r="X126" s="1351">
        <f t="shared" ca="1" si="124"/>
        <v>0</v>
      </c>
      <c r="Y126" s="1239" t="str">
        <f t="shared" ca="1" si="125"/>
        <v/>
      </c>
      <c r="Z126" s="1163" t="str">
        <f t="shared" ca="1" si="126"/>
        <v/>
      </c>
      <c r="AA126" s="790"/>
      <c r="AB126" s="915" t="str">
        <f t="shared" ref="AB126" ca="1" si="130">IF((CONCATENATE(IF(K126="OK","",J126), "    ",IF(L126="","",IF(N126="OK","",CONCATENATE(M126," = ",ROUND(L126,3),"kgCO2e/kWh"))),"    ",IF(AND(+AA126="",Z126="M"),"Value change with medium impact",IF(AND(AA126="",Z126="H"),"Value change with high impact",""))," "))="         ","",(CONCATENATE(IF(K126="OK","",J126), "    ",IF(L126="","",IF(N126="OK","",CONCATENATE(M126," = ",ROUND(L126,3),"kgCO2e/kWh"))),"    ",IF(AND(+AA126="",Z126="M"),"Value change with medium impact",IF(AND(AA126="",Z126="H"),"Value change with high impact",""))," ")))</f>
        <v/>
      </c>
      <c r="AC126" s="55"/>
      <c r="AD126" s="55"/>
      <c r="AE126" s="55"/>
      <c r="AF126" s="55"/>
      <c r="AG126" s="55"/>
      <c r="AH126" s="55"/>
      <c r="AI126" s="55"/>
      <c r="AJ126" s="98"/>
      <c r="AK126" s="55"/>
      <c r="AL126" s="99"/>
      <c r="AM126" s="99"/>
      <c r="AN126" s="104"/>
      <c r="AO126" s="50"/>
      <c r="AP126" s="55"/>
      <c r="AQ126" s="55"/>
      <c r="AR126" s="55"/>
      <c r="AS126" s="55"/>
      <c r="AT126" s="55"/>
      <c r="AU126" s="55"/>
      <c r="AV126" s="55"/>
      <c r="AW126" s="55"/>
      <c r="AX126" s="55"/>
      <c r="AY126" s="55"/>
      <c r="AZ126" s="55"/>
      <c r="BA126" s="55"/>
      <c r="BB126" s="55"/>
      <c r="BC126" s="55"/>
    </row>
    <row r="127" spans="1:55" ht="15" customHeight="1" x14ac:dyDescent="0.3">
      <c r="A127" s="2233" t="s">
        <v>518</v>
      </c>
      <c r="B127" s="1240" t="str">
        <f>'Q1'!O90</f>
        <v>STANDARD Petrol (average biofuel blend)*</v>
      </c>
      <c r="C127" s="1262">
        <f t="shared" ref="C127:H133" ca="1" si="131">INDEX(INDIRECT(CONCATENATE("'",C$14,"'!$R$90:$R$96"),TRUE),MATCH($B127,INDIRECT(CONCATENATE("'",C$14,"'!$O$90:$O$96"),TRUE),0))</f>
        <v>0</v>
      </c>
      <c r="D127" s="748">
        <f t="shared" ca="1" si="131"/>
        <v>0</v>
      </c>
      <c r="E127" s="749">
        <f t="shared" ca="1" si="131"/>
        <v>0</v>
      </c>
      <c r="F127" s="749">
        <f t="shared" ca="1" si="131"/>
        <v>0</v>
      </c>
      <c r="G127" s="749">
        <f t="shared" ca="1" si="131"/>
        <v>0</v>
      </c>
      <c r="H127" s="749">
        <f t="shared" ca="1" si="131"/>
        <v>0</v>
      </c>
      <c r="I127" s="750">
        <f t="shared" ca="1" si="115"/>
        <v>0</v>
      </c>
      <c r="J127" s="973" t="str">
        <f t="shared" ref="J127:J132" ca="1" si="132">IF(AND(C127&gt;0,SUM(D127:I127)&gt;0),"",IF(AND(C127=0,SUM(C127:I127)=0),"",IF(AND(C127=0,D127&gt;0),"Missing value?",IF(AND(C127=0,I127&gt;0),"Missing value?","New category"))))</f>
        <v/>
      </c>
      <c r="K127" s="751"/>
      <c r="L127" s="1241" t="str">
        <f ca="1">IF(C127&gt;0,'Q1'!E137,"")</f>
        <v/>
      </c>
      <c r="M127" s="753" t="str">
        <f ca="1">IF(L127="","",IF('Q1'!I137=0,"fuel type not stated",'Q1'!I137))</f>
        <v/>
      </c>
      <c r="N127" s="1242"/>
      <c r="O127" s="1024" t="str">
        <f t="shared" ref="O127:O133" ca="1" si="133">IF(OR(+$J127="missing?",+$J127="new category"),"",IF($D127=0,"",IF(SUM($C127:$I127)=0,"",IFERROR((($C127-$D127)/$D127),"N/A"))))</f>
        <v/>
      </c>
      <c r="P127" s="808" t="str">
        <f t="shared" ref="P127:P133" ca="1" si="134">IF(OR(+$J127="missing?",+$J127="new category"),"",IF($E127=0,"",IF(SUM($C127:$I127)=0,"",IFERROR((($C127-$E127)/$E127),"N/A"))))</f>
        <v/>
      </c>
      <c r="Q127" s="808" t="str">
        <f t="shared" ref="Q127:Q133" ca="1" si="135">IF(OR(+$J127="missing?",+$J127="new category"),"",IF($F127=0,"",IF(SUM($C127:$I127)=0,"",IFERROR((($C127-$F127)/$F127),"N/A"))))</f>
        <v/>
      </c>
      <c r="R127" s="808" t="str">
        <f t="shared" ref="R127:R133" ca="1" si="136">IF(OR(+$J127="missing?",+$J127="new category"),"",IF($G127=0,"",IF(SUM($C127:$I127)=0,"",IFERROR((($C127-$G127)/$G127),"N/A"))))</f>
        <v/>
      </c>
      <c r="S127" s="974" t="str">
        <f t="shared" ref="S127:S133" ca="1" si="137">IF(OR(+$J127="missing?",+$J127="new category"),"",IF($I127=0,"",IF(SUM($C127:$I127)=0,"",IFERROR((($C127-$I127)/$I127),"N/A"))))</f>
        <v/>
      </c>
      <c r="T127" s="1236" t="str">
        <f t="shared" ref="T127:T132" ca="1" si="138">IF(SUM(C127:I127)=0,"",IF(OR(AND(C127=0,SUM(D127:I127)&gt;0),AND(C127&gt;0,SUM(D127:I127)=0)),1,IF(MAX(IF(O127&lt;0,-O127,O127),IF(P127&lt;0,-P127,P127),IF(Q127&lt;0,-Q127,Q127),IF(R127&lt;0,-R127,R127),IF(S127&lt;0,-S127,S127))=0,"",MAX(IF(O127&lt;0,-O127,O127),IF(P127&lt;0,-P127,P127),IF(Q127&lt;0,-Q127,Q127),IF(R127&lt;0,-R127,R127),IF(S127&lt;0,-S127,S127)))))</f>
        <v/>
      </c>
      <c r="U127" s="766" t="str">
        <f t="shared" ca="1" si="123"/>
        <v/>
      </c>
      <c r="V127" s="1349">
        <f t="shared" ref="V127:X133" ca="1" si="139">INDEX(INDIRECT(CONCATENATE("'",V$14,"'!$T$90:$T$96"),TRUE),MATCH($B127,INDIRECT(CONCATENATE("'",V$14,"'!$O$90:$O$96"),TRUE),0))</f>
        <v>0</v>
      </c>
      <c r="W127" s="1349">
        <f t="shared" ca="1" si="139"/>
        <v>0</v>
      </c>
      <c r="X127" s="1349">
        <f t="shared" ca="1" si="139"/>
        <v>0</v>
      </c>
      <c r="Y127" s="1237" t="str">
        <f t="shared" ca="1" si="125"/>
        <v/>
      </c>
      <c r="Z127" s="766" t="str">
        <f t="shared" ca="1" si="126"/>
        <v/>
      </c>
      <c r="AA127" s="801"/>
      <c r="AB127" s="804" t="str">
        <f t="shared" ref="AB127:AB132" ca="1" si="140">IF((CONCATENATE(IF(K127="OK","",J127), "    ",IF(L127="","",IF(N127="OK","",CONCATENATE(M127," = ",ROUND(L127,3),"kgCO2e/kWh"))),"    ",IF(AND(+AA127="",Z127="M"),"Value change with medium impact",IF(AND(AA127="",Z127="H"),"Value change with high impact",""))," "))="         ","",(CONCATENATE(IF(K127="OK","",J127), "    ",IF(L127="","",IF(N127="OK","",CONCATENATE(M127," = ",ROUND(L127,3),"kgCO2e/kWh"))),"    ",IF(AND(+AA127="",Z127="M"),"Value change with medium impact",IF(AND(AA127="",Z127="H"),"Value change with high impact",""))," ")))</f>
        <v/>
      </c>
      <c r="AC127" s="55"/>
      <c r="AD127" s="1185"/>
      <c r="AE127" s="1185"/>
      <c r="AF127" s="1185"/>
      <c r="AG127" s="1185"/>
      <c r="AH127" s="1185"/>
      <c r="AI127" s="1185"/>
      <c r="AJ127" s="1185"/>
      <c r="AK127" s="1185"/>
      <c r="AL127" s="1185"/>
      <c r="AM127" s="1185"/>
      <c r="AN127" s="1185"/>
      <c r="AO127" s="1185"/>
      <c r="AP127" s="1185"/>
      <c r="AQ127" s="1185"/>
      <c r="AR127" s="1185"/>
      <c r="AS127" s="1185"/>
      <c r="AT127" s="1185"/>
      <c r="AU127" s="1185"/>
      <c r="AV127" s="1185"/>
      <c r="AW127" s="1185"/>
      <c r="AX127" s="1185"/>
      <c r="AY127" s="1185"/>
      <c r="AZ127" s="1185"/>
      <c r="BA127" s="1185"/>
      <c r="BB127" s="1185"/>
      <c r="BC127" s="1185"/>
    </row>
    <row r="128" spans="1:55" ht="14.4" x14ac:dyDescent="0.3">
      <c r="A128" s="2233"/>
      <c r="B128" s="908" t="str">
        <f>'Q1'!O91</f>
        <v>Petrol (100% mineral petrol)</v>
      </c>
      <c r="C128" s="1183">
        <f t="shared" ca="1" si="131"/>
        <v>0</v>
      </c>
      <c r="D128" s="768">
        <f t="shared" ca="1" si="131"/>
        <v>0</v>
      </c>
      <c r="E128" s="769">
        <f t="shared" ca="1" si="131"/>
        <v>0</v>
      </c>
      <c r="F128" s="769">
        <f t="shared" ca="1" si="131"/>
        <v>0</v>
      </c>
      <c r="G128" s="769">
        <f t="shared" ca="1" si="131"/>
        <v>0</v>
      </c>
      <c r="H128" s="769">
        <f t="shared" ca="1" si="131"/>
        <v>0</v>
      </c>
      <c r="I128" s="770">
        <f t="shared" ca="1" si="115"/>
        <v>0</v>
      </c>
      <c r="J128" s="771" t="str">
        <f t="shared" ca="1" si="132"/>
        <v/>
      </c>
      <c r="K128" s="772"/>
      <c r="L128" s="909" t="str">
        <f ca="1">IF(C128&gt;0,'Q1'!E138,"")</f>
        <v/>
      </c>
      <c r="M128" s="774" t="str">
        <f ca="1">IF(L128="","",IF('Q1'!I138=0,"fuel type not stated",'Q1'!I138))</f>
        <v/>
      </c>
      <c r="N128" s="910"/>
      <c r="O128" s="810" t="str">
        <f t="shared" ca="1" si="133"/>
        <v/>
      </c>
      <c r="P128" s="783" t="str">
        <f t="shared" ca="1" si="134"/>
        <v/>
      </c>
      <c r="Q128" s="783" t="str">
        <f t="shared" ca="1" si="135"/>
        <v/>
      </c>
      <c r="R128" s="783" t="str">
        <f t="shared" ca="1" si="136"/>
        <v/>
      </c>
      <c r="S128" s="811" t="str">
        <f t="shared" ca="1" si="137"/>
        <v/>
      </c>
      <c r="T128" s="1066" t="str">
        <f t="shared" ca="1" si="138"/>
        <v/>
      </c>
      <c r="U128" s="1165" t="str">
        <f t="shared" ca="1" si="123"/>
        <v/>
      </c>
      <c r="V128" s="1350">
        <f t="shared" ca="1" si="139"/>
        <v>0</v>
      </c>
      <c r="W128" s="1350">
        <f t="shared" ca="1" si="139"/>
        <v>0</v>
      </c>
      <c r="X128" s="1350">
        <f t="shared" ca="1" si="139"/>
        <v>0</v>
      </c>
      <c r="Y128" s="1067" t="str">
        <f t="shared" ca="1" si="125"/>
        <v/>
      </c>
      <c r="Z128" s="1165" t="str">
        <f t="shared" ca="1" si="126"/>
        <v/>
      </c>
      <c r="AA128" s="772"/>
      <c r="AB128" s="804" t="str">
        <f t="shared" ca="1" si="140"/>
        <v/>
      </c>
      <c r="AC128" s="919"/>
      <c r="AD128" s="1188"/>
      <c r="AE128" s="922"/>
      <c r="AF128" s="922"/>
      <c r="AG128" s="922"/>
      <c r="AH128" s="50"/>
      <c r="AI128" s="50"/>
      <c r="AJ128" s="105"/>
      <c r="AK128" s="50"/>
      <c r="AL128" s="921"/>
      <c r="AM128" s="1187"/>
      <c r="AN128" s="1187"/>
      <c r="AO128" s="1188"/>
      <c r="AP128" s="1188"/>
      <c r="AQ128" s="1188"/>
      <c r="AR128" s="1188"/>
      <c r="AS128" s="1188"/>
      <c r="AT128" s="1188"/>
      <c r="AU128" s="1188"/>
      <c r="AV128" s="1188"/>
      <c r="AW128" s="1188"/>
      <c r="AX128" s="1188"/>
      <c r="AY128" s="1188"/>
      <c r="AZ128" s="1188"/>
      <c r="BA128" s="1188"/>
      <c r="BB128" s="1188"/>
      <c r="BC128" s="1188"/>
    </row>
    <row r="129" spans="1:55" ht="14.4" x14ac:dyDescent="0.3">
      <c r="A129" s="2233"/>
      <c r="B129" s="908" t="str">
        <f>'Q1'!O92</f>
        <v>STANDARD Diesel (average biofuel blend)*</v>
      </c>
      <c r="C129" s="1183">
        <f t="shared" ca="1" si="131"/>
        <v>0</v>
      </c>
      <c r="D129" s="768">
        <f t="shared" ca="1" si="131"/>
        <v>0</v>
      </c>
      <c r="E129" s="769">
        <f t="shared" ca="1" si="131"/>
        <v>0</v>
      </c>
      <c r="F129" s="769">
        <f t="shared" ca="1" si="131"/>
        <v>0</v>
      </c>
      <c r="G129" s="769">
        <f t="shared" ca="1" si="131"/>
        <v>0</v>
      </c>
      <c r="H129" s="769">
        <f t="shared" ca="1" si="131"/>
        <v>0</v>
      </c>
      <c r="I129" s="770">
        <f t="shared" ca="1" si="115"/>
        <v>0</v>
      </c>
      <c r="J129" s="771" t="str">
        <f t="shared" ca="1" si="132"/>
        <v/>
      </c>
      <c r="K129" s="772"/>
      <c r="L129" s="909" t="str">
        <f ca="1">IF(C129&gt;0,'Q1'!E139,"")</f>
        <v/>
      </c>
      <c r="M129" s="774" t="str">
        <f ca="1">IF(L129="","",IF('Q1'!I139=0,"fuel type not stated",'Q1'!I139))</f>
        <v/>
      </c>
      <c r="N129" s="910"/>
      <c r="O129" s="810" t="str">
        <f t="shared" ca="1" si="133"/>
        <v/>
      </c>
      <c r="P129" s="783" t="str">
        <f t="shared" ca="1" si="134"/>
        <v/>
      </c>
      <c r="Q129" s="783" t="str">
        <f t="shared" ca="1" si="135"/>
        <v/>
      </c>
      <c r="R129" s="783" t="str">
        <f t="shared" ca="1" si="136"/>
        <v/>
      </c>
      <c r="S129" s="811" t="str">
        <f t="shared" ca="1" si="137"/>
        <v/>
      </c>
      <c r="T129" s="1066" t="str">
        <f t="shared" ca="1" si="138"/>
        <v/>
      </c>
      <c r="U129" s="1165" t="str">
        <f t="shared" ca="1" si="123"/>
        <v/>
      </c>
      <c r="V129" s="1350">
        <f t="shared" ca="1" si="139"/>
        <v>0</v>
      </c>
      <c r="W129" s="1350">
        <f t="shared" ca="1" si="139"/>
        <v>0</v>
      </c>
      <c r="X129" s="1350">
        <f t="shared" ca="1" si="139"/>
        <v>0</v>
      </c>
      <c r="Y129" s="1067" t="str">
        <f t="shared" ca="1" si="125"/>
        <v/>
      </c>
      <c r="Z129" s="1165" t="str">
        <f t="shared" ca="1" si="126"/>
        <v/>
      </c>
      <c r="AA129" s="772"/>
      <c r="AB129" s="804" t="str">
        <f t="shared" ca="1" si="140"/>
        <v/>
      </c>
      <c r="AC129" s="55"/>
      <c r="AD129" s="1185"/>
      <c r="AE129" s="1185"/>
      <c r="AF129" s="1185"/>
      <c r="AG129" s="1185"/>
      <c r="AH129" s="99"/>
      <c r="AI129" s="99"/>
      <c r="AJ129" s="107"/>
      <c r="AK129" s="108"/>
      <c r="AL129" s="108"/>
      <c r="AM129" s="108"/>
      <c r="AN129" s="109"/>
      <c r="AO129" s="109"/>
      <c r="AP129" s="109"/>
      <c r="AQ129" s="109"/>
      <c r="AR129" s="109"/>
      <c r="AS129" s="109"/>
      <c r="AT129" s="109"/>
      <c r="AU129" s="109"/>
      <c r="AV129" s="109"/>
      <c r="AW129" s="109"/>
      <c r="AX129" s="109"/>
      <c r="AY129" s="109"/>
      <c r="AZ129" s="109"/>
      <c r="BA129" s="109"/>
      <c r="BB129" s="109"/>
      <c r="BC129" s="109"/>
    </row>
    <row r="130" spans="1:55" ht="14.4" x14ac:dyDescent="0.3">
      <c r="A130" s="2233"/>
      <c r="B130" s="908" t="str">
        <f>'Q1'!O93</f>
        <v>Diesel (100% mineral diesel)</v>
      </c>
      <c r="C130" s="1183">
        <f t="shared" ca="1" si="131"/>
        <v>0</v>
      </c>
      <c r="D130" s="768">
        <f t="shared" ca="1" si="131"/>
        <v>0</v>
      </c>
      <c r="E130" s="769">
        <f t="shared" ca="1" si="131"/>
        <v>0</v>
      </c>
      <c r="F130" s="769">
        <f t="shared" ca="1" si="131"/>
        <v>0</v>
      </c>
      <c r="G130" s="769">
        <f t="shared" ca="1" si="131"/>
        <v>0</v>
      </c>
      <c r="H130" s="769">
        <f t="shared" ca="1" si="131"/>
        <v>0</v>
      </c>
      <c r="I130" s="770">
        <f t="shared" ca="1" si="115"/>
        <v>0</v>
      </c>
      <c r="J130" s="771" t="str">
        <f t="shared" ca="1" si="132"/>
        <v/>
      </c>
      <c r="K130" s="772"/>
      <c r="L130" s="909" t="str">
        <f ca="1">IF(C130&gt;0,'Q1'!E140,"")</f>
        <v/>
      </c>
      <c r="M130" s="774" t="str">
        <f ca="1">IF(L130="","",IF('Q1'!I140=0,"fuel type not stated",'Q1'!I140))</f>
        <v/>
      </c>
      <c r="N130" s="910"/>
      <c r="O130" s="810" t="str">
        <f t="shared" ca="1" si="133"/>
        <v/>
      </c>
      <c r="P130" s="783" t="str">
        <f t="shared" ca="1" si="134"/>
        <v/>
      </c>
      <c r="Q130" s="783" t="str">
        <f t="shared" ca="1" si="135"/>
        <v/>
      </c>
      <c r="R130" s="783" t="str">
        <f t="shared" ca="1" si="136"/>
        <v/>
      </c>
      <c r="S130" s="811" t="str">
        <f t="shared" ca="1" si="137"/>
        <v/>
      </c>
      <c r="T130" s="1066" t="str">
        <f t="shared" ca="1" si="138"/>
        <v/>
      </c>
      <c r="U130" s="1165" t="str">
        <f t="shared" ca="1" si="123"/>
        <v/>
      </c>
      <c r="V130" s="1350">
        <f t="shared" ca="1" si="139"/>
        <v>0</v>
      </c>
      <c r="W130" s="1350">
        <f t="shared" ca="1" si="139"/>
        <v>0</v>
      </c>
      <c r="X130" s="1350">
        <f t="shared" ca="1" si="139"/>
        <v>0</v>
      </c>
      <c r="Y130" s="1067" t="str">
        <f t="shared" ca="1" si="125"/>
        <v/>
      </c>
      <c r="Z130" s="1165" t="str">
        <f t="shared" ca="1" si="126"/>
        <v/>
      </c>
      <c r="AA130" s="772"/>
      <c r="AB130" s="804" t="str">
        <f t="shared" ca="1" si="140"/>
        <v/>
      </c>
      <c r="AC130" s="919"/>
      <c r="AD130" s="1188"/>
      <c r="AE130" s="1188"/>
      <c r="AF130" s="1188"/>
      <c r="AG130" s="1188"/>
      <c r="AH130" s="1188"/>
      <c r="AI130" s="1188"/>
      <c r="AJ130" s="1189"/>
      <c r="AK130" s="1188"/>
      <c r="AL130" s="1187"/>
      <c r="AM130" s="1187"/>
      <c r="AN130" s="1187"/>
      <c r="AO130" s="1188"/>
      <c r="AP130" s="1188"/>
      <c r="AQ130" s="1188"/>
      <c r="AR130" s="1188"/>
      <c r="AS130" s="1188"/>
      <c r="AT130" s="1188"/>
      <c r="AU130" s="1188"/>
      <c r="AV130" s="1188"/>
      <c r="AW130" s="1188"/>
      <c r="AX130" s="1188"/>
      <c r="AY130" s="1188"/>
      <c r="AZ130" s="1188"/>
      <c r="BA130" s="1188"/>
      <c r="BB130" s="1188"/>
      <c r="BC130" s="1188"/>
    </row>
    <row r="131" spans="1:55" ht="12.75" customHeight="1" x14ac:dyDescent="0.3">
      <c r="A131" s="2233"/>
      <c r="B131" s="908" t="str">
        <f>'Q1'!O94</f>
        <v>Compressed Natural Gas (CNG)</v>
      </c>
      <c r="C131" s="1183">
        <f t="shared" ca="1" si="131"/>
        <v>0</v>
      </c>
      <c r="D131" s="768">
        <f t="shared" ca="1" si="131"/>
        <v>0</v>
      </c>
      <c r="E131" s="769">
        <f t="shared" ca="1" si="131"/>
        <v>0</v>
      </c>
      <c r="F131" s="769">
        <f t="shared" ca="1" si="131"/>
        <v>0</v>
      </c>
      <c r="G131" s="769">
        <f t="shared" ca="1" si="131"/>
        <v>0</v>
      </c>
      <c r="H131" s="769">
        <f t="shared" ca="1" si="131"/>
        <v>0</v>
      </c>
      <c r="I131" s="770">
        <f t="shared" ca="1" si="115"/>
        <v>0</v>
      </c>
      <c r="J131" s="771" t="str">
        <f t="shared" ca="1" si="132"/>
        <v/>
      </c>
      <c r="K131" s="772"/>
      <c r="L131" s="909" t="str">
        <f ca="1">IF(C131&gt;0,'Q1'!E141,"")</f>
        <v/>
      </c>
      <c r="M131" s="774" t="str">
        <f ca="1">IF(L131="","",IF('Q1'!I141=0,"fuel type not stated",'Q1'!I141))</f>
        <v/>
      </c>
      <c r="N131" s="910"/>
      <c r="O131" s="810" t="str">
        <f t="shared" ca="1" si="133"/>
        <v/>
      </c>
      <c r="P131" s="783" t="str">
        <f t="shared" ca="1" si="134"/>
        <v/>
      </c>
      <c r="Q131" s="783" t="str">
        <f t="shared" ca="1" si="135"/>
        <v/>
      </c>
      <c r="R131" s="783" t="str">
        <f t="shared" ca="1" si="136"/>
        <v/>
      </c>
      <c r="S131" s="811" t="str">
        <f t="shared" ca="1" si="137"/>
        <v/>
      </c>
      <c r="T131" s="1066" t="str">
        <f t="shared" ca="1" si="138"/>
        <v/>
      </c>
      <c r="U131" s="1165" t="str">
        <f t="shared" ca="1" si="123"/>
        <v/>
      </c>
      <c r="V131" s="1350">
        <f t="shared" ca="1" si="139"/>
        <v>0</v>
      </c>
      <c r="W131" s="1350">
        <f t="shared" ca="1" si="139"/>
        <v>0</v>
      </c>
      <c r="X131" s="1350">
        <f t="shared" ca="1" si="139"/>
        <v>0</v>
      </c>
      <c r="Y131" s="1067" t="str">
        <f t="shared" ca="1" si="125"/>
        <v/>
      </c>
      <c r="Z131" s="1165" t="str">
        <f t="shared" ca="1" si="126"/>
        <v/>
      </c>
      <c r="AA131" s="772"/>
      <c r="AB131" s="804" t="str">
        <f t="shared" ca="1" si="140"/>
        <v/>
      </c>
      <c r="AC131" s="1164"/>
      <c r="AD131" s="1190"/>
      <c r="AE131" s="1190"/>
      <c r="AF131" s="1190"/>
      <c r="AG131" s="1190"/>
      <c r="AH131" s="1190"/>
      <c r="AI131" s="1190"/>
      <c r="AJ131" s="1191"/>
      <c r="AK131" s="1190"/>
      <c r="AL131" s="1182"/>
      <c r="AM131" s="1182"/>
      <c r="AN131" s="1182"/>
      <c r="AO131" s="1190"/>
      <c r="AP131" s="1190"/>
      <c r="AQ131" s="1190"/>
      <c r="AR131" s="1190"/>
      <c r="AS131" s="1190"/>
      <c r="AT131" s="1190"/>
      <c r="AU131" s="2227"/>
      <c r="AV131" s="2227"/>
      <c r="AW131" s="1164"/>
      <c r="AX131" s="1164"/>
      <c r="AY131" s="1164"/>
      <c r="AZ131" s="710"/>
      <c r="BA131" s="711"/>
      <c r="BB131" s="50"/>
      <c r="BC131" s="1190"/>
    </row>
    <row r="132" spans="1:55" ht="14.4" x14ac:dyDescent="0.3">
      <c r="A132" s="2233"/>
      <c r="B132" s="908" t="str">
        <f>'Q1'!O95</f>
        <v>Liquid Petroleum Gas (LPG)</v>
      </c>
      <c r="C132" s="1183">
        <f t="shared" ca="1" si="131"/>
        <v>0</v>
      </c>
      <c r="D132" s="768">
        <f t="shared" ca="1" si="131"/>
        <v>0</v>
      </c>
      <c r="E132" s="769">
        <f t="shared" ca="1" si="131"/>
        <v>0</v>
      </c>
      <c r="F132" s="769">
        <f t="shared" ca="1" si="131"/>
        <v>0</v>
      </c>
      <c r="G132" s="769">
        <f t="shared" ca="1" si="131"/>
        <v>0</v>
      </c>
      <c r="H132" s="769">
        <f t="shared" ca="1" si="131"/>
        <v>0</v>
      </c>
      <c r="I132" s="770">
        <f t="shared" ca="1" si="115"/>
        <v>0</v>
      </c>
      <c r="J132" s="771" t="str">
        <f t="shared" ca="1" si="132"/>
        <v/>
      </c>
      <c r="K132" s="772"/>
      <c r="L132" s="909" t="str">
        <f ca="1">IF(C132&gt;0,'Q1'!E142,"")</f>
        <v/>
      </c>
      <c r="M132" s="774" t="str">
        <f ca="1">IF(L132="","",IF('Q1'!I142=0,"fuel type not stated",'Q1'!I142))</f>
        <v/>
      </c>
      <c r="N132" s="910"/>
      <c r="O132" s="810" t="str">
        <f t="shared" ca="1" si="133"/>
        <v/>
      </c>
      <c r="P132" s="783" t="str">
        <f t="shared" ca="1" si="134"/>
        <v/>
      </c>
      <c r="Q132" s="783" t="str">
        <f t="shared" ca="1" si="135"/>
        <v/>
      </c>
      <c r="R132" s="783" t="str">
        <f t="shared" ca="1" si="136"/>
        <v/>
      </c>
      <c r="S132" s="811" t="str">
        <f t="shared" ca="1" si="137"/>
        <v/>
      </c>
      <c r="T132" s="1066" t="str">
        <f t="shared" ca="1" si="138"/>
        <v/>
      </c>
      <c r="U132" s="1165" t="str">
        <f t="shared" ca="1" si="123"/>
        <v/>
      </c>
      <c r="V132" s="1350">
        <f t="shared" ca="1" si="139"/>
        <v>0</v>
      </c>
      <c r="W132" s="1350">
        <f t="shared" ca="1" si="139"/>
        <v>0</v>
      </c>
      <c r="X132" s="1350">
        <f t="shared" ca="1" si="139"/>
        <v>0</v>
      </c>
      <c r="Y132" s="1067" t="str">
        <f t="shared" ca="1" si="125"/>
        <v/>
      </c>
      <c r="Z132" s="1165" t="str">
        <f t="shared" ca="1" si="126"/>
        <v/>
      </c>
      <c r="AA132" s="772"/>
      <c r="AB132" s="804" t="str">
        <f t="shared" ca="1" si="140"/>
        <v/>
      </c>
      <c r="AC132" s="917"/>
      <c r="AD132" s="917"/>
      <c r="AE132" s="917"/>
      <c r="AF132" s="917"/>
      <c r="AG132" s="917"/>
      <c r="AH132" s="917"/>
      <c r="AI132" s="917"/>
      <c r="AJ132" s="917"/>
      <c r="AK132" s="917"/>
      <c r="AL132" s="917"/>
      <c r="AM132" s="917"/>
      <c r="AN132" s="917"/>
      <c r="AO132" s="917"/>
      <c r="AP132" s="917"/>
      <c r="AQ132" s="917"/>
      <c r="AR132" s="917"/>
      <c r="AS132" s="917"/>
      <c r="AT132" s="917"/>
      <c r="AU132" s="2227"/>
      <c r="AV132" s="2227"/>
      <c r="AW132" s="1164"/>
      <c r="AX132" s="1164"/>
      <c r="AY132" s="1164"/>
      <c r="AZ132" s="710"/>
      <c r="BA132" s="711"/>
      <c r="BB132" s="50"/>
      <c r="BC132" s="917"/>
    </row>
    <row r="133" spans="1:55" thickBot="1" x14ac:dyDescent="0.35">
      <c r="A133" s="2234"/>
      <c r="B133" s="911" t="str">
        <f>'Q1'!O96</f>
        <v>Other (enter CO2 factor and specify fuel in "Notes")</v>
      </c>
      <c r="C133" s="1184">
        <f t="shared" ca="1" si="131"/>
        <v>0</v>
      </c>
      <c r="D133" s="786">
        <f t="shared" ca="1" si="131"/>
        <v>0</v>
      </c>
      <c r="E133" s="787">
        <f t="shared" ca="1" si="131"/>
        <v>0</v>
      </c>
      <c r="F133" s="787">
        <f t="shared" ca="1" si="131"/>
        <v>0</v>
      </c>
      <c r="G133" s="787">
        <f t="shared" ca="1" si="131"/>
        <v>0</v>
      </c>
      <c r="H133" s="787">
        <f t="shared" ca="1" si="131"/>
        <v>0</v>
      </c>
      <c r="I133" s="788">
        <f t="shared" ca="1" si="115"/>
        <v>0</v>
      </c>
      <c r="J133" s="812" t="str">
        <f t="shared" ref="J133" ca="1" si="141">IF(AND(C133&gt;0,SUM(D133:I133)&gt;0),"",IF(AND(C133=0,SUM(C133:I133)=0),"",IF(AND(C133=0,D133&gt;0),"Missing value?",IF(AND(C133=0,I133&gt;0),"Missing value?","New category"))))</f>
        <v/>
      </c>
      <c r="K133" s="790"/>
      <c r="L133" s="912" t="str">
        <f ca="1">IF(C133&gt;0,'Q1'!E143,"")</f>
        <v/>
      </c>
      <c r="M133" s="913" t="str">
        <f ca="1">IF(L133="","",IF('Q1'!I143=0,"fuel type not stated",'Q1'!I143))</f>
        <v/>
      </c>
      <c r="N133" s="914"/>
      <c r="O133" s="813" t="str">
        <f t="shared" ca="1" si="133"/>
        <v/>
      </c>
      <c r="P133" s="1072" t="str">
        <f t="shared" ca="1" si="134"/>
        <v/>
      </c>
      <c r="Q133" s="1072" t="str">
        <f t="shared" ca="1" si="135"/>
        <v/>
      </c>
      <c r="R133" s="1072" t="str">
        <f t="shared" ca="1" si="136"/>
        <v/>
      </c>
      <c r="S133" s="1075" t="str">
        <f t="shared" ca="1" si="137"/>
        <v/>
      </c>
      <c r="T133" s="1238" t="str">
        <f t="shared" ref="T133" ca="1" si="142">IF(SUM(C133:I133)=0,"",IF(OR(AND(C133=0,SUM(D133:I133)&gt;0),AND(C133&gt;0,SUM(D133:I133)=0)),1,IF(MAX(IF(O133&lt;0,-O133,O133),IF(P133&lt;0,-P133,P133),IF(Q133&lt;0,-Q133,Q133),IF(R133&lt;0,-R133,R133),IF(S133&lt;0,-S133,S133))=0,"",MAX(IF(O133&lt;0,-O133,O133),IF(P133&lt;0,-P133,P133),IF(Q133&lt;0,-Q133,Q133),IF(R133&lt;0,-R133,R133),IF(S133&lt;0,-S133,S133)))))</f>
        <v/>
      </c>
      <c r="U133" s="1163" t="str">
        <f t="shared" ca="1" si="123"/>
        <v/>
      </c>
      <c r="V133" s="1351">
        <f t="shared" ca="1" si="139"/>
        <v>0</v>
      </c>
      <c r="W133" s="1351">
        <f t="shared" ca="1" si="139"/>
        <v>0</v>
      </c>
      <c r="X133" s="1351">
        <f t="shared" ca="1" si="139"/>
        <v>0</v>
      </c>
      <c r="Y133" s="1239" t="str">
        <f t="shared" ca="1" si="125"/>
        <v/>
      </c>
      <c r="Z133" s="1163" t="str">
        <f t="shared" ca="1" si="126"/>
        <v/>
      </c>
      <c r="AA133" s="790"/>
      <c r="AB133" s="915" t="str">
        <f t="shared" ref="AB133" ca="1" si="143">IF((CONCATENATE(IF(K133="OK","",J133), "    ",IF(L133="","",IF(N133="OK","",CONCATENATE(M133," = ",ROUND(L133,3),"kgCO2e/kWh"))),"    ",IF(AND(+AA133="",Z133="M"),"Value change with medium impact",IF(AND(AA133="",Z133="H"),"Value change with high impact",""))," "))="         ","",(CONCATENATE(IF(K133="OK","",J133), "    ",IF(L133="","",IF(N133="OK","",CONCATENATE(M133," = ",ROUND(L133,3),"kgCO2e/kWh"))),"    ",IF(AND(+AA133="",Z133="M"),"Value change with medium impact",IF(AND(AA133="",Z133="H"),"Value change with high impact",""))," ")))</f>
        <v/>
      </c>
      <c r="AC133" s="55"/>
      <c r="AD133" s="193"/>
      <c r="AE133" s="193"/>
      <c r="AF133" s="193"/>
      <c r="AG133" s="193"/>
      <c r="AH133" s="193"/>
      <c r="AI133" s="193"/>
      <c r="AJ133" s="918"/>
      <c r="AK133" s="900"/>
      <c r="AL133" s="900"/>
      <c r="AM133" s="900"/>
      <c r="AN133" s="900"/>
      <c r="AO133" s="900"/>
      <c r="AP133" s="900"/>
      <c r="AQ133" s="900"/>
      <c r="AR133" s="900"/>
      <c r="AS133" s="900"/>
      <c r="AT133" s="900"/>
      <c r="AU133" s="2227"/>
      <c r="AV133" s="2227"/>
      <c r="AW133" s="1164"/>
      <c r="AX133" s="1164"/>
      <c r="AY133" s="1164"/>
      <c r="AZ133" s="710"/>
      <c r="BA133" s="711"/>
      <c r="BB133" s="50"/>
      <c r="BC133" s="900"/>
    </row>
    <row r="134" spans="1:55" ht="14.4" x14ac:dyDescent="0.3">
      <c r="A134" s="55"/>
      <c r="B134" s="55"/>
      <c r="C134" s="920"/>
      <c r="D134" s="920"/>
      <c r="E134" s="920"/>
      <c r="F134" s="920"/>
      <c r="G134" s="920"/>
      <c r="H134" s="920"/>
      <c r="I134" s="920"/>
      <c r="J134" s="1185"/>
      <c r="K134" s="1185"/>
      <c r="L134" s="1185"/>
      <c r="M134" s="1186"/>
      <c r="N134" s="55"/>
      <c r="O134" s="1185"/>
      <c r="P134" s="1185"/>
      <c r="Q134" s="1185"/>
      <c r="R134" s="1185"/>
      <c r="S134" s="1185"/>
      <c r="T134" s="1185"/>
      <c r="U134" s="1185"/>
      <c r="V134" s="1185"/>
      <c r="W134" s="1185"/>
      <c r="X134" s="1185"/>
      <c r="Y134" s="1185"/>
      <c r="Z134" s="1185"/>
      <c r="AA134" s="1185"/>
      <c r="AB134" s="1185"/>
      <c r="AC134" s="55"/>
      <c r="AD134" s="1185"/>
      <c r="AE134" s="1185"/>
      <c r="AF134" s="1185"/>
      <c r="AG134" s="1185"/>
      <c r="AH134" s="1185"/>
      <c r="AI134" s="1185"/>
      <c r="AJ134" s="1185"/>
      <c r="AK134" s="1185"/>
      <c r="AL134" s="1185"/>
      <c r="AM134" s="1185"/>
      <c r="AN134" s="1185"/>
      <c r="AO134" s="1185"/>
      <c r="AP134" s="1185"/>
      <c r="AQ134" s="1185"/>
      <c r="AR134" s="1185"/>
      <c r="AS134" s="1185"/>
      <c r="AT134" s="1185"/>
      <c r="AU134" s="1185"/>
      <c r="AV134" s="1185"/>
      <c r="AW134" s="1185"/>
      <c r="AX134" s="1185"/>
      <c r="AY134" s="1185"/>
      <c r="AZ134" s="1185"/>
      <c r="BA134" s="1185"/>
      <c r="BB134" s="1185"/>
      <c r="BC134" s="1185"/>
    </row>
    <row r="135" spans="1:55" ht="14.4" x14ac:dyDescent="0.3">
      <c r="A135" s="923" t="s">
        <v>143</v>
      </c>
      <c r="B135" s="87"/>
      <c r="C135" s="924"/>
      <c r="D135" s="924"/>
      <c r="E135" s="924"/>
      <c r="F135" s="924"/>
      <c r="G135" s="924"/>
      <c r="H135" s="924"/>
      <c r="I135" s="819" t="s">
        <v>23</v>
      </c>
      <c r="J135" s="819" t="s">
        <v>23</v>
      </c>
      <c r="K135" s="819" t="s">
        <v>23</v>
      </c>
      <c r="L135" s="819" t="s">
        <v>23</v>
      </c>
      <c r="M135" s="819" t="s">
        <v>23</v>
      </c>
      <c r="N135" s="819" t="s">
        <v>23</v>
      </c>
      <c r="O135" s="819" t="s">
        <v>23</v>
      </c>
      <c r="P135" s="819" t="s">
        <v>23</v>
      </c>
      <c r="Q135" s="819" t="s">
        <v>23</v>
      </c>
      <c r="R135" s="819" t="s">
        <v>23</v>
      </c>
      <c r="S135" s="819" t="s">
        <v>23</v>
      </c>
      <c r="T135" s="819" t="s">
        <v>23</v>
      </c>
      <c r="U135" s="819"/>
      <c r="V135" s="819"/>
      <c r="W135" s="819"/>
      <c r="X135" s="819"/>
      <c r="Y135" s="819" t="s">
        <v>23</v>
      </c>
      <c r="Z135" s="819" t="s">
        <v>23</v>
      </c>
      <c r="AA135" s="819" t="s">
        <v>23</v>
      </c>
      <c r="AB135" s="819" t="s">
        <v>23</v>
      </c>
      <c r="AC135" s="1076" t="s">
        <v>144</v>
      </c>
      <c r="AD135" s="1076" t="s">
        <v>144</v>
      </c>
      <c r="AE135" s="1076" t="s">
        <v>144</v>
      </c>
      <c r="AF135" s="1076" t="s">
        <v>144</v>
      </c>
      <c r="AG135" s="1076" t="s">
        <v>144</v>
      </c>
      <c r="AH135" s="1076" t="s">
        <v>144</v>
      </c>
      <c r="AI135" s="1076"/>
      <c r="AJ135" s="1076" t="s">
        <v>144</v>
      </c>
      <c r="AK135" s="1076" t="s">
        <v>144</v>
      </c>
      <c r="AL135" s="1076" t="s">
        <v>144</v>
      </c>
      <c r="AM135" s="1076" t="s">
        <v>144</v>
      </c>
      <c r="AN135" s="1076" t="s">
        <v>144</v>
      </c>
      <c r="AO135" s="1076" t="s">
        <v>144</v>
      </c>
      <c r="AP135" s="1076" t="s">
        <v>144</v>
      </c>
      <c r="AQ135" s="1076" t="s">
        <v>144</v>
      </c>
      <c r="AR135" s="1076" t="s">
        <v>144</v>
      </c>
      <c r="AS135" s="1076" t="s">
        <v>144</v>
      </c>
      <c r="AT135" s="1076" t="s">
        <v>144</v>
      </c>
      <c r="AU135" s="1076" t="s">
        <v>144</v>
      </c>
      <c r="AV135" s="1076"/>
      <c r="AW135" s="1076"/>
      <c r="AX135" s="1076"/>
      <c r="AY135" s="1076"/>
      <c r="AZ135" s="1076" t="s">
        <v>144</v>
      </c>
      <c r="BA135" s="1076" t="s">
        <v>144</v>
      </c>
      <c r="BB135" s="1076" t="s">
        <v>144</v>
      </c>
      <c r="BC135" s="1076" t="s">
        <v>144</v>
      </c>
    </row>
    <row r="136" spans="1:55" ht="14.4" x14ac:dyDescent="0.3">
      <c r="A136" s="1170"/>
      <c r="B136" s="55"/>
      <c r="C136" s="820"/>
      <c r="D136" s="820"/>
      <c r="E136" s="820"/>
      <c r="F136" s="820"/>
      <c r="G136" s="820"/>
      <c r="H136" s="820"/>
      <c r="I136" s="820"/>
      <c r="J136" s="99"/>
      <c r="K136" s="99"/>
      <c r="L136" s="104"/>
      <c r="M136" s="916"/>
      <c r="N136" s="1170"/>
      <c r="O136" s="99"/>
      <c r="P136" s="99"/>
      <c r="Q136" s="99"/>
      <c r="R136" s="110"/>
      <c r="S136" s="104"/>
      <c r="T136" s="104"/>
      <c r="U136" s="104"/>
      <c r="V136" s="104"/>
      <c r="W136" s="104"/>
      <c r="X136" s="104"/>
      <c r="Y136" s="104"/>
      <c r="Z136" s="104"/>
      <c r="AA136" s="104"/>
      <c r="AB136" s="104"/>
      <c r="AC136" s="55"/>
      <c r="AD136" s="55"/>
      <c r="AE136" s="55"/>
      <c r="AF136" s="55"/>
      <c r="AG136" s="55"/>
      <c r="AH136" s="55"/>
      <c r="AI136" s="55"/>
      <c r="AJ136" s="98"/>
      <c r="AK136" s="55"/>
      <c r="AL136" s="99"/>
      <c r="AM136" s="110"/>
      <c r="AN136" s="104"/>
      <c r="AO136" s="55"/>
      <c r="AP136" s="55"/>
      <c r="AQ136" s="55"/>
      <c r="AR136" s="55"/>
      <c r="AS136" s="55"/>
      <c r="AT136" s="55"/>
      <c r="AU136" s="55"/>
      <c r="AV136" s="55"/>
      <c r="AW136" s="55"/>
      <c r="AX136" s="55"/>
      <c r="AY136" s="55"/>
      <c r="AZ136" s="55"/>
      <c r="BA136" s="55"/>
      <c r="BB136" s="55"/>
      <c r="BC136" s="55"/>
    </row>
    <row r="137" spans="1:55" thickBot="1" x14ac:dyDescent="0.35">
      <c r="A137" s="55"/>
      <c r="B137" s="55"/>
      <c r="C137" s="820"/>
      <c r="D137" s="820"/>
      <c r="E137" s="820"/>
      <c r="F137" s="820"/>
      <c r="G137" s="820"/>
      <c r="H137" s="820"/>
      <c r="I137" s="820"/>
      <c r="J137" s="99"/>
      <c r="K137" s="99"/>
      <c r="L137" s="99"/>
      <c r="M137" s="667"/>
      <c r="N137" s="55"/>
      <c r="O137" s="99"/>
      <c r="P137" s="99"/>
      <c r="Q137" s="99"/>
      <c r="R137" s="99"/>
      <c r="S137" s="99"/>
      <c r="T137" s="99"/>
      <c r="U137" s="99"/>
      <c r="V137" s="99"/>
      <c r="W137" s="99"/>
      <c r="X137" s="99"/>
      <c r="Y137" s="99"/>
      <c r="Z137" s="99"/>
      <c r="AA137" s="99"/>
      <c r="AB137" s="99"/>
      <c r="AC137" s="55"/>
      <c r="AD137" s="55"/>
      <c r="AE137" s="55"/>
      <c r="AF137" s="55"/>
      <c r="AG137" s="55"/>
      <c r="AH137" s="55"/>
      <c r="AI137" s="55"/>
      <c r="AJ137" s="55"/>
      <c r="AK137" s="55"/>
      <c r="AL137" s="55"/>
      <c r="AM137" s="55"/>
      <c r="AN137" s="55"/>
      <c r="AO137" s="55"/>
      <c r="AP137" s="55"/>
      <c r="AQ137" s="55"/>
      <c r="AR137" s="55"/>
      <c r="AS137" s="55"/>
      <c r="AT137" s="55"/>
      <c r="AU137" s="55"/>
      <c r="AV137" s="55"/>
      <c r="AW137" s="55"/>
      <c r="AX137" s="55"/>
      <c r="AY137" s="55"/>
      <c r="AZ137" s="55"/>
      <c r="BA137" s="55"/>
      <c r="BB137" s="55"/>
      <c r="BC137" s="55"/>
    </row>
    <row r="138" spans="1:55" ht="27.6" x14ac:dyDescent="0.3">
      <c r="A138" s="1170"/>
      <c r="B138" s="2222"/>
      <c r="C138" s="1244" t="s">
        <v>176</v>
      </c>
      <c r="D138" s="2165" t="s">
        <v>177</v>
      </c>
      <c r="E138" s="2165"/>
      <c r="F138" s="2165"/>
      <c r="G138" s="2166"/>
      <c r="H138" s="2167"/>
      <c r="I138" s="2167"/>
      <c r="J138" s="2168" t="s">
        <v>428</v>
      </c>
      <c r="K138" s="2169"/>
      <c r="L138" s="2170"/>
      <c r="M138" s="2171"/>
      <c r="N138" s="2172"/>
      <c r="O138" s="2173" t="s">
        <v>430</v>
      </c>
      <c r="P138" s="2170"/>
      <c r="Q138" s="2170"/>
      <c r="R138" s="2171"/>
      <c r="S138" s="2174"/>
      <c r="T138" s="2173" t="s">
        <v>418</v>
      </c>
      <c r="U138" s="2171"/>
      <c r="V138" s="2171"/>
      <c r="W138" s="2171"/>
      <c r="X138" s="2171"/>
      <c r="Y138" s="2171"/>
      <c r="Z138" s="2171"/>
      <c r="AA138" s="2174"/>
      <c r="AB138" s="2179" t="s">
        <v>433</v>
      </c>
      <c r="AC138" s="2215" t="s">
        <v>432</v>
      </c>
      <c r="AD138" s="1320" t="s">
        <v>176</v>
      </c>
      <c r="AE138" s="2217" t="s">
        <v>177</v>
      </c>
      <c r="AF138" s="2218"/>
      <c r="AG138" s="2218"/>
      <c r="AH138" s="2219"/>
      <c r="AI138" s="2220"/>
      <c r="AJ138" s="2221"/>
      <c r="AK138" s="2209" t="s">
        <v>428</v>
      </c>
      <c r="AL138" s="2210"/>
      <c r="AM138" s="2185"/>
      <c r="AN138" s="2183"/>
      <c r="AO138" s="2186"/>
      <c r="AP138" s="2182" t="s">
        <v>430</v>
      </c>
      <c r="AQ138" s="2182"/>
      <c r="AR138" s="2182"/>
      <c r="AS138" s="2183"/>
      <c r="AT138" s="2184"/>
      <c r="AU138" s="2185" t="s">
        <v>418</v>
      </c>
      <c r="AV138" s="2183"/>
      <c r="AW138" s="2183"/>
      <c r="AX138" s="2183"/>
      <c r="AY138" s="2183"/>
      <c r="AZ138" s="2183"/>
      <c r="BA138" s="2183"/>
      <c r="BB138" s="2186"/>
      <c r="BC138" s="2211" t="s">
        <v>433</v>
      </c>
    </row>
    <row r="139" spans="1:55" ht="51.75" customHeight="1" thickBot="1" x14ac:dyDescent="0.35">
      <c r="A139" s="94"/>
      <c r="B139" s="2223"/>
      <c r="C139" s="1245" t="str">
        <f>C14</f>
        <v>Q1</v>
      </c>
      <c r="D139" s="925" t="str">
        <f t="shared" ref="D139:I139" si="144">D14</f>
        <v>Q4-19</v>
      </c>
      <c r="E139" s="925" t="str">
        <f t="shared" si="144"/>
        <v>Q3-19</v>
      </c>
      <c r="F139" s="925" t="str">
        <f t="shared" si="144"/>
        <v>Q2-19</v>
      </c>
      <c r="G139" s="722" t="str">
        <f t="shared" si="144"/>
        <v>Q1-19</v>
      </c>
      <c r="H139" s="722" t="str">
        <f t="shared" si="144"/>
        <v>2018-2019</v>
      </c>
      <c r="I139" s="926" t="str">
        <f t="shared" si="144"/>
        <v>25% of previous year total</v>
      </c>
      <c r="J139" s="724" t="s">
        <v>434</v>
      </c>
      <c r="K139" s="725" t="s">
        <v>435</v>
      </c>
      <c r="L139" s="2155"/>
      <c r="M139" s="2224"/>
      <c r="N139" s="2157"/>
      <c r="O139" s="728" t="s">
        <v>438</v>
      </c>
      <c r="P139" s="925" t="s">
        <v>470</v>
      </c>
      <c r="Q139" s="925" t="s">
        <v>471</v>
      </c>
      <c r="R139" s="1169" t="s">
        <v>439</v>
      </c>
      <c r="S139" s="729" t="s">
        <v>440</v>
      </c>
      <c r="T139" s="2156" t="s">
        <v>441</v>
      </c>
      <c r="U139" s="2155"/>
      <c r="V139" s="1394"/>
      <c r="W139" s="1394"/>
      <c r="X139" s="1394"/>
      <c r="Y139" s="2157" t="s">
        <v>443</v>
      </c>
      <c r="Z139" s="2155"/>
      <c r="AA139" s="729" t="s">
        <v>445</v>
      </c>
      <c r="AB139" s="2154"/>
      <c r="AC139" s="2216"/>
      <c r="AD139" s="1321" t="str">
        <f>AD14</f>
        <v>Q1</v>
      </c>
      <c r="AE139" s="832" t="str">
        <f t="shared" ref="AE139:AH139" si="145">AE14</f>
        <v>Q4-19</v>
      </c>
      <c r="AF139" s="730" t="str">
        <f t="shared" si="145"/>
        <v>Q3-19</v>
      </c>
      <c r="AG139" s="730" t="str">
        <f t="shared" si="145"/>
        <v>Q2-19</v>
      </c>
      <c r="AH139" s="833" t="str">
        <f t="shared" si="145"/>
        <v>Q1-19</v>
      </c>
      <c r="AI139" s="833" t="str">
        <f t="shared" ref="AI139" si="146">AI14</f>
        <v>2018-2019</v>
      </c>
      <c r="AJ139" s="834" t="s">
        <v>178</v>
      </c>
      <c r="AK139" s="835" t="s">
        <v>434</v>
      </c>
      <c r="AL139" s="836" t="s">
        <v>435</v>
      </c>
      <c r="AM139" s="2213" t="s">
        <v>446</v>
      </c>
      <c r="AN139" s="2214"/>
      <c r="AO139" s="927" t="s">
        <v>447</v>
      </c>
      <c r="AP139" s="928" t="s">
        <v>438</v>
      </c>
      <c r="AQ139" s="730" t="s">
        <v>470</v>
      </c>
      <c r="AR139" s="730" t="s">
        <v>471</v>
      </c>
      <c r="AS139" s="1168" t="s">
        <v>439</v>
      </c>
      <c r="AT139" s="1162" t="s">
        <v>440</v>
      </c>
      <c r="AU139" s="2213" t="s">
        <v>441</v>
      </c>
      <c r="AV139" s="2214"/>
      <c r="AW139" s="1406"/>
      <c r="AX139" s="1406"/>
      <c r="AY139" s="1406"/>
      <c r="AZ139" s="2214" t="s">
        <v>443</v>
      </c>
      <c r="BA139" s="2214"/>
      <c r="BB139" s="732" t="s">
        <v>435</v>
      </c>
      <c r="BC139" s="2212"/>
    </row>
    <row r="140" spans="1:55" ht="12.75" customHeight="1" thickBot="1" x14ac:dyDescent="0.35">
      <c r="A140" s="55"/>
      <c r="B140" s="102" t="s">
        <v>183</v>
      </c>
      <c r="C140" s="1177">
        <f t="shared" ref="C140:H140" ca="1" si="147">INDIRECT(CONCATENATE("'",C$14,"'!$D$164"),TRUE)</f>
        <v>2197087.5279642199</v>
      </c>
      <c r="D140" s="1192">
        <f t="shared" ca="1" si="147"/>
        <v>2296353.4087912301</v>
      </c>
      <c r="E140" s="1193">
        <f t="shared" ca="1" si="147"/>
        <v>2272430.1143495701</v>
      </c>
      <c r="F140" s="1193">
        <f t="shared" ca="1" si="147"/>
        <v>2131140.24478989</v>
      </c>
      <c r="G140" s="1193">
        <f t="shared" ca="1" si="147"/>
        <v>2274097.3106746501</v>
      </c>
      <c r="H140" s="1193">
        <f t="shared" ca="1" si="147"/>
        <v>8974021.0786053389</v>
      </c>
      <c r="I140" s="1194">
        <f t="shared" ref="I140" ca="1" si="148">H140/4</f>
        <v>2243505.2696513347</v>
      </c>
      <c r="J140" s="789" t="str">
        <f ca="1">IF(AND(C140&gt;0,SUM(D140:I140)&gt;0),"",IF(AND(C140=0,SUM(C140:I140)=0),"",IF(AND(C140=0,D140&gt;0),"Missing value?",IF(AND(C140=0,I140&gt;0),"Missing value?","New category"))))</f>
        <v/>
      </c>
      <c r="K140" s="929"/>
      <c r="L140" s="2204"/>
      <c r="M140" s="2205"/>
      <c r="N140" s="930"/>
      <c r="O140" s="931">
        <f ca="1">IF(OR(+$J140="missing?",+$J140="new category"),"",IF($D140=0,"",IF(SUM($C140:$I140)=0,"",IFERROR((($C140-$D140)/$D140),"N/A"))))</f>
        <v>-4.3227614898902859E-2</v>
      </c>
      <c r="P140" s="739">
        <f t="shared" ref="P140" ca="1" si="149">IF(OR(+$J140="missing?",+$J140="new category"),"",IF($E140=0,"",IF(SUM($C140:$I140)=0,"",IFERROR((($C140-$E140)/$E140),"N/A"))))</f>
        <v>-3.3155073024947683E-2</v>
      </c>
      <c r="Q140" s="739">
        <f t="shared" ref="Q140" ca="1" si="150">IF(OR(+$J140="missing?",+$J140="new category"),"",IF($F140=0,"",IF(SUM($C140:$I140)=0,"",IFERROR((($C140-$F140)/$F140),"N/A"))))</f>
        <v>3.0944600354460328E-2</v>
      </c>
      <c r="R140" s="797">
        <f ca="1">IF(OR(+$J140="missing?",+$J140="new category"),"",IF($G140=0,"",IF(SUM($C140:$I140)=0,"",IFERROR((($C140-$G140)/$G140),"N/A"))))</f>
        <v>-3.3863890673870911E-2</v>
      </c>
      <c r="S140" s="932">
        <f ca="1">IF(OR(+$J140="missing?",+$J140="new category"),"",IF($I140=0,"",IF(SUM($C140:$I140)=0,"",IFERROR((($C140-$I140)/$I140),"N/A"))))</f>
        <v>-2.0689829578304775E-2</v>
      </c>
      <c r="T140" s="1072">
        <f t="shared" ref="T140" ca="1" si="151">IF(SUM(C140:I140)=0,"",IF(OR(AND(C140=0,SUM(D140:I140)&gt;0),AND(C140&gt;0,SUM(D140:I140)=0)),1,IF(MAX(IF(O140&lt;0,-O140,O140),IF(P140&lt;0,-P140,P140),IF(Q140&lt;0,-Q140,Q140),IF(R140&lt;0,-R140,R140),IF(S140&lt;0,-S140,S140))=0,"",MAX(IF(O140&lt;0,-O140,O140),IF(P140&lt;0,-P140,P140),IF(Q140&lt;0,-Q140,Q140),IF(R140&lt;0,-R140,R140),IF(S140&lt;0,-S140,S140)))))</f>
        <v>4.3227614898902859E-2</v>
      </c>
      <c r="U140" s="1051">
        <f ca="1">IF(SUM(D140:J140)=0,"",IF(OR(AND(D140=0,SUM(G140:J140)&gt;0),AND(D140&gt;0,SUM(G140:J140)=0)),1,IF(MAX(IF(R140&lt;0,-R140,R140),IF(S140&lt;0,-S140,S140),IF(T140&lt;0,-T140,T140))=0,"",MAX(IF(R140&lt;0,-R140,R140),IF(S140&lt;0,-S140,S140),IF(T140&lt;0,-T140,T140)))))</f>
        <v>4.3227614898902859E-2</v>
      </c>
      <c r="V140" s="1402"/>
      <c r="W140" s="1402"/>
      <c r="X140" s="1402"/>
      <c r="Y140" s="2162" t="str">
        <f ca="1">IF(+T140="","",IF(T140&gt;$M$3,"H",IF(T140&gt;$M$4,"M","")))</f>
        <v/>
      </c>
      <c r="Z140" s="2163"/>
      <c r="AA140" s="929"/>
      <c r="AB140" s="933" t="str">
        <f ca="1">IF(CONCATENATE(IF(K140="OK","",J140), "    ",IF(AND(+AA140="",Y140="M"),"Value change with medium impact",IF(AND(AA140="",Y140="H"),"Value change with high impact",""))," ")="     ","",CONCATENATE(IF(K140="OK","",J140), "    ",IF(AND(+AA140="",Y140="M"),"Value change with medium impact",IF(AND(AA140="",Y140="H"),"Value change with high impact",""))," "))</f>
        <v/>
      </c>
      <c r="AC140" s="934" t="str">
        <f ca="1">IF(AD140&gt;C140,"Offices only&gt;Total Estate","")</f>
        <v/>
      </c>
      <c r="AD140" s="1195">
        <f t="shared" ref="AD140:AI140" ca="1" si="152">INDIRECT(CONCATENATE("'",AD$14,"'!$G$164"),TRUE)</f>
        <v>7248.8655607535902</v>
      </c>
      <c r="AE140" s="1196">
        <f t="shared" ca="1" si="152"/>
        <v>10509.415973245899</v>
      </c>
      <c r="AF140" s="1197">
        <f t="shared" ca="1" si="152"/>
        <v>11256.907888894501</v>
      </c>
      <c r="AG140" s="1197">
        <f t="shared" ca="1" si="152"/>
        <v>10224.409996032715</v>
      </c>
      <c r="AH140" s="1197">
        <f t="shared" ca="1" si="152"/>
        <v>9638.502681477863</v>
      </c>
      <c r="AI140" s="1197">
        <f t="shared" ca="1" si="152"/>
        <v>41629.236539650978</v>
      </c>
      <c r="AJ140" s="1198">
        <f ca="1">AI140/4</f>
        <v>10407.309134912744</v>
      </c>
      <c r="AK140" s="868" t="str">
        <f ca="1">IF(AND(AD140&gt;0,SUM(AE140:AJ140)&gt;0),"",IF(AND(AD140=0,SUM(AD140:AJ140)=0),"",IF(AND(AD140=0,AE140&gt;0),"Missing value?",IF(AND(AD140=0,AJ140&gt;0),"Missing value?","New category"))))</f>
        <v/>
      </c>
      <c r="AL140" s="809"/>
      <c r="AM140" s="935"/>
      <c r="AN140" s="936"/>
      <c r="AO140" s="937"/>
      <c r="AP140" s="938">
        <f ca="1">IF(OR(+$AK140="missing?",+$AK140="new category"),"",IF($AE140=0,"",IF(SUM($AD140:$AJ140)=0,"",IFERROR((($AD140-$AE140)/$AE140),"N/A"))))</f>
        <v>-0.31025039077269179</v>
      </c>
      <c r="AQ140" s="756">
        <f t="shared" ref="AQ140:AQ142" ca="1" si="153">IF(OR(+$AK140="missing?",+$AK140="new category"),"",IF($AF140=0,"",IF(SUM($AD140:$AJ140)=0,"",IFERROR((($AD140-$AF140)/$AF140),"N/A"))))</f>
        <v>-0.35605180105409262</v>
      </c>
      <c r="AR140" s="756">
        <f t="shared" ref="AR140:AR142" ca="1" si="154">IF(OR(+$AK140="missing?",+$AK140="new category"),"",IF($AG140=0,"",IF(SUM($AD140:$AJ140)=0,"",IFERROR((($AD140-$AG140)/$AG140),"N/A"))))</f>
        <v>-0.29102358340810847</v>
      </c>
      <c r="AS140" s="756">
        <f ca="1">IF(OR(+$AK140="missing?",+$AK140="new category"),"",IF($AH140=0,"",IF(SUM($AD140:$AJ140)=0,"",IFERROR((($AD140-$AH140)/$AH140),"N/A"))))</f>
        <v>-0.24792617688600072</v>
      </c>
      <c r="AT140" s="939">
        <f ca="1">IF(OR(+$AK140="missing?",+$AK140="new category"),"",IF($AJ140=0,"",IF(SUM($AD140:$AJ140)=0,"",IFERROR((($AD140-$AJ140)/$AJ140),"N/A"))))</f>
        <v>-0.30348320908079135</v>
      </c>
      <c r="AU140" s="2206">
        <f ca="1">IF(MAX(IF(AP140&lt;0,-AP140,AP140),IF(AS140&lt;0,-AS140,AS140),IF(AT140&lt;0,-AT140,AT140))=0,"",MAX(IF(AP140&lt;0,-AP140,AP140),IF(AQ140&lt;0,-AQ140,AQ140),IF(AR140&lt;0,-AR140,AR140),IF(AS140&lt;0,-AS140,AS140),IF(AT140&lt;0,-AT140,AT140)))</f>
        <v>0.35605180105409262</v>
      </c>
      <c r="AV140" s="2207"/>
      <c r="AW140" s="1407"/>
      <c r="AX140" s="1407"/>
      <c r="AY140" s="1407"/>
      <c r="AZ140" s="2208" t="str">
        <f ca="1">IF(+AU140="","",IF(AU140&gt;$AN$3,"H",IF(AU140&gt;$AN$4,"M","")))</f>
        <v>H</v>
      </c>
      <c r="BA140" s="2208"/>
      <c r="BB140" s="751"/>
      <c r="BC140" s="871" t="str">
        <f ca="1">IF(CONCATENATE(AC140, "    ", IF(AL140="OK","",AK140), "    ",IF(AND(+BB140="",AZ140="M"),"Value change with medium impact",IF(AND(BB140="",AZ140="H"),"Value change with high impact",""))," ")="         ","",CONCATENATE(AC140, "    ", IF(AL140="OK","",AK140), "    ",IF(AND(+BB140="",AZ140="M"),"Value change with medium impact",IF(AND(BB140="",AZ140="H"),"Value change with high impact",""))," "))</f>
        <v xml:space="preserve">        Value change with high impact </v>
      </c>
    </row>
    <row r="141" spans="1:55" ht="12.75" customHeight="1" x14ac:dyDescent="0.3">
      <c r="A141" s="55"/>
      <c r="B141" s="1182"/>
      <c r="C141" s="1182"/>
      <c r="D141" s="1182"/>
      <c r="E141" s="1182"/>
      <c r="F141" s="1182"/>
      <c r="G141" s="1182"/>
      <c r="H141" s="1182"/>
      <c r="I141" s="1182"/>
      <c r="J141" s="1182"/>
      <c r="K141" s="1182"/>
      <c r="L141" s="1182"/>
      <c r="M141" s="1182"/>
      <c r="N141" s="1182"/>
      <c r="O141" s="1182"/>
      <c r="P141" s="1182"/>
      <c r="Q141" s="1182"/>
      <c r="R141" s="1182"/>
      <c r="S141" s="1182"/>
      <c r="T141" s="1182"/>
      <c r="U141" s="1182"/>
      <c r="V141" s="1182"/>
      <c r="W141" s="1182"/>
      <c r="X141" s="1182"/>
      <c r="Y141" s="1182"/>
      <c r="Z141" s="1182"/>
      <c r="AA141" s="1182"/>
      <c r="AB141" s="1182"/>
      <c r="AC141" s="940" t="s">
        <v>184</v>
      </c>
      <c r="AD141" s="1199">
        <f t="shared" ref="AD141:AI141" ca="1" si="155">INDIRECT(CONCATENATE("'",AD$14,"'!$E$164"),TRUE)</f>
        <v>3304</v>
      </c>
      <c r="AE141" s="1200">
        <f t="shared" ca="1" si="155"/>
        <v>3304</v>
      </c>
      <c r="AF141" s="1201">
        <f t="shared" ca="1" si="155"/>
        <v>3304</v>
      </c>
      <c r="AG141" s="1201">
        <f t="shared" ca="1" si="155"/>
        <v>3304</v>
      </c>
      <c r="AH141" s="1201">
        <f t="shared" ca="1" si="155"/>
        <v>3304</v>
      </c>
      <c r="AI141" s="1201">
        <f t="shared" ca="1" si="155"/>
        <v>3304</v>
      </c>
      <c r="AJ141" s="1202">
        <f ca="1">AI141</f>
        <v>3304</v>
      </c>
      <c r="AK141" s="872" t="str">
        <f ca="1">IF(AND(AD141&gt;0,SUM(AE141:AJ141)&gt;0),"",IF(AND(AD141=0,SUM(AD141:AJ141)=0),"",IF(AND(AD141=0,AE141&gt;0),"Missing value?",IF(AND(AD141=0,AJ141&gt;0),"Missing value?","New category"))))</f>
        <v/>
      </c>
      <c r="AL141" s="782"/>
      <c r="AM141" s="941"/>
      <c r="AN141" s="942"/>
      <c r="AO141" s="943"/>
      <c r="AP141" s="944">
        <f ca="1">IF(OR(+$AK141="missing?",+$AK141="new category"),"",IF($AE141=0,"",IF(SUM($AD141:$AJ141)=0,"",IFERROR((($AD141-$AE141)/$AE141),"N/A"))))</f>
        <v>0</v>
      </c>
      <c r="AQ141" s="777">
        <f t="shared" ca="1" si="153"/>
        <v>0</v>
      </c>
      <c r="AR141" s="777">
        <f t="shared" ca="1" si="154"/>
        <v>0</v>
      </c>
      <c r="AS141" s="777">
        <f t="shared" ref="AS141" ca="1" si="156">IF(OR(+$AK141="missing?",+$AK141="new category"),"",IF($AH141=0,"",IF(SUM($AD141:$AJ141)=0,"",IFERROR((($AD141-$AH141)/$AH141),"N/A"))))</f>
        <v>0</v>
      </c>
      <c r="AT141" s="945">
        <f ca="1">IF(OR(+$AK141="missing?",+$AK141="new category"),"",IF($AJ141=0,"",IF(SUM($AD141:$AJ141)=0,"",IFERROR((($AD141-$AJ141)/$AJ141),"N/A"))))</f>
        <v>0</v>
      </c>
      <c r="AU141" s="2206" t="str">
        <f t="shared" ref="AU141:AU142" ca="1" si="157">IF(MAX(IF(AP141&lt;0,-AP141,AP141),IF(AS141&lt;0,-AS141,AS141),IF(AT141&lt;0,-AT141,AT141))=0,"",MAX(IF(AP141&lt;0,-AP141,AP141),IF(AQ141&lt;0,-AQ141,AQ141),IF(AR141&lt;0,-AR141,AR141),IF(AS141&lt;0,-AS141,AS141),IF(AT141&lt;0,-AT141,AT141)))</f>
        <v/>
      </c>
      <c r="AV141" s="2207"/>
      <c r="AW141" s="1396"/>
      <c r="AX141" s="1396"/>
      <c r="AY141" s="1396"/>
      <c r="AZ141" s="2207" t="str">
        <f ca="1">IF(+AU141="","",IF(AU141&gt;$AN$3,"H",IF(AU141&gt;$AN$4,"M","")))</f>
        <v/>
      </c>
      <c r="BA141" s="2207"/>
      <c r="BB141" s="772"/>
      <c r="BC141" s="946" t="str">
        <f ca="1">IF(CONCATENATE(IF(AL141="OK","",AK141), "    ",IF(AND(+BB141="",AZ141="M"),"Value change with medium impact",IF(AND(BB141="",AZ141="H"),"Value change with high impact",""))," ")="     ","",CONCATENATE(IF(AL141="OK","",AK141), "    ",IF(AND(+BB141="",AZ141="M"),"Value change with medium impact",IF(AND(BB141="",AZ141="H"),"Value change with high impact",""))," "))</f>
        <v/>
      </c>
    </row>
    <row r="142" spans="1:55" ht="12.75" customHeight="1" thickBot="1" x14ac:dyDescent="0.35">
      <c r="A142" s="55"/>
      <c r="B142" s="1182"/>
      <c r="C142" s="1182"/>
      <c r="D142" s="1182"/>
      <c r="E142" s="1182"/>
      <c r="F142" s="1182"/>
      <c r="G142" s="1182"/>
      <c r="H142" s="1182"/>
      <c r="I142" s="1182"/>
      <c r="J142" s="1182"/>
      <c r="K142" s="1182"/>
      <c r="L142" s="1182"/>
      <c r="M142" s="1182"/>
      <c r="N142" s="1182"/>
      <c r="O142" s="1182"/>
      <c r="P142" s="1182"/>
      <c r="Q142" s="1182"/>
      <c r="R142" s="1182"/>
      <c r="S142" s="1182"/>
      <c r="T142" s="1182"/>
      <c r="U142" s="1182"/>
      <c r="V142" s="1182"/>
      <c r="W142" s="1182"/>
      <c r="X142" s="1182"/>
      <c r="Y142" s="1182"/>
      <c r="Z142" s="1182"/>
      <c r="AA142" s="1182"/>
      <c r="AB142" s="1182"/>
      <c r="AC142" s="947" t="s">
        <v>448</v>
      </c>
      <c r="AD142" s="948">
        <f ca="1">IF(OR(AD140=0,AD141=0),"",AD140/AD141)</f>
        <v>2.193966574077963</v>
      </c>
      <c r="AE142" s="949">
        <f t="shared" ref="AE142:AJ142" ca="1" si="158">IF(OR(AE140=0,AE141=0),"",AE140/AE141)</f>
        <v>3.1808159725320517</v>
      </c>
      <c r="AF142" s="950">
        <f t="shared" ca="1" si="158"/>
        <v>3.4070544457913137</v>
      </c>
      <c r="AG142" s="950">
        <f t="shared" ca="1" si="158"/>
        <v>3.0945550835450106</v>
      </c>
      <c r="AH142" s="950">
        <f t="shared" ca="1" si="158"/>
        <v>2.9172223612221133</v>
      </c>
      <c r="AI142" s="950">
        <f t="shared" ref="AI142" ca="1" si="159">IF(OR(AI140=0,AI141=0),"",AI140/AI141)</f>
        <v>12.599647863090489</v>
      </c>
      <c r="AJ142" s="951">
        <f t="shared" ca="1" si="158"/>
        <v>3.1499119657726222</v>
      </c>
      <c r="AK142" s="849" t="str">
        <f ca="1">IF(AND(AD142&gt;0,SUM(AE142:AJ142)&gt;0),"",IF(AND(AD142=0,SUM(AD142:AJ142)=0),"",IF(AND(AD142=0,AE142&gt;0),"Missing value?",IF(AND(AD142=0,AJ142&gt;0),"Missing value?","New category"))))</f>
        <v/>
      </c>
      <c r="AL142" s="796"/>
      <c r="AM142" s="2200" t="str">
        <f ca="1">IF(AD142&lt;'QA config'!D2,CONCATENATE("&lt; ",'QA config'!D2," m3/FTE"),IF(AD142&gt;'QA config'!C2,CONCATENATE("&gt; ",'QA config'!C2," m3/FTE"),""))</f>
        <v/>
      </c>
      <c r="AN142" s="2201"/>
      <c r="AO142" s="790"/>
      <c r="AP142" s="952">
        <f ca="1">IF(OR(+$AK142="missing?",+$AK142="new category"),"",IF($AE142=0,"",IF(SUM($AD142:$AJ142)=0,"",IFERROR((($AD142-$AE142)/$AE142),"N/A"))))</f>
        <v>-0.31025039077269179</v>
      </c>
      <c r="AQ142" s="1070">
        <f t="shared" ca="1" si="153"/>
        <v>-0.35605180105409262</v>
      </c>
      <c r="AR142" s="1070">
        <f t="shared" ca="1" si="154"/>
        <v>-0.29102358340810852</v>
      </c>
      <c r="AS142" s="1070">
        <f ca="1">IF(OR(+$AK142="missing?",+$AK142="new category"),"",IF($AH142=0,"",IF(SUM($AD142:$AJ142)=0,"",IFERROR((($AD142-$AH142)/$AH142),"N/A"))))</f>
        <v>-0.24792617688600069</v>
      </c>
      <c r="AT142" s="953">
        <f ca="1">IF(OR(+$AK142="missing?",+$AK142="new category"),"",IF($AJ142=0,"",IF(SUM($AD142:$AJ142)=0,"",IFERROR((($AD142-$AJ142)/$AJ142),"N/A"))))</f>
        <v>-0.30348320908079135</v>
      </c>
      <c r="AU142" s="2202">
        <f t="shared" ca="1" si="157"/>
        <v>0.35605180105409262</v>
      </c>
      <c r="AV142" s="2203"/>
      <c r="AW142" s="1405"/>
      <c r="AX142" s="1405"/>
      <c r="AY142" s="1405"/>
      <c r="AZ142" s="2203" t="str">
        <f ca="1">IF(+AU142="","",IF(AU142&gt;$AN$3,"H",IF(AU142&gt;$AN$4,"M","")))</f>
        <v>H</v>
      </c>
      <c r="BA142" s="2203"/>
      <c r="BB142" s="790"/>
      <c r="BC142" s="954" t="str">
        <f ca="1">IF(CONCATENATE(IF(AL142="OK","",AK142), "    ",IF(AND(+BB142="",AZ142="M"),"Value change with medium impact",IF(AND(BB142="",AZ142="H"),"Value change with high impact",""))," ")="     ","",CONCATENATE(IF(AL142="OK","",AK142), "    ",IF(AND(+BB142="",AZ142="M"),"Value change with medium impact",IF(AND(BB142="",AZ142="H"),"Value change with high impact",""))," "))</f>
        <v xml:space="preserve">    Value change with high impact </v>
      </c>
    </row>
    <row r="143" spans="1:55" ht="12.75" customHeight="1" x14ac:dyDescent="0.3">
      <c r="A143" s="55"/>
      <c r="B143" s="1182"/>
      <c r="C143" s="1182"/>
      <c r="D143" s="1182"/>
      <c r="E143" s="1182"/>
      <c r="F143" s="1182"/>
      <c r="G143" s="1182"/>
      <c r="H143" s="1182"/>
      <c r="I143" s="1182"/>
      <c r="J143" s="1182"/>
      <c r="K143" s="1182"/>
      <c r="L143" s="1182"/>
      <c r="M143" s="1182"/>
      <c r="N143" s="1182"/>
      <c r="O143" s="1182"/>
      <c r="P143" s="1182"/>
      <c r="Q143" s="1182"/>
      <c r="R143" s="1182"/>
      <c r="S143" s="1182"/>
      <c r="T143" s="1182"/>
      <c r="U143" s="1182"/>
      <c r="V143" s="1182"/>
      <c r="W143" s="1182"/>
      <c r="X143" s="1182"/>
      <c r="Y143" s="1182"/>
      <c r="Z143" s="1182"/>
      <c r="AA143" s="1182"/>
      <c r="AB143" s="1182"/>
      <c r="AC143" s="55"/>
      <c r="AD143" s="1393"/>
      <c r="AE143" s="1393"/>
      <c r="AF143" s="1393"/>
      <c r="AG143" s="1393"/>
      <c r="AH143" s="1393"/>
      <c r="AI143" s="1393"/>
      <c r="AJ143" s="1393"/>
      <c r="AK143" s="192"/>
      <c r="AL143" s="192"/>
      <c r="AM143" s="99"/>
      <c r="AN143" s="99"/>
      <c r="AO143" s="192"/>
      <c r="AP143" s="921"/>
      <c r="AQ143" s="921"/>
      <c r="AR143" s="921"/>
      <c r="AS143" s="921"/>
      <c r="AT143" s="921"/>
      <c r="AU143" s="710"/>
      <c r="AV143" s="710"/>
      <c r="AW143" s="710"/>
      <c r="AX143" s="710"/>
      <c r="AY143" s="710"/>
      <c r="AZ143" s="710"/>
      <c r="BA143" s="710"/>
      <c r="BB143" s="192"/>
      <c r="BC143" s="875"/>
    </row>
    <row r="144" spans="1:55" ht="12.75" customHeight="1" x14ac:dyDescent="0.3">
      <c r="A144" s="55"/>
      <c r="B144" s="1182"/>
      <c r="C144" s="1182"/>
      <c r="D144" s="1182"/>
      <c r="E144" s="1182"/>
      <c r="F144" s="1182"/>
      <c r="G144" s="1182"/>
      <c r="H144" s="1182"/>
      <c r="I144" s="1182"/>
      <c r="J144" s="1182"/>
      <c r="K144" s="1182"/>
      <c r="L144" s="1182"/>
      <c r="M144" s="1182"/>
      <c r="N144" s="1182"/>
      <c r="O144" s="1182"/>
      <c r="P144" s="1182"/>
      <c r="Q144" s="1182"/>
      <c r="R144" s="1182"/>
      <c r="S144" s="1182"/>
      <c r="T144" s="1182"/>
      <c r="U144" s="1182"/>
      <c r="V144" s="1182"/>
      <c r="W144" s="1182"/>
      <c r="X144" s="1182"/>
      <c r="Y144" s="1182"/>
      <c r="Z144" s="1182"/>
      <c r="AA144" s="1182"/>
      <c r="AB144" s="1182"/>
      <c r="AC144" s="55"/>
      <c r="AD144" s="1393"/>
      <c r="AE144" s="1393"/>
      <c r="AF144" s="1393"/>
      <c r="AG144" s="1393"/>
      <c r="AH144" s="1393"/>
      <c r="AI144" s="1393"/>
      <c r="AJ144" s="1393"/>
      <c r="AK144" s="192"/>
      <c r="AL144" s="192"/>
      <c r="AM144" s="99"/>
      <c r="AN144" s="99"/>
      <c r="AO144" s="192"/>
      <c r="AP144" s="921"/>
      <c r="AQ144" s="921"/>
      <c r="AR144" s="921"/>
      <c r="AS144" s="921"/>
      <c r="AT144" s="921"/>
      <c r="AU144" s="710"/>
      <c r="AV144" s="710"/>
      <c r="AW144" s="710"/>
      <c r="AX144" s="710"/>
      <c r="AY144" s="710"/>
      <c r="AZ144" s="710"/>
      <c r="BA144" s="710"/>
      <c r="BB144" s="192"/>
      <c r="BC144" s="875"/>
    </row>
    <row r="145" spans="1:55" ht="13.5" customHeight="1" x14ac:dyDescent="0.3">
      <c r="A145" s="923" t="s">
        <v>147</v>
      </c>
      <c r="B145" s="87"/>
      <c r="C145" s="819" t="s">
        <v>23</v>
      </c>
      <c r="D145" s="819" t="s">
        <v>23</v>
      </c>
      <c r="E145" s="819" t="s">
        <v>23</v>
      </c>
      <c r="F145" s="819" t="s">
        <v>23</v>
      </c>
      <c r="G145" s="819" t="s">
        <v>23</v>
      </c>
      <c r="H145" s="819"/>
      <c r="I145" s="819" t="s">
        <v>23</v>
      </c>
      <c r="J145" s="819" t="s">
        <v>23</v>
      </c>
      <c r="K145" s="819" t="s">
        <v>23</v>
      </c>
      <c r="L145" s="819" t="s">
        <v>23</v>
      </c>
      <c r="M145" s="819" t="s">
        <v>23</v>
      </c>
      <c r="N145" s="819" t="s">
        <v>23</v>
      </c>
      <c r="O145" s="819" t="s">
        <v>23</v>
      </c>
      <c r="P145" s="819" t="s">
        <v>23</v>
      </c>
      <c r="Q145" s="819" t="s">
        <v>23</v>
      </c>
      <c r="R145" s="819" t="s">
        <v>23</v>
      </c>
      <c r="S145" s="819" t="s">
        <v>23</v>
      </c>
      <c r="T145" s="819" t="s">
        <v>23</v>
      </c>
      <c r="U145" s="819"/>
      <c r="V145" s="819"/>
      <c r="W145" s="819"/>
      <c r="X145" s="819"/>
      <c r="Y145" s="819" t="s">
        <v>23</v>
      </c>
      <c r="Z145" s="819" t="s">
        <v>23</v>
      </c>
      <c r="AA145" s="819" t="s">
        <v>23</v>
      </c>
      <c r="AB145" s="819" t="s">
        <v>23</v>
      </c>
      <c r="AC145" s="1076" t="s">
        <v>144</v>
      </c>
      <c r="AD145" s="1076" t="s">
        <v>144</v>
      </c>
      <c r="AE145" s="1076" t="s">
        <v>144</v>
      </c>
      <c r="AF145" s="1076" t="s">
        <v>144</v>
      </c>
      <c r="AG145" s="1076" t="s">
        <v>144</v>
      </c>
      <c r="AH145" s="1076" t="s">
        <v>144</v>
      </c>
      <c r="AI145" s="1076"/>
      <c r="AJ145" s="1076" t="s">
        <v>144</v>
      </c>
      <c r="AK145" s="1076" t="s">
        <v>144</v>
      </c>
      <c r="AL145" s="1076" t="s">
        <v>144</v>
      </c>
      <c r="AM145" s="1076" t="s">
        <v>144</v>
      </c>
      <c r="AN145" s="1076" t="s">
        <v>144</v>
      </c>
      <c r="AO145" s="1076" t="s">
        <v>144</v>
      </c>
      <c r="AP145" s="1076" t="s">
        <v>144</v>
      </c>
      <c r="AQ145" s="1076" t="s">
        <v>144</v>
      </c>
      <c r="AR145" s="1076" t="s">
        <v>144</v>
      </c>
      <c r="AS145" s="1076" t="s">
        <v>144</v>
      </c>
      <c r="AT145" s="1076" t="s">
        <v>144</v>
      </c>
      <c r="AU145" s="1076" t="s">
        <v>144</v>
      </c>
      <c r="AV145" s="1076"/>
      <c r="AW145" s="1076"/>
      <c r="AX145" s="1076"/>
      <c r="AY145" s="1076"/>
      <c r="AZ145" s="1076" t="s">
        <v>144</v>
      </c>
      <c r="BA145" s="1076" t="s">
        <v>144</v>
      </c>
      <c r="BB145" s="1076" t="s">
        <v>144</v>
      </c>
      <c r="BC145" s="1076" t="s">
        <v>144</v>
      </c>
    </row>
    <row r="146" spans="1:55" thickBot="1" x14ac:dyDescent="0.35">
      <c r="A146" s="1170"/>
      <c r="B146" s="50"/>
      <c r="C146" s="671"/>
      <c r="D146" s="671"/>
      <c r="E146" s="671"/>
      <c r="F146" s="671"/>
      <c r="G146" s="671"/>
      <c r="H146" s="671"/>
      <c r="I146" s="671"/>
      <c r="J146" s="88"/>
      <c r="K146" s="88"/>
      <c r="L146" s="88"/>
      <c r="M146" s="88"/>
      <c r="N146" s="1170"/>
      <c r="O146" s="88"/>
      <c r="P146" s="88"/>
      <c r="Q146" s="88"/>
      <c r="R146" s="88"/>
      <c r="S146" s="88"/>
      <c r="T146" s="88"/>
      <c r="U146" s="88"/>
      <c r="V146" s="88"/>
      <c r="W146" s="88"/>
      <c r="X146" s="88"/>
      <c r="Y146" s="88"/>
      <c r="Z146" s="88"/>
      <c r="AA146" s="88"/>
      <c r="AB146" s="88"/>
      <c r="AC146" s="50"/>
      <c r="AD146" s="106"/>
      <c r="AE146" s="106"/>
      <c r="AF146" s="106"/>
      <c r="AG146" s="106"/>
      <c r="AH146" s="106"/>
      <c r="AI146" s="106"/>
      <c r="AJ146" s="197"/>
      <c r="AK146" s="106"/>
      <c r="AL146" s="106"/>
      <c r="AM146" s="106"/>
      <c r="AN146" s="106"/>
      <c r="AO146" s="50"/>
      <c r="AP146" s="50"/>
      <c r="AQ146" s="50"/>
      <c r="AR146" s="50"/>
      <c r="AS146" s="50"/>
      <c r="AT146" s="50"/>
      <c r="AU146" s="50"/>
      <c r="AV146" s="50"/>
      <c r="AW146" s="50"/>
      <c r="AX146" s="50"/>
      <c r="AY146" s="50"/>
      <c r="AZ146" s="50"/>
      <c r="BA146" s="50"/>
      <c r="BB146" s="50"/>
      <c r="BC146" s="50"/>
    </row>
    <row r="147" spans="1:55" ht="27.6" x14ac:dyDescent="0.3">
      <c r="A147" s="100"/>
      <c r="B147" s="101"/>
      <c r="C147" s="1244" t="s">
        <v>176</v>
      </c>
      <c r="D147" s="2165" t="s">
        <v>177</v>
      </c>
      <c r="E147" s="2165"/>
      <c r="F147" s="2165"/>
      <c r="G147" s="2166"/>
      <c r="H147" s="2167"/>
      <c r="I147" s="2167"/>
      <c r="J147" s="2168" t="s">
        <v>428</v>
      </c>
      <c r="K147" s="2169"/>
      <c r="L147" s="2170"/>
      <c r="M147" s="2171"/>
      <c r="N147" s="2172"/>
      <c r="O147" s="2173" t="s">
        <v>430</v>
      </c>
      <c r="P147" s="2170"/>
      <c r="Q147" s="2170"/>
      <c r="R147" s="2171"/>
      <c r="S147" s="2174"/>
      <c r="T147" s="2170" t="s">
        <v>418</v>
      </c>
      <c r="U147" s="2171"/>
      <c r="V147" s="2171"/>
      <c r="W147" s="2171"/>
      <c r="X147" s="2171"/>
      <c r="Y147" s="2171"/>
      <c r="Z147" s="2171"/>
      <c r="AA147" s="2172"/>
      <c r="AB147" s="2192" t="s">
        <v>433</v>
      </c>
      <c r="AC147" s="2194" t="s">
        <v>432</v>
      </c>
      <c r="AD147" s="1408" t="s">
        <v>176</v>
      </c>
      <c r="AE147" s="2195" t="s">
        <v>177</v>
      </c>
      <c r="AF147" s="2195"/>
      <c r="AG147" s="2195"/>
      <c r="AH147" s="2196"/>
      <c r="AI147" s="2197"/>
      <c r="AJ147" s="2197"/>
      <c r="AK147" s="2198" t="s">
        <v>428</v>
      </c>
      <c r="AL147" s="2199"/>
      <c r="AM147" s="2182"/>
      <c r="AN147" s="2183"/>
      <c r="AO147" s="2184"/>
      <c r="AP147" s="2185" t="s">
        <v>430</v>
      </c>
      <c r="AQ147" s="2182"/>
      <c r="AR147" s="2182"/>
      <c r="AS147" s="2183"/>
      <c r="AT147" s="2186"/>
      <c r="AU147" s="2182" t="s">
        <v>418</v>
      </c>
      <c r="AV147" s="2183"/>
      <c r="AW147" s="2183"/>
      <c r="AX147" s="2183"/>
      <c r="AY147" s="2183"/>
      <c r="AZ147" s="2183"/>
      <c r="BA147" s="2183"/>
      <c r="BB147" s="2184"/>
      <c r="BC147" s="2187" t="s">
        <v>433</v>
      </c>
    </row>
    <row r="148" spans="1:55" ht="38.25" customHeight="1" thickBot="1" x14ac:dyDescent="0.35">
      <c r="A148" s="102"/>
      <c r="B148" s="653"/>
      <c r="C148" s="1245" t="str">
        <f>C14</f>
        <v>Q1</v>
      </c>
      <c r="D148" s="925" t="str">
        <f t="shared" ref="D148:I148" si="160">D14</f>
        <v>Q4-19</v>
      </c>
      <c r="E148" s="925" t="str">
        <f t="shared" si="160"/>
        <v>Q3-19</v>
      </c>
      <c r="F148" s="925" t="str">
        <f t="shared" si="160"/>
        <v>Q2-19</v>
      </c>
      <c r="G148" s="722" t="str">
        <f t="shared" si="160"/>
        <v>Q1-19</v>
      </c>
      <c r="H148" s="722" t="str">
        <f t="shared" si="160"/>
        <v>2018-2019</v>
      </c>
      <c r="I148" s="926" t="str">
        <f t="shared" si="160"/>
        <v>25% of previous year total</v>
      </c>
      <c r="J148" s="724" t="s">
        <v>434</v>
      </c>
      <c r="K148" s="725" t="s">
        <v>435</v>
      </c>
      <c r="L148" s="1158"/>
      <c r="M148" s="726"/>
      <c r="N148" s="902"/>
      <c r="O148" s="728" t="s">
        <v>438</v>
      </c>
      <c r="P148" s="925" t="s">
        <v>470</v>
      </c>
      <c r="Q148" s="925" t="s">
        <v>471</v>
      </c>
      <c r="R148" s="1169" t="s">
        <v>439</v>
      </c>
      <c r="S148" s="729" t="s">
        <v>440</v>
      </c>
      <c r="T148" s="2156" t="s">
        <v>441</v>
      </c>
      <c r="U148" s="2155"/>
      <c r="V148" s="1394"/>
      <c r="W148" s="1394"/>
      <c r="X148" s="1394"/>
      <c r="Y148" s="2157" t="s">
        <v>449</v>
      </c>
      <c r="Z148" s="2155"/>
      <c r="AA148" s="1159" t="s">
        <v>445</v>
      </c>
      <c r="AB148" s="2193"/>
      <c r="AC148" s="2189"/>
      <c r="AD148" s="1409" t="str">
        <f>AD14</f>
        <v>Q1</v>
      </c>
      <c r="AE148" s="955" t="str">
        <f t="shared" ref="AE148:AJ148" si="161">AE14</f>
        <v>Q4-19</v>
      </c>
      <c r="AF148" s="730" t="str">
        <f t="shared" si="161"/>
        <v>Q3-19</v>
      </c>
      <c r="AG148" s="730" t="str">
        <f t="shared" si="161"/>
        <v>Q2-19</v>
      </c>
      <c r="AH148" s="956" t="str">
        <f t="shared" si="161"/>
        <v>Q1-19</v>
      </c>
      <c r="AI148" s="957" t="str">
        <f t="shared" si="161"/>
        <v>2018-2019</v>
      </c>
      <c r="AJ148" s="957" t="str">
        <f t="shared" si="161"/>
        <v>25% of previous year total</v>
      </c>
      <c r="AK148" s="958" t="s">
        <v>434</v>
      </c>
      <c r="AL148" s="959" t="s">
        <v>435</v>
      </c>
      <c r="AM148" s="1161"/>
      <c r="AN148" s="837"/>
      <c r="AO148" s="838"/>
      <c r="AP148" s="731" t="s">
        <v>438</v>
      </c>
      <c r="AQ148" s="730" t="s">
        <v>470</v>
      </c>
      <c r="AR148" s="730" t="s">
        <v>471</v>
      </c>
      <c r="AS148" s="1168" t="s">
        <v>439</v>
      </c>
      <c r="AT148" s="732" t="s">
        <v>440</v>
      </c>
      <c r="AU148" s="2189" t="s">
        <v>441</v>
      </c>
      <c r="AV148" s="2190"/>
      <c r="AW148" s="1394"/>
      <c r="AX148" s="1394"/>
      <c r="AY148" s="1394"/>
      <c r="AZ148" s="2191" t="s">
        <v>450</v>
      </c>
      <c r="BA148" s="2190"/>
      <c r="BB148" s="1162" t="s">
        <v>445</v>
      </c>
      <c r="BC148" s="2188"/>
    </row>
    <row r="149" spans="1:55" ht="13.5" customHeight="1" x14ac:dyDescent="0.3">
      <c r="A149" s="960" t="str">
        <f>'Q1'!B171</f>
        <v>Waste recycled externally (excl. ICT waste)</v>
      </c>
      <c r="B149" s="903"/>
      <c r="C149" s="1262">
        <f t="shared" ref="C149:H162" ca="1" si="162">INDEX(INDIRECT(CONCATENATE("'",C$14,"'!$E$171:$E$184"),TRUE),MATCH($A149,INDIRECT(CONCATENATE("'",C$14,"'!$B$171:$B$184"),TRUE),0))</f>
        <v>10210.61</v>
      </c>
      <c r="D149" s="760">
        <f t="shared" ca="1" si="162"/>
        <v>10123.6057666738</v>
      </c>
      <c r="E149" s="761">
        <f t="shared" ca="1" si="162"/>
        <v>9587.2362859801106</v>
      </c>
      <c r="F149" s="761">
        <f t="shared" ca="1" si="162"/>
        <v>9670.8344962840893</v>
      </c>
      <c r="G149" s="761">
        <f t="shared" ca="1" si="162"/>
        <v>10054.920793076501</v>
      </c>
      <c r="H149" s="761">
        <f t="shared" ca="1" si="162"/>
        <v>39436.597342014502</v>
      </c>
      <c r="I149" s="961">
        <f t="shared" ref="I149:I162" ca="1" si="163">H149/4</f>
        <v>9859.1493355036255</v>
      </c>
      <c r="J149" s="800" t="str">
        <f t="shared" ref="J149:J157" ca="1" si="164">IF(AND(C149&gt;0,SUM(D149:I149)&gt;0),"",IF(AND(C149=0,SUM(C149:I149)=0),"",IF(AND(C149=0,D149&gt;0),"Missing value?",IF(AND(C149=0,I149&gt;0),"Missing value?","New category"))))</f>
        <v/>
      </c>
      <c r="K149" s="801"/>
      <c r="L149" s="962"/>
      <c r="M149" s="963"/>
      <c r="N149" s="964"/>
      <c r="O149" s="906">
        <f t="shared" ref="O149:O162" ca="1" si="165">IF(OR(+$J149="missing?",+$J149="new category"),"",IF($D149=0,"",IF(SUM($C149:$I149)=0,"",IFERROR((($C149-$D149)/$D149),"N/A"))))</f>
        <v>8.5941941370941844E-3</v>
      </c>
      <c r="P149" s="765">
        <f t="shared" ref="P149:P162" ca="1" si="166">IF(OR(+$J149="missing?",+$J149="new category"),"",IF($E149=0,"",IF(SUM($C149:$I149)=0,"",IFERROR((($C149-$E149)/$E149),"N/A"))))</f>
        <v>6.5021211058653078E-2</v>
      </c>
      <c r="Q149" s="765">
        <f t="shared" ref="Q149:Q162" ca="1" si="167">IF(OR(+$J149="missing?",+$J149="new category"),"",IF($F149=0,"",IF(SUM($C149:$I149)=0,"",IFERROR((($C149-$F149)/$F149),"N/A"))))</f>
        <v>5.5814780402178743E-2</v>
      </c>
      <c r="R149" s="765">
        <f t="shared" ref="R149:R162" ca="1" si="168">IF(OR(+$J149="missing?",+$J149="new category"),"",IF($G149=0,"",IF(SUM($C149:$I149)=0,"",IFERROR((($C149-$G149)/$G149),"N/A"))))</f>
        <v>1.548388198450083E-2</v>
      </c>
      <c r="S149" s="907">
        <f t="shared" ref="S149:S162" ca="1" si="169">IF(OR(+$J149="missing?",+$J149="new category"),"",IF($I149=0,"",IF(SUM($C149:$I149)=0,"",IFERROR((($C149-$I149)/$I149),"N/A"))))</f>
        <v>3.5648173339938742E-2</v>
      </c>
      <c r="T149" s="1068">
        <f t="shared" ref="T149:T157" ca="1" si="170">IF(SUM(C149:I149)=0,"",IF(OR(AND(C149=0,SUM(D149:I149)&gt;0),AND(C149&gt;0,SUM(D149:I149)=0)),1,IF(MAX(IF(O149&lt;0,-O149,O149),IF(P149&lt;0,-P149,P149),IF(Q149&lt;0,-Q149,Q149),IF(R149&lt;0,-R149,R149),IF(S149&lt;0,-S149,S149))=0,"",MAX(IF(O149&lt;0,-O149,O149),IF(P149&lt;0,-P149,P149),IF(Q149&lt;0,-Q149,Q149),IF(R149&lt;0,-R149,R149),IF(S149&lt;0,-S149,S149)))))</f>
        <v>6.5021211058653078E-2</v>
      </c>
      <c r="U149" s="766" t="str">
        <f t="shared" ref="U149:U157" ca="1" si="171">IF(+T149="","",IF(T149&gt;$N$3,"H",IF(T149&gt;$N$4,"M","")))</f>
        <v>M</v>
      </c>
      <c r="V149" s="1395"/>
      <c r="W149" s="1395"/>
      <c r="X149" s="1395"/>
      <c r="Y149" s="1068">
        <f ca="1">IF(OR(C149=0,C$162=0),IF(AND(D149&gt;0,D$162&gt;0), +T149*D149/D$162, IF(AND(I149&gt;0,I$162&gt;0), +T149*I149/I$162, "")), +T149*C149/C$162)</f>
        <v>5.0475475561632607E-2</v>
      </c>
      <c r="Z149" s="766" t="str">
        <f t="shared" ref="Z149:Z157" ca="1" si="172">IF(+Y149="","",IF(Y149&gt;$N$3,"H",IF(Y149&gt;$N$4,"M","")))</f>
        <v>M</v>
      </c>
      <c r="AA149" s="762"/>
      <c r="AB149" s="758" t="str">
        <f ca="1">IF(CONCATENATE(IF(K149="OK","",J149),"    ",IF(AND(+AA149="",Z149="M"),"Value change with medium impact",IF(AND(AA149="",Z149="H"),"Value change with high impact",""))," ")="     ","",CONCATENATE(IF(K149="OK","",J149),"    ",IF(AND(+AA149="",Z149="M"),"Value change with medium impact",IF(AND(AA149="",Z149="H"),"Value change with high impact",""))," "))</f>
        <v xml:space="preserve">    Value change with medium impact </v>
      </c>
      <c r="AC149" s="965" t="str">
        <f ca="1">IF(AD149&gt;C149,"Offices only&gt;Total Estate","")</f>
        <v/>
      </c>
      <c r="AD149" s="1180">
        <f t="shared" ref="AD149:AI162" ca="1" si="173">INDEX(INDIRECT(CONCATENATE("'",AD$14,"'!$G$171:$G$184"),TRUE),MATCH($A149,INDIRECT(CONCATENATE("'",AD$14,"'!$B$171:$B$184"),TRUE),0))</f>
        <v>98.81</v>
      </c>
      <c r="AE149" s="760">
        <f t="shared" ca="1" si="173"/>
        <v>443.85256819385501</v>
      </c>
      <c r="AF149" s="761">
        <f t="shared" ca="1" si="173"/>
        <v>311.27616338948701</v>
      </c>
      <c r="AG149" s="761">
        <f t="shared" ca="1" si="173"/>
        <v>381.30271709442098</v>
      </c>
      <c r="AH149" s="761">
        <f t="shared" ca="1" si="173"/>
        <v>406.14503385925201</v>
      </c>
      <c r="AI149" s="761">
        <f t="shared" ca="1" si="173"/>
        <v>1542.576482537015</v>
      </c>
      <c r="AJ149" s="961">
        <f ca="1">AI149/4</f>
        <v>385.64412063425374</v>
      </c>
      <c r="AK149" s="800" t="str">
        <f ca="1">IF(AND(AD149&gt;0,SUM(AE149:AJ149)&gt;0),"",IF(AND(AD149=0,SUM(AD149:AJ149)=0),"",IF(AND(AD149=0,AE149&gt;0),"missing?",IF(AND(AD149=0,AJ149&gt;0),"missing?","new category"))))</f>
        <v/>
      </c>
      <c r="AL149" s="801"/>
      <c r="AM149" s="962"/>
      <c r="AN149" s="963"/>
      <c r="AO149" s="964"/>
      <c r="AP149" s="802">
        <f t="shared" ref="AP149:AP162" ca="1" si="174">IF(OR(+$AK149="missing?",+$AK149="new category"),"",IF($AE149=0,"",IF(SUM($AD149:$AJ149)=0,"",IFERROR((($AD149-$AE149)/$AE149),"N/A"))))</f>
        <v>-0.77738103352182431</v>
      </c>
      <c r="AQ149" s="765">
        <f t="shared" ref="AQ149:AQ162" ca="1" si="175">IF(OR(+$AK149="missing?",+$AK149="new category"),"",IF($AF149=0,"",IF(SUM($AD149:$AJ149)=0,"",IFERROR((($AD149-$AF149)/$AF149),"N/A"))))</f>
        <v>-0.68256483591914774</v>
      </c>
      <c r="AR149" s="765">
        <f t="shared" ref="AR149:AR162" ca="1" si="176">IF(OR(+$AK149="missing?",+$AK149="new category"),"",IF($AG149=0,"",IF(SUM($AD149:$AJ149)=0,"",IFERROR((($AD149-$AG149)/$AG149),"N/A"))))</f>
        <v>-0.7408620616371534</v>
      </c>
      <c r="AS149" s="765">
        <f t="shared" ref="AS149:AS162" ca="1" si="177">IF(OR(+$AK149="missing?",+$AK149="new category"),"",IF($AH149=0,"",IF(SUM($AD149:$AJ149)=0,"",IFERROR((($AD149-$AH149)/$AH149),"N/A"))))</f>
        <v>-0.75671252443716397</v>
      </c>
      <c r="AT149" s="907">
        <f ca="1">IF(OR(+$AK149="missing?",+$AK149="new category"),"",IF($AJ149=0,"",IF(SUM($AD149:$AJ149)=0,"",IFERROR((($AD149-$AJ149)/$AJ149),"N/A"))))</f>
        <v>-0.74377931695810351</v>
      </c>
      <c r="AU149" s="1068">
        <f t="shared" ref="AU149:AU157" ca="1" si="178">IF(MAX(IF(AP149&lt;0,-AP149,AP149),IF(AS149&lt;0,-AS149,AS149),IF(AT149&lt;0,-AT149,AT149))=0,"",MAX(IF(AP149&lt;0,-AP149,AP149),IF(AQ149&lt;0,-AQ149,AQ149),IF(AR149&lt;0,-AR149,AR149),IF(AS149&lt;0,-AS149,AS149),IF(AT149&lt;0,-AT149,AT149)))</f>
        <v>0.77738103352182431</v>
      </c>
      <c r="AV149" s="766" t="str">
        <f t="shared" ref="AV149:AV157" ca="1" si="179">IF(+AU149="","",IF(AU149&gt;$AO$3,"H",IF(AU149&gt;$AO$4,"M","")))</f>
        <v>H</v>
      </c>
      <c r="AW149" s="1395"/>
      <c r="AX149" s="1395"/>
      <c r="AY149" s="1395"/>
      <c r="AZ149" s="1068">
        <f ca="1">IF(OR(AD149=0,AD$162=0),IF(AND(AE149&gt;0,AE$162&gt;0), +AU149*AE149/AE$162, IF(AND(AJ149&gt;0,AJ$162&gt;0), +AU149*AJ149/AJ$162, "")), IF(AU149="", "", +AU149*AD149/AD$162))</f>
        <v>0.67157662144388297</v>
      </c>
      <c r="BA149" s="766" t="str">
        <f t="shared" ref="BA149:BA157" ca="1" si="180">IF(+AZ149="","",IF(AZ149&gt;$AO$3,"H",IF(AZ149&gt;$AO$4,"M","")))</f>
        <v>H</v>
      </c>
      <c r="BB149" s="762"/>
      <c r="BC149" s="758" t="str">
        <f ca="1">IF(CONCATENATE(AC149, "    ", IF(AL149="OK","",AK149),"    ",IF(AND(+BB149="",BA149="M"),"Value change with medium impact",IF(AND(BB149="",BA149="H"),"Value change with high impact",""))," ")="         ","",CONCATENATE(AC149, "    ", IF(AL149="OK","",AK149),"    ",IF(AND(+BB149="",BA149="M"),"Value change with medium impact",IF(AND(BB149="",BA149="H"),"Value change with high impact",""))," "))</f>
        <v xml:space="preserve">        Value change with high impact </v>
      </c>
    </row>
    <row r="150" spans="1:55" ht="13.5" customHeight="1" x14ac:dyDescent="0.3">
      <c r="A150" s="966" t="str">
        <f>'Q1'!B172</f>
        <v>waste reused externally  (excl. ICT waste)</v>
      </c>
      <c r="B150" s="908"/>
      <c r="C150" s="1179">
        <f t="shared" ca="1" si="162"/>
        <v>34.437230194091804</v>
      </c>
      <c r="D150" s="781">
        <f t="shared" ca="1" si="162"/>
        <v>192.63350514221099</v>
      </c>
      <c r="E150" s="769">
        <f t="shared" ca="1" si="162"/>
        <v>410.24924185660399</v>
      </c>
      <c r="F150" s="769">
        <f t="shared" ca="1" si="162"/>
        <v>294.07336717082563</v>
      </c>
      <c r="G150" s="769">
        <f t="shared" ca="1" si="162"/>
        <v>178.97343481827534</v>
      </c>
      <c r="H150" s="769">
        <f t="shared" ca="1" si="162"/>
        <v>1075.929548987916</v>
      </c>
      <c r="I150" s="967">
        <f t="shared" ca="1" si="163"/>
        <v>268.98238724697899</v>
      </c>
      <c r="J150" s="771" t="str">
        <f t="shared" ca="1" si="164"/>
        <v/>
      </c>
      <c r="K150" s="772"/>
      <c r="L150" s="968"/>
      <c r="M150" s="969"/>
      <c r="N150" s="970"/>
      <c r="O150" s="810">
        <f t="shared" ca="1" si="165"/>
        <v>-0.8212292811228834</v>
      </c>
      <c r="P150" s="783">
        <f t="shared" ca="1" si="166"/>
        <v>-0.91605778468171117</v>
      </c>
      <c r="Q150" s="783">
        <f t="shared" ca="1" si="167"/>
        <v>-0.88289578711122318</v>
      </c>
      <c r="R150" s="783">
        <f t="shared" ca="1" si="168"/>
        <v>-0.80758468300584163</v>
      </c>
      <c r="S150" s="811">
        <f t="shared" ca="1" si="169"/>
        <v>-0.87197217428785923</v>
      </c>
      <c r="T150" s="1069">
        <f t="shared" ca="1" si="170"/>
        <v>0.91605778468171117</v>
      </c>
      <c r="U150" s="1165" t="str">
        <f t="shared" ca="1" si="171"/>
        <v>H</v>
      </c>
      <c r="V150" s="1396"/>
      <c r="W150" s="1396"/>
      <c r="X150" s="1396"/>
      <c r="Y150" s="1069">
        <f t="shared" ref="Y150:Y157" ca="1" si="181">IF(OR(C150=0,C$162=0),IF(AND(D150&gt;0,D$162&gt;0), +T150*D150/D$162, IF(AND(I150&gt;0,I$162&gt;0), +T150*I150/I$162, "")), +T150*C150/C$162)</f>
        <v>2.3984173663405975E-3</v>
      </c>
      <c r="Z150" s="1165" t="str">
        <f t="shared" ca="1" si="172"/>
        <v/>
      </c>
      <c r="AA150" s="782"/>
      <c r="AB150" s="804" t="str">
        <f t="shared" ref="AB150:AB156" ca="1" si="182">IF(CONCATENATE(IF(K150="OK","",J150),"    ",IF(AND(+AA150="",Z150="M"),"Value change with medium impact",IF(AND(AA150="",Z150="H"),"Value change with high impact",""))," ")="     ","",CONCATENATE(IF(K150="OK","",J150),"    ",IF(AND(+AA150="",Z150="M"),"Value change with medium impact",IF(AND(AA150="",Z150="H"),"Value change with high impact",""))," "))</f>
        <v/>
      </c>
      <c r="AC150" s="971" t="str">
        <f t="shared" ref="AC150:AC157" ca="1" si="183">IF(AD150&gt;C150,"Offices only&gt;Total Estate","")</f>
        <v/>
      </c>
      <c r="AD150" s="1179">
        <f t="shared" ca="1" si="173"/>
        <v>0</v>
      </c>
      <c r="AE150" s="806">
        <f t="shared" ca="1" si="173"/>
        <v>4</v>
      </c>
      <c r="AF150" s="749">
        <f t="shared" ca="1" si="173"/>
        <v>0</v>
      </c>
      <c r="AG150" s="749">
        <f t="shared" ca="1" si="173"/>
        <v>0</v>
      </c>
      <c r="AH150" s="749">
        <f t="shared" ca="1" si="173"/>
        <v>0</v>
      </c>
      <c r="AI150" s="749">
        <f t="shared" ca="1" si="173"/>
        <v>4</v>
      </c>
      <c r="AJ150" s="972">
        <f t="shared" ref="AJ150:AJ162" ca="1" si="184">AI150/4</f>
        <v>1</v>
      </c>
      <c r="AK150" s="973" t="str">
        <f t="shared" ref="AK150:AK157" ca="1" si="185">IF(AND(AD150&gt;0,SUM(AE150:AJ150)&gt;0),"",IF(AND(AD150=0,SUM(AD150:AJ150)=0),"",IF(AND(AD150=0,AE150&gt;0),"missing?",IF(AND(AD150=0,AJ150&gt;0),"missing?","new category"))))</f>
        <v>missing?</v>
      </c>
      <c r="AL150" s="772"/>
      <c r="AM150" s="968"/>
      <c r="AN150" s="969"/>
      <c r="AO150" s="970"/>
      <c r="AP150" s="755" t="str">
        <f t="shared" ca="1" si="174"/>
        <v/>
      </c>
      <c r="AQ150" s="808" t="str">
        <f t="shared" ca="1" si="175"/>
        <v/>
      </c>
      <c r="AR150" s="808" t="str">
        <f t="shared" ca="1" si="176"/>
        <v/>
      </c>
      <c r="AS150" s="808" t="str">
        <f t="shared" ca="1" si="177"/>
        <v/>
      </c>
      <c r="AT150" s="974" t="str">
        <f t="shared" ref="AT150:AT162" ca="1" si="186">IF(OR(+$AK150="missing?",+$AK150="new category"),"",IF($AJ150=0,"",IF(SUM($AD150:$AJ150)=0,"",IFERROR((($AD150-$AJ150)/$AJ150),"N/A"))))</f>
        <v/>
      </c>
      <c r="AU150" s="1069" t="str">
        <f t="shared" ca="1" si="178"/>
        <v/>
      </c>
      <c r="AV150" s="1165" t="str">
        <f t="shared" ca="1" si="179"/>
        <v/>
      </c>
      <c r="AW150" s="1396"/>
      <c r="AX150" s="1396"/>
      <c r="AY150" s="1396"/>
      <c r="AZ150" s="1069" t="e">
        <f t="shared" ref="AZ150:AZ161" ca="1" si="187">IF(OR(AD150=0,AD$162=0),IF(AND(AE150&gt;0,AE$162&gt;0), +AU150*AE150/AE$162, IF(AND(AJ150&gt;0,AJ$162&gt;0), +AU150*AJ150/AJ$162, "")), IF(AU150="", "", +AU150*AD150/AD$162))</f>
        <v>#VALUE!</v>
      </c>
      <c r="BA150" s="1165" t="e">
        <f t="shared" ca="1" si="180"/>
        <v>#VALUE!</v>
      </c>
      <c r="BB150" s="782"/>
      <c r="BC150" s="804" t="e">
        <f t="shared" ref="BC150:BC161" ca="1" si="188">IF(CONCATENATE(AC150, "    ", IF(AL150="OK","",AK150),"    ",IF(AND(+BB150="",BA150="M"),"Value change with medium impact",IF(AND(BB150="",BA150="H"),"Value change with high impact",""))," ")="         ","",CONCATENATE(AC150, "    ", IF(AL150="OK","",AK150),"    ",IF(AND(+BB150="",BA150="M"),"Value change with medium impact",IF(AND(BB150="",BA150="H"),"Value change with high impact",""))," "))</f>
        <v>#VALUE!</v>
      </c>
    </row>
    <row r="151" spans="1:55" ht="13.5" customHeight="1" x14ac:dyDescent="0.3">
      <c r="A151" s="966" t="str">
        <f>'Q1'!B173</f>
        <v>ICT waste recycled externally</v>
      </c>
      <c r="B151" s="908"/>
      <c r="C151" s="1179">
        <f t="shared" ca="1" si="162"/>
        <v>2.3051999511718799</v>
      </c>
      <c r="D151" s="781">
        <f t="shared" ca="1" si="162"/>
        <v>7.766</v>
      </c>
      <c r="E151" s="769">
        <f t="shared" ca="1" si="162"/>
        <v>8.1000000000000003E-2</v>
      </c>
      <c r="F151" s="769">
        <f t="shared" ca="1" si="162"/>
        <v>0.84170000076293938</v>
      </c>
      <c r="G151" s="769">
        <f t="shared" ca="1" si="162"/>
        <v>1.3125</v>
      </c>
      <c r="H151" s="769">
        <f t="shared" ca="1" si="162"/>
        <v>10.001200000762939</v>
      </c>
      <c r="I151" s="967">
        <f t="shared" ca="1" si="163"/>
        <v>2.5003000001907347</v>
      </c>
      <c r="J151" s="771" t="str">
        <f t="shared" ca="1" si="164"/>
        <v/>
      </c>
      <c r="K151" s="772"/>
      <c r="L151" s="968"/>
      <c r="M151" s="969"/>
      <c r="N151" s="1203"/>
      <c r="O151" s="810">
        <f t="shared" ca="1" si="165"/>
        <v>-0.70316766016329124</v>
      </c>
      <c r="P151" s="783">
        <f t="shared" ca="1" si="166"/>
        <v>27.459258656442962</v>
      </c>
      <c r="Q151" s="783">
        <f t="shared" ca="1" si="167"/>
        <v>1.7387429595846324</v>
      </c>
      <c r="R151" s="783">
        <f t="shared" ca="1" si="168"/>
        <v>0.75634281994047992</v>
      </c>
      <c r="S151" s="811">
        <f t="shared" ca="1" si="169"/>
        <v>-7.8030655922877917E-2</v>
      </c>
      <c r="T151" s="1069">
        <f t="shared" ca="1" si="170"/>
        <v>27.459258656442962</v>
      </c>
      <c r="U151" s="1165" t="str">
        <f t="shared" ca="1" si="171"/>
        <v>H</v>
      </c>
      <c r="V151" s="1396"/>
      <c r="W151" s="1396"/>
      <c r="X151" s="1396"/>
      <c r="Y151" s="1069">
        <f t="shared" ca="1" si="181"/>
        <v>4.8125038117049993E-3</v>
      </c>
      <c r="Z151" s="1165" t="str">
        <f t="shared" ca="1" si="172"/>
        <v/>
      </c>
      <c r="AA151" s="782"/>
      <c r="AB151" s="804" t="str">
        <f t="shared" ca="1" si="182"/>
        <v/>
      </c>
      <c r="AC151" s="971" t="str">
        <f t="shared" ca="1" si="183"/>
        <v/>
      </c>
      <c r="AD151" s="1179">
        <f t="shared" ca="1" si="173"/>
        <v>1.11719995117188</v>
      </c>
      <c r="AE151" s="806">
        <f t="shared" ca="1" si="173"/>
        <v>7.7</v>
      </c>
      <c r="AF151" s="749">
        <f t="shared" ca="1" si="173"/>
        <v>0</v>
      </c>
      <c r="AG151" s="749">
        <f t="shared" ca="1" si="173"/>
        <v>1.8700000762939498E-2</v>
      </c>
      <c r="AH151" s="749">
        <f t="shared" ca="1" si="173"/>
        <v>0</v>
      </c>
      <c r="AI151" s="749">
        <f t="shared" ca="1" si="173"/>
        <v>7.71870000076294</v>
      </c>
      <c r="AJ151" s="972">
        <f t="shared" ca="1" si="184"/>
        <v>1.929675000190735</v>
      </c>
      <c r="AK151" s="973" t="str">
        <f ca="1">IF(AND(AD151&gt;0,SUM(AE151:AJ151)&gt;0),"",IF(AND(AD151=0,SUM(AD151:AJ151)=0),"",IF(AND(AD151=0,AE151&gt;0),"missing?",IF(AND(AD151=0,AJ151&gt;0),"missing?","new category"))))</f>
        <v/>
      </c>
      <c r="AL151" s="772"/>
      <c r="AM151" s="968"/>
      <c r="AN151" s="969"/>
      <c r="AO151" s="970"/>
      <c r="AP151" s="755">
        <f ca="1">IF(OR(+$AK151="missing?",+$AK151="new category"),"",IF($AE151=0,"",IF(SUM($AD151:$AJ151)=0,"",IFERROR((($AD151-$AE151)/$AE151),"N/A"))))</f>
        <v>-0.8549090972504052</v>
      </c>
      <c r="AQ151" s="808" t="str">
        <f t="shared" ca="1" si="175"/>
        <v/>
      </c>
      <c r="AR151" s="808">
        <f t="shared" ca="1" si="176"/>
        <v>58.743310459430418</v>
      </c>
      <c r="AS151" s="808" t="str">
        <f t="shared" ca="1" si="177"/>
        <v/>
      </c>
      <c r="AT151" s="974">
        <f t="shared" ca="1" si="186"/>
        <v>-0.42104242887457605</v>
      </c>
      <c r="AU151" s="1069">
        <f t="shared" ca="1" si="178"/>
        <v>58.743310459430418</v>
      </c>
      <c r="AV151" s="1165" t="str">
        <f t="shared" ca="1" si="179"/>
        <v>H</v>
      </c>
      <c r="AW151" s="1396"/>
      <c r="AX151" s="1396"/>
      <c r="AY151" s="1396"/>
      <c r="AZ151" s="1069">
        <f t="shared" ca="1" si="187"/>
        <v>0.57378614186027099</v>
      </c>
      <c r="BA151" s="1165" t="str">
        <f t="shared" ca="1" si="180"/>
        <v>H</v>
      </c>
      <c r="BB151" s="782"/>
      <c r="BC151" s="804" t="str">
        <f ca="1">IF(CONCATENATE(AC151, "    ", IF(AL151="OK","",AK151),"    ",IF(AND(+BB151="",BA151="M"),"Value change with medium impact",IF(AND(BB151="",BA151="H"),"Value change with high impact",""))," ")="         ","",CONCATENATE(AC151, "    ", IF(AL151="OK","",AK151),"    ",IF(AND(+BB151="",BA151="M"),"Value change with medium impact",IF(AND(BB151="",BA151="H"),"Value change with high impact",""))," "))</f>
        <v xml:space="preserve">        Value change with high impact </v>
      </c>
    </row>
    <row r="152" spans="1:55" ht="13.5" customHeight="1" x14ac:dyDescent="0.3">
      <c r="A152" s="966" t="str">
        <f>'Q1'!B174</f>
        <v>ICT waste reused externally</v>
      </c>
      <c r="B152" s="908"/>
      <c r="C152" s="1179">
        <f t="shared" ca="1" si="162"/>
        <v>0</v>
      </c>
      <c r="D152" s="781">
        <f t="shared" ca="1" si="162"/>
        <v>0</v>
      </c>
      <c r="E152" s="769">
        <f t="shared" ca="1" si="162"/>
        <v>0</v>
      </c>
      <c r="F152" s="769">
        <f t="shared" ca="1" si="162"/>
        <v>0</v>
      </c>
      <c r="G152" s="769">
        <f t="shared" ca="1" si="162"/>
        <v>0</v>
      </c>
      <c r="H152" s="769">
        <f t="shared" ca="1" si="162"/>
        <v>0</v>
      </c>
      <c r="I152" s="967">
        <f t="shared" ca="1" si="163"/>
        <v>0</v>
      </c>
      <c r="J152" s="771" t="str">
        <f t="shared" ca="1" si="164"/>
        <v/>
      </c>
      <c r="K152" s="772"/>
      <c r="L152" s="968"/>
      <c r="M152" s="969"/>
      <c r="N152" s="1203"/>
      <c r="O152" s="810" t="str">
        <f t="shared" ca="1" si="165"/>
        <v/>
      </c>
      <c r="P152" s="783" t="str">
        <f t="shared" ca="1" si="166"/>
        <v/>
      </c>
      <c r="Q152" s="783" t="str">
        <f t="shared" ca="1" si="167"/>
        <v/>
      </c>
      <c r="R152" s="783" t="str">
        <f t="shared" ca="1" si="168"/>
        <v/>
      </c>
      <c r="S152" s="811" t="str">
        <f t="shared" ca="1" si="169"/>
        <v/>
      </c>
      <c r="T152" s="1069" t="str">
        <f t="shared" ca="1" si="170"/>
        <v/>
      </c>
      <c r="U152" s="1165" t="str">
        <f t="shared" ca="1" si="171"/>
        <v/>
      </c>
      <c r="V152" s="1396"/>
      <c r="W152" s="1396"/>
      <c r="X152" s="1396"/>
      <c r="Y152" s="1069" t="str">
        <f t="shared" ca="1" si="181"/>
        <v/>
      </c>
      <c r="Z152" s="1165" t="str">
        <f t="shared" ca="1" si="172"/>
        <v/>
      </c>
      <c r="AA152" s="782"/>
      <c r="AB152" s="804" t="str">
        <f t="shared" ca="1" si="182"/>
        <v/>
      </c>
      <c r="AC152" s="971" t="str">
        <f t="shared" ca="1" si="183"/>
        <v/>
      </c>
      <c r="AD152" s="1179">
        <f t="shared" ca="1" si="173"/>
        <v>0</v>
      </c>
      <c r="AE152" s="806">
        <f t="shared" ca="1" si="173"/>
        <v>0</v>
      </c>
      <c r="AF152" s="749">
        <f t="shared" ca="1" si="173"/>
        <v>0</v>
      </c>
      <c r="AG152" s="749">
        <f t="shared" ca="1" si="173"/>
        <v>0</v>
      </c>
      <c r="AH152" s="749">
        <f t="shared" ca="1" si="173"/>
        <v>0</v>
      </c>
      <c r="AI152" s="749">
        <f t="shared" ca="1" si="173"/>
        <v>0</v>
      </c>
      <c r="AJ152" s="972">
        <f t="shared" ca="1" si="184"/>
        <v>0</v>
      </c>
      <c r="AK152" s="973" t="str">
        <f t="shared" ca="1" si="185"/>
        <v/>
      </c>
      <c r="AL152" s="772"/>
      <c r="AM152" s="968"/>
      <c r="AN152" s="969"/>
      <c r="AO152" s="970"/>
      <c r="AP152" s="755" t="str">
        <f t="shared" ca="1" si="174"/>
        <v/>
      </c>
      <c r="AQ152" s="808" t="str">
        <f t="shared" ca="1" si="175"/>
        <v/>
      </c>
      <c r="AR152" s="808" t="str">
        <f t="shared" ca="1" si="176"/>
        <v/>
      </c>
      <c r="AS152" s="808" t="str">
        <f t="shared" ca="1" si="177"/>
        <v/>
      </c>
      <c r="AT152" s="974" t="str">
        <f t="shared" ca="1" si="186"/>
        <v/>
      </c>
      <c r="AU152" s="1069" t="str">
        <f t="shared" ca="1" si="178"/>
        <v/>
      </c>
      <c r="AV152" s="1165" t="str">
        <f t="shared" ca="1" si="179"/>
        <v/>
      </c>
      <c r="AW152" s="1396"/>
      <c r="AX152" s="1396"/>
      <c r="AY152" s="1396"/>
      <c r="AZ152" s="1069" t="str">
        <f t="shared" ca="1" si="187"/>
        <v/>
      </c>
      <c r="BA152" s="1165" t="str">
        <f t="shared" ca="1" si="180"/>
        <v/>
      </c>
      <c r="BB152" s="782"/>
      <c r="BC152" s="804" t="str">
        <f t="shared" ca="1" si="188"/>
        <v/>
      </c>
    </row>
    <row r="153" spans="1:55" ht="13.5" customHeight="1" x14ac:dyDescent="0.3">
      <c r="A153" s="966" t="str">
        <f>'Q1'!B175</f>
        <v>ICT waste - other (please describe and explain)</v>
      </c>
      <c r="B153" s="908"/>
      <c r="C153" s="1179">
        <f t="shared" ca="1" si="162"/>
        <v>0</v>
      </c>
      <c r="D153" s="781">
        <f t="shared" ca="1" si="162"/>
        <v>0</v>
      </c>
      <c r="E153" s="769">
        <f t="shared" ca="1" si="162"/>
        <v>0</v>
      </c>
      <c r="F153" s="769">
        <f t="shared" ca="1" si="162"/>
        <v>0</v>
      </c>
      <c r="G153" s="769">
        <f t="shared" ca="1" si="162"/>
        <v>0</v>
      </c>
      <c r="H153" s="769">
        <f t="shared" ca="1" si="162"/>
        <v>0</v>
      </c>
      <c r="I153" s="967">
        <f t="shared" ca="1" si="163"/>
        <v>0</v>
      </c>
      <c r="J153" s="771" t="str">
        <f t="shared" ca="1" si="164"/>
        <v/>
      </c>
      <c r="K153" s="772"/>
      <c r="L153" s="968"/>
      <c r="M153" s="969"/>
      <c r="N153" s="1203"/>
      <c r="O153" s="810" t="str">
        <f t="shared" ca="1" si="165"/>
        <v/>
      </c>
      <c r="P153" s="783" t="str">
        <f t="shared" ca="1" si="166"/>
        <v/>
      </c>
      <c r="Q153" s="783" t="str">
        <f t="shared" ca="1" si="167"/>
        <v/>
      </c>
      <c r="R153" s="783" t="str">
        <f t="shared" ca="1" si="168"/>
        <v/>
      </c>
      <c r="S153" s="811" t="str">
        <f t="shared" ca="1" si="169"/>
        <v/>
      </c>
      <c r="T153" s="1069" t="str">
        <f t="shared" ca="1" si="170"/>
        <v/>
      </c>
      <c r="U153" s="1165" t="str">
        <f t="shared" ca="1" si="171"/>
        <v/>
      </c>
      <c r="V153" s="1396"/>
      <c r="W153" s="1396"/>
      <c r="X153" s="1396"/>
      <c r="Y153" s="1069" t="str">
        <f t="shared" ca="1" si="181"/>
        <v/>
      </c>
      <c r="Z153" s="1165" t="str">
        <f t="shared" ca="1" si="172"/>
        <v/>
      </c>
      <c r="AA153" s="782"/>
      <c r="AB153" s="804" t="str">
        <f t="shared" ca="1" si="182"/>
        <v/>
      </c>
      <c r="AC153" s="971" t="str">
        <f t="shared" ca="1" si="183"/>
        <v/>
      </c>
      <c r="AD153" s="1179">
        <f t="shared" ca="1" si="173"/>
        <v>0</v>
      </c>
      <c r="AE153" s="806">
        <f t="shared" ca="1" si="173"/>
        <v>0</v>
      </c>
      <c r="AF153" s="749">
        <f t="shared" ca="1" si="173"/>
        <v>0</v>
      </c>
      <c r="AG153" s="749">
        <f t="shared" ca="1" si="173"/>
        <v>0</v>
      </c>
      <c r="AH153" s="749">
        <f t="shared" ca="1" si="173"/>
        <v>0</v>
      </c>
      <c r="AI153" s="749">
        <f t="shared" ca="1" si="173"/>
        <v>0</v>
      </c>
      <c r="AJ153" s="972">
        <f t="shared" ca="1" si="184"/>
        <v>0</v>
      </c>
      <c r="AK153" s="973" t="str">
        <f t="shared" ca="1" si="185"/>
        <v/>
      </c>
      <c r="AL153" s="772"/>
      <c r="AM153" s="968"/>
      <c r="AN153" s="969"/>
      <c r="AO153" s="970"/>
      <c r="AP153" s="755" t="str">
        <f t="shared" ca="1" si="174"/>
        <v/>
      </c>
      <c r="AQ153" s="808" t="str">
        <f t="shared" ca="1" si="175"/>
        <v/>
      </c>
      <c r="AR153" s="808" t="str">
        <f t="shared" ca="1" si="176"/>
        <v/>
      </c>
      <c r="AS153" s="808" t="str">
        <f t="shared" ca="1" si="177"/>
        <v/>
      </c>
      <c r="AT153" s="974" t="str">
        <f t="shared" ca="1" si="186"/>
        <v/>
      </c>
      <c r="AU153" s="1069" t="str">
        <f t="shared" ca="1" si="178"/>
        <v/>
      </c>
      <c r="AV153" s="1165" t="str">
        <f t="shared" ca="1" si="179"/>
        <v/>
      </c>
      <c r="AW153" s="1396"/>
      <c r="AX153" s="1396"/>
      <c r="AY153" s="1396"/>
      <c r="AZ153" s="1069" t="str">
        <f t="shared" ca="1" si="187"/>
        <v/>
      </c>
      <c r="BA153" s="1165" t="str">
        <f t="shared" ca="1" si="180"/>
        <v/>
      </c>
      <c r="BB153" s="782"/>
      <c r="BC153" s="804" t="str">
        <f t="shared" ca="1" si="188"/>
        <v/>
      </c>
    </row>
    <row r="154" spans="1:55" ht="13.5" customHeight="1" x14ac:dyDescent="0.3">
      <c r="A154" s="966" t="str">
        <f>'Q1'!B176</f>
        <v>Waste composted or sent to anaerobic digestion</v>
      </c>
      <c r="B154" s="908"/>
      <c r="C154" s="1179">
        <f t="shared" ca="1" si="162"/>
        <v>747.00797580645099</v>
      </c>
      <c r="D154" s="781">
        <f t="shared" ca="1" si="162"/>
        <v>663.91750000000002</v>
      </c>
      <c r="E154" s="769">
        <f t="shared" ca="1" si="162"/>
        <v>670.14179040354395</v>
      </c>
      <c r="F154" s="769">
        <f t="shared" ca="1" si="162"/>
        <v>666.94637499999988</v>
      </c>
      <c r="G154" s="769">
        <f t="shared" ca="1" si="162"/>
        <v>543.67475000000002</v>
      </c>
      <c r="H154" s="769">
        <f t="shared" ca="1" si="162"/>
        <v>2544.680415403544</v>
      </c>
      <c r="I154" s="967">
        <f t="shared" ca="1" si="163"/>
        <v>636.17010385088599</v>
      </c>
      <c r="J154" s="771" t="str">
        <f t="shared" ca="1" si="164"/>
        <v/>
      </c>
      <c r="K154" s="772"/>
      <c r="L154" s="968"/>
      <c r="M154" s="969"/>
      <c r="N154" s="970"/>
      <c r="O154" s="810">
        <f t="shared" ca="1" si="165"/>
        <v>0.1251518084798954</v>
      </c>
      <c r="P154" s="783">
        <f t="shared" ca="1" si="166"/>
        <v>0.11470137589333146</v>
      </c>
      <c r="Q154" s="783">
        <f t="shared" ca="1" si="167"/>
        <v>0.12004203607291684</v>
      </c>
      <c r="R154" s="783">
        <f t="shared" ca="1" si="168"/>
        <v>0.37399792027577328</v>
      </c>
      <c r="S154" s="811">
        <f t="shared" ca="1" si="169"/>
        <v>0.17422678507625164</v>
      </c>
      <c r="T154" s="1069">
        <f t="shared" ca="1" si="170"/>
        <v>0.37399792027577328</v>
      </c>
      <c r="U154" s="1165" t="str">
        <f t="shared" ca="1" si="171"/>
        <v>H</v>
      </c>
      <c r="V154" s="1396"/>
      <c r="W154" s="1396"/>
      <c r="X154" s="1396"/>
      <c r="Y154" s="1069">
        <f t="shared" ca="1" si="181"/>
        <v>2.1240664673177524E-2</v>
      </c>
      <c r="Z154" s="1165" t="str">
        <f t="shared" ca="1" si="172"/>
        <v/>
      </c>
      <c r="AA154" s="782"/>
      <c r="AB154" s="804" t="str">
        <f ca="1">IF(CONCATENATE(IF(K154="OK","",J154),"    ",IF(AND(+AA154="",Z154="M"),"Value change with medium impact",IF(AND(AA154="",Z154="H"),"Value change with high impact",""))," ")="     ","",CONCATENATE(IF(K154="OK","",J154),"    ",IF(AND(+AA154="",Z154="M"),"Value change with medium impact",IF(AND(AA154="",Z154="H"),"Value change with high impact",""))," "))</f>
        <v/>
      </c>
      <c r="AC154" s="971" t="str">
        <f t="shared" ca="1" si="183"/>
        <v/>
      </c>
      <c r="AD154" s="1179">
        <f t="shared" ca="1" si="173"/>
        <v>5.9287499999999902</v>
      </c>
      <c r="AE154" s="806">
        <f t="shared" ca="1" si="173"/>
        <v>0</v>
      </c>
      <c r="AF154" s="749">
        <f t="shared" ca="1" si="173"/>
        <v>10.0823475271756</v>
      </c>
      <c r="AG154" s="749">
        <f t="shared" ca="1" si="173"/>
        <v>19.524374999999999</v>
      </c>
      <c r="AH154" s="749">
        <f t="shared" ca="1" si="173"/>
        <v>18.556000000000001</v>
      </c>
      <c r="AI154" s="749">
        <f t="shared" ca="1" si="173"/>
        <v>48.162722527175603</v>
      </c>
      <c r="AJ154" s="972">
        <f t="shared" ca="1" si="184"/>
        <v>12.040680631793901</v>
      </c>
      <c r="AK154" s="973" t="str">
        <f t="shared" ca="1" si="185"/>
        <v/>
      </c>
      <c r="AL154" s="772"/>
      <c r="AM154" s="968"/>
      <c r="AN154" s="969"/>
      <c r="AO154" s="970"/>
      <c r="AP154" s="755" t="str">
        <f t="shared" ca="1" si="174"/>
        <v/>
      </c>
      <c r="AQ154" s="808">
        <f t="shared" ca="1" si="175"/>
        <v>-0.41196730384269642</v>
      </c>
      <c r="AR154" s="808">
        <f t="shared" ca="1" si="176"/>
        <v>-0.69634111207144966</v>
      </c>
      <c r="AS154" s="808">
        <f t="shared" ca="1" si="177"/>
        <v>-0.68049417978012561</v>
      </c>
      <c r="AT154" s="974">
        <f t="shared" ca="1" si="186"/>
        <v>-0.50760673907877862</v>
      </c>
      <c r="AU154" s="1069">
        <f t="shared" ca="1" si="178"/>
        <v>0.69634111207144966</v>
      </c>
      <c r="AV154" s="1165" t="str">
        <f t="shared" ca="1" si="179"/>
        <v>H</v>
      </c>
      <c r="AW154" s="1396"/>
      <c r="AX154" s="1396"/>
      <c r="AY154" s="1396"/>
      <c r="AZ154" s="1069">
        <f t="shared" ca="1" si="187"/>
        <v>3.6094905062916537E-2</v>
      </c>
      <c r="BA154" s="1165" t="str">
        <f t="shared" ca="1" si="180"/>
        <v/>
      </c>
      <c r="BB154" s="782"/>
      <c r="BC154" s="804" t="str">
        <f t="shared" ca="1" si="188"/>
        <v/>
      </c>
    </row>
    <row r="155" spans="1:55" ht="13.5" customHeight="1" x14ac:dyDescent="0.3">
      <c r="A155" s="966" t="str">
        <f>'Q1'!B177</f>
        <v>Waste incinerated with energy recovery</v>
      </c>
      <c r="B155" s="908"/>
      <c r="C155" s="1179">
        <f t="shared" ca="1" si="162"/>
        <v>1822.28682709912</v>
      </c>
      <c r="D155" s="781">
        <f t="shared" ca="1" si="162"/>
        <v>1931.62825443829</v>
      </c>
      <c r="E155" s="769">
        <f t="shared" ca="1" si="162"/>
        <v>1781.3726693828835</v>
      </c>
      <c r="F155" s="769">
        <f t="shared" ca="1" si="162"/>
        <v>1439.1987893349501</v>
      </c>
      <c r="G155" s="769">
        <f t="shared" ca="1" si="162"/>
        <v>1718.9902080782299</v>
      </c>
      <c r="H155" s="769">
        <f t="shared" ca="1" si="162"/>
        <v>6871.1899212343542</v>
      </c>
      <c r="I155" s="967">
        <f t="shared" ca="1" si="163"/>
        <v>1717.7974803085885</v>
      </c>
      <c r="J155" s="771" t="str">
        <f t="shared" ca="1" si="164"/>
        <v/>
      </c>
      <c r="K155" s="772"/>
      <c r="L155" s="968"/>
      <c r="M155" s="969"/>
      <c r="N155" s="970"/>
      <c r="O155" s="810">
        <f t="shared" ca="1" si="165"/>
        <v>-5.6605833491996639E-2</v>
      </c>
      <c r="P155" s="783">
        <f t="shared" ca="1" si="166"/>
        <v>2.2967769978423633E-2</v>
      </c>
      <c r="Q155" s="783">
        <f t="shared" ca="1" si="167"/>
        <v>0.26618146193771736</v>
      </c>
      <c r="R155" s="783">
        <f t="shared" ca="1" si="168"/>
        <v>6.0091452839846078E-2</v>
      </c>
      <c r="S155" s="811">
        <f t="shared" ca="1" si="169"/>
        <v>6.0827511967103842E-2</v>
      </c>
      <c r="T155" s="1069">
        <f t="shared" ca="1" si="170"/>
        <v>0.26618146193771736</v>
      </c>
      <c r="U155" s="1165" t="str">
        <f t="shared" ca="1" si="171"/>
        <v>H</v>
      </c>
      <c r="V155" s="1396"/>
      <c r="W155" s="1396"/>
      <c r="X155" s="1396"/>
      <c r="Y155" s="1069">
        <f t="shared" ca="1" si="181"/>
        <v>3.6878072904555165E-2</v>
      </c>
      <c r="Z155" s="1165" t="str">
        <f t="shared" ca="1" si="172"/>
        <v/>
      </c>
      <c r="AA155" s="782"/>
      <c r="AB155" s="804" t="str">
        <f t="shared" ca="1" si="182"/>
        <v/>
      </c>
      <c r="AC155" s="971" t="str">
        <f t="shared" ca="1" si="183"/>
        <v/>
      </c>
      <c r="AD155" s="1179">
        <f t="shared" ca="1" si="173"/>
        <v>2</v>
      </c>
      <c r="AE155" s="806">
        <f t="shared" ca="1" si="173"/>
        <v>0</v>
      </c>
      <c r="AF155" s="749">
        <f t="shared" ca="1" si="173"/>
        <v>0</v>
      </c>
      <c r="AG155" s="749">
        <f t="shared" ca="1" si="173"/>
        <v>0</v>
      </c>
      <c r="AH155" s="749">
        <f t="shared" ca="1" si="173"/>
        <v>0</v>
      </c>
      <c r="AI155" s="749">
        <f t="shared" ca="1" si="173"/>
        <v>0</v>
      </c>
      <c r="AJ155" s="972">
        <f t="shared" ca="1" si="184"/>
        <v>0</v>
      </c>
      <c r="AK155" s="973" t="str">
        <f t="shared" ca="1" si="185"/>
        <v>new category</v>
      </c>
      <c r="AL155" s="772"/>
      <c r="AM155" s="968"/>
      <c r="AN155" s="969"/>
      <c r="AO155" s="970"/>
      <c r="AP155" s="755" t="str">
        <f t="shared" ca="1" si="174"/>
        <v/>
      </c>
      <c r="AQ155" s="808" t="str">
        <f t="shared" ca="1" si="175"/>
        <v/>
      </c>
      <c r="AR155" s="808" t="str">
        <f t="shared" ca="1" si="176"/>
        <v/>
      </c>
      <c r="AS155" s="808" t="str">
        <f t="shared" ca="1" si="177"/>
        <v/>
      </c>
      <c r="AT155" s="974" t="str">
        <f t="shared" ca="1" si="186"/>
        <v/>
      </c>
      <c r="AU155" s="1069" t="str">
        <f t="shared" ca="1" si="178"/>
        <v/>
      </c>
      <c r="AV155" s="1165" t="str">
        <f t="shared" ca="1" si="179"/>
        <v/>
      </c>
      <c r="AW155" s="1396"/>
      <c r="AX155" s="1396"/>
      <c r="AY155" s="1396"/>
      <c r="AZ155" s="1069" t="str">
        <f t="shared" ca="1" si="187"/>
        <v/>
      </c>
      <c r="BA155" s="1165" t="str">
        <f t="shared" ca="1" si="180"/>
        <v/>
      </c>
      <c r="BB155" s="782"/>
      <c r="BC155" s="804" t="str">
        <f t="shared" ca="1" si="188"/>
        <v xml:space="preserve">    new category     </v>
      </c>
    </row>
    <row r="156" spans="1:55" ht="13.5" customHeight="1" x14ac:dyDescent="0.3">
      <c r="A156" s="966" t="str">
        <f>'Q1'!B178</f>
        <v>Waste incinerated without energy recovery</v>
      </c>
      <c r="B156" s="908"/>
      <c r="C156" s="1179">
        <f t="shared" ca="1" si="162"/>
        <v>0</v>
      </c>
      <c r="D156" s="781">
        <f t="shared" ca="1" si="162"/>
        <v>0</v>
      </c>
      <c r="E156" s="769">
        <f t="shared" ca="1" si="162"/>
        <v>4.0000000000000001E-3</v>
      </c>
      <c r="F156" s="769">
        <f t="shared" ca="1" si="162"/>
        <v>0</v>
      </c>
      <c r="G156" s="769">
        <f t="shared" ca="1" si="162"/>
        <v>0</v>
      </c>
      <c r="H156" s="769">
        <f t="shared" ca="1" si="162"/>
        <v>4.0000000000000001E-3</v>
      </c>
      <c r="I156" s="967">
        <f t="shared" ca="1" si="163"/>
        <v>1E-3</v>
      </c>
      <c r="J156" s="771" t="str">
        <f t="shared" ca="1" si="164"/>
        <v>Missing value?</v>
      </c>
      <c r="K156" s="772"/>
      <c r="L156" s="968"/>
      <c r="M156" s="969"/>
      <c r="N156" s="970"/>
      <c r="O156" s="810" t="str">
        <f t="shared" ca="1" si="165"/>
        <v/>
      </c>
      <c r="P156" s="783">
        <f t="shared" ca="1" si="166"/>
        <v>-1</v>
      </c>
      <c r="Q156" s="783" t="str">
        <f t="shared" ca="1" si="167"/>
        <v/>
      </c>
      <c r="R156" s="783" t="str">
        <f t="shared" ca="1" si="168"/>
        <v/>
      </c>
      <c r="S156" s="811">
        <f t="shared" ca="1" si="169"/>
        <v>-1</v>
      </c>
      <c r="T156" s="1069">
        <f t="shared" ca="1" si="170"/>
        <v>1</v>
      </c>
      <c r="U156" s="1165" t="str">
        <f t="shared" ca="1" si="171"/>
        <v>H</v>
      </c>
      <c r="V156" s="1396"/>
      <c r="W156" s="1396"/>
      <c r="X156" s="1396"/>
      <c r="Y156" s="1069">
        <f t="shared" ca="1" si="181"/>
        <v>7.9448004618128142E-8</v>
      </c>
      <c r="Z156" s="1165" t="str">
        <f t="shared" ca="1" si="172"/>
        <v/>
      </c>
      <c r="AA156" s="782"/>
      <c r="AB156" s="804" t="str">
        <f t="shared" ca="1" si="182"/>
        <v xml:space="preserve">Missing value?     </v>
      </c>
      <c r="AC156" s="971" t="str">
        <f t="shared" ca="1" si="183"/>
        <v/>
      </c>
      <c r="AD156" s="1179">
        <f t="shared" ca="1" si="173"/>
        <v>0</v>
      </c>
      <c r="AE156" s="806">
        <f t="shared" ca="1" si="173"/>
        <v>0</v>
      </c>
      <c r="AF156" s="749">
        <f t="shared" ca="1" si="173"/>
        <v>0</v>
      </c>
      <c r="AG156" s="749">
        <f t="shared" ca="1" si="173"/>
        <v>0</v>
      </c>
      <c r="AH156" s="749">
        <f t="shared" ca="1" si="173"/>
        <v>0</v>
      </c>
      <c r="AI156" s="749">
        <f t="shared" ca="1" si="173"/>
        <v>0</v>
      </c>
      <c r="AJ156" s="972">
        <f t="shared" ca="1" si="184"/>
        <v>0</v>
      </c>
      <c r="AK156" s="973" t="str">
        <f t="shared" ca="1" si="185"/>
        <v/>
      </c>
      <c r="AL156" s="772"/>
      <c r="AM156" s="968"/>
      <c r="AN156" s="969"/>
      <c r="AO156" s="970"/>
      <c r="AP156" s="755" t="str">
        <f t="shared" ca="1" si="174"/>
        <v/>
      </c>
      <c r="AQ156" s="808" t="str">
        <f t="shared" ca="1" si="175"/>
        <v/>
      </c>
      <c r="AR156" s="808" t="str">
        <f t="shared" ca="1" si="176"/>
        <v/>
      </c>
      <c r="AS156" s="808" t="str">
        <f t="shared" ca="1" si="177"/>
        <v/>
      </c>
      <c r="AT156" s="974" t="str">
        <f t="shared" ca="1" si="186"/>
        <v/>
      </c>
      <c r="AU156" s="1069" t="str">
        <f t="shared" ca="1" si="178"/>
        <v/>
      </c>
      <c r="AV156" s="1165" t="str">
        <f t="shared" ca="1" si="179"/>
        <v/>
      </c>
      <c r="AW156" s="1396"/>
      <c r="AX156" s="1396"/>
      <c r="AY156" s="1396"/>
      <c r="AZ156" s="1069" t="str">
        <f t="shared" ca="1" si="187"/>
        <v/>
      </c>
      <c r="BA156" s="1165" t="str">
        <f t="shared" ca="1" si="180"/>
        <v/>
      </c>
      <c r="BB156" s="782"/>
      <c r="BC156" s="804" t="str">
        <f t="shared" ca="1" si="188"/>
        <v/>
      </c>
    </row>
    <row r="157" spans="1:55" ht="13.5" customHeight="1" x14ac:dyDescent="0.3">
      <c r="A157" s="966" t="str">
        <f>'Q1'!B179</f>
        <v>Preparation for reuse</v>
      </c>
      <c r="B157" s="908"/>
      <c r="C157" s="1179">
        <f t="shared" ca="1" si="162"/>
        <v>0</v>
      </c>
      <c r="D157" s="781">
        <f t="shared" ca="1" si="162"/>
        <v>0</v>
      </c>
      <c r="E157" s="769">
        <f t="shared" ca="1" si="162"/>
        <v>0</v>
      </c>
      <c r="F157" s="769">
        <f t="shared" ca="1" si="162"/>
        <v>0</v>
      </c>
      <c r="G157" s="769">
        <f t="shared" ca="1" si="162"/>
        <v>0</v>
      </c>
      <c r="H157" s="769">
        <f t="shared" ca="1" si="162"/>
        <v>0</v>
      </c>
      <c r="I157" s="967">
        <f t="shared" ca="1" si="163"/>
        <v>0</v>
      </c>
      <c r="J157" s="771" t="str">
        <f t="shared" ca="1" si="164"/>
        <v/>
      </c>
      <c r="K157" s="772"/>
      <c r="L157" s="968"/>
      <c r="M157" s="969"/>
      <c r="N157" s="970"/>
      <c r="O157" s="810" t="str">
        <f t="shared" ca="1" si="165"/>
        <v/>
      </c>
      <c r="P157" s="783" t="str">
        <f t="shared" ca="1" si="166"/>
        <v/>
      </c>
      <c r="Q157" s="783" t="str">
        <f t="shared" ca="1" si="167"/>
        <v/>
      </c>
      <c r="R157" s="783" t="str">
        <f t="shared" ca="1" si="168"/>
        <v/>
      </c>
      <c r="S157" s="811" t="str">
        <f t="shared" ca="1" si="169"/>
        <v/>
      </c>
      <c r="T157" s="1069" t="str">
        <f t="shared" ca="1" si="170"/>
        <v/>
      </c>
      <c r="U157" s="1165" t="str">
        <f t="shared" ca="1" si="171"/>
        <v/>
      </c>
      <c r="V157" s="1396"/>
      <c r="W157" s="1396"/>
      <c r="X157" s="1396"/>
      <c r="Y157" s="1069" t="str">
        <f t="shared" ca="1" si="181"/>
        <v/>
      </c>
      <c r="Z157" s="1165" t="str">
        <f t="shared" ca="1" si="172"/>
        <v/>
      </c>
      <c r="AA157" s="782"/>
      <c r="AB157" s="804" t="str">
        <f ca="1">IF(CONCATENATE(IF(K157="OK","",J157),"    ",IF(AND(+AA157="",Z157="M"),"Value change with medium impact",IF(AND(AA157="",Z157="H"),"Value change with high impact",""))," ")="     ","",CONCATENATE(IF(K157="OK","",J157),"    ",IF(AND(+AA157="",Z157="M"),"Value change with medium impact",IF(AND(AA157="",Z157="H"),"Value change with high impact",""))," "))</f>
        <v/>
      </c>
      <c r="AC157" s="971" t="str">
        <f t="shared" ca="1" si="183"/>
        <v/>
      </c>
      <c r="AD157" s="1179">
        <f t="shared" ca="1" si="173"/>
        <v>0</v>
      </c>
      <c r="AE157" s="806">
        <f t="shared" ca="1" si="173"/>
        <v>0</v>
      </c>
      <c r="AF157" s="749">
        <f t="shared" ca="1" si="173"/>
        <v>0</v>
      </c>
      <c r="AG157" s="749">
        <f t="shared" ca="1" si="173"/>
        <v>0</v>
      </c>
      <c r="AH157" s="749">
        <f t="shared" ca="1" si="173"/>
        <v>0</v>
      </c>
      <c r="AI157" s="749">
        <f t="shared" ca="1" si="173"/>
        <v>0</v>
      </c>
      <c r="AJ157" s="972">
        <f t="shared" ca="1" si="184"/>
        <v>0</v>
      </c>
      <c r="AK157" s="973" t="str">
        <f t="shared" ca="1" si="185"/>
        <v/>
      </c>
      <c r="AL157" s="772"/>
      <c r="AM157" s="968"/>
      <c r="AN157" s="969"/>
      <c r="AO157" s="970"/>
      <c r="AP157" s="755" t="str">
        <f t="shared" ca="1" si="174"/>
        <v/>
      </c>
      <c r="AQ157" s="808" t="str">
        <f t="shared" ca="1" si="175"/>
        <v/>
      </c>
      <c r="AR157" s="808" t="str">
        <f t="shared" ca="1" si="176"/>
        <v/>
      </c>
      <c r="AS157" s="808" t="str">
        <f t="shared" ca="1" si="177"/>
        <v/>
      </c>
      <c r="AT157" s="974" t="str">
        <f t="shared" ca="1" si="186"/>
        <v/>
      </c>
      <c r="AU157" s="1069" t="str">
        <f t="shared" ca="1" si="178"/>
        <v/>
      </c>
      <c r="AV157" s="1165" t="str">
        <f t="shared" ca="1" si="179"/>
        <v/>
      </c>
      <c r="AW157" s="1396"/>
      <c r="AX157" s="1396"/>
      <c r="AY157" s="1396"/>
      <c r="AZ157" s="1069" t="str">
        <f t="shared" ca="1" si="187"/>
        <v/>
      </c>
      <c r="BA157" s="1165" t="str">
        <f t="shared" ca="1" si="180"/>
        <v/>
      </c>
      <c r="BB157" s="782"/>
      <c r="BC157" s="804" t="str">
        <f t="shared" ca="1" si="188"/>
        <v/>
      </c>
    </row>
    <row r="158" spans="1:55" ht="13.5" customHeight="1" x14ac:dyDescent="0.3">
      <c r="A158" s="966" t="str">
        <f>'Q1'!B180</f>
        <v>TOTAL WASTE RECYCLED</v>
      </c>
      <c r="B158" s="908"/>
      <c r="C158" s="1179">
        <f t="shared" ca="1" si="162"/>
        <v>10959.923175757624</v>
      </c>
      <c r="D158" s="781">
        <f t="shared" ca="1" si="162"/>
        <v>10795.289266673799</v>
      </c>
      <c r="E158" s="769">
        <f t="shared" ca="1" si="162"/>
        <v>10257.459076383655</v>
      </c>
      <c r="F158" s="769">
        <f t="shared" ca="1" si="162"/>
        <v>10338.622571284852</v>
      </c>
      <c r="G158" s="769">
        <f t="shared" ca="1" si="162"/>
        <v>10599.908043076501</v>
      </c>
      <c r="H158" s="769">
        <f t="shared" ca="1" si="162"/>
        <v>41991.278957418806</v>
      </c>
      <c r="I158" s="967">
        <f t="shared" ca="1" si="163"/>
        <v>10497.819739354702</v>
      </c>
      <c r="J158" s="873"/>
      <c r="K158" s="775"/>
      <c r="L158" s="968"/>
      <c r="M158" s="969"/>
      <c r="N158" s="975"/>
      <c r="O158" s="810">
        <f t="shared" ca="1" si="165"/>
        <v>1.5250532432888753E-2</v>
      </c>
      <c r="P158" s="783">
        <f t="shared" ca="1" si="166"/>
        <v>6.8483246595766836E-2</v>
      </c>
      <c r="Q158" s="783">
        <f t="shared" ca="1" si="167"/>
        <v>6.0095104564355753E-2</v>
      </c>
      <c r="R158" s="783">
        <f t="shared" ca="1" si="168"/>
        <v>3.396398640611533E-2</v>
      </c>
      <c r="S158" s="811">
        <f t="shared" ca="1" si="169"/>
        <v>4.4018991359755177E-2</v>
      </c>
      <c r="T158" s="1077"/>
      <c r="U158" s="1077"/>
      <c r="V158" s="1397"/>
      <c r="W158" s="1397"/>
      <c r="X158" s="1397"/>
      <c r="Y158" s="1077"/>
      <c r="Z158" s="1077"/>
      <c r="AA158" s="976"/>
      <c r="AB158" s="977"/>
      <c r="AC158" s="978"/>
      <c r="AD158" s="1179">
        <f t="shared" ca="1" si="173"/>
        <v>105.85594995117188</v>
      </c>
      <c r="AE158" s="806">
        <f t="shared" ca="1" si="173"/>
        <v>451.552568193855</v>
      </c>
      <c r="AF158" s="749">
        <f t="shared" ca="1" si="173"/>
        <v>321.35851091666262</v>
      </c>
      <c r="AG158" s="749">
        <f t="shared" ca="1" si="173"/>
        <v>400.84579209518392</v>
      </c>
      <c r="AH158" s="749">
        <f t="shared" ca="1" si="173"/>
        <v>424.70103385925199</v>
      </c>
      <c r="AI158" s="749">
        <f t="shared" ca="1" si="173"/>
        <v>1598.4579050649536</v>
      </c>
      <c r="AJ158" s="972">
        <f t="shared" ca="1" si="184"/>
        <v>399.6144762662384</v>
      </c>
      <c r="AK158" s="979"/>
      <c r="AL158" s="980"/>
      <c r="AM158" s="968"/>
      <c r="AN158" s="981"/>
      <c r="AO158" s="976"/>
      <c r="AP158" s="755">
        <f t="shared" ca="1" si="174"/>
        <v>-0.76557336308687085</v>
      </c>
      <c r="AQ158" s="808">
        <f t="shared" ca="1" si="175"/>
        <v>-0.67059857960748603</v>
      </c>
      <c r="AR158" s="808">
        <f t="shared" ca="1" si="176"/>
        <v>-0.73591852019233484</v>
      </c>
      <c r="AS158" s="808">
        <f t="shared" ca="1" si="177"/>
        <v>-0.7507518430335326</v>
      </c>
      <c r="AT158" s="974">
        <f t="shared" ca="1" si="186"/>
        <v>-0.73510481667173988</v>
      </c>
      <c r="AU158" s="1078"/>
      <c r="AV158" s="982"/>
      <c r="AW158" s="1396"/>
      <c r="AX158" s="1396"/>
      <c r="AY158" s="1396"/>
      <c r="AZ158" s="1078"/>
      <c r="BA158" s="982"/>
      <c r="BB158" s="983"/>
      <c r="BC158" s="984"/>
    </row>
    <row r="159" spans="1:55" ht="13.5" customHeight="1" x14ac:dyDescent="0.3">
      <c r="A159" s="966" t="str">
        <f>'Q1'!B181</f>
        <v>TOTAL ICT WASTE (excl. waste reused)</v>
      </c>
      <c r="B159" s="908"/>
      <c r="C159" s="1179">
        <f t="shared" ca="1" si="162"/>
        <v>2.3051999511718799</v>
      </c>
      <c r="D159" s="781">
        <f t="shared" ca="1" si="162"/>
        <v>7.766</v>
      </c>
      <c r="E159" s="769">
        <f t="shared" ca="1" si="162"/>
        <v>8.1000000000000003E-2</v>
      </c>
      <c r="F159" s="769">
        <f t="shared" ca="1" si="162"/>
        <v>0.84170000076293938</v>
      </c>
      <c r="G159" s="769">
        <f t="shared" ca="1" si="162"/>
        <v>1.3125</v>
      </c>
      <c r="H159" s="769">
        <f t="shared" ca="1" si="162"/>
        <v>10.001200000762939</v>
      </c>
      <c r="I159" s="967">
        <f t="shared" ca="1" si="163"/>
        <v>2.5003000001907347</v>
      </c>
      <c r="J159" s="873"/>
      <c r="K159" s="775"/>
      <c r="L159" s="968"/>
      <c r="M159" s="969"/>
      <c r="N159" s="975"/>
      <c r="O159" s="810">
        <f t="shared" ca="1" si="165"/>
        <v>-0.70316766016329124</v>
      </c>
      <c r="P159" s="783">
        <f t="shared" ca="1" si="166"/>
        <v>27.459258656442962</v>
      </c>
      <c r="Q159" s="783">
        <f t="shared" ca="1" si="167"/>
        <v>1.7387429595846324</v>
      </c>
      <c r="R159" s="783">
        <f t="shared" ca="1" si="168"/>
        <v>0.75634281994047992</v>
      </c>
      <c r="S159" s="811">
        <f t="shared" ca="1" si="169"/>
        <v>-7.8030655922877917E-2</v>
      </c>
      <c r="T159" s="1077"/>
      <c r="U159" s="1077"/>
      <c r="V159" s="1397"/>
      <c r="W159" s="1397"/>
      <c r="X159" s="1397"/>
      <c r="Y159" s="1077"/>
      <c r="Z159" s="1077"/>
      <c r="AA159" s="976"/>
      <c r="AB159" s="977"/>
      <c r="AC159" s="978"/>
      <c r="AD159" s="1179">
        <f t="shared" ca="1" si="173"/>
        <v>1.11719995117188</v>
      </c>
      <c r="AE159" s="806">
        <f t="shared" ca="1" si="173"/>
        <v>7.7</v>
      </c>
      <c r="AF159" s="749">
        <f t="shared" ca="1" si="173"/>
        <v>0</v>
      </c>
      <c r="AG159" s="749">
        <f t="shared" ca="1" si="173"/>
        <v>1.8700000762939498E-2</v>
      </c>
      <c r="AH159" s="749">
        <f t="shared" ca="1" si="173"/>
        <v>0</v>
      </c>
      <c r="AI159" s="749">
        <f t="shared" ca="1" si="173"/>
        <v>7.71870000076294</v>
      </c>
      <c r="AJ159" s="972">
        <f t="shared" ca="1" si="184"/>
        <v>1.929675000190735</v>
      </c>
      <c r="AK159" s="979"/>
      <c r="AL159" s="980"/>
      <c r="AM159" s="968"/>
      <c r="AN159" s="981"/>
      <c r="AO159" s="976"/>
      <c r="AP159" s="755">
        <f t="shared" ca="1" si="174"/>
        <v>-0.8549090972504052</v>
      </c>
      <c r="AQ159" s="808" t="str">
        <f t="shared" ca="1" si="175"/>
        <v/>
      </c>
      <c r="AR159" s="808">
        <f t="shared" ca="1" si="176"/>
        <v>58.743310459430418</v>
      </c>
      <c r="AS159" s="808" t="str">
        <f t="shared" ca="1" si="177"/>
        <v/>
      </c>
      <c r="AT159" s="974">
        <f t="shared" ca="1" si="186"/>
        <v>-0.42104242887457605</v>
      </c>
      <c r="AU159" s="1078"/>
      <c r="AV159" s="982"/>
      <c r="AW159" s="1396"/>
      <c r="AX159" s="1396"/>
      <c r="AY159" s="1396"/>
      <c r="AZ159" s="1078"/>
      <c r="BA159" s="982"/>
      <c r="BB159" s="983"/>
      <c r="BC159" s="984"/>
    </row>
    <row r="160" spans="1:55" ht="13.5" customHeight="1" x14ac:dyDescent="0.3">
      <c r="A160" s="966" t="str">
        <f>'Q1'!B182</f>
        <v>TOTAL WASTE NOT TO LANDFILL (excl. waste reused)</v>
      </c>
      <c r="B160" s="908"/>
      <c r="C160" s="1179">
        <f t="shared" ca="1" si="162"/>
        <v>12782.210002856744</v>
      </c>
      <c r="D160" s="781">
        <f t="shared" ca="1" si="162"/>
        <v>12726.917521112089</v>
      </c>
      <c r="E160" s="769">
        <f t="shared" ca="1" si="162"/>
        <v>12038.835745766539</v>
      </c>
      <c r="F160" s="769">
        <f t="shared" ca="1" si="162"/>
        <v>11777.821360619802</v>
      </c>
      <c r="G160" s="769">
        <f t="shared" ca="1" si="162"/>
        <v>12318.898251154731</v>
      </c>
      <c r="H160" s="769">
        <f t="shared" ca="1" si="162"/>
        <v>48862.472878653163</v>
      </c>
      <c r="I160" s="967">
        <f t="shared" ca="1" si="163"/>
        <v>12215.618219663291</v>
      </c>
      <c r="J160" s="873"/>
      <c r="K160" s="775"/>
      <c r="L160" s="968"/>
      <c r="M160" s="969"/>
      <c r="N160" s="975"/>
      <c r="O160" s="810">
        <f t="shared" ca="1" si="165"/>
        <v>4.3445305316807889E-3</v>
      </c>
      <c r="P160" s="783">
        <f t="shared" ca="1" si="166"/>
        <v>6.1748018893904487E-2</v>
      </c>
      <c r="Q160" s="783">
        <f t="shared" ca="1" si="167"/>
        <v>8.5277965379505979E-2</v>
      </c>
      <c r="R160" s="783">
        <f t="shared" ca="1" si="168"/>
        <v>3.7609836712352386E-2</v>
      </c>
      <c r="S160" s="811">
        <f t="shared" ca="1" si="169"/>
        <v>4.6382571311979856E-2</v>
      </c>
      <c r="T160" s="1077"/>
      <c r="U160" s="1077"/>
      <c r="V160" s="1397"/>
      <c r="W160" s="1397"/>
      <c r="X160" s="1397"/>
      <c r="Y160" s="1077"/>
      <c r="Z160" s="1077"/>
      <c r="AA160" s="976"/>
      <c r="AB160" s="977"/>
      <c r="AC160" s="978"/>
      <c r="AD160" s="1179">
        <f t="shared" ca="1" si="173"/>
        <v>107.85594995117188</v>
      </c>
      <c r="AE160" s="806">
        <f t="shared" ca="1" si="173"/>
        <v>451.552568193855</v>
      </c>
      <c r="AF160" s="749">
        <f t="shared" ca="1" si="173"/>
        <v>321.35851091666262</v>
      </c>
      <c r="AG160" s="749">
        <f t="shared" ca="1" si="173"/>
        <v>400.84579209518392</v>
      </c>
      <c r="AH160" s="749">
        <f t="shared" ca="1" si="173"/>
        <v>424.70103385925199</v>
      </c>
      <c r="AI160" s="749">
        <f t="shared" ca="1" si="173"/>
        <v>1598.4579050649536</v>
      </c>
      <c r="AJ160" s="972">
        <f t="shared" ca="1" si="184"/>
        <v>399.6144762662384</v>
      </c>
      <c r="AK160" s="979"/>
      <c r="AL160" s="980"/>
      <c r="AM160" s="968"/>
      <c r="AN160" s="981"/>
      <c r="AO160" s="976"/>
      <c r="AP160" s="755">
        <f t="shared" ca="1" si="174"/>
        <v>-0.76114419992653337</v>
      </c>
      <c r="AQ160" s="808">
        <f t="shared" ca="1" si="175"/>
        <v>-0.66437500085646717</v>
      </c>
      <c r="AR160" s="808">
        <f t="shared" ca="1" si="176"/>
        <v>-0.73092907028556098</v>
      </c>
      <c r="AS160" s="808">
        <f t="shared" ca="1" si="177"/>
        <v>-0.74604264799855458</v>
      </c>
      <c r="AT160" s="974">
        <f t="shared" ca="1" si="186"/>
        <v>-0.73009999297594486</v>
      </c>
      <c r="AU160" s="1078"/>
      <c r="AV160" s="982"/>
      <c r="AW160" s="1396"/>
      <c r="AX160" s="1396"/>
      <c r="AY160" s="1396"/>
      <c r="AZ160" s="1078"/>
      <c r="BA160" s="982"/>
      <c r="BB160" s="983"/>
      <c r="BC160" s="984"/>
    </row>
    <row r="161" spans="1:55" ht="13.5" customHeight="1" x14ac:dyDescent="0.3">
      <c r="A161" s="966" t="str">
        <f>'Q1'!B183</f>
        <v>TOTAL WASTE SENT TO LANDFILL</v>
      </c>
      <c r="B161" s="908"/>
      <c r="C161" s="1179">
        <f t="shared" ca="1" si="162"/>
        <v>370.83551995239202</v>
      </c>
      <c r="D161" s="781">
        <f t="shared" ca="1" si="162"/>
        <v>381.57792798966898</v>
      </c>
      <c r="E161" s="769">
        <f t="shared" ca="1" si="162"/>
        <v>351.86219660840999</v>
      </c>
      <c r="F161" s="769">
        <f t="shared" ca="1" si="162"/>
        <v>364.14285661190701</v>
      </c>
      <c r="G161" s="769">
        <f t="shared" ca="1" si="162"/>
        <v>387.33825313255102</v>
      </c>
      <c r="H161" s="769">
        <f t="shared" ca="1" si="162"/>
        <v>1484.921234342537</v>
      </c>
      <c r="I161" s="967">
        <f t="shared" ca="1" si="163"/>
        <v>371.23030858563425</v>
      </c>
      <c r="J161" s="771" t="str">
        <f ca="1">IF(AND(C161&gt;0,SUM(D161:I161)&gt;0),"",IF(AND(C161=0,SUM(C161:I161)=0),"",IF(AND(C161=0,D161&gt;0),"Missing value?",IF(AND(C161=0,I161&gt;0),"Missing value?","New category"))))</f>
        <v/>
      </c>
      <c r="K161" s="772"/>
      <c r="L161" s="968"/>
      <c r="M161" s="969"/>
      <c r="N161" s="975"/>
      <c r="O161" s="810">
        <f t="shared" ca="1" si="165"/>
        <v>-2.8152592823890498E-2</v>
      </c>
      <c r="P161" s="783">
        <f t="shared" ca="1" si="166"/>
        <v>5.3922596763350455E-2</v>
      </c>
      <c r="Q161" s="783">
        <f t="shared" ca="1" si="167"/>
        <v>1.837922457893458E-2</v>
      </c>
      <c r="R161" s="783">
        <f t="shared" ca="1" si="168"/>
        <v>-4.2605482538053366E-2</v>
      </c>
      <c r="S161" s="811">
        <f t="shared" ca="1" si="169"/>
        <v>-1.0634601327309458E-3</v>
      </c>
      <c r="T161" s="1069">
        <f t="shared" ref="T161" ca="1" si="189">IF(SUM(C161:I161)=0,"",IF(OR(AND(C161=0,SUM(D161:I161)&gt;0),AND(C161&gt;0,SUM(D161:I161)=0)),1,IF(MAX(IF(O161&lt;0,-O161,O161),IF(P161&lt;0,-P161,P161),IF(Q161&lt;0,-Q161,Q161),IF(R161&lt;0,-R161,R161),IF(S161&lt;0,-S161,S161))=0,"",MAX(IF(O161&lt;0,-O161,O161),IF(P161&lt;0,-P161,P161),IF(Q161&lt;0,-Q161,Q161),IF(R161&lt;0,-R161,R161),IF(S161&lt;0,-S161,S161)))))</f>
        <v>5.3922596763350455E-2</v>
      </c>
      <c r="U161" s="1165" t="str">
        <f ca="1">IF(+T161="","",IF(T161&gt;$N$3,"H",IF(T161&gt;$N$4,"M","")))</f>
        <v>M</v>
      </c>
      <c r="V161" s="1396"/>
      <c r="W161" s="1396"/>
      <c r="X161" s="1396"/>
      <c r="Y161" s="1069">
        <f t="shared" ref="Y161" ca="1" si="190">IF(OR(C161=0,C$162=0),IF(AND(D161&gt;0,D$162&gt;0), +T161*D161/D$162, IF(AND(I161&gt;0,I$162&gt;0), +T161*I161/I$162, "")), +T161*C161/C$162)</f>
        <v>1.5202877670607757E-3</v>
      </c>
      <c r="Z161" s="1165" t="str">
        <f ca="1">IF(+Y161="","",IF(Y161&gt;$N$3,"H",IF(Y161&gt;$N$4,"M","")))</f>
        <v/>
      </c>
      <c r="AA161" s="782"/>
      <c r="AB161" s="804" t="str">
        <f t="shared" ref="AB161" ca="1" si="191">IF(CONCATENATE(IF(K161="OK","",J161),"    ",IF(AND(+AA161="",Z161="M"),"Value change with medium impact",IF(AND(AA161="",Z161="H"),"Value change with high impact",""))," ")="     ","",CONCATENATE(IF(K161="OK","",J161),"    ",IF(AND(+AA161="",Z161="M"),"Value change with medium impact",IF(AND(AA161="",Z161="H"),"Value change with high impact",""))," "))</f>
        <v/>
      </c>
      <c r="AC161" s="971" t="str">
        <f ca="1">IF(AD161&gt;C161,"Offices only&gt;Total Estate","")</f>
        <v/>
      </c>
      <c r="AD161" s="1179">
        <f t="shared" ca="1" si="173"/>
        <v>6.5211999816894499</v>
      </c>
      <c r="AE161" s="806">
        <f t="shared" ca="1" si="173"/>
        <v>40.726291525889202</v>
      </c>
      <c r="AF161" s="749">
        <f t="shared" ca="1" si="173"/>
        <v>55.5123149013831</v>
      </c>
      <c r="AG161" s="749">
        <f t="shared" ca="1" si="173"/>
        <v>59.6921350097656</v>
      </c>
      <c r="AH161" s="749">
        <f t="shared" ca="1" si="173"/>
        <v>56.8119597167968</v>
      </c>
      <c r="AI161" s="749">
        <f t="shared" ca="1" si="173"/>
        <v>212.7427011538347</v>
      </c>
      <c r="AJ161" s="972">
        <f t="shared" ca="1" si="184"/>
        <v>53.185675288458675</v>
      </c>
      <c r="AK161" s="771" t="str">
        <f ca="1">IF(AND(AD161&gt;0,SUM(AE161:AJ161)&gt;0),"",IF(AND(AD161=0,SUM(AD161:AJ161)=0),"",IF(AND(AD161=0,AE161&gt;0),"missing?",IF(AND(AD161=0,AJ161&gt;0),"missing?","new category"))))</f>
        <v/>
      </c>
      <c r="AL161" s="772"/>
      <c r="AM161" s="968"/>
      <c r="AN161" s="969"/>
      <c r="AO161" s="970"/>
      <c r="AP161" s="755">
        <f t="shared" ca="1" si="174"/>
        <v>-0.83987739277601536</v>
      </c>
      <c r="AQ161" s="808">
        <f t="shared" ca="1" si="175"/>
        <v>-0.88252696733554936</v>
      </c>
      <c r="AR161" s="808">
        <f t="shared" ca="1" si="176"/>
        <v>-0.89075277705140576</v>
      </c>
      <c r="AS161" s="808">
        <f t="shared" ca="1" si="177"/>
        <v>-0.88521431025796116</v>
      </c>
      <c r="AT161" s="974">
        <f t="shared" ca="1" si="186"/>
        <v>-0.87738803829563194</v>
      </c>
      <c r="AU161" s="1069">
        <f t="shared" ref="AU161" ca="1" si="192">IF(MAX(IF(AP161&lt;0,-AP161,AP161),IF(AS161&lt;0,-AS161,AS161),IF(AT161&lt;0,-AT161,AT161))=0,"",MAX(IF(AP161&lt;0,-AP161,AP161),IF(AQ161&lt;0,-AQ161,AQ161),IF(AR161&lt;0,-AR161,AR161),IF(AS161&lt;0,-AS161,AS161),IF(AT161&lt;0,-AT161,AT161)))</f>
        <v>0.89075277705140576</v>
      </c>
      <c r="AV161" s="1165" t="str">
        <f ca="1">IF(+AU161="","",IF(AU161&gt;$AO$3,"H",IF(AU161&gt;$AO$4,"M","")))</f>
        <v>H</v>
      </c>
      <c r="AW161" s="1396"/>
      <c r="AX161" s="1396"/>
      <c r="AY161" s="1396"/>
      <c r="AZ161" s="1069">
        <f t="shared" ca="1" si="187"/>
        <v>5.0786166614635614E-2</v>
      </c>
      <c r="BA161" s="1165" t="str">
        <f ca="1">IF(+AZ161="","",IF(AZ161&gt;$AO$3,"H",IF(AZ161&gt;$AO$4,"M","")))</f>
        <v>M</v>
      </c>
      <c r="BB161" s="782"/>
      <c r="BC161" s="804" t="str">
        <f t="shared" ca="1" si="188"/>
        <v xml:space="preserve">        Value change with medium impact </v>
      </c>
    </row>
    <row r="162" spans="1:55" ht="13.5" customHeight="1" thickBot="1" x14ac:dyDescent="0.35">
      <c r="A162" s="985" t="str">
        <f>'Q1'!B184</f>
        <v>TOTAL WASTE (excl. waste reused)</v>
      </c>
      <c r="B162" s="911"/>
      <c r="C162" s="1181">
        <f t="shared" ca="1" si="162"/>
        <v>13153.045522809136</v>
      </c>
      <c r="D162" s="795">
        <f t="shared" ca="1" si="162"/>
        <v>13108.495449101758</v>
      </c>
      <c r="E162" s="787">
        <f t="shared" ca="1" si="162"/>
        <v>12390.697942374949</v>
      </c>
      <c r="F162" s="787">
        <f t="shared" ca="1" si="162"/>
        <v>12141.964217231709</v>
      </c>
      <c r="G162" s="787">
        <f t="shared" ca="1" si="162"/>
        <v>12706.236504287283</v>
      </c>
      <c r="H162" s="787">
        <f t="shared" ca="1" si="162"/>
        <v>50347.394112995702</v>
      </c>
      <c r="I162" s="986">
        <f t="shared" ca="1" si="163"/>
        <v>12586.848528248926</v>
      </c>
      <c r="J162" s="987"/>
      <c r="K162" s="988"/>
      <c r="L162" s="989"/>
      <c r="M162" s="990"/>
      <c r="N162" s="991"/>
      <c r="O162" s="813">
        <f t="shared" ca="1" si="165"/>
        <v>3.3985649901896839E-3</v>
      </c>
      <c r="P162" s="1072">
        <f t="shared" ca="1" si="166"/>
        <v>6.152579814144564E-2</v>
      </c>
      <c r="Q162" s="1072">
        <f t="shared" ca="1" si="167"/>
        <v>8.3271642667379492E-2</v>
      </c>
      <c r="R162" s="1072">
        <f t="shared" ca="1" si="168"/>
        <v>3.5164544463743695E-2</v>
      </c>
      <c r="S162" s="1075">
        <f t="shared" ca="1" si="169"/>
        <v>4.498322143858987E-2</v>
      </c>
      <c r="T162" s="1079"/>
      <c r="U162" s="1079"/>
      <c r="V162" s="1398"/>
      <c r="W162" s="1398"/>
      <c r="X162" s="1398"/>
      <c r="Y162" s="1079"/>
      <c r="Z162" s="1079"/>
      <c r="AA162" s="992"/>
      <c r="AB162" s="993"/>
      <c r="AC162" s="994"/>
      <c r="AD162" s="1181">
        <f t="shared" ca="1" si="173"/>
        <v>114.37714993286133</v>
      </c>
      <c r="AE162" s="995">
        <f t="shared" ca="1" si="173"/>
        <v>492.27885971974422</v>
      </c>
      <c r="AF162" s="996">
        <f t="shared" ca="1" si="173"/>
        <v>376.87082581804572</v>
      </c>
      <c r="AG162" s="996">
        <f t="shared" ca="1" si="173"/>
        <v>460.53792710494952</v>
      </c>
      <c r="AH162" s="996">
        <f t="shared" ca="1" si="173"/>
        <v>481.51299357604881</v>
      </c>
      <c r="AI162" s="996">
        <f t="shared" ca="1" si="173"/>
        <v>1811.2006062187884</v>
      </c>
      <c r="AJ162" s="997">
        <f t="shared" ca="1" si="184"/>
        <v>452.80015155469709</v>
      </c>
      <c r="AK162" s="987"/>
      <c r="AL162" s="988"/>
      <c r="AM162" s="989"/>
      <c r="AN162" s="990"/>
      <c r="AO162" s="998"/>
      <c r="AP162" s="931">
        <f t="shared" ca="1" si="174"/>
        <v>-0.76765780680085149</v>
      </c>
      <c r="AQ162" s="999">
        <f t="shared" ca="1" si="175"/>
        <v>-0.69650834689952124</v>
      </c>
      <c r="AR162" s="999">
        <f t="shared" ca="1" si="176"/>
        <v>-0.75164445054099405</v>
      </c>
      <c r="AS162" s="999">
        <f t="shared" ca="1" si="177"/>
        <v>-0.76246300419970514</v>
      </c>
      <c r="AT162" s="1000">
        <f t="shared" ca="1" si="186"/>
        <v>-0.74740037179725882</v>
      </c>
      <c r="AU162" s="1080"/>
      <c r="AV162" s="1001"/>
      <c r="AW162" s="1405"/>
      <c r="AX162" s="1405"/>
      <c r="AY162" s="1405"/>
      <c r="AZ162" s="1080"/>
      <c r="BA162" s="1001"/>
      <c r="BB162" s="992"/>
      <c r="BC162" s="1002"/>
    </row>
    <row r="163" spans="1:55" ht="14.4" x14ac:dyDescent="0.3">
      <c r="A163" s="50"/>
      <c r="B163" s="302"/>
      <c r="C163" s="820"/>
      <c r="D163" s="820"/>
      <c r="E163" s="820"/>
      <c r="F163" s="820"/>
      <c r="G163" s="820"/>
      <c r="H163" s="820"/>
      <c r="I163" s="820"/>
      <c r="J163" s="191"/>
      <c r="K163" s="191"/>
      <c r="L163" s="104"/>
      <c r="M163" s="916"/>
      <c r="N163" s="113"/>
      <c r="O163" s="191"/>
      <c r="P163" s="191"/>
      <c r="Q163" s="191"/>
      <c r="R163" s="110"/>
      <c r="S163" s="104"/>
      <c r="T163" s="104"/>
      <c r="U163" s="104"/>
      <c r="V163" s="104"/>
      <c r="W163" s="104"/>
      <c r="X163" s="104"/>
      <c r="Y163" s="104"/>
      <c r="Z163" s="104"/>
      <c r="AA163" s="104"/>
      <c r="AB163" s="104"/>
      <c r="AC163" s="1204"/>
      <c r="AD163" s="1204"/>
      <c r="AE163" s="1204"/>
      <c r="AF163" s="1204"/>
      <c r="AG163" s="1204"/>
      <c r="AH163" s="1204"/>
      <c r="AI163" s="1204"/>
      <c r="AJ163" s="1204"/>
      <c r="AK163" s="1204"/>
      <c r="AL163" s="191"/>
      <c r="AM163" s="110"/>
      <c r="AN163" s="104"/>
      <c r="AO163" s="50"/>
      <c r="AP163" s="50"/>
      <c r="AQ163" s="50"/>
      <c r="AR163" s="50"/>
      <c r="AS163" s="50"/>
      <c r="AT163" s="50"/>
      <c r="AU163" s="50"/>
      <c r="AV163" s="50"/>
      <c r="AW163" s="50"/>
      <c r="AX163" s="50"/>
      <c r="AY163" s="50"/>
      <c r="AZ163" s="50"/>
      <c r="BA163" s="50"/>
      <c r="BB163" s="50"/>
      <c r="BC163" s="50"/>
    </row>
    <row r="164" spans="1:55" ht="12.75" customHeight="1" x14ac:dyDescent="0.3">
      <c r="A164" s="113"/>
      <c r="B164" s="1204"/>
      <c r="C164" s="820"/>
      <c r="D164" s="820"/>
      <c r="E164" s="820"/>
      <c r="F164" s="820"/>
      <c r="G164" s="820"/>
      <c r="H164" s="820"/>
      <c r="I164" s="820"/>
      <c r="J164" s="191"/>
      <c r="K164" s="191"/>
      <c r="L164" s="104"/>
      <c r="M164" s="916"/>
      <c r="N164" s="113"/>
      <c r="O164" s="191"/>
      <c r="P164" s="191"/>
      <c r="Q164" s="191"/>
      <c r="R164" s="110"/>
      <c r="S164" s="104"/>
      <c r="T164" s="919"/>
      <c r="U164" s="919"/>
      <c r="V164" s="919"/>
      <c r="W164" s="919"/>
      <c r="X164" s="919"/>
      <c r="Y164" s="710"/>
      <c r="Z164" s="711"/>
      <c r="AA164" s="196"/>
      <c r="AB164" s="104"/>
      <c r="AC164" s="113"/>
      <c r="AD164" s="113"/>
      <c r="AE164" s="113"/>
      <c r="AF164" s="113"/>
      <c r="AG164" s="113"/>
      <c r="AH164" s="113"/>
      <c r="AI164" s="113"/>
      <c r="AJ164" s="113"/>
      <c r="AK164" s="113"/>
      <c r="AL164" s="113"/>
      <c r="AM164" s="113"/>
      <c r="AN164" s="113"/>
      <c r="AO164" s="113"/>
      <c r="AP164" s="113"/>
      <c r="AQ164" s="113"/>
      <c r="AR164" s="113"/>
      <c r="AS164" s="113"/>
      <c r="AT164" s="113"/>
      <c r="AU164" s="113"/>
      <c r="AV164" s="113"/>
      <c r="AW164" s="113"/>
      <c r="AX164" s="113"/>
      <c r="AY164" s="113"/>
      <c r="AZ164" s="113"/>
      <c r="BA164" s="113"/>
      <c r="BB164" s="113"/>
      <c r="BC164" s="113"/>
    </row>
    <row r="165" spans="1:55" ht="14.55" customHeight="1" x14ac:dyDescent="0.3">
      <c r="A165" s="923" t="s">
        <v>164</v>
      </c>
      <c r="B165" s="87"/>
      <c r="C165" s="819" t="s">
        <v>23</v>
      </c>
      <c r="D165" s="819" t="s">
        <v>23</v>
      </c>
      <c r="E165" s="819" t="s">
        <v>23</v>
      </c>
      <c r="F165" s="819" t="s">
        <v>23</v>
      </c>
      <c r="G165" s="819" t="s">
        <v>23</v>
      </c>
      <c r="H165" s="819"/>
      <c r="I165" s="819" t="s">
        <v>23</v>
      </c>
      <c r="J165" s="819" t="s">
        <v>23</v>
      </c>
      <c r="K165" s="819" t="s">
        <v>23</v>
      </c>
      <c r="L165" s="819" t="s">
        <v>23</v>
      </c>
      <c r="M165" s="819" t="s">
        <v>23</v>
      </c>
      <c r="N165" s="819" t="s">
        <v>23</v>
      </c>
      <c r="O165" s="819" t="s">
        <v>23</v>
      </c>
      <c r="P165" s="819" t="s">
        <v>23</v>
      </c>
      <c r="Q165" s="819" t="s">
        <v>23</v>
      </c>
      <c r="R165" s="819" t="s">
        <v>23</v>
      </c>
      <c r="S165" s="819" t="s">
        <v>23</v>
      </c>
      <c r="T165" s="1003"/>
      <c r="U165" s="1003"/>
      <c r="V165" s="1003"/>
      <c r="W165" s="1003"/>
      <c r="X165" s="1003"/>
      <c r="Y165" s="1004"/>
      <c r="Z165" s="1005"/>
      <c r="AA165" s="1006"/>
      <c r="AB165" s="819" t="s">
        <v>23</v>
      </c>
      <c r="AC165" s="113"/>
      <c r="AD165" s="113"/>
      <c r="AE165" s="113"/>
      <c r="AF165" s="113"/>
      <c r="AG165" s="113"/>
      <c r="AH165" s="113"/>
      <c r="AI165" s="113"/>
      <c r="AJ165" s="113"/>
      <c r="AK165" s="113"/>
      <c r="AL165" s="113"/>
      <c r="AM165" s="113"/>
      <c r="AN165" s="113"/>
      <c r="AO165" s="113"/>
      <c r="AP165" s="113"/>
      <c r="AQ165" s="113"/>
      <c r="AR165" s="113"/>
      <c r="AS165" s="113"/>
      <c r="AT165" s="113"/>
      <c r="AU165" s="113"/>
      <c r="AV165" s="113"/>
      <c r="AW165" s="113"/>
      <c r="AX165" s="113"/>
      <c r="AY165" s="113"/>
      <c r="AZ165" s="113"/>
      <c r="BA165" s="113"/>
      <c r="BB165" s="113"/>
      <c r="BC165" s="113"/>
    </row>
    <row r="166" spans="1:55" ht="12.75" customHeight="1" thickBot="1" x14ac:dyDescent="0.35">
      <c r="A166" s="1170"/>
      <c r="B166" s="50"/>
      <c r="C166" s="671"/>
      <c r="D166" s="671"/>
      <c r="E166" s="671"/>
      <c r="F166" s="671"/>
      <c r="G166" s="671"/>
      <c r="H166" s="671"/>
      <c r="I166" s="671"/>
      <c r="J166" s="88"/>
      <c r="K166" s="88"/>
      <c r="L166" s="88"/>
      <c r="M166" s="88"/>
      <c r="N166" s="113"/>
      <c r="O166" s="88"/>
      <c r="P166" s="88"/>
      <c r="Q166" s="88"/>
      <c r="R166" s="88"/>
      <c r="S166" s="88"/>
      <c r="T166" s="919"/>
      <c r="U166" s="919"/>
      <c r="V166" s="919"/>
      <c r="W166" s="919"/>
      <c r="X166" s="919"/>
      <c r="Y166" s="710"/>
      <c r="Z166" s="711"/>
      <c r="AA166" s="106"/>
      <c r="AB166" s="88"/>
      <c r="AC166" s="113"/>
      <c r="AD166" s="113"/>
      <c r="AE166" s="113"/>
      <c r="AF166" s="113"/>
      <c r="AG166" s="113"/>
      <c r="AH166" s="113"/>
      <c r="AI166" s="113"/>
      <c r="AJ166" s="113"/>
      <c r="AK166" s="113"/>
      <c r="AL166" s="113"/>
      <c r="AM166" s="113"/>
      <c r="AN166" s="113"/>
      <c r="AO166" s="113"/>
      <c r="AP166" s="113"/>
      <c r="AQ166" s="113"/>
      <c r="AR166" s="113"/>
      <c r="AS166" s="113"/>
      <c r="AT166" s="113"/>
      <c r="AU166" s="113"/>
      <c r="AV166" s="113"/>
      <c r="AW166" s="113"/>
      <c r="AX166" s="113"/>
      <c r="AY166" s="113"/>
      <c r="AZ166" s="113"/>
      <c r="BA166" s="113"/>
      <c r="BB166" s="113"/>
      <c r="BC166" s="113"/>
    </row>
    <row r="167" spans="1:55" ht="27.6" x14ac:dyDescent="0.3">
      <c r="A167" s="100"/>
      <c r="B167" s="101"/>
      <c r="C167" s="1008" t="s">
        <v>176</v>
      </c>
      <c r="D167" s="2175" t="s">
        <v>177</v>
      </c>
      <c r="E167" s="2176"/>
      <c r="F167" s="2176"/>
      <c r="G167" s="2176"/>
      <c r="H167" s="2176"/>
      <c r="I167" s="2177"/>
      <c r="J167" s="2168" t="s">
        <v>428</v>
      </c>
      <c r="K167" s="2169"/>
      <c r="L167" s="2173"/>
      <c r="M167" s="2171"/>
      <c r="N167" s="2174"/>
      <c r="O167" s="2173" t="s">
        <v>430</v>
      </c>
      <c r="P167" s="2170"/>
      <c r="Q167" s="2170"/>
      <c r="R167" s="2171"/>
      <c r="S167" s="2174"/>
      <c r="T167" s="2178" t="s">
        <v>418</v>
      </c>
      <c r="U167" s="2179"/>
      <c r="V167" s="2179"/>
      <c r="W167" s="2179"/>
      <c r="X167" s="2179"/>
      <c r="Y167" s="2179"/>
      <c r="Z167" s="2179"/>
      <c r="AA167" s="2152"/>
      <c r="AB167" s="2180" t="s">
        <v>433</v>
      </c>
      <c r="AC167" s="113"/>
      <c r="AD167" s="113"/>
      <c r="AE167" s="113"/>
      <c r="AF167" s="113"/>
      <c r="AG167" s="113"/>
      <c r="AH167" s="113"/>
      <c r="AI167" s="113"/>
      <c r="AJ167" s="113"/>
      <c r="AK167" s="113"/>
      <c r="AL167" s="113"/>
      <c r="AM167" s="113"/>
      <c r="AN167" s="113"/>
      <c r="AO167" s="113"/>
      <c r="AP167" s="113"/>
      <c r="AQ167" s="113"/>
      <c r="AR167" s="113"/>
      <c r="AS167" s="113"/>
      <c r="AT167" s="113"/>
      <c r="AU167" s="113"/>
      <c r="AV167" s="113"/>
      <c r="AW167" s="113"/>
      <c r="AX167" s="113"/>
      <c r="AY167" s="113"/>
      <c r="AZ167" s="113"/>
      <c r="BA167" s="113"/>
      <c r="BB167" s="113"/>
      <c r="BC167" s="113"/>
    </row>
    <row r="168" spans="1:55" ht="42" thickBot="1" x14ac:dyDescent="0.35">
      <c r="A168" s="901"/>
      <c r="B168" s="103"/>
      <c r="C168" s="1225" t="str">
        <f>C14</f>
        <v>Q1</v>
      </c>
      <c r="D168" s="821" t="str">
        <f t="shared" ref="D168:I168" si="193">D14</f>
        <v>Q4-19</v>
      </c>
      <c r="E168" s="925" t="str">
        <f t="shared" si="193"/>
        <v>Q3-19</v>
      </c>
      <c r="F168" s="925" t="str">
        <f t="shared" si="193"/>
        <v>Q2-19</v>
      </c>
      <c r="G168" s="822" t="str">
        <f t="shared" si="193"/>
        <v>Q1-19</v>
      </c>
      <c r="H168" s="822" t="str">
        <f t="shared" si="193"/>
        <v>2018-2019</v>
      </c>
      <c r="I168" s="823" t="str">
        <f t="shared" si="193"/>
        <v>25% of previous year total</v>
      </c>
      <c r="J168" s="824" t="s">
        <v>434</v>
      </c>
      <c r="K168" s="825" t="s">
        <v>435</v>
      </c>
      <c r="L168" s="831"/>
      <c r="M168" s="826"/>
      <c r="N168" s="860"/>
      <c r="O168" s="828" t="s">
        <v>438</v>
      </c>
      <c r="P168" s="925" t="s">
        <v>470</v>
      </c>
      <c r="Q168" s="925" t="s">
        <v>471</v>
      </c>
      <c r="R168" s="829" t="s">
        <v>439</v>
      </c>
      <c r="S168" s="830" t="s">
        <v>440</v>
      </c>
      <c r="T168" s="2156" t="s">
        <v>441</v>
      </c>
      <c r="U168" s="2155"/>
      <c r="V168" s="1394"/>
      <c r="W168" s="1394"/>
      <c r="X168" s="1394"/>
      <c r="Y168" s="2157" t="s">
        <v>451</v>
      </c>
      <c r="Z168" s="2155"/>
      <c r="AA168" s="830" t="s">
        <v>445</v>
      </c>
      <c r="AB168" s="2181"/>
      <c r="AC168" s="113"/>
      <c r="AD168" s="113"/>
      <c r="AE168" s="113"/>
      <c r="AF168" s="113"/>
      <c r="AG168" s="113"/>
      <c r="AH168" s="113"/>
      <c r="AI168" s="113"/>
      <c r="AJ168" s="113"/>
      <c r="AK168" s="113"/>
      <c r="AL168" s="113"/>
      <c r="AM168" s="113"/>
      <c r="AN168" s="113"/>
      <c r="AO168" s="113"/>
      <c r="AP168" s="113"/>
      <c r="AQ168" s="113"/>
      <c r="AR168" s="113"/>
      <c r="AS168" s="113"/>
      <c r="AT168" s="113"/>
      <c r="AU168" s="113"/>
      <c r="AV168" s="113"/>
      <c r="AW168" s="113"/>
      <c r="AX168" s="113"/>
      <c r="AY168" s="113"/>
      <c r="AZ168" s="113"/>
      <c r="BA168" s="113"/>
      <c r="BB168" s="113"/>
      <c r="BC168" s="113"/>
    </row>
    <row r="169" spans="1:55" ht="12.75" customHeight="1" thickBot="1" x14ac:dyDescent="0.35">
      <c r="A169" s="1009" t="s">
        <v>186</v>
      </c>
      <c r="B169" s="1010"/>
      <c r="C169" s="1177">
        <f t="shared" ref="C169:H169" ca="1" si="194">INDIRECT(CONCATENATE("'",C$14,"'!$E$191"),TRUE)</f>
        <v>265900.5</v>
      </c>
      <c r="D169" s="1205">
        <f t="shared" ca="1" si="194"/>
        <v>285494</v>
      </c>
      <c r="E169" s="1206">
        <f t="shared" ca="1" si="194"/>
        <v>254638</v>
      </c>
      <c r="F169" s="1206">
        <f t="shared" ca="1" si="194"/>
        <v>258159.5</v>
      </c>
      <c r="G169" s="1206">
        <f t="shared" ca="1" si="194"/>
        <v>277524.5</v>
      </c>
      <c r="H169" s="1206">
        <f t="shared" ca="1" si="194"/>
        <v>1075816</v>
      </c>
      <c r="I169" s="1207">
        <f t="shared" ref="I169" ca="1" si="195">H169/4</f>
        <v>268954</v>
      </c>
      <c r="J169" s="842" t="str">
        <f ca="1">IF(AND(C169&gt;0,SUM(D169:I169)&gt;0),"",IF(AND(C169=0,SUM(C169:I169)=0),"",IF(AND(C169=0,D169&gt;0),"Missing value?",IF(AND(C169=0,I169&gt;0),"Missing value?","New category"))))</f>
        <v/>
      </c>
      <c r="K169" s="843"/>
      <c r="L169" s="1011"/>
      <c r="M169" s="1012"/>
      <c r="N169" s="1013"/>
      <c r="O169" s="738">
        <f ca="1">IF(OR(+$J169="missing?",+$J169="new category"),"",IF($D169=0,"",IF(SUM($C169:$I169)=0,"",IFERROR((($C169-$D169)/$D169),"N/A"))))</f>
        <v>-6.8630163856333234E-2</v>
      </c>
      <c r="P169" s="1072">
        <f t="shared" ref="P169" ca="1" si="196">IF(OR(+$J169="missing?",+$J169="new category"),"",IF($E169=0,"",IF(SUM($C169:$I169)=0,"",IFERROR((($C169-$E169)/$E169),"N/A"))))</f>
        <v>4.4229455148092588E-2</v>
      </c>
      <c r="Q169" s="1072">
        <f t="shared" ref="Q169" ca="1" si="197">IF(OR(+$J169="missing?",+$J169="new category"),"",IF($F169=0,"",IF(SUM($C169:$I169)=0,"",IFERROR((($C169-$F169)/$F169),"N/A"))))</f>
        <v>2.9985338521340488E-2</v>
      </c>
      <c r="R169" s="739">
        <f ca="1">IF(OR(+$J169="missing?",+$J169="new category"),"",IF($G169=0,"",IF(SUM($C169:$I169)=0,"",IFERROR((($C169-$G169)/$G169),"N/A"))))</f>
        <v>-4.188459036949891E-2</v>
      </c>
      <c r="S169" s="740">
        <f ca="1">IF(OR(+$J169="missing?",+$J169="new category"),"",IF($I169=0,"",IF(SUM($C169:$I169)=0,"",IFERROR((($C169-$I169)/$I169),"N/A"))))</f>
        <v>-1.1353242561925088E-2</v>
      </c>
      <c r="T169" s="1070">
        <f t="shared" ref="T169" ca="1" si="198">IF(SUM(C169:I169)=0,"",IF(OR(AND(C169=0,SUM(D169:I169)&gt;0),AND(C169&gt;0,SUM(D169:I169)=0)),1,IF(MAX(IF(O169&lt;0,-O169,O169),IF(P169&lt;0,-P169,P169),IF(Q169&lt;0,-Q169,Q169),IF(R169&lt;0,-R169,R169),IF(S169&lt;0,-S169,S169))=0,"",MAX(IF(O169&lt;0,-O169,O169),IF(P169&lt;0,-P169,P169),IF(Q169&lt;0,-Q169,Q169),IF(R169&lt;0,-R169,R169),IF(S169&lt;0,-S169,S169)))))</f>
        <v>6.8630163856333234E-2</v>
      </c>
      <c r="U169" s="1160">
        <f ca="1">IF(SUM(D169:J169)=0,"",IF(OR(AND(D169=0,SUM(G169:J169)&gt;0),AND(D169&gt;0,SUM(G169:J169)=0)),1,IF(MAX(IF(R169&lt;0,-R169,R169),IF(S169&lt;0,-S169,S169),IF(T169&lt;0,-T169,T169))=0,"",MAX(IF(R169&lt;0,-R169,R169),IF(S169&lt;0,-S169,S169),IF(T169&lt;0,-T169,T169)))))</f>
        <v>6.8630163856333234E-2</v>
      </c>
      <c r="V169" s="1399"/>
      <c r="W169" s="1399"/>
      <c r="X169" s="1399"/>
      <c r="Y169" s="2162" t="str">
        <f ca="1">IF(+T169="","",IF(T169&gt;$O$3,"H",IF(T169&gt;$O$4,"M","")))</f>
        <v>M</v>
      </c>
      <c r="Z169" s="2163"/>
      <c r="AA169" s="843"/>
      <c r="AB169" s="1014" t="str">
        <f ca="1">IF(CONCATENATE(IF(K169="OK","",J169),"    ",IF(L169="","",IF(N169="OK","",CONCATENATE(M169," = ",ROUND(L169,3),"kgCO2e/kWh"))),"    ",IF(AND(+AA169="",Y169="M"),"Value change with medium impact",IF(AND(AA169="",Y169="H"),"Value change with high impact",""))," ")="         ","",CONCATENATE(IF(K169="OK","",J169),"    ",IF(L169="","",IF(N169="OK","",CONCATENATE(M169," = ",ROUND(L169,3),"kgCO2e/kWh"))),"    ",IF(AND(+AA169="",Y169="M"),"Value change with medium impact",IF(AND(AA169="",Y169="H"),"Value change with high impact",""))," "))</f>
        <v xml:space="preserve">        Value change with medium impact </v>
      </c>
      <c r="AC169" s="113"/>
      <c r="AD169" s="113"/>
      <c r="AE169" s="113"/>
      <c r="AF169" s="113"/>
      <c r="AG169" s="113"/>
      <c r="AH169" s="113"/>
      <c r="AI169" s="113"/>
      <c r="AJ169" s="113"/>
      <c r="AK169" s="113"/>
      <c r="AL169" s="113"/>
      <c r="AM169" s="113"/>
      <c r="AN169" s="113"/>
      <c r="AO169" s="113"/>
      <c r="AP169" s="113"/>
      <c r="AQ169" s="113"/>
      <c r="AR169" s="113"/>
      <c r="AS169" s="113"/>
      <c r="AT169" s="113"/>
      <c r="AU169" s="113"/>
      <c r="AV169" s="113"/>
      <c r="AW169" s="113"/>
      <c r="AX169" s="113"/>
      <c r="AY169" s="113"/>
      <c r="AZ169" s="113"/>
      <c r="BA169" s="113"/>
      <c r="BB169" s="113"/>
      <c r="BC169" s="113"/>
    </row>
    <row r="170" spans="1:55" ht="14.4" x14ac:dyDescent="0.3">
      <c r="A170" s="90"/>
      <c r="B170" s="90"/>
      <c r="C170" s="814"/>
      <c r="D170" s="814"/>
      <c r="E170" s="814"/>
      <c r="F170" s="814"/>
      <c r="G170" s="814"/>
      <c r="H170" s="814"/>
      <c r="I170" s="671"/>
      <c r="J170" s="88"/>
      <c r="K170" s="88"/>
      <c r="L170" s="1015"/>
      <c r="M170" s="1016"/>
      <c r="N170" s="113"/>
      <c r="O170" s="93"/>
      <c r="P170" s="93"/>
      <c r="Q170" s="93"/>
      <c r="R170" s="93"/>
      <c r="S170" s="1015">
        <f ca="1">G169</f>
        <v>277524.5</v>
      </c>
      <c r="T170" s="1015"/>
      <c r="U170" s="1015"/>
      <c r="V170" s="1015"/>
      <c r="W170" s="1015"/>
      <c r="X170" s="1015"/>
      <c r="Y170" s="1015"/>
      <c r="Z170" s="1015"/>
      <c r="AA170" s="1015"/>
      <c r="AB170" s="1015"/>
      <c r="AC170" s="113"/>
      <c r="AD170" s="113"/>
      <c r="AE170" s="113"/>
      <c r="AF170" s="113"/>
      <c r="AG170" s="113"/>
      <c r="AH170" s="113"/>
      <c r="AI170" s="113"/>
      <c r="AJ170" s="113"/>
      <c r="AK170" s="113"/>
      <c r="AL170" s="113"/>
      <c r="AM170" s="113"/>
      <c r="AN170" s="113"/>
      <c r="AO170" s="113"/>
      <c r="AP170" s="113"/>
      <c r="AQ170" s="113"/>
      <c r="AR170" s="113"/>
      <c r="AS170" s="113"/>
      <c r="AT170" s="113"/>
      <c r="AU170" s="113"/>
      <c r="AV170" s="113"/>
      <c r="AW170" s="113"/>
      <c r="AX170" s="113"/>
      <c r="AY170" s="113"/>
      <c r="AZ170" s="113"/>
      <c r="BA170" s="113"/>
      <c r="BB170" s="113"/>
      <c r="BC170" s="113"/>
    </row>
    <row r="171" spans="1:55" ht="14.4" x14ac:dyDescent="0.3">
      <c r="A171" s="923" t="s">
        <v>169</v>
      </c>
      <c r="B171" s="87"/>
      <c r="C171" s="819" t="s">
        <v>23</v>
      </c>
      <c r="D171" s="819" t="s">
        <v>23</v>
      </c>
      <c r="E171" s="819" t="s">
        <v>23</v>
      </c>
      <c r="F171" s="819" t="s">
        <v>23</v>
      </c>
      <c r="G171" s="819" t="s">
        <v>23</v>
      </c>
      <c r="H171" s="819"/>
      <c r="I171" s="819" t="s">
        <v>23</v>
      </c>
      <c r="J171" s="819" t="s">
        <v>23</v>
      </c>
      <c r="K171" s="819" t="s">
        <v>23</v>
      </c>
      <c r="L171" s="819" t="s">
        <v>23</v>
      </c>
      <c r="M171" s="819" t="s">
        <v>23</v>
      </c>
      <c r="N171" s="819" t="s">
        <v>23</v>
      </c>
      <c r="O171" s="819" t="s">
        <v>23</v>
      </c>
      <c r="P171" s="819" t="s">
        <v>23</v>
      </c>
      <c r="Q171" s="819" t="s">
        <v>23</v>
      </c>
      <c r="R171" s="819" t="s">
        <v>23</v>
      </c>
      <c r="S171" s="819" t="s">
        <v>23</v>
      </c>
      <c r="T171" s="819" t="s">
        <v>23</v>
      </c>
      <c r="U171" s="819"/>
      <c r="V171" s="819"/>
      <c r="W171" s="819"/>
      <c r="X171" s="819"/>
      <c r="Y171" s="819" t="s">
        <v>23</v>
      </c>
      <c r="Z171" s="819" t="s">
        <v>23</v>
      </c>
      <c r="AA171" s="819" t="s">
        <v>23</v>
      </c>
      <c r="AB171" s="819" t="s">
        <v>23</v>
      </c>
      <c r="AC171" s="113"/>
      <c r="AD171" s="113"/>
      <c r="AE171" s="113"/>
      <c r="AF171" s="113"/>
      <c r="AG171" s="113"/>
      <c r="AH171" s="113"/>
      <c r="AI171" s="113"/>
      <c r="AJ171" s="113"/>
      <c r="AK171" s="113"/>
      <c r="AL171" s="113"/>
      <c r="AM171" s="113"/>
      <c r="AN171" s="113"/>
      <c r="AO171" s="113"/>
      <c r="AP171" s="113"/>
      <c r="AQ171" s="113"/>
      <c r="AR171" s="113"/>
      <c r="AS171" s="113"/>
      <c r="AT171" s="113"/>
      <c r="AU171" s="113"/>
      <c r="AV171" s="113"/>
      <c r="AW171" s="113"/>
      <c r="AX171" s="113"/>
      <c r="AY171" s="113"/>
      <c r="AZ171" s="113"/>
      <c r="BA171" s="113"/>
      <c r="BB171" s="113"/>
      <c r="BC171" s="113"/>
    </row>
    <row r="172" spans="1:55" ht="12.75" customHeight="1" x14ac:dyDescent="0.3">
      <c r="A172" s="1170"/>
      <c r="B172" s="90"/>
      <c r="C172" s="814"/>
      <c r="D172" s="814"/>
      <c r="E172" s="814"/>
      <c r="F172" s="814"/>
      <c r="G172" s="814"/>
      <c r="H172" s="814"/>
      <c r="I172" s="814"/>
      <c r="J172" s="93"/>
      <c r="K172" s="93"/>
      <c r="L172" s="93"/>
      <c r="M172" s="718"/>
      <c r="N172" s="113"/>
      <c r="O172" s="93"/>
      <c r="P172" s="93"/>
      <c r="Q172" s="93"/>
      <c r="R172" s="93"/>
      <c r="S172" s="93"/>
      <c r="T172" s="919"/>
      <c r="U172" s="919"/>
      <c r="V172" s="919"/>
      <c r="W172" s="919"/>
      <c r="X172" s="919"/>
      <c r="Y172" s="710"/>
      <c r="Z172" s="711"/>
      <c r="AA172" s="196"/>
      <c r="AB172" s="93"/>
      <c r="AC172" s="113"/>
      <c r="AD172" s="113"/>
      <c r="AE172" s="113"/>
      <c r="AF172" s="113"/>
      <c r="AG172" s="113"/>
      <c r="AH172" s="113"/>
      <c r="AI172" s="113"/>
      <c r="AJ172" s="113"/>
      <c r="AK172" s="113"/>
      <c r="AL172" s="113"/>
      <c r="AM172" s="113"/>
      <c r="AN172" s="113"/>
      <c r="AO172" s="113"/>
      <c r="AP172" s="113"/>
      <c r="AQ172" s="113"/>
      <c r="AR172" s="113"/>
      <c r="AS172" s="113"/>
      <c r="AT172" s="113"/>
      <c r="AU172" s="113"/>
      <c r="AV172" s="113"/>
      <c r="AW172" s="113"/>
      <c r="AX172" s="113"/>
      <c r="AY172" s="113"/>
      <c r="AZ172" s="113"/>
      <c r="BA172" s="113"/>
      <c r="BB172" s="113"/>
      <c r="BC172" s="113"/>
    </row>
    <row r="173" spans="1:55" ht="14.55" customHeight="1" x14ac:dyDescent="0.3">
      <c r="A173" s="673"/>
      <c r="B173" s="673"/>
      <c r="C173" s="671"/>
      <c r="D173" s="671"/>
      <c r="E173" s="671"/>
      <c r="F173" s="671"/>
      <c r="G173" s="814"/>
      <c r="H173" s="814"/>
      <c r="I173" s="814"/>
      <c r="J173" s="93"/>
      <c r="K173" s="1007"/>
      <c r="L173" s="1017"/>
      <c r="M173" s="1017"/>
      <c r="N173" s="113"/>
      <c r="O173" s="93"/>
      <c r="P173" s="93"/>
      <c r="Q173" s="93"/>
      <c r="R173" s="93"/>
      <c r="S173" s="93"/>
      <c r="T173" s="919"/>
      <c r="U173" s="919"/>
      <c r="V173" s="919"/>
      <c r="W173" s="919"/>
      <c r="X173" s="919"/>
      <c r="Y173" s="710"/>
      <c r="Z173" s="711"/>
      <c r="AA173" s="196"/>
      <c r="AB173" s="93"/>
      <c r="AC173" s="113"/>
      <c r="AD173" s="113"/>
      <c r="AE173" s="113"/>
      <c r="AF173" s="113"/>
      <c r="AG173" s="113"/>
      <c r="AH173" s="113"/>
      <c r="AI173" s="113"/>
      <c r="AJ173" s="113"/>
      <c r="AK173" s="113"/>
      <c r="AL173" s="113"/>
      <c r="AM173" s="113"/>
      <c r="AN173" s="113"/>
      <c r="AO173" s="113"/>
      <c r="AP173" s="113"/>
      <c r="AQ173" s="113"/>
      <c r="AR173" s="113"/>
      <c r="AS173" s="113"/>
      <c r="AT173" s="113"/>
      <c r="AU173" s="113"/>
      <c r="AV173" s="113"/>
      <c r="AW173" s="113"/>
      <c r="AX173" s="113"/>
      <c r="AY173" s="113"/>
      <c r="AZ173" s="113"/>
      <c r="BA173" s="113"/>
      <c r="BB173" s="113"/>
      <c r="BC173" s="113"/>
    </row>
    <row r="174" spans="1:55" ht="12" customHeight="1" thickBot="1" x14ac:dyDescent="0.35">
      <c r="A174" s="673"/>
      <c r="B174" s="673"/>
      <c r="C174" s="671"/>
      <c r="D174" s="671"/>
      <c r="E174" s="671"/>
      <c r="F174" s="671"/>
      <c r="G174" s="814"/>
      <c r="H174" s="814"/>
      <c r="I174" s="814"/>
      <c r="J174" s="93"/>
      <c r="K174" s="1007"/>
      <c r="L174" s="1007"/>
      <c r="M174" s="1007"/>
      <c r="N174" s="1170"/>
      <c r="O174" s="93"/>
      <c r="P174" s="93"/>
      <c r="Q174" s="93"/>
      <c r="R174" s="93"/>
      <c r="S174" s="93"/>
      <c r="T174" s="919"/>
      <c r="U174" s="919"/>
      <c r="V174" s="919"/>
      <c r="W174" s="919"/>
      <c r="X174" s="919"/>
      <c r="Y174" s="710"/>
      <c r="Z174" s="711"/>
      <c r="AA174" s="106"/>
      <c r="AB174" s="93"/>
      <c r="AC174" s="1170"/>
      <c r="AD174" s="1170"/>
      <c r="AE174" s="1170"/>
      <c r="AF174" s="1170"/>
      <c r="AG174" s="1170"/>
      <c r="AH174" s="1170"/>
      <c r="AI174" s="1170"/>
      <c r="AJ174" s="1170"/>
      <c r="AK174" s="1170"/>
      <c r="AL174" s="1170"/>
      <c r="AM174" s="1170"/>
      <c r="AN174" s="1170"/>
      <c r="AO174" s="1170"/>
      <c r="AP174" s="1170"/>
      <c r="AQ174" s="1170"/>
      <c r="AR174" s="1170"/>
      <c r="AS174" s="1170"/>
      <c r="AT174" s="1170"/>
      <c r="AU174" s="1170"/>
      <c r="AV174" s="1170"/>
      <c r="AW174" s="1170"/>
      <c r="AX174" s="1170"/>
      <c r="AY174" s="1170"/>
      <c r="AZ174" s="1170"/>
      <c r="BA174" s="1170"/>
      <c r="BB174" s="1170"/>
      <c r="BC174" s="1170"/>
    </row>
    <row r="175" spans="1:55" ht="27.6" x14ac:dyDescent="0.3">
      <c r="A175" s="100"/>
      <c r="B175" s="1018"/>
      <c r="C175" s="1282" t="s">
        <v>176</v>
      </c>
      <c r="D175" s="2164" t="s">
        <v>177</v>
      </c>
      <c r="E175" s="2165"/>
      <c r="F175" s="2165"/>
      <c r="G175" s="2166"/>
      <c r="H175" s="2167"/>
      <c r="I175" s="2167"/>
      <c r="J175" s="2168" t="s">
        <v>428</v>
      </c>
      <c r="K175" s="2169"/>
      <c r="L175" s="2170" t="s">
        <v>452</v>
      </c>
      <c r="M175" s="2171"/>
      <c r="N175" s="2172"/>
      <c r="O175" s="2173" t="s">
        <v>430</v>
      </c>
      <c r="P175" s="2170"/>
      <c r="Q175" s="2170"/>
      <c r="R175" s="2171"/>
      <c r="S175" s="2174"/>
      <c r="T175" s="2170" t="s">
        <v>418</v>
      </c>
      <c r="U175" s="2171"/>
      <c r="V175" s="2171"/>
      <c r="W175" s="2171"/>
      <c r="X175" s="2171"/>
      <c r="Y175" s="2171"/>
      <c r="Z175" s="2171"/>
      <c r="AA175" s="2174"/>
      <c r="AB175" s="2152" t="s">
        <v>433</v>
      </c>
      <c r="AC175" s="1170"/>
      <c r="AD175" s="1170"/>
      <c r="AE175" s="1170"/>
      <c r="AF175" s="1170"/>
      <c r="AG175" s="1170"/>
      <c r="AH175" s="1170"/>
      <c r="AI175" s="1170"/>
      <c r="AJ175" s="1170"/>
      <c r="AK175" s="1170"/>
      <c r="AL175" s="1170"/>
      <c r="AM175" s="1170"/>
      <c r="AN175" s="1170"/>
      <c r="AO175" s="1170"/>
      <c r="AP175" s="1170"/>
      <c r="AQ175" s="1170"/>
      <c r="AR175" s="1170"/>
      <c r="AS175" s="1170"/>
      <c r="AT175" s="1170"/>
      <c r="AU175" s="1170"/>
      <c r="AV175" s="1170"/>
      <c r="AW175" s="1170"/>
      <c r="AX175" s="1170"/>
      <c r="AY175" s="1170"/>
      <c r="AZ175" s="1170"/>
      <c r="BA175" s="1170"/>
      <c r="BB175" s="1170"/>
      <c r="BC175" s="1170"/>
    </row>
    <row r="176" spans="1:55" ht="47.55" customHeight="1" thickBot="1" x14ac:dyDescent="0.35">
      <c r="A176" s="102"/>
      <c r="B176" s="1019"/>
      <c r="C176" s="1283" t="str">
        <f>C14</f>
        <v>Q1</v>
      </c>
      <c r="D176" s="721" t="str">
        <f t="shared" ref="D176:I176" si="199">D14</f>
        <v>Q4-19</v>
      </c>
      <c r="E176" s="925" t="str">
        <f t="shared" si="199"/>
        <v>Q3-19</v>
      </c>
      <c r="F176" s="925" t="str">
        <f t="shared" si="199"/>
        <v>Q2-19</v>
      </c>
      <c r="G176" s="722" t="str">
        <f t="shared" si="199"/>
        <v>Q1-19</v>
      </c>
      <c r="H176" s="722" t="str">
        <f t="shared" si="199"/>
        <v>2018-2019</v>
      </c>
      <c r="I176" s="926" t="str">
        <f t="shared" si="199"/>
        <v>25% of previous year total</v>
      </c>
      <c r="J176" s="724" t="s">
        <v>434</v>
      </c>
      <c r="K176" s="725" t="s">
        <v>435</v>
      </c>
      <c r="L176" s="2154" t="str">
        <f>CONCATENATE("Average flight distance = ",+O8," to ",+O9," km")</f>
        <v>Average flight distance = 100 to 800 km</v>
      </c>
      <c r="M176" s="2155"/>
      <c r="N176" s="1020" t="s">
        <v>435</v>
      </c>
      <c r="O176" s="728" t="s">
        <v>438</v>
      </c>
      <c r="P176" s="925" t="s">
        <v>470</v>
      </c>
      <c r="Q176" s="925" t="s">
        <v>471</v>
      </c>
      <c r="R176" s="1169" t="s">
        <v>439</v>
      </c>
      <c r="S176" s="729" t="s">
        <v>440</v>
      </c>
      <c r="T176" s="2156" t="s">
        <v>441</v>
      </c>
      <c r="U176" s="2155"/>
      <c r="V176" s="1394"/>
      <c r="W176" s="1394"/>
      <c r="X176" s="1394"/>
      <c r="Y176" s="2157" t="s">
        <v>453</v>
      </c>
      <c r="Z176" s="2155"/>
      <c r="AA176" s="729" t="s">
        <v>445</v>
      </c>
      <c r="AB176" s="2153"/>
      <c r="AC176" s="1170"/>
      <c r="AD176" s="1170"/>
      <c r="AE176" s="1170"/>
      <c r="AF176" s="1170"/>
      <c r="AG176" s="1170"/>
      <c r="AH176" s="1170"/>
      <c r="AI176" s="1170"/>
      <c r="AJ176" s="1170"/>
      <c r="AK176" s="1170"/>
      <c r="AL176" s="1170"/>
      <c r="AM176" s="1170"/>
      <c r="AN176" s="1170"/>
      <c r="AO176" s="1170"/>
      <c r="AP176" s="1170"/>
      <c r="AQ176" s="1170"/>
      <c r="AR176" s="1170"/>
      <c r="AS176" s="1170"/>
      <c r="AT176" s="1170"/>
      <c r="AU176" s="1170"/>
      <c r="AV176" s="1170"/>
      <c r="AW176" s="1170"/>
      <c r="AX176" s="1170"/>
      <c r="AY176" s="1170"/>
      <c r="AZ176" s="1170"/>
      <c r="BA176" s="1170"/>
      <c r="BB176" s="1170"/>
      <c r="BC176" s="1170"/>
    </row>
    <row r="177" spans="1:55" ht="12" customHeight="1" x14ac:dyDescent="0.3">
      <c r="A177" s="1021" t="s">
        <v>187</v>
      </c>
      <c r="B177" s="1022"/>
      <c r="C177" s="1195">
        <f t="shared" ref="C177:H177" ca="1" si="200">INDIRECT(CONCATENATE("'",C$14,"'!$D$197"),TRUE)</f>
        <v>976</v>
      </c>
      <c r="D177" s="1196">
        <f t="shared" ca="1" si="200"/>
        <v>1088</v>
      </c>
      <c r="E177" s="1197">
        <f t="shared" ca="1" si="200"/>
        <v>1075</v>
      </c>
      <c r="F177" s="1197">
        <f t="shared" ca="1" si="200"/>
        <v>978</v>
      </c>
      <c r="G177" s="1197">
        <f t="shared" ca="1" si="200"/>
        <v>1059</v>
      </c>
      <c r="H177" s="1197">
        <f t="shared" ca="1" si="200"/>
        <v>4200</v>
      </c>
      <c r="I177" s="1208">
        <f t="shared" ref="I177" ca="1" si="201">H177/4</f>
        <v>1050</v>
      </c>
      <c r="J177" s="973" t="str">
        <f ca="1">IF(AND(C177&gt;0,SUM(D177:I177)&gt;0),"",IF(AND(C177=0,SUM(C177:I177)=0),"",IF(AND(C177=0,D177&gt;0),"missing?",IF(AND(C177=0,I177&gt;0),"missing?","new category"))))</f>
        <v/>
      </c>
      <c r="K177" s="751"/>
      <c r="L177" s="2158"/>
      <c r="M177" s="2159"/>
      <c r="N177" s="1023"/>
      <c r="O177" s="1024">
        <f ca="1">IF(OR(+$J177="missing?",+$J177="new category"),"",IF($D177=0,"",IF(SUM($C177:$I177)=0,"",IFERROR((($C177-$D177)/$D177),"N/A"))))</f>
        <v>-0.10294117647058823</v>
      </c>
      <c r="P177" s="808">
        <f t="shared" ref="P177:P178" ca="1" si="202">IF(OR(+$J177="missing?",+$J177="new category"),"",IF($E177=0,"",IF(SUM($C177:$I177)=0,"",IFERROR((($C177-$E177)/$E177),"N/A"))))</f>
        <v>-9.2093023255813949E-2</v>
      </c>
      <c r="Q177" s="808">
        <f t="shared" ref="Q177:Q178" ca="1" si="203">IF(OR(+$J177="missing?",+$J177="new category"),"",IF($F177=0,"",IF(SUM($C177:$I177)=0,"",IFERROR((($C177-$F177)/$F177),"N/A"))))</f>
        <v>-2.0449897750511249E-3</v>
      </c>
      <c r="R177" s="808">
        <f ca="1">IF(OR(+$J177="missing?",+$J177="new category"),"",IF($G177=0,"",IF(SUM($C177:$I177)=0,"",IFERROR((($C177-$G177)/$G177),"N/A"))))</f>
        <v>-7.8375826251180364E-2</v>
      </c>
      <c r="S177" s="974">
        <f ca="1">IF(OR(+$J177="missing?",+$J177="new category"),"",IF($I177=0,"",IF(SUM($C177:$I177)=0,"",IFERROR((($C177-$I177)/$I177),"N/A"))))</f>
        <v>-7.047619047619047E-2</v>
      </c>
      <c r="T177" s="1166">
        <f t="shared" ref="T177:T178" ca="1" si="204">IF(SUM(C177:I177)=0,"",IF(OR(AND(C177=0,SUM(D177:I177)&gt;0),AND(C177&gt;0,SUM(D177:I177)=0)),1,IF(MAX(IF(O177&lt;0,-O177,O177),IF(P177&lt;0,-P177,P177),IF(Q177&lt;0,-Q177,Q177),IF(R177&lt;0,-R177,R177),IF(S177&lt;0,-S177,S177))=0,"",MAX(IF(O177&lt;0,-O177,O177),IF(P177&lt;0,-P177,P177),IF(Q177&lt;0,-Q177,Q177),IF(R177&lt;0,-R177,R177),IF(S177&lt;0,-S177,S177)))))</f>
        <v>0.10294117647058823</v>
      </c>
      <c r="U177" s="1166">
        <f ca="1">IF(SUM(D177:J177)=0,"",IF(OR(AND(D177=0,SUM(G177:J177)&gt;0),AND(D177&gt;0,SUM(G177:J177)=0)),1,IF(MAX(IF(R177&lt;0,-R177,R177),IF(S177&lt;0,-S177,S177),IF(T177&lt;0,-T177,T177))=0,"",MAX(IF(R177&lt;0,-R177,R177),IF(S177&lt;0,-S177,S177),IF(T177&lt;0,-T177,T177)))))</f>
        <v>0.10294117647058823</v>
      </c>
      <c r="V177" s="1400"/>
      <c r="W177" s="1400"/>
      <c r="X177" s="1400"/>
      <c r="Y177" s="2160" t="str">
        <f ca="1">IF(+T177="","",IF(T177&gt;$P$3,"H",IF(T177&gt;$P$4,"M","")))</f>
        <v>M</v>
      </c>
      <c r="Z177" s="2161"/>
      <c r="AA177" s="751"/>
      <c r="AB177" s="871" t="str">
        <f t="shared" ref="AB177" ca="1" si="205">IF(CONCATENATE(IF(K177="OK","",J177),"    ",IF(L177="","",IF(N177="OK","",CONCATENATE(M177," = ",ROUND(L177,3),"kgCO2e/kWh"))),"    ",IF(AND(+AA177="",Y177="M"),"Value change with medium impact",IF(AND(AA177="",Y177="H"),"Value change with high impact",""))," ")="         ","",CONCATENATE(IF(K177="OK","",J177),"    ",IF(L177="","",IF(N177="OK","",CONCATENATE(M177," = ",ROUND(L177,3),"kgCO2e/kWh"))),"    ",IF(AND(+AA177="",Y177="M"),"Value change with medium impact",IF(AND(AA177="",Y177="H"),"Value change with high impact",""))," "))</f>
        <v xml:space="preserve">        Value change with medium impact </v>
      </c>
      <c r="AC177" s="1170"/>
      <c r="AD177" s="1170"/>
      <c r="AE177" s="1170"/>
      <c r="AF177" s="1170"/>
      <c r="AG177" s="1170"/>
      <c r="AH177" s="1170"/>
      <c r="AI177" s="1170"/>
      <c r="AJ177" s="1170"/>
      <c r="AK177" s="1170"/>
      <c r="AL177" s="1170"/>
      <c r="AM177" s="1170"/>
      <c r="AN177" s="1170"/>
      <c r="AO177" s="1170"/>
      <c r="AP177" s="1170"/>
      <c r="AQ177" s="1170"/>
      <c r="AR177" s="1170"/>
      <c r="AS177" s="1170"/>
      <c r="AT177" s="1170"/>
      <c r="AU177" s="1170"/>
      <c r="AV177" s="1170"/>
      <c r="AW177" s="1170"/>
      <c r="AX177" s="1170"/>
      <c r="AY177" s="1170"/>
      <c r="AZ177" s="1170"/>
      <c r="BA177" s="1170"/>
      <c r="BB177" s="1170"/>
      <c r="BC177" s="1170"/>
    </row>
    <row r="178" spans="1:55" ht="12" customHeight="1" thickBot="1" x14ac:dyDescent="0.35">
      <c r="A178" s="1025" t="s">
        <v>188</v>
      </c>
      <c r="B178" s="1026"/>
      <c r="C178" s="1027">
        <f t="shared" ref="C178:H178" ca="1" si="206">INDIRECT(CONCATENATE("'",C$14,"'!$D$198"),TRUE)</f>
        <v>445.94013081485554</v>
      </c>
      <c r="D178" s="1028">
        <f t="shared" ca="1" si="206"/>
        <v>427.86793783900828</v>
      </c>
      <c r="E178" s="1029">
        <f t="shared" ca="1" si="206"/>
        <v>434.31989490597675</v>
      </c>
      <c r="F178" s="1029">
        <f t="shared" ca="1" si="206"/>
        <v>446.02420462079817</v>
      </c>
      <c r="G178" s="1029">
        <f t="shared" ca="1" si="206"/>
        <v>443.3056831568789</v>
      </c>
      <c r="H178" s="1029">
        <f t="shared" ca="1" si="206"/>
        <v>437.63966523215277</v>
      </c>
      <c r="I178" s="1030">
        <f ca="1">H178</f>
        <v>437.63966523215277</v>
      </c>
      <c r="J178" s="812" t="str">
        <f ca="1">IF(AND(C178&gt;0,SUM(D178:I178)&gt;0),"",IF(AND(C178=0,SUM(C178:I178)=0),"",IF(AND(C178=0,D178&gt;0),"missing?",IF(AND(C178=0,I178&gt;0),"missing?","new category"))))</f>
        <v/>
      </c>
      <c r="K178" s="790"/>
      <c r="L178" s="2148" t="str">
        <f ca="1">IF(C178&gt;+O9,"too high?",IF(C178&lt;+O8,"too low?",""))</f>
        <v/>
      </c>
      <c r="M178" s="2149"/>
      <c r="N178" s="796"/>
      <c r="O178" s="813">
        <f ca="1">IF(OR(+$J178="missing?",+$J178="new category"),"",IF($D178=0,"",IF(SUM($C178:$I178)=0,"",IFERROR((($C178-$D178)/$D178),"N/A"))))</f>
        <v>4.223778268388783E-2</v>
      </c>
      <c r="P178" s="1072">
        <f t="shared" ca="1" si="202"/>
        <v>2.6755016394987792E-2</v>
      </c>
      <c r="Q178" s="1072">
        <f t="shared" ca="1" si="203"/>
        <v>-1.8849606158507739E-4</v>
      </c>
      <c r="R178" s="1072">
        <f ca="1">IF(OR(+$J178="missing?",+$J178="new category"),"",IF($G178=0,"",IF(SUM($C178:$I178)=0,"",IFERROR((($C178-$G178)/$G178),"N/A"))))</f>
        <v>5.9427337795810459E-3</v>
      </c>
      <c r="S178" s="1075">
        <f ca="1">IF(OR(+$J178="missing?",+$J178="new category"),"",IF($I178=0,"",IF(SUM($C178:$I178)=0,"",IFERROR((($C178-$I178)/$I178),"N/A"))))</f>
        <v>1.8966438013107562E-2</v>
      </c>
      <c r="T178" s="1163">
        <f t="shared" ca="1" si="204"/>
        <v>4.223778268388783E-2</v>
      </c>
      <c r="U178" s="1163">
        <f ca="1">IF(SUM(D178:J178)=0,"",IF(OR(AND(D178=0,SUM(G178:J178)&gt;0),AND(D178&gt;0,SUM(G178:J178)=0)),1,IF(MAX(IF(R178&lt;0,-R178,R178),IF(S178&lt;0,-S178,S178),IF(T178&lt;0,-T178,T178))=0,"",MAX(IF(R178&lt;0,-R178,R178),IF(S178&lt;0,-S178,S178),IF(T178&lt;0,-T178,T178)))))</f>
        <v>4.223778268388783E-2</v>
      </c>
      <c r="V178" s="1401"/>
      <c r="W178" s="1401"/>
      <c r="X178" s="1401"/>
      <c r="Y178" s="2150" t="str">
        <f ca="1">IF(+T178="","",IF(T178&gt;$P$3,"H",IF(T178&gt;$P$4,"M","")))</f>
        <v/>
      </c>
      <c r="Z178" s="2151"/>
      <c r="AA178" s="790"/>
      <c r="AB178" s="954" t="str">
        <f ca="1">+L178</f>
        <v/>
      </c>
      <c r="AC178" s="1170"/>
      <c r="AD178" s="1170"/>
      <c r="AE178" s="1170"/>
      <c r="AF178" s="1170"/>
      <c r="AG178" s="1170"/>
      <c r="AH178" s="1170"/>
      <c r="AI178" s="1170"/>
      <c r="AJ178" s="1170"/>
      <c r="AK178" s="1170"/>
      <c r="AL178" s="1170"/>
      <c r="AM178" s="1170"/>
      <c r="AN178" s="1170"/>
      <c r="AO178" s="1170"/>
      <c r="AP178" s="1170"/>
      <c r="AQ178" s="1170"/>
      <c r="AR178" s="1170"/>
      <c r="AS178" s="1170"/>
      <c r="AT178" s="1170"/>
      <c r="AU178" s="1170"/>
      <c r="AV178" s="1170"/>
      <c r="AW178" s="1170"/>
      <c r="AX178" s="1170"/>
      <c r="AY178" s="1170"/>
      <c r="AZ178" s="1170"/>
      <c r="BA178" s="1170"/>
      <c r="BB178" s="1170"/>
      <c r="BC178" s="1170"/>
    </row>
  </sheetData>
  <sheetProtection algorithmName="SHA-512" hashValue="PB0RT9vvCr6ZGvpQOEd8mYRGdZjdMvyQNCLA5Jtb+swAKgE3BQgXTKOm8cyPNjlE/keHw1SeLk+eO2qQInPiZw==" saltValue="8/aFzKvnLkOkJmYT2agNSQ==" spinCount="100000" sheet="1" objects="1" scenarios="1"/>
  <mergeCells count="136">
    <mergeCell ref="J2:K2"/>
    <mergeCell ref="AK2:AL2"/>
    <mergeCell ref="AU9:AV11"/>
    <mergeCell ref="AU12:BA12"/>
    <mergeCell ref="A13:B14"/>
    <mergeCell ref="AP13:AT13"/>
    <mergeCell ref="AU13:BB13"/>
    <mergeCell ref="J7:J10"/>
    <mergeCell ref="T14:U14"/>
    <mergeCell ref="Y14:Z14"/>
    <mergeCell ref="AK7:AK10"/>
    <mergeCell ref="BC13:BC14"/>
    <mergeCell ref="A15:B15"/>
    <mergeCell ref="A32:A43"/>
    <mergeCell ref="AB13:AB14"/>
    <mergeCell ref="AC13:AC14"/>
    <mergeCell ref="AE13:AJ13"/>
    <mergeCell ref="AK13:AL13"/>
    <mergeCell ref="AM13:AO13"/>
    <mergeCell ref="D13:I13"/>
    <mergeCell ref="J13:K13"/>
    <mergeCell ref="L13:N13"/>
    <mergeCell ref="O13:S13"/>
    <mergeCell ref="T13:AA13"/>
    <mergeCell ref="A16:A31"/>
    <mergeCell ref="BC47:BC48"/>
    <mergeCell ref="A49:B49"/>
    <mergeCell ref="A54:B55"/>
    <mergeCell ref="D54:I54"/>
    <mergeCell ref="J54:K54"/>
    <mergeCell ref="L54:N54"/>
    <mergeCell ref="T47:AA47"/>
    <mergeCell ref="AB47:AB48"/>
    <mergeCell ref="AC47:AC48"/>
    <mergeCell ref="AE47:AJ47"/>
    <mergeCell ref="AK47:AL47"/>
    <mergeCell ref="A47:B48"/>
    <mergeCell ref="D47:I47"/>
    <mergeCell ref="J47:K47"/>
    <mergeCell ref="L47:N47"/>
    <mergeCell ref="O47:S47"/>
    <mergeCell ref="O54:S54"/>
    <mergeCell ref="T54:AA54"/>
    <mergeCell ref="AB54:AB55"/>
    <mergeCell ref="T55:U55"/>
    <mergeCell ref="T48:U48"/>
    <mergeCell ref="Y55:Z55"/>
    <mergeCell ref="Y48:Z48"/>
    <mergeCell ref="O118:S118"/>
    <mergeCell ref="T118:AA118"/>
    <mergeCell ref="AB118:AB119"/>
    <mergeCell ref="A56:B56"/>
    <mergeCell ref="A78:B78"/>
    <mergeCell ref="AM47:AO47"/>
    <mergeCell ref="AP47:AT47"/>
    <mergeCell ref="AU47:BB47"/>
    <mergeCell ref="AU131:AV133"/>
    <mergeCell ref="A100:B100"/>
    <mergeCell ref="A101:A113"/>
    <mergeCell ref="D118:I118"/>
    <mergeCell ref="J118:K118"/>
    <mergeCell ref="L118:N118"/>
    <mergeCell ref="A120:A126"/>
    <mergeCell ref="A127:A133"/>
    <mergeCell ref="A57:A77"/>
    <mergeCell ref="A79:A99"/>
    <mergeCell ref="T119:U119"/>
    <mergeCell ref="Y119:Z119"/>
    <mergeCell ref="O138:S138"/>
    <mergeCell ref="T138:AA138"/>
    <mergeCell ref="AB138:AB139"/>
    <mergeCell ref="AC138:AC139"/>
    <mergeCell ref="AE138:AJ138"/>
    <mergeCell ref="B138:B139"/>
    <mergeCell ref="D138:I138"/>
    <mergeCell ref="J138:K138"/>
    <mergeCell ref="L138:M139"/>
    <mergeCell ref="N138:N139"/>
    <mergeCell ref="AK138:AL138"/>
    <mergeCell ref="AM138:AO138"/>
    <mergeCell ref="AP138:AT138"/>
    <mergeCell ref="AU138:BB138"/>
    <mergeCell ref="BC138:BC139"/>
    <mergeCell ref="T139:U139"/>
    <mergeCell ref="Y139:Z139"/>
    <mergeCell ref="AM139:AN139"/>
    <mergeCell ref="AU139:AV139"/>
    <mergeCell ref="AZ139:BA139"/>
    <mergeCell ref="AM142:AN142"/>
    <mergeCell ref="AU142:AV142"/>
    <mergeCell ref="AZ142:BA142"/>
    <mergeCell ref="D147:I147"/>
    <mergeCell ref="J147:K147"/>
    <mergeCell ref="L147:N147"/>
    <mergeCell ref="O147:S147"/>
    <mergeCell ref="L140:M140"/>
    <mergeCell ref="Y140:Z140"/>
    <mergeCell ref="AU140:AV140"/>
    <mergeCell ref="AZ140:BA140"/>
    <mergeCell ref="AU141:AV141"/>
    <mergeCell ref="AZ141:BA141"/>
    <mergeCell ref="AB167:AB168"/>
    <mergeCell ref="T168:U168"/>
    <mergeCell ref="Y168:Z168"/>
    <mergeCell ref="AM147:AO147"/>
    <mergeCell ref="AP147:AT147"/>
    <mergeCell ref="AU147:BB147"/>
    <mergeCell ref="BC147:BC148"/>
    <mergeCell ref="T148:U148"/>
    <mergeCell ref="Y148:Z148"/>
    <mergeCell ref="AU148:AV148"/>
    <mergeCell ref="AZ148:BA148"/>
    <mergeCell ref="T147:AA147"/>
    <mergeCell ref="AB147:AB148"/>
    <mergeCell ref="AC147:AC148"/>
    <mergeCell ref="AE147:AJ147"/>
    <mergeCell ref="AK147:AL147"/>
    <mergeCell ref="D175:I175"/>
    <mergeCell ref="J175:K175"/>
    <mergeCell ref="L175:N175"/>
    <mergeCell ref="O175:S175"/>
    <mergeCell ref="T175:AA175"/>
    <mergeCell ref="D167:I167"/>
    <mergeCell ref="J167:K167"/>
    <mergeCell ref="L167:N167"/>
    <mergeCell ref="O167:S167"/>
    <mergeCell ref="T167:AA167"/>
    <mergeCell ref="L178:M178"/>
    <mergeCell ref="Y178:Z178"/>
    <mergeCell ref="AB175:AB176"/>
    <mergeCell ref="L176:M176"/>
    <mergeCell ref="T176:U176"/>
    <mergeCell ref="Y176:Z176"/>
    <mergeCell ref="L177:M177"/>
    <mergeCell ref="Y177:Z177"/>
    <mergeCell ref="Y169:Z169"/>
  </mergeCells>
  <conditionalFormatting sqref="K15 J53 J15:J43">
    <cfRule type="expression" dxfId="1306" priority="768" stopIfTrue="1">
      <formula>K15="OK"</formula>
    </cfRule>
    <cfRule type="containsText" dxfId="1305" priority="769" operator="containsText" text="g">
      <formula>NOT(ISERROR(SEARCH("g",J15)))</formula>
    </cfRule>
  </conditionalFormatting>
  <conditionalFormatting sqref="L53 L15:L37">
    <cfRule type="expression" dxfId="1304" priority="767" stopIfTrue="1">
      <formula>N15="OK"</formula>
    </cfRule>
    <cfRule type="notContainsBlanks" dxfId="1303" priority="770">
      <formula>LEN(TRIM(L15))&gt;0</formula>
    </cfRule>
  </conditionalFormatting>
  <conditionalFormatting sqref="K16:K43">
    <cfRule type="expression" dxfId="1302" priority="756">
      <formula>J16=""</formula>
    </cfRule>
  </conditionalFormatting>
  <conditionalFormatting sqref="L38:L43">
    <cfRule type="expression" dxfId="1301" priority="760" stopIfTrue="1">
      <formula>N38="OK"</formula>
    </cfRule>
    <cfRule type="notContainsBlanks" dxfId="1300" priority="761">
      <formula>LEN(TRIM(L38))&gt;0</formula>
    </cfRule>
  </conditionalFormatting>
  <conditionalFormatting sqref="AM15:AM20">
    <cfRule type="expression" dxfId="1299" priority="758" stopIfTrue="1">
      <formula>AO15="OK"</formula>
    </cfRule>
    <cfRule type="notContainsBlanks" dxfId="1298" priority="759">
      <formula>LEN(TRIM(AM15))&gt;0</formula>
    </cfRule>
  </conditionalFormatting>
  <conditionalFormatting sqref="N24:N43">
    <cfRule type="expression" dxfId="1297" priority="755">
      <formula>M24=""</formula>
    </cfRule>
  </conditionalFormatting>
  <conditionalFormatting sqref="AA16:AA43">
    <cfRule type="expression" dxfId="1296" priority="754">
      <formula>Z16=""</formula>
    </cfRule>
  </conditionalFormatting>
  <conditionalFormatting sqref="AL16:AL20">
    <cfRule type="expression" dxfId="1295" priority="753">
      <formula>AK16=""</formula>
    </cfRule>
  </conditionalFormatting>
  <conditionalFormatting sqref="BB16:BB20">
    <cfRule type="expression" dxfId="1294" priority="748">
      <formula>BA16=""</formula>
    </cfRule>
  </conditionalFormatting>
  <conditionalFormatting sqref="J50:J51 J56 J114:J117">
    <cfRule type="expression" dxfId="1293" priority="745" stopIfTrue="1">
      <formula>K50="OK"</formula>
    </cfRule>
    <cfRule type="containsText" dxfId="1292" priority="746" operator="containsText" text="g">
      <formula>NOT(ISERROR(SEARCH("g",J50)))</formula>
    </cfRule>
  </conditionalFormatting>
  <conditionalFormatting sqref="L49:L51 L114:L115">
    <cfRule type="expression" dxfId="1291" priority="744" stopIfTrue="1">
      <formula>N49="OK"</formula>
    </cfRule>
    <cfRule type="notContainsBlanks" dxfId="1290" priority="747">
      <formula>LEN(TRIM(L49))&gt;0</formula>
    </cfRule>
  </conditionalFormatting>
  <conditionalFormatting sqref="J158:J160">
    <cfRule type="expression" dxfId="1289" priority="739" stopIfTrue="1">
      <formula>K158="OK"</formula>
    </cfRule>
    <cfRule type="containsText" dxfId="1288" priority="740" operator="containsText" text="g">
      <formula>NOT(ISERROR(SEARCH("g",J158)))</formula>
    </cfRule>
  </conditionalFormatting>
  <conditionalFormatting sqref="J100">
    <cfRule type="expression" dxfId="1287" priority="737" stopIfTrue="1">
      <formula>K100="OK"</formula>
    </cfRule>
    <cfRule type="containsText" dxfId="1286" priority="738" operator="containsText" text="g">
      <formula>NOT(ISERROR(SEARCH("g",J100)))</formula>
    </cfRule>
  </conditionalFormatting>
  <conditionalFormatting sqref="L111:L113 J78:K78 L73:L99">
    <cfRule type="expression" dxfId="1285" priority="732" stopIfTrue="1">
      <formula>L73="OK"</formula>
    </cfRule>
    <cfRule type="notContainsBlanks" dxfId="1284" priority="733">
      <formula>LEN(TRIM(J73))&gt;0</formula>
    </cfRule>
  </conditionalFormatting>
  <conditionalFormatting sqref="L100:L110">
    <cfRule type="expression" dxfId="1283" priority="730" stopIfTrue="1">
      <formula>N100="OK"</formula>
    </cfRule>
    <cfRule type="notContainsBlanks" dxfId="1282" priority="731">
      <formula>LEN(TRIM(L100))&gt;0</formula>
    </cfRule>
  </conditionalFormatting>
  <conditionalFormatting sqref="L120:L124">
    <cfRule type="expression" dxfId="1281" priority="728" stopIfTrue="1">
      <formula>N120="OK"</formula>
    </cfRule>
    <cfRule type="notContainsBlanks" dxfId="1280" priority="729">
      <formula>LEN(TRIM(L120))&gt;0</formula>
    </cfRule>
  </conditionalFormatting>
  <conditionalFormatting sqref="AK149:AK157">
    <cfRule type="expression" dxfId="1279" priority="726" stopIfTrue="1">
      <formula>AL149="OK"</formula>
    </cfRule>
    <cfRule type="containsText" dxfId="1278" priority="727" operator="containsText" text="g">
      <formula>NOT(ISERROR(SEARCH("g",AK149)))</formula>
    </cfRule>
  </conditionalFormatting>
  <conditionalFormatting sqref="AK161">
    <cfRule type="expression" dxfId="1277" priority="724" stopIfTrue="1">
      <formula>AL161="OK"</formula>
    </cfRule>
    <cfRule type="containsText" dxfId="1276" priority="725" operator="containsText" text="g">
      <formula>NOT(ISERROR(SEARCH("g",AK161)))</formula>
    </cfRule>
  </conditionalFormatting>
  <conditionalFormatting sqref="K49">
    <cfRule type="expression" dxfId="1275" priority="723">
      <formula>J49=""</formula>
    </cfRule>
  </conditionalFormatting>
  <conditionalFormatting sqref="K57:K77">
    <cfRule type="expression" dxfId="1274" priority="722">
      <formula>J57=""</formula>
    </cfRule>
  </conditionalFormatting>
  <conditionalFormatting sqref="K79:K99">
    <cfRule type="expression" dxfId="1273" priority="721">
      <formula>J79=""</formula>
    </cfRule>
  </conditionalFormatting>
  <conditionalFormatting sqref="K101:K113">
    <cfRule type="expression" dxfId="1272" priority="720">
      <formula>J101=""</formula>
    </cfRule>
  </conditionalFormatting>
  <conditionalFormatting sqref="K120:K124">
    <cfRule type="expression" dxfId="1271" priority="719">
      <formula>J120=""</formula>
    </cfRule>
  </conditionalFormatting>
  <conditionalFormatting sqref="K140">
    <cfRule type="expression" dxfId="1270" priority="718">
      <formula>J140=""</formula>
    </cfRule>
  </conditionalFormatting>
  <conditionalFormatting sqref="K149:K157">
    <cfRule type="expression" dxfId="1269" priority="717">
      <formula>J149=""</formula>
    </cfRule>
  </conditionalFormatting>
  <conditionalFormatting sqref="K161">
    <cfRule type="expression" dxfId="1268" priority="716">
      <formula>J161=""</formula>
    </cfRule>
  </conditionalFormatting>
  <conditionalFormatting sqref="K169">
    <cfRule type="expression" dxfId="1267" priority="715">
      <formula>J169=""</formula>
    </cfRule>
  </conditionalFormatting>
  <conditionalFormatting sqref="N73:N77">
    <cfRule type="expression" dxfId="1266" priority="714">
      <formula>M73=""</formula>
    </cfRule>
  </conditionalFormatting>
  <conditionalFormatting sqref="N95:N99">
    <cfRule type="expression" dxfId="1265" priority="713">
      <formula>M95=""</formula>
    </cfRule>
  </conditionalFormatting>
  <conditionalFormatting sqref="N111:N113">
    <cfRule type="expression" dxfId="1264" priority="712">
      <formula>M111=""</formula>
    </cfRule>
  </conditionalFormatting>
  <conditionalFormatting sqref="AA49">
    <cfRule type="expression" dxfId="1263" priority="706">
      <formula>Z49=""</formula>
    </cfRule>
  </conditionalFormatting>
  <conditionalFormatting sqref="AA57:AA77">
    <cfRule type="expression" dxfId="1262" priority="700">
      <formula>Z57=""</formula>
    </cfRule>
  </conditionalFormatting>
  <conditionalFormatting sqref="AA79:AA99">
    <cfRule type="expression" dxfId="1261" priority="694">
      <formula>Z79=""</formula>
    </cfRule>
  </conditionalFormatting>
  <conditionalFormatting sqref="AA101:AA113">
    <cfRule type="expression" dxfId="1260" priority="688">
      <formula>Z101=""</formula>
    </cfRule>
  </conditionalFormatting>
  <conditionalFormatting sqref="AA120:AA124">
    <cfRule type="expression" dxfId="1259" priority="682">
      <formula>Z120=""</formula>
    </cfRule>
  </conditionalFormatting>
  <conditionalFormatting sqref="BB149:BB157">
    <cfRule type="expression" dxfId="1258" priority="675">
      <formula>BA149=""</formula>
    </cfRule>
  </conditionalFormatting>
  <conditionalFormatting sqref="J49">
    <cfRule type="expression" dxfId="1257" priority="673" stopIfTrue="1">
      <formula>K49="OK"</formula>
    </cfRule>
    <cfRule type="containsText" dxfId="1256" priority="674" operator="containsText" text="g">
      <formula>NOT(ISERROR(SEARCH("g",J49)))</formula>
    </cfRule>
  </conditionalFormatting>
  <conditionalFormatting sqref="J57:J77">
    <cfRule type="expression" dxfId="1255" priority="671" stopIfTrue="1">
      <formula>K57="OK"</formula>
    </cfRule>
    <cfRule type="containsText" dxfId="1254" priority="672" operator="containsText" text="g">
      <formula>NOT(ISERROR(SEARCH("g",J57)))</formula>
    </cfRule>
  </conditionalFormatting>
  <conditionalFormatting sqref="J79:J99">
    <cfRule type="expression" dxfId="1253" priority="669" stopIfTrue="1">
      <formula>K79="OK"</formula>
    </cfRule>
    <cfRule type="containsText" dxfId="1252" priority="670" operator="containsText" text="g">
      <formula>NOT(ISERROR(SEARCH("g",J79)))</formula>
    </cfRule>
  </conditionalFormatting>
  <conditionalFormatting sqref="J101:J113">
    <cfRule type="expression" dxfId="1251" priority="667" stopIfTrue="1">
      <formula>K101="OK"</formula>
    </cfRule>
    <cfRule type="containsText" dxfId="1250" priority="668" operator="containsText" text="g">
      <formula>NOT(ISERROR(SEARCH("g",J101)))</formula>
    </cfRule>
  </conditionalFormatting>
  <conditionalFormatting sqref="J120:J124">
    <cfRule type="expression" dxfId="1249" priority="665" stopIfTrue="1">
      <formula>K120="OK"</formula>
    </cfRule>
    <cfRule type="containsText" dxfId="1248" priority="666" operator="containsText" text="g">
      <formula>NOT(ISERROR(SEARCH("g",J120)))</formula>
    </cfRule>
  </conditionalFormatting>
  <conditionalFormatting sqref="J140">
    <cfRule type="expression" dxfId="1247" priority="663" stopIfTrue="1">
      <formula>K140="OK"</formula>
    </cfRule>
    <cfRule type="containsText" dxfId="1246" priority="664" operator="containsText" text="g">
      <formula>NOT(ISERROR(SEARCH("g",J140)))</formula>
    </cfRule>
  </conditionalFormatting>
  <conditionalFormatting sqref="J149:J157">
    <cfRule type="expression" dxfId="1245" priority="661" stopIfTrue="1">
      <formula>K149="OK"</formula>
    </cfRule>
    <cfRule type="containsText" dxfId="1244" priority="662" operator="containsText" text="g">
      <formula>NOT(ISERROR(SEARCH("g",J149)))</formula>
    </cfRule>
  </conditionalFormatting>
  <conditionalFormatting sqref="J161">
    <cfRule type="expression" dxfId="1243" priority="659" stopIfTrue="1">
      <formula>K161="OK"</formula>
    </cfRule>
    <cfRule type="containsText" dxfId="1242" priority="660" operator="containsText" text="g">
      <formula>NOT(ISERROR(SEARCH("g",J161)))</formula>
    </cfRule>
  </conditionalFormatting>
  <conditionalFormatting sqref="J169">
    <cfRule type="expression" dxfId="1241" priority="657" stopIfTrue="1">
      <formula>K169="OK"</formula>
    </cfRule>
    <cfRule type="containsText" dxfId="1240" priority="658" operator="containsText" text="g">
      <formula>NOT(ISERROR(SEARCH("g",J169)))</formula>
    </cfRule>
  </conditionalFormatting>
  <conditionalFormatting sqref="AK16:AK20">
    <cfRule type="expression" dxfId="1239" priority="655" stopIfTrue="1">
      <formula>AL16="OK"</formula>
    </cfRule>
    <cfRule type="containsText" dxfId="1238" priority="656" operator="containsText" text="g">
      <formula>NOT(ISERROR(SEARCH("g",AK16)))</formula>
    </cfRule>
  </conditionalFormatting>
  <conditionalFormatting sqref="K177">
    <cfRule type="expression" dxfId="1237" priority="654">
      <formula>J177=""</formula>
    </cfRule>
  </conditionalFormatting>
  <conditionalFormatting sqref="J177:J178">
    <cfRule type="expression" dxfId="1236" priority="651" stopIfTrue="1">
      <formula>K177="OK"</formula>
    </cfRule>
    <cfRule type="containsText" dxfId="1235" priority="652" operator="containsText" text="g">
      <formula>NOT(ISERROR(SEARCH("g",J177)))</formula>
    </cfRule>
  </conditionalFormatting>
  <conditionalFormatting sqref="AA140 AA169 AA177 BB161">
    <cfRule type="expression" dxfId="1234" priority="775">
      <formula>Y140=""</formula>
    </cfRule>
  </conditionalFormatting>
  <conditionalFormatting sqref="AA150 AA152:AA157">
    <cfRule type="expression" dxfId="1233" priority="619">
      <formula>Y150=""</formula>
    </cfRule>
  </conditionalFormatting>
  <conditionalFormatting sqref="AA149">
    <cfRule type="expression" dxfId="1232" priority="615">
      <formula>Z149=""</formula>
    </cfRule>
  </conditionalFormatting>
  <conditionalFormatting sqref="AA151">
    <cfRule type="expression" dxfId="1231" priority="611">
      <formula>Z151=""</formula>
    </cfRule>
  </conditionalFormatting>
  <conditionalFormatting sqref="AA161">
    <cfRule type="expression" dxfId="1230" priority="610">
      <formula>Y161=""</formula>
    </cfRule>
  </conditionalFormatting>
  <conditionalFormatting sqref="K178">
    <cfRule type="expression" dxfId="1229" priority="603">
      <formula>J178=""</formula>
    </cfRule>
  </conditionalFormatting>
  <conditionalFormatting sqref="N178">
    <cfRule type="expression" dxfId="1228" priority="602">
      <formula>L178=""</formula>
    </cfRule>
  </conditionalFormatting>
  <conditionalFormatting sqref="AA178">
    <cfRule type="expression" dxfId="1227" priority="606">
      <formula>Y178=""</formula>
    </cfRule>
  </conditionalFormatting>
  <conditionalFormatting sqref="AL49">
    <cfRule type="expression" dxfId="1226" priority="600">
      <formula>AK49=""</formula>
    </cfRule>
  </conditionalFormatting>
  <conditionalFormatting sqref="BB49">
    <cfRule type="expression" dxfId="1225" priority="596">
      <formula>BA49=""</formula>
    </cfRule>
  </conditionalFormatting>
  <conditionalFormatting sqref="AK49">
    <cfRule type="expression" dxfId="1224" priority="594" stopIfTrue="1">
      <formula>AL49="OK"</formula>
    </cfRule>
    <cfRule type="containsText" dxfId="1223" priority="595" operator="containsText" text="g">
      <formula>NOT(ISERROR(SEARCH("g",AK49)))</formula>
    </cfRule>
  </conditionalFormatting>
  <conditionalFormatting sqref="AO16:AO20">
    <cfRule type="expression" dxfId="1222" priority="589" stopIfTrue="1">
      <formula>AS16="OK"</formula>
    </cfRule>
    <cfRule type="notContainsBlanks" dxfId="1221" priority="590">
      <formula>LEN(TRIM(AO16))&gt;0</formula>
    </cfRule>
  </conditionalFormatting>
  <conditionalFormatting sqref="AM49">
    <cfRule type="expression" dxfId="1220" priority="587" stopIfTrue="1">
      <formula>AO49="OK"</formula>
    </cfRule>
    <cfRule type="notContainsBlanks" dxfId="1219" priority="588">
      <formula>LEN(TRIM(AM49))&gt;0</formula>
    </cfRule>
  </conditionalFormatting>
  <conditionalFormatting sqref="AO49">
    <cfRule type="expression" dxfId="1218" priority="585" stopIfTrue="1">
      <formula>AS49="OK"</formula>
    </cfRule>
    <cfRule type="notContainsBlanks" dxfId="1217" priority="586">
      <formula>LEN(TRIM(AO49))&gt;0</formula>
    </cfRule>
  </conditionalFormatting>
  <conditionalFormatting sqref="AL140:AL141">
    <cfRule type="expression" dxfId="1216" priority="582">
      <formula>AK140=""</formula>
    </cfRule>
  </conditionalFormatting>
  <conditionalFormatting sqref="AK140:AK141">
    <cfRule type="expression" dxfId="1215" priority="583" stopIfTrue="1">
      <formula>AL140="OK"</formula>
    </cfRule>
    <cfRule type="containsText" dxfId="1214" priority="584" operator="containsText" text="g">
      <formula>NOT(ISERROR(SEARCH("g",AK140)))</formula>
    </cfRule>
  </conditionalFormatting>
  <conditionalFormatting sqref="AM142:AM144">
    <cfRule type="containsText" dxfId="1213" priority="581" operator="containsText" text="f">
      <formula>NOT(ISERROR(SEARCH("f",AM142)))</formula>
    </cfRule>
  </conditionalFormatting>
  <conditionalFormatting sqref="AO142:AO144">
    <cfRule type="expression" dxfId="1212" priority="776">
      <formula>AM142=""</formula>
    </cfRule>
  </conditionalFormatting>
  <conditionalFormatting sqref="AL142:AL144">
    <cfRule type="expression" dxfId="1211" priority="578">
      <formula>AK142=""</formula>
    </cfRule>
  </conditionalFormatting>
  <conditionalFormatting sqref="AK142:AK144">
    <cfRule type="expression" dxfId="1210" priority="579" stopIfTrue="1">
      <formula>AL142="OK"</formula>
    </cfRule>
    <cfRule type="containsText" dxfId="1209" priority="580" operator="containsText" text="g">
      <formula>NOT(ISERROR(SEARCH("g",AK142)))</formula>
    </cfRule>
  </conditionalFormatting>
  <conditionalFormatting sqref="BB140:BB144">
    <cfRule type="expression" dxfId="1208" priority="577">
      <formula>AZ140=""</formula>
    </cfRule>
  </conditionalFormatting>
  <conditionalFormatting sqref="AL149:AL157">
    <cfRule type="expression" dxfId="1207" priority="570">
      <formula>AK149=""</formula>
    </cfRule>
  </conditionalFormatting>
  <conditionalFormatting sqref="AL161">
    <cfRule type="expression" dxfId="1206" priority="569">
      <formula>AK161=""</formula>
    </cfRule>
  </conditionalFormatting>
  <conditionalFormatting sqref="L178:M178">
    <cfRule type="containsText" dxfId="1205" priority="562" operator="containsText" text="too">
      <formula>NOT(ISERROR(SEARCH("too",L178)))</formula>
    </cfRule>
  </conditionalFormatting>
  <conditionalFormatting sqref="Z15:Z43">
    <cfRule type="colorScale" priority="237">
      <colorScale>
        <cfvo type="min"/>
        <cfvo type="percentile" val="50"/>
        <cfvo type="max"/>
        <color rgb="FF63BE7B"/>
        <color rgb="FFFFEB84"/>
        <color rgb="FFF8696B"/>
      </colorScale>
    </cfRule>
  </conditionalFormatting>
  <conditionalFormatting sqref="Y140 Y177 Z53 Z16:Z43">
    <cfRule type="containsText" dxfId="1204" priority="235" operator="containsText" text="M">
      <formula>NOT(ISERROR(SEARCH("M",Y16)))</formula>
    </cfRule>
    <cfRule type="containsText" dxfId="1203" priority="236" operator="containsText" text="H">
      <formula>NOT(ISERROR(SEARCH("H",Y16)))</formula>
    </cfRule>
  </conditionalFormatting>
  <conditionalFormatting sqref="Z17:Z43">
    <cfRule type="containsText" dxfId="1202" priority="233" operator="containsText" text="M">
      <formula>NOT(ISERROR(SEARCH("M",Z17)))</formula>
    </cfRule>
    <cfRule type="containsText" dxfId="1201" priority="234" operator="containsText" text="H">
      <formula>NOT(ISERROR(SEARCH("H",Z17)))</formula>
    </cfRule>
  </conditionalFormatting>
  <conditionalFormatting sqref="Z114:Z117 Z53 Z50:Z51">
    <cfRule type="colorScale" priority="232">
      <colorScale>
        <cfvo type="min"/>
        <cfvo type="percentile" val="50"/>
        <cfvo type="max"/>
        <color rgb="FF63BE7B"/>
        <color rgb="FFFFEB84"/>
        <color rgb="FFF8696B"/>
      </colorScale>
    </cfRule>
  </conditionalFormatting>
  <conditionalFormatting sqref="Z50:Z51 Z114:Z117">
    <cfRule type="containsText" dxfId="1200" priority="230" operator="containsText" text="M">
      <formula>NOT(ISERROR(SEARCH("M",Z50)))</formula>
    </cfRule>
    <cfRule type="containsText" dxfId="1199" priority="231" operator="containsText" text="H">
      <formula>NOT(ISERROR(SEARCH("H",Z50)))</formula>
    </cfRule>
  </conditionalFormatting>
  <conditionalFormatting sqref="Z78 Z56 Z100">
    <cfRule type="colorScale" priority="229">
      <colorScale>
        <cfvo type="min"/>
        <cfvo type="percentile" val="50"/>
        <cfvo type="max"/>
        <color rgb="FF63BE7B"/>
        <color rgb="FFFFEB84"/>
        <color rgb="FFF8696B"/>
      </colorScale>
    </cfRule>
  </conditionalFormatting>
  <conditionalFormatting sqref="Z56 Z78 Z100">
    <cfRule type="containsText" dxfId="1198" priority="227" operator="containsText" text="M">
      <formula>NOT(ISERROR(SEARCH("M",Z56)))</formula>
    </cfRule>
    <cfRule type="containsText" dxfId="1197" priority="228" operator="containsText" text="H">
      <formula>NOT(ISERROR(SEARCH("H",Z56)))</formula>
    </cfRule>
  </conditionalFormatting>
  <conditionalFormatting sqref="Z49">
    <cfRule type="colorScale" priority="226">
      <colorScale>
        <cfvo type="min"/>
        <cfvo type="percentile" val="50"/>
        <cfvo type="max"/>
        <color rgb="FF63BE7B"/>
        <color rgb="FFFFEB84"/>
        <color rgb="FFF8696B"/>
      </colorScale>
    </cfRule>
  </conditionalFormatting>
  <conditionalFormatting sqref="Z49">
    <cfRule type="containsText" dxfId="1196" priority="224" operator="containsText" text="M">
      <formula>NOT(ISERROR(SEARCH("M",Z49)))</formula>
    </cfRule>
    <cfRule type="containsText" dxfId="1195" priority="225" operator="containsText" text="H">
      <formula>NOT(ISERROR(SEARCH("H",Z49)))</formula>
    </cfRule>
  </conditionalFormatting>
  <conditionalFormatting sqref="Z49">
    <cfRule type="containsText" dxfId="1194" priority="222" operator="containsText" text="M">
      <formula>NOT(ISERROR(SEARCH("M",Z49)))</formula>
    </cfRule>
    <cfRule type="containsText" dxfId="1193" priority="223" operator="containsText" text="H">
      <formula>NOT(ISERROR(SEARCH("H",Z49)))</formula>
    </cfRule>
  </conditionalFormatting>
  <conditionalFormatting sqref="Z57:Z77">
    <cfRule type="colorScale" priority="221">
      <colorScale>
        <cfvo type="min"/>
        <cfvo type="percentile" val="50"/>
        <cfvo type="max"/>
        <color rgb="FF63BE7B"/>
        <color rgb="FFFFEB84"/>
        <color rgb="FFF8696B"/>
      </colorScale>
    </cfRule>
  </conditionalFormatting>
  <conditionalFormatting sqref="Z57:Z77">
    <cfRule type="containsText" dxfId="1192" priority="219" operator="containsText" text="M">
      <formula>NOT(ISERROR(SEARCH("M",Z57)))</formula>
    </cfRule>
    <cfRule type="containsText" dxfId="1191" priority="220" operator="containsText" text="H">
      <formula>NOT(ISERROR(SEARCH("H",Z57)))</formula>
    </cfRule>
  </conditionalFormatting>
  <conditionalFormatting sqref="Z57:Z77">
    <cfRule type="containsText" dxfId="1190" priority="217" operator="containsText" text="M">
      <formula>NOT(ISERROR(SEARCH("M",Z57)))</formula>
    </cfRule>
    <cfRule type="containsText" dxfId="1189" priority="218" operator="containsText" text="H">
      <formula>NOT(ISERROR(SEARCH("H",Z57)))</formula>
    </cfRule>
  </conditionalFormatting>
  <conditionalFormatting sqref="Z79:Z99">
    <cfRule type="colorScale" priority="216">
      <colorScale>
        <cfvo type="min"/>
        <cfvo type="percentile" val="50"/>
        <cfvo type="max"/>
        <color rgb="FF63BE7B"/>
        <color rgb="FFFFEB84"/>
        <color rgb="FFF8696B"/>
      </colorScale>
    </cfRule>
  </conditionalFormatting>
  <conditionalFormatting sqref="Z79:Z99">
    <cfRule type="containsText" dxfId="1188" priority="214" operator="containsText" text="M">
      <formula>NOT(ISERROR(SEARCH("M",Z79)))</formula>
    </cfRule>
    <cfRule type="containsText" dxfId="1187" priority="215" operator="containsText" text="H">
      <formula>NOT(ISERROR(SEARCH("H",Z79)))</formula>
    </cfRule>
  </conditionalFormatting>
  <conditionalFormatting sqref="Z79:Z99">
    <cfRule type="containsText" dxfId="1186" priority="212" operator="containsText" text="M">
      <formula>NOT(ISERROR(SEARCH("M",Z79)))</formula>
    </cfRule>
    <cfRule type="containsText" dxfId="1185" priority="213" operator="containsText" text="H">
      <formula>NOT(ISERROR(SEARCH("H",Z79)))</formula>
    </cfRule>
  </conditionalFormatting>
  <conditionalFormatting sqref="Z101:Z113">
    <cfRule type="colorScale" priority="211">
      <colorScale>
        <cfvo type="min"/>
        <cfvo type="percentile" val="50"/>
        <cfvo type="max"/>
        <color rgb="FF63BE7B"/>
        <color rgb="FFFFEB84"/>
        <color rgb="FFF8696B"/>
      </colorScale>
    </cfRule>
  </conditionalFormatting>
  <conditionalFormatting sqref="Z101:Z113">
    <cfRule type="containsText" dxfId="1184" priority="209" operator="containsText" text="M">
      <formula>NOT(ISERROR(SEARCH("M",Z101)))</formula>
    </cfRule>
    <cfRule type="containsText" dxfId="1183" priority="210" operator="containsText" text="H">
      <formula>NOT(ISERROR(SEARCH("H",Z101)))</formula>
    </cfRule>
  </conditionalFormatting>
  <conditionalFormatting sqref="Z101:Z113">
    <cfRule type="containsText" dxfId="1182" priority="207" operator="containsText" text="M">
      <formula>NOT(ISERROR(SEARCH("M",Z101)))</formula>
    </cfRule>
    <cfRule type="containsText" dxfId="1181" priority="208" operator="containsText" text="H">
      <formula>NOT(ISERROR(SEARCH("H",Z101)))</formula>
    </cfRule>
  </conditionalFormatting>
  <conditionalFormatting sqref="Z120:Z124">
    <cfRule type="colorScale" priority="206">
      <colorScale>
        <cfvo type="min"/>
        <cfvo type="percentile" val="50"/>
        <cfvo type="max"/>
        <color rgb="FF63BE7B"/>
        <color rgb="FFFFEB84"/>
        <color rgb="FFF8696B"/>
      </colorScale>
    </cfRule>
  </conditionalFormatting>
  <conditionalFormatting sqref="Z120:Z124">
    <cfRule type="containsText" dxfId="1180" priority="204" operator="containsText" text="M">
      <formula>NOT(ISERROR(SEARCH("M",Z120)))</formula>
    </cfRule>
    <cfRule type="containsText" dxfId="1179" priority="205" operator="containsText" text="H">
      <formula>NOT(ISERROR(SEARCH("H",Z120)))</formula>
    </cfRule>
  </conditionalFormatting>
  <conditionalFormatting sqref="Z120:Z124">
    <cfRule type="containsText" dxfId="1178" priority="202" operator="containsText" text="M">
      <formula>NOT(ISERROR(SEARCH("M",Z120)))</formula>
    </cfRule>
    <cfRule type="containsText" dxfId="1177" priority="203" operator="containsText" text="H">
      <formula>NOT(ISERROR(SEARCH("H",Z120)))</formula>
    </cfRule>
  </conditionalFormatting>
  <conditionalFormatting sqref="Y140">
    <cfRule type="colorScale" priority="201">
      <colorScale>
        <cfvo type="min"/>
        <cfvo type="percentile" val="50"/>
        <cfvo type="max"/>
        <color rgb="FF63BE7B"/>
        <color rgb="FFFFEB84"/>
        <color rgb="FFF8696B"/>
      </colorScale>
    </cfRule>
  </conditionalFormatting>
  <conditionalFormatting sqref="Y169">
    <cfRule type="colorScale" priority="200">
      <colorScale>
        <cfvo type="min"/>
        <cfvo type="percentile" val="50"/>
        <cfvo type="max"/>
        <color rgb="FF63BE7B"/>
        <color rgb="FFFFEB84"/>
        <color rgb="FFF8696B"/>
      </colorScale>
    </cfRule>
  </conditionalFormatting>
  <conditionalFormatting sqref="Y169">
    <cfRule type="containsText" dxfId="1176" priority="198" operator="containsText" text="M">
      <formula>NOT(ISERROR(SEARCH("M",Y169)))</formula>
    </cfRule>
    <cfRule type="containsText" dxfId="1175" priority="199" operator="containsText" text="H">
      <formula>NOT(ISERROR(SEARCH("H",Y169)))</formula>
    </cfRule>
  </conditionalFormatting>
  <conditionalFormatting sqref="Y169">
    <cfRule type="containsText" dxfId="1174" priority="196" operator="containsText" text="M">
      <formula>NOT(ISERROR(SEARCH("M",Y169)))</formula>
    </cfRule>
    <cfRule type="containsText" dxfId="1173" priority="197" operator="containsText" text="H">
      <formula>NOT(ISERROR(SEARCH("H",Y169)))</formula>
    </cfRule>
  </conditionalFormatting>
  <conditionalFormatting sqref="Y177">
    <cfRule type="colorScale" priority="195">
      <colorScale>
        <cfvo type="min"/>
        <cfvo type="percentile" val="50"/>
        <cfvo type="max"/>
        <color rgb="FF63BE7B"/>
        <color rgb="FFFFEB84"/>
        <color rgb="FFF8696B"/>
      </colorScale>
    </cfRule>
  </conditionalFormatting>
  <conditionalFormatting sqref="U16:U43">
    <cfRule type="colorScale" priority="194">
      <colorScale>
        <cfvo type="min"/>
        <cfvo type="percentile" val="50"/>
        <cfvo type="max"/>
        <color rgb="FF63BE7B"/>
        <color rgb="FFFFEB84"/>
        <color rgb="FFF8696B"/>
      </colorScale>
    </cfRule>
  </conditionalFormatting>
  <conditionalFormatting sqref="U16:U43">
    <cfRule type="containsText" dxfId="1172" priority="192" operator="containsText" text="M">
      <formula>NOT(ISERROR(SEARCH("M",U16)))</formula>
    </cfRule>
    <cfRule type="containsText" dxfId="1171" priority="193" operator="containsText" text="H">
      <formula>NOT(ISERROR(SEARCH("H",U16)))</formula>
    </cfRule>
  </conditionalFormatting>
  <conditionalFormatting sqref="U49:X49">
    <cfRule type="colorScale" priority="191">
      <colorScale>
        <cfvo type="min"/>
        <cfvo type="percentile" val="50"/>
        <cfvo type="max"/>
        <color rgb="FF63BE7B"/>
        <color rgb="FFFFEB84"/>
        <color rgb="FFF8696B"/>
      </colorScale>
    </cfRule>
  </conditionalFormatting>
  <conditionalFormatting sqref="U49:X49">
    <cfRule type="containsText" dxfId="1170" priority="189" operator="containsText" text="M">
      <formula>NOT(ISERROR(SEARCH("M",U49)))</formula>
    </cfRule>
    <cfRule type="containsText" dxfId="1169" priority="190" operator="containsText" text="H">
      <formula>NOT(ISERROR(SEARCH("H",U49)))</formula>
    </cfRule>
  </conditionalFormatting>
  <conditionalFormatting sqref="U49:X49">
    <cfRule type="containsText" dxfId="1168" priority="187" operator="containsText" text="M">
      <formula>NOT(ISERROR(SEARCH("M",U49)))</formula>
    </cfRule>
    <cfRule type="containsText" dxfId="1167" priority="188" operator="containsText" text="H">
      <formula>NOT(ISERROR(SEARCH("H",U49)))</formula>
    </cfRule>
  </conditionalFormatting>
  <conditionalFormatting sqref="U57:U77">
    <cfRule type="colorScale" priority="186">
      <colorScale>
        <cfvo type="min"/>
        <cfvo type="percentile" val="50"/>
        <cfvo type="max"/>
        <color rgb="FF63BE7B"/>
        <color rgb="FFFFEB84"/>
        <color rgb="FFF8696B"/>
      </colorScale>
    </cfRule>
  </conditionalFormatting>
  <conditionalFormatting sqref="U57:U77">
    <cfRule type="containsText" dxfId="1166" priority="184" operator="containsText" text="M">
      <formula>NOT(ISERROR(SEARCH("M",U57)))</formula>
    </cfRule>
    <cfRule type="containsText" dxfId="1165" priority="185" operator="containsText" text="H">
      <formula>NOT(ISERROR(SEARCH("H",U57)))</formula>
    </cfRule>
  </conditionalFormatting>
  <conditionalFormatting sqref="U57:U77">
    <cfRule type="containsText" dxfId="1164" priority="182" operator="containsText" text="M">
      <formula>NOT(ISERROR(SEARCH("M",U57)))</formula>
    </cfRule>
    <cfRule type="containsText" dxfId="1163" priority="183" operator="containsText" text="H">
      <formula>NOT(ISERROR(SEARCH("H",U57)))</formula>
    </cfRule>
  </conditionalFormatting>
  <conditionalFormatting sqref="U79:U99">
    <cfRule type="colorScale" priority="181">
      <colorScale>
        <cfvo type="min"/>
        <cfvo type="percentile" val="50"/>
        <cfvo type="max"/>
        <color rgb="FF63BE7B"/>
        <color rgb="FFFFEB84"/>
        <color rgb="FFF8696B"/>
      </colorScale>
    </cfRule>
  </conditionalFormatting>
  <conditionalFormatting sqref="U79:U99">
    <cfRule type="containsText" dxfId="1162" priority="179" operator="containsText" text="M">
      <formula>NOT(ISERROR(SEARCH("M",U79)))</formula>
    </cfRule>
    <cfRule type="containsText" dxfId="1161" priority="180" operator="containsText" text="H">
      <formula>NOT(ISERROR(SEARCH("H",U79)))</formula>
    </cfRule>
  </conditionalFormatting>
  <conditionalFormatting sqref="U79:U99">
    <cfRule type="containsText" dxfId="1160" priority="177" operator="containsText" text="M">
      <formula>NOT(ISERROR(SEARCH("M",U79)))</formula>
    </cfRule>
    <cfRule type="containsText" dxfId="1159" priority="178" operator="containsText" text="H">
      <formula>NOT(ISERROR(SEARCH("H",U79)))</formula>
    </cfRule>
  </conditionalFormatting>
  <conditionalFormatting sqref="U101:U113">
    <cfRule type="colorScale" priority="176">
      <colorScale>
        <cfvo type="min"/>
        <cfvo type="percentile" val="50"/>
        <cfvo type="max"/>
        <color rgb="FF63BE7B"/>
        <color rgb="FFFFEB84"/>
        <color rgb="FFF8696B"/>
      </colorScale>
    </cfRule>
  </conditionalFormatting>
  <conditionalFormatting sqref="U101:U113">
    <cfRule type="containsText" dxfId="1158" priority="174" operator="containsText" text="M">
      <formula>NOT(ISERROR(SEARCH("M",U101)))</formula>
    </cfRule>
    <cfRule type="containsText" dxfId="1157" priority="175" operator="containsText" text="H">
      <formula>NOT(ISERROR(SEARCH("H",U101)))</formula>
    </cfRule>
  </conditionalFormatting>
  <conditionalFormatting sqref="U101:U113">
    <cfRule type="containsText" dxfId="1156" priority="172" operator="containsText" text="M">
      <formula>NOT(ISERROR(SEARCH("M",U101)))</formula>
    </cfRule>
    <cfRule type="containsText" dxfId="1155" priority="173" operator="containsText" text="H">
      <formula>NOT(ISERROR(SEARCH("H",U101)))</formula>
    </cfRule>
  </conditionalFormatting>
  <conditionalFormatting sqref="U120:U124">
    <cfRule type="colorScale" priority="171">
      <colorScale>
        <cfvo type="min"/>
        <cfvo type="percentile" val="50"/>
        <cfvo type="max"/>
        <color rgb="FF63BE7B"/>
        <color rgb="FFFFEB84"/>
        <color rgb="FFF8696B"/>
      </colorScale>
    </cfRule>
  </conditionalFormatting>
  <conditionalFormatting sqref="U120:U124">
    <cfRule type="containsText" dxfId="1154" priority="169" operator="containsText" text="M">
      <formula>NOT(ISERROR(SEARCH("M",U120)))</formula>
    </cfRule>
    <cfRule type="containsText" dxfId="1153" priority="170" operator="containsText" text="H">
      <formula>NOT(ISERROR(SEARCH("H",U120)))</formula>
    </cfRule>
  </conditionalFormatting>
  <conditionalFormatting sqref="U120:U124">
    <cfRule type="containsText" dxfId="1152" priority="167" operator="containsText" text="M">
      <formula>NOT(ISERROR(SEARCH("M",U120)))</formula>
    </cfRule>
    <cfRule type="containsText" dxfId="1151" priority="168" operator="containsText" text="H">
      <formula>NOT(ISERROR(SEARCH("H",U120)))</formula>
    </cfRule>
  </conditionalFormatting>
  <conditionalFormatting sqref="Z149:Z157">
    <cfRule type="colorScale" priority="166">
      <colorScale>
        <cfvo type="min"/>
        <cfvo type="percentile" val="50"/>
        <cfvo type="max"/>
        <color rgb="FF63BE7B"/>
        <color rgb="FFFFEB84"/>
        <color rgb="FFF8696B"/>
      </colorScale>
    </cfRule>
  </conditionalFormatting>
  <conditionalFormatting sqref="Z149:Z157">
    <cfRule type="containsText" dxfId="1150" priority="164" operator="containsText" text="M">
      <formula>NOT(ISERROR(SEARCH("M",Z149)))</formula>
    </cfRule>
    <cfRule type="containsText" dxfId="1149" priority="165" operator="containsText" text="H">
      <formula>NOT(ISERROR(SEARCH("H",Z149)))</formula>
    </cfRule>
  </conditionalFormatting>
  <conditionalFormatting sqref="U149:X157">
    <cfRule type="colorScale" priority="163">
      <colorScale>
        <cfvo type="min"/>
        <cfvo type="percentile" val="50"/>
        <cfvo type="max"/>
        <color rgb="FF63BE7B"/>
        <color rgb="FFFFEB84"/>
        <color rgb="FFF8696B"/>
      </colorScale>
    </cfRule>
  </conditionalFormatting>
  <conditionalFormatting sqref="U149:X157">
    <cfRule type="containsText" dxfId="1148" priority="161" operator="containsText" text="M">
      <formula>NOT(ISERROR(SEARCH("M",U149)))</formula>
    </cfRule>
    <cfRule type="containsText" dxfId="1147" priority="162" operator="containsText" text="H">
      <formula>NOT(ISERROR(SEARCH("H",U149)))</formula>
    </cfRule>
  </conditionalFormatting>
  <conditionalFormatting sqref="U161:X161">
    <cfRule type="colorScale" priority="160">
      <colorScale>
        <cfvo type="min"/>
        <cfvo type="percentile" val="50"/>
        <cfvo type="max"/>
        <color rgb="FF63BE7B"/>
        <color rgb="FFFFEB84"/>
        <color rgb="FFF8696B"/>
      </colorScale>
    </cfRule>
  </conditionalFormatting>
  <conditionalFormatting sqref="U161:X161">
    <cfRule type="containsText" dxfId="1146" priority="158" operator="containsText" text="M">
      <formula>NOT(ISERROR(SEARCH("M",U161)))</formula>
    </cfRule>
    <cfRule type="containsText" dxfId="1145" priority="159" operator="containsText" text="H">
      <formula>NOT(ISERROR(SEARCH("H",U161)))</formula>
    </cfRule>
  </conditionalFormatting>
  <conditionalFormatting sqref="Y178">
    <cfRule type="containsText" dxfId="1144" priority="156" operator="containsText" text="M">
      <formula>NOT(ISERROR(SEARCH("M",Y178)))</formula>
    </cfRule>
    <cfRule type="containsText" dxfId="1143" priority="157" operator="containsText" text="H">
      <formula>NOT(ISERROR(SEARCH("H",Y178)))</formula>
    </cfRule>
  </conditionalFormatting>
  <conditionalFormatting sqref="Y178">
    <cfRule type="colorScale" priority="155">
      <colorScale>
        <cfvo type="min"/>
        <cfvo type="percentile" val="50"/>
        <cfvo type="max"/>
        <color rgb="FF63BE7B"/>
        <color rgb="FFFFEB84"/>
        <color rgb="FFF8696B"/>
      </colorScale>
    </cfRule>
  </conditionalFormatting>
  <conditionalFormatting sqref="Z161">
    <cfRule type="colorScale" priority="154">
      <colorScale>
        <cfvo type="min"/>
        <cfvo type="percentile" val="50"/>
        <cfvo type="max"/>
        <color rgb="FF63BE7B"/>
        <color rgb="FFFFEB84"/>
        <color rgb="FFF8696B"/>
      </colorScale>
    </cfRule>
  </conditionalFormatting>
  <conditionalFormatting sqref="Z161">
    <cfRule type="containsText" dxfId="1142" priority="152" operator="containsText" text="M">
      <formula>NOT(ISERROR(SEARCH("M",Z161)))</formula>
    </cfRule>
    <cfRule type="containsText" dxfId="1141" priority="153" operator="containsText" text="H">
      <formula>NOT(ISERROR(SEARCH("H",Z161)))</formula>
    </cfRule>
  </conditionalFormatting>
  <conditionalFormatting sqref="BA15">
    <cfRule type="colorScale" priority="151">
      <colorScale>
        <cfvo type="min"/>
        <cfvo type="percentile" val="50"/>
        <cfvo type="max"/>
        <color rgb="FF63BE7B"/>
        <color rgb="FFFFEB84"/>
        <color rgb="FFF8696B"/>
      </colorScale>
    </cfRule>
  </conditionalFormatting>
  <conditionalFormatting sqref="BA16:BA20">
    <cfRule type="colorScale" priority="150">
      <colorScale>
        <cfvo type="min"/>
        <cfvo type="percentile" val="50"/>
        <cfvo type="max"/>
        <color rgb="FF63BE7B"/>
        <color rgb="FFFFEB84"/>
        <color rgb="FFF8696B"/>
      </colorScale>
    </cfRule>
  </conditionalFormatting>
  <conditionalFormatting sqref="BA16:BA20">
    <cfRule type="containsText" dxfId="1140" priority="148" operator="containsText" text="M">
      <formula>NOT(ISERROR(SEARCH("M",BA16)))</formula>
    </cfRule>
    <cfRule type="containsText" dxfId="1139" priority="149" operator="containsText" text="H">
      <formula>NOT(ISERROR(SEARCH("H",BA16)))</formula>
    </cfRule>
  </conditionalFormatting>
  <conditionalFormatting sqref="AV16:AV20">
    <cfRule type="colorScale" priority="147">
      <colorScale>
        <cfvo type="min"/>
        <cfvo type="percentile" val="50"/>
        <cfvo type="max"/>
        <color rgb="FF63BE7B"/>
        <color rgb="FFFFEB84"/>
        <color rgb="FFF8696B"/>
      </colorScale>
    </cfRule>
  </conditionalFormatting>
  <conditionalFormatting sqref="AV16:AV20">
    <cfRule type="containsText" dxfId="1138" priority="145" operator="containsText" text="M">
      <formula>NOT(ISERROR(SEARCH("M",AV16)))</formula>
    </cfRule>
    <cfRule type="containsText" dxfId="1137" priority="146" operator="containsText" text="H">
      <formula>NOT(ISERROR(SEARCH("H",AV16)))</formula>
    </cfRule>
  </conditionalFormatting>
  <conditionalFormatting sqref="BA49">
    <cfRule type="colorScale" priority="144">
      <colorScale>
        <cfvo type="min"/>
        <cfvo type="percentile" val="50"/>
        <cfvo type="max"/>
        <color rgb="FF63BE7B"/>
        <color rgb="FFFFEB84"/>
        <color rgb="FFF8696B"/>
      </colorScale>
    </cfRule>
  </conditionalFormatting>
  <conditionalFormatting sqref="BA49">
    <cfRule type="containsText" dxfId="1136" priority="142" operator="containsText" text="M">
      <formula>NOT(ISERROR(SEARCH("M",BA49)))</formula>
    </cfRule>
    <cfRule type="containsText" dxfId="1135" priority="143" operator="containsText" text="H">
      <formula>NOT(ISERROR(SEARCH("H",BA49)))</formula>
    </cfRule>
  </conditionalFormatting>
  <conditionalFormatting sqref="AV49:AY49">
    <cfRule type="colorScale" priority="141">
      <colorScale>
        <cfvo type="min"/>
        <cfvo type="percentile" val="50"/>
        <cfvo type="max"/>
        <color rgb="FF63BE7B"/>
        <color rgb="FFFFEB84"/>
        <color rgb="FFF8696B"/>
      </colorScale>
    </cfRule>
  </conditionalFormatting>
  <conditionalFormatting sqref="AV49:AY49">
    <cfRule type="containsText" dxfId="1134" priority="139" operator="containsText" text="M">
      <formula>NOT(ISERROR(SEARCH("M",AV49)))</formula>
    </cfRule>
    <cfRule type="containsText" dxfId="1133" priority="140" operator="containsText" text="H">
      <formula>NOT(ISERROR(SEARCH("H",AV49)))</formula>
    </cfRule>
  </conditionalFormatting>
  <conditionalFormatting sqref="AZ140:AZ144">
    <cfRule type="containsText" dxfId="1132" priority="137" operator="containsText" text="M">
      <formula>NOT(ISERROR(SEARCH("M",AZ140)))</formula>
    </cfRule>
    <cfRule type="containsText" dxfId="1131" priority="138" operator="containsText" text="H">
      <formula>NOT(ISERROR(SEARCH("H",AZ140)))</formula>
    </cfRule>
  </conditionalFormatting>
  <conditionalFormatting sqref="AZ140:AZ144">
    <cfRule type="colorScale" priority="136">
      <colorScale>
        <cfvo type="min"/>
        <cfvo type="percentile" val="50"/>
        <cfvo type="max"/>
        <color rgb="FF63BE7B"/>
        <color rgb="FFFFEB84"/>
        <color rgb="FFF8696B"/>
      </colorScale>
    </cfRule>
  </conditionalFormatting>
  <conditionalFormatting sqref="AV149:AY162">
    <cfRule type="colorScale" priority="135">
      <colorScale>
        <cfvo type="min"/>
        <cfvo type="percentile" val="50"/>
        <cfvo type="max"/>
        <color rgb="FF63BE7B"/>
        <color rgb="FFFFEB84"/>
        <color rgb="FFF8696B"/>
      </colorScale>
    </cfRule>
  </conditionalFormatting>
  <conditionalFormatting sqref="AV149:AY162">
    <cfRule type="containsText" dxfId="1130" priority="133" operator="containsText" text="M">
      <formula>NOT(ISERROR(SEARCH("M",AV149)))</formula>
    </cfRule>
    <cfRule type="containsText" dxfId="1129" priority="134" operator="containsText" text="H">
      <formula>NOT(ISERROR(SEARCH("H",AV149)))</formula>
    </cfRule>
  </conditionalFormatting>
  <conditionalFormatting sqref="BA149:BA162">
    <cfRule type="colorScale" priority="132">
      <colorScale>
        <cfvo type="min"/>
        <cfvo type="percentile" val="50"/>
        <cfvo type="max"/>
        <color rgb="FF63BE7B"/>
        <color rgb="FFFFEB84"/>
        <color rgb="FFF8696B"/>
      </colorScale>
    </cfRule>
  </conditionalFormatting>
  <conditionalFormatting sqref="BA149:BA162">
    <cfRule type="containsText" dxfId="1128" priority="130" operator="containsText" text="M">
      <formula>NOT(ISERROR(SEARCH("M",BA149)))</formula>
    </cfRule>
    <cfRule type="containsText" dxfId="1127" priority="131" operator="containsText" text="H">
      <formula>NOT(ISERROR(SEARCH("H",BA149)))</formula>
    </cfRule>
  </conditionalFormatting>
  <conditionalFormatting sqref="N56:N72">
    <cfRule type="expression" dxfId="1126" priority="777" stopIfTrue="1">
      <formula>R56="OK"</formula>
    </cfRule>
    <cfRule type="notContainsBlanks" dxfId="1125" priority="778">
      <formula>LEN(TRIM(N56))&gt;0</formula>
    </cfRule>
  </conditionalFormatting>
  <conditionalFormatting sqref="L127:L131">
    <cfRule type="expression" dxfId="1124" priority="112" stopIfTrue="1">
      <formula>N127="OK"</formula>
    </cfRule>
    <cfRule type="notContainsBlanks" dxfId="1123" priority="113">
      <formula>LEN(TRIM(L127))&gt;0</formula>
    </cfRule>
  </conditionalFormatting>
  <conditionalFormatting sqref="K127:K131">
    <cfRule type="expression" dxfId="1122" priority="111">
      <formula>J127=""</formula>
    </cfRule>
  </conditionalFormatting>
  <conditionalFormatting sqref="AA127:AA131">
    <cfRule type="expression" dxfId="1121" priority="110">
      <formula>Z127=""</formula>
    </cfRule>
  </conditionalFormatting>
  <conditionalFormatting sqref="J127:J131">
    <cfRule type="expression" dxfId="1120" priority="108" stopIfTrue="1">
      <formula>K127="OK"</formula>
    </cfRule>
    <cfRule type="containsText" dxfId="1119" priority="109" operator="containsText" text="g">
      <formula>NOT(ISERROR(SEARCH("g",J127)))</formula>
    </cfRule>
  </conditionalFormatting>
  <conditionalFormatting sqref="Z127:Z131">
    <cfRule type="colorScale" priority="107">
      <colorScale>
        <cfvo type="min"/>
        <cfvo type="percentile" val="50"/>
        <cfvo type="max"/>
        <color rgb="FF63BE7B"/>
        <color rgb="FFFFEB84"/>
        <color rgb="FFF8696B"/>
      </colorScale>
    </cfRule>
  </conditionalFormatting>
  <conditionalFormatting sqref="Z127:Z131">
    <cfRule type="containsText" dxfId="1118" priority="105" operator="containsText" text="M">
      <formula>NOT(ISERROR(SEARCH("M",Z127)))</formula>
    </cfRule>
    <cfRule type="containsText" dxfId="1117" priority="106" operator="containsText" text="H">
      <formula>NOT(ISERROR(SEARCH("H",Z127)))</formula>
    </cfRule>
  </conditionalFormatting>
  <conditionalFormatting sqref="Z127:Z131">
    <cfRule type="containsText" dxfId="1116" priority="103" operator="containsText" text="M">
      <formula>NOT(ISERROR(SEARCH("M",Z127)))</formula>
    </cfRule>
    <cfRule type="containsText" dxfId="1115" priority="104" operator="containsText" text="H">
      <formula>NOT(ISERROR(SEARCH("H",Z127)))</formula>
    </cfRule>
  </conditionalFormatting>
  <conditionalFormatting sqref="U127:U131">
    <cfRule type="colorScale" priority="102">
      <colorScale>
        <cfvo type="min"/>
        <cfvo type="percentile" val="50"/>
        <cfvo type="max"/>
        <color rgb="FF63BE7B"/>
        <color rgb="FFFFEB84"/>
        <color rgb="FFF8696B"/>
      </colorScale>
    </cfRule>
  </conditionalFormatting>
  <conditionalFormatting sqref="U127:U131">
    <cfRule type="containsText" dxfId="1114" priority="100" operator="containsText" text="M">
      <formula>NOT(ISERROR(SEARCH("M",U127)))</formula>
    </cfRule>
    <cfRule type="containsText" dxfId="1113" priority="101" operator="containsText" text="H">
      <formula>NOT(ISERROR(SEARCH("H",U127)))</formula>
    </cfRule>
  </conditionalFormatting>
  <conditionalFormatting sqref="U127:U131">
    <cfRule type="containsText" dxfId="1112" priority="98" operator="containsText" text="M">
      <formula>NOT(ISERROR(SEARCH("M",U127)))</formula>
    </cfRule>
    <cfRule type="containsText" dxfId="1111" priority="99" operator="containsText" text="H">
      <formula>NOT(ISERROR(SEARCH("H",U127)))</formula>
    </cfRule>
  </conditionalFormatting>
  <conditionalFormatting sqref="L125">
    <cfRule type="expression" dxfId="1110" priority="96" stopIfTrue="1">
      <formula>N125="OK"</formula>
    </cfRule>
    <cfRule type="notContainsBlanks" dxfId="1109" priority="97">
      <formula>LEN(TRIM(L125))&gt;0</formula>
    </cfRule>
  </conditionalFormatting>
  <conditionalFormatting sqref="K125">
    <cfRule type="expression" dxfId="1108" priority="95">
      <formula>J125=""</formula>
    </cfRule>
  </conditionalFormatting>
  <conditionalFormatting sqref="AA125:AA126">
    <cfRule type="expression" dxfId="1107" priority="94">
      <formula>Z125=""</formula>
    </cfRule>
  </conditionalFormatting>
  <conditionalFormatting sqref="J125">
    <cfRule type="expression" dxfId="1106" priority="92" stopIfTrue="1">
      <formula>K125="OK"</formula>
    </cfRule>
    <cfRule type="containsText" dxfId="1105" priority="93" operator="containsText" text="g">
      <formula>NOT(ISERROR(SEARCH("g",J125)))</formula>
    </cfRule>
  </conditionalFormatting>
  <conditionalFormatting sqref="Z125">
    <cfRule type="colorScale" priority="91">
      <colorScale>
        <cfvo type="min"/>
        <cfvo type="percentile" val="50"/>
        <cfvo type="max"/>
        <color rgb="FF63BE7B"/>
        <color rgb="FFFFEB84"/>
        <color rgb="FFF8696B"/>
      </colorScale>
    </cfRule>
  </conditionalFormatting>
  <conditionalFormatting sqref="Z125">
    <cfRule type="containsText" dxfId="1104" priority="89" operator="containsText" text="M">
      <formula>NOT(ISERROR(SEARCH("M",Z125)))</formula>
    </cfRule>
    <cfRule type="containsText" dxfId="1103" priority="90" operator="containsText" text="H">
      <formula>NOT(ISERROR(SEARCH("H",Z125)))</formula>
    </cfRule>
  </conditionalFormatting>
  <conditionalFormatting sqref="Z125:Z126">
    <cfRule type="containsText" dxfId="1102" priority="87" operator="containsText" text="M">
      <formula>NOT(ISERROR(SEARCH("M",Z125)))</formula>
    </cfRule>
    <cfRule type="containsText" dxfId="1101" priority="88" operator="containsText" text="H">
      <formula>NOT(ISERROR(SEARCH("H",Z125)))</formula>
    </cfRule>
  </conditionalFormatting>
  <conditionalFormatting sqref="U125">
    <cfRule type="colorScale" priority="86">
      <colorScale>
        <cfvo type="min"/>
        <cfvo type="percentile" val="50"/>
        <cfvo type="max"/>
        <color rgb="FF63BE7B"/>
        <color rgb="FFFFEB84"/>
        <color rgb="FFF8696B"/>
      </colorScale>
    </cfRule>
  </conditionalFormatting>
  <conditionalFormatting sqref="U125">
    <cfRule type="containsText" dxfId="1100" priority="84" operator="containsText" text="M">
      <formula>NOT(ISERROR(SEARCH("M",U125)))</formula>
    </cfRule>
    <cfRule type="containsText" dxfId="1099" priority="85" operator="containsText" text="H">
      <formula>NOT(ISERROR(SEARCH("H",U125)))</formula>
    </cfRule>
  </conditionalFormatting>
  <conditionalFormatting sqref="U125:U126">
    <cfRule type="containsText" dxfId="1098" priority="82" operator="containsText" text="M">
      <formula>NOT(ISERROR(SEARCH("M",U125)))</formula>
    </cfRule>
    <cfRule type="containsText" dxfId="1097" priority="83" operator="containsText" text="H">
      <formula>NOT(ISERROR(SEARCH("H",U125)))</formula>
    </cfRule>
  </conditionalFormatting>
  <conditionalFormatting sqref="L126">
    <cfRule type="expression" dxfId="1096" priority="80" stopIfTrue="1">
      <formula>N126="OK"</formula>
    </cfRule>
    <cfRule type="notContainsBlanks" dxfId="1095" priority="81">
      <formula>LEN(TRIM(L126))&gt;0</formula>
    </cfRule>
  </conditionalFormatting>
  <conditionalFormatting sqref="K126">
    <cfRule type="expression" dxfId="1094" priority="79">
      <formula>J126=""</formula>
    </cfRule>
  </conditionalFormatting>
  <conditionalFormatting sqref="AA126">
    <cfRule type="expression" dxfId="1093" priority="78">
      <formula>Z126=""</formula>
    </cfRule>
  </conditionalFormatting>
  <conditionalFormatting sqref="J126">
    <cfRule type="expression" dxfId="1092" priority="76" stopIfTrue="1">
      <formula>K126="OK"</formula>
    </cfRule>
    <cfRule type="containsText" dxfId="1091" priority="77" operator="containsText" text="g">
      <formula>NOT(ISERROR(SEARCH("g",J126)))</formula>
    </cfRule>
  </conditionalFormatting>
  <conditionalFormatting sqref="Z126">
    <cfRule type="colorScale" priority="75">
      <colorScale>
        <cfvo type="min"/>
        <cfvo type="percentile" val="50"/>
        <cfvo type="max"/>
        <color rgb="FF63BE7B"/>
        <color rgb="FFFFEB84"/>
        <color rgb="FFF8696B"/>
      </colorScale>
    </cfRule>
  </conditionalFormatting>
  <conditionalFormatting sqref="Z126">
    <cfRule type="containsText" dxfId="1090" priority="73" operator="containsText" text="M">
      <formula>NOT(ISERROR(SEARCH("M",Z126)))</formula>
    </cfRule>
    <cfRule type="containsText" dxfId="1089" priority="74" operator="containsText" text="H">
      <formula>NOT(ISERROR(SEARCH("H",Z126)))</formula>
    </cfRule>
  </conditionalFormatting>
  <conditionalFormatting sqref="Z126">
    <cfRule type="containsText" dxfId="1088" priority="71" operator="containsText" text="M">
      <formula>NOT(ISERROR(SEARCH("M",Z126)))</formula>
    </cfRule>
    <cfRule type="containsText" dxfId="1087" priority="72" operator="containsText" text="H">
      <formula>NOT(ISERROR(SEARCH("H",Z126)))</formula>
    </cfRule>
  </conditionalFormatting>
  <conditionalFormatting sqref="U126">
    <cfRule type="colorScale" priority="70">
      <colorScale>
        <cfvo type="min"/>
        <cfvo type="percentile" val="50"/>
        <cfvo type="max"/>
        <color rgb="FF63BE7B"/>
        <color rgb="FFFFEB84"/>
        <color rgb="FFF8696B"/>
      </colorScale>
    </cfRule>
  </conditionalFormatting>
  <conditionalFormatting sqref="U126">
    <cfRule type="containsText" dxfId="1086" priority="68" operator="containsText" text="M">
      <formula>NOT(ISERROR(SEARCH("M",U126)))</formula>
    </cfRule>
    <cfRule type="containsText" dxfId="1085" priority="69" operator="containsText" text="H">
      <formula>NOT(ISERROR(SEARCH("H",U126)))</formula>
    </cfRule>
  </conditionalFormatting>
  <conditionalFormatting sqref="U126">
    <cfRule type="containsText" dxfId="1084" priority="66" operator="containsText" text="M">
      <formula>NOT(ISERROR(SEARCH("M",U126)))</formula>
    </cfRule>
    <cfRule type="containsText" dxfId="1083" priority="67" operator="containsText" text="H">
      <formula>NOT(ISERROR(SEARCH("H",U126)))</formula>
    </cfRule>
  </conditionalFormatting>
  <conditionalFormatting sqref="L132">
    <cfRule type="expression" dxfId="1082" priority="32" stopIfTrue="1">
      <formula>N132="OK"</formula>
    </cfRule>
    <cfRule type="notContainsBlanks" dxfId="1081" priority="33">
      <formula>LEN(TRIM(L132))&gt;0</formula>
    </cfRule>
  </conditionalFormatting>
  <conditionalFormatting sqref="K132">
    <cfRule type="expression" dxfId="1080" priority="31">
      <formula>J132=""</formula>
    </cfRule>
  </conditionalFormatting>
  <conditionalFormatting sqref="AA132:AA133">
    <cfRule type="expression" dxfId="1079" priority="30">
      <formula>Z132=""</formula>
    </cfRule>
  </conditionalFormatting>
  <conditionalFormatting sqref="J132">
    <cfRule type="expression" dxfId="1078" priority="28" stopIfTrue="1">
      <formula>K132="OK"</formula>
    </cfRule>
    <cfRule type="containsText" dxfId="1077" priority="29" operator="containsText" text="g">
      <formula>NOT(ISERROR(SEARCH("g",J132)))</formula>
    </cfRule>
  </conditionalFormatting>
  <conditionalFormatting sqref="Z132">
    <cfRule type="containsText" dxfId="1076" priority="25" operator="containsText" text="M">
      <formula>NOT(ISERROR(SEARCH("M",Z132)))</formula>
    </cfRule>
    <cfRule type="containsText" dxfId="1075" priority="26" operator="containsText" text="H">
      <formula>NOT(ISERROR(SEARCH("H",Z132)))</formula>
    </cfRule>
  </conditionalFormatting>
  <conditionalFormatting sqref="Z132:Z133">
    <cfRule type="containsText" dxfId="1074" priority="23" operator="containsText" text="M">
      <formula>NOT(ISERROR(SEARCH("M",Z132)))</formula>
    </cfRule>
    <cfRule type="containsText" dxfId="1073" priority="24" operator="containsText" text="H">
      <formula>NOT(ISERROR(SEARCH("H",Z132)))</formula>
    </cfRule>
  </conditionalFormatting>
  <conditionalFormatting sqref="U132:U133">
    <cfRule type="containsText" dxfId="1072" priority="20" operator="containsText" text="M">
      <formula>NOT(ISERROR(SEARCH("M",U132)))</formula>
    </cfRule>
    <cfRule type="containsText" dxfId="1071" priority="21" operator="containsText" text="H">
      <formula>NOT(ISERROR(SEARCH("H",U132)))</formula>
    </cfRule>
  </conditionalFormatting>
  <conditionalFormatting sqref="U132:U133">
    <cfRule type="containsText" dxfId="1070" priority="18" operator="containsText" text="M">
      <formula>NOT(ISERROR(SEARCH("M",U132)))</formula>
    </cfRule>
    <cfRule type="containsText" dxfId="1069" priority="19" operator="containsText" text="H">
      <formula>NOT(ISERROR(SEARCH("H",U132)))</formula>
    </cfRule>
  </conditionalFormatting>
  <conditionalFormatting sqref="L133">
    <cfRule type="expression" dxfId="1068" priority="48" stopIfTrue="1">
      <formula>N133="OK"</formula>
    </cfRule>
    <cfRule type="notContainsBlanks" dxfId="1067" priority="49">
      <formula>LEN(TRIM(L133))&gt;0</formula>
    </cfRule>
  </conditionalFormatting>
  <conditionalFormatting sqref="K133">
    <cfRule type="expression" dxfId="1066" priority="47">
      <formula>J133=""</formula>
    </cfRule>
  </conditionalFormatting>
  <conditionalFormatting sqref="AA133">
    <cfRule type="expression" dxfId="1065" priority="46">
      <formula>Z133=""</formula>
    </cfRule>
  </conditionalFormatting>
  <conditionalFormatting sqref="J133">
    <cfRule type="expression" dxfId="1064" priority="44" stopIfTrue="1">
      <formula>K133="OK"</formula>
    </cfRule>
    <cfRule type="containsText" dxfId="1063" priority="45" operator="containsText" text="g">
      <formula>NOT(ISERROR(SEARCH("g",J133)))</formula>
    </cfRule>
  </conditionalFormatting>
  <conditionalFormatting sqref="Z133">
    <cfRule type="colorScale" priority="43">
      <colorScale>
        <cfvo type="min"/>
        <cfvo type="percentile" val="50"/>
        <cfvo type="max"/>
        <color rgb="FF63BE7B"/>
        <color rgb="FFFFEB84"/>
        <color rgb="FFF8696B"/>
      </colorScale>
    </cfRule>
  </conditionalFormatting>
  <conditionalFormatting sqref="Z133">
    <cfRule type="containsText" dxfId="1062" priority="41" operator="containsText" text="M">
      <formula>NOT(ISERROR(SEARCH("M",Z133)))</formula>
    </cfRule>
    <cfRule type="containsText" dxfId="1061" priority="42" operator="containsText" text="H">
      <formula>NOT(ISERROR(SEARCH("H",Z133)))</formula>
    </cfRule>
  </conditionalFormatting>
  <conditionalFormatting sqref="Z133">
    <cfRule type="containsText" dxfId="1060" priority="39" operator="containsText" text="M">
      <formula>NOT(ISERROR(SEARCH("M",Z133)))</formula>
    </cfRule>
    <cfRule type="containsText" dxfId="1059" priority="40" operator="containsText" text="H">
      <formula>NOT(ISERROR(SEARCH("H",Z133)))</formula>
    </cfRule>
  </conditionalFormatting>
  <conditionalFormatting sqref="U133">
    <cfRule type="colorScale" priority="38">
      <colorScale>
        <cfvo type="min"/>
        <cfvo type="percentile" val="50"/>
        <cfvo type="max"/>
        <color rgb="FF63BE7B"/>
        <color rgb="FFFFEB84"/>
        <color rgb="FFF8696B"/>
      </colorScale>
    </cfRule>
  </conditionalFormatting>
  <conditionalFormatting sqref="U133">
    <cfRule type="containsText" dxfId="1058" priority="36" operator="containsText" text="M">
      <formula>NOT(ISERROR(SEARCH("M",U133)))</formula>
    </cfRule>
    <cfRule type="containsText" dxfId="1057" priority="37" operator="containsText" text="H">
      <formula>NOT(ISERROR(SEARCH("H",U133)))</formula>
    </cfRule>
  </conditionalFormatting>
  <conditionalFormatting sqref="U133">
    <cfRule type="containsText" dxfId="1056" priority="34" operator="containsText" text="M">
      <formula>NOT(ISERROR(SEARCH("M",U133)))</formula>
    </cfRule>
    <cfRule type="containsText" dxfId="1055" priority="35" operator="containsText" text="H">
      <formula>NOT(ISERROR(SEARCH("H",U133)))</formula>
    </cfRule>
  </conditionalFormatting>
  <conditionalFormatting sqref="Z132">
    <cfRule type="colorScale" priority="27">
      <colorScale>
        <cfvo type="min"/>
        <cfvo type="percentile" val="50"/>
        <cfvo type="max"/>
        <color rgb="FF63BE7B"/>
        <color rgb="FFFFEB84"/>
        <color rgb="FFF8696B"/>
      </colorScale>
    </cfRule>
  </conditionalFormatting>
  <conditionalFormatting sqref="U132">
    <cfRule type="colorScale" priority="22">
      <colorScale>
        <cfvo type="min"/>
        <cfvo type="percentile" val="50"/>
        <cfvo type="max"/>
        <color rgb="FF63BE7B"/>
        <color rgb="FFFFEB84"/>
        <color rgb="FFF8696B"/>
      </colorScale>
    </cfRule>
  </conditionalFormatting>
  <conditionalFormatting sqref="AK21:AK43">
    <cfRule type="expression" dxfId="1054" priority="15" stopIfTrue="1">
      <formula>AL21="OK"</formula>
    </cfRule>
    <cfRule type="containsText" dxfId="1053" priority="16" operator="containsText" text="g">
      <formula>NOT(ISERROR(SEARCH("g",AK21)))</formula>
    </cfRule>
  </conditionalFormatting>
  <conditionalFormatting sqref="AM21:AM37">
    <cfRule type="expression" dxfId="1052" priority="14" stopIfTrue="1">
      <formula>AO21="OK"</formula>
    </cfRule>
    <cfRule type="notContainsBlanks" dxfId="1051" priority="17">
      <formula>LEN(TRIM(AM21))&gt;0</formula>
    </cfRule>
  </conditionalFormatting>
  <conditionalFormatting sqref="AL21:AL43">
    <cfRule type="expression" dxfId="1050" priority="11">
      <formula>AK21=""</formula>
    </cfRule>
  </conditionalFormatting>
  <conditionalFormatting sqref="AM38:AM43">
    <cfRule type="expression" dxfId="1049" priority="12" stopIfTrue="1">
      <formula>AO38="OK"</formula>
    </cfRule>
    <cfRule type="notContainsBlanks" dxfId="1048" priority="13">
      <formula>LEN(TRIM(AM38))&gt;0</formula>
    </cfRule>
  </conditionalFormatting>
  <conditionalFormatting sqref="AO24:AO43">
    <cfRule type="expression" dxfId="1047" priority="10">
      <formula>AN24=""</formula>
    </cfRule>
  </conditionalFormatting>
  <conditionalFormatting sqref="BB21:BB43">
    <cfRule type="expression" dxfId="1046" priority="9">
      <formula>BA21=""</formula>
    </cfRule>
  </conditionalFormatting>
  <conditionalFormatting sqref="BA21:BA43">
    <cfRule type="colorScale" priority="8">
      <colorScale>
        <cfvo type="min"/>
        <cfvo type="percentile" val="50"/>
        <cfvo type="max"/>
        <color rgb="FF63BE7B"/>
        <color rgb="FFFFEB84"/>
        <color rgb="FFF8696B"/>
      </colorScale>
    </cfRule>
  </conditionalFormatting>
  <conditionalFormatting sqref="BA21:BA43">
    <cfRule type="containsText" dxfId="1045" priority="6" operator="containsText" text="M">
      <formula>NOT(ISERROR(SEARCH("M",BA21)))</formula>
    </cfRule>
    <cfRule type="containsText" dxfId="1044" priority="7" operator="containsText" text="H">
      <formula>NOT(ISERROR(SEARCH("H",BA21)))</formula>
    </cfRule>
  </conditionalFormatting>
  <conditionalFormatting sqref="BA21:BA43">
    <cfRule type="containsText" dxfId="1043" priority="4" operator="containsText" text="M">
      <formula>NOT(ISERROR(SEARCH("M",BA21)))</formula>
    </cfRule>
    <cfRule type="containsText" dxfId="1042" priority="5" operator="containsText" text="H">
      <formula>NOT(ISERROR(SEARCH("H",BA21)))</formula>
    </cfRule>
  </conditionalFormatting>
  <conditionalFormatting sqref="AV21:AV43">
    <cfRule type="colorScale" priority="3">
      <colorScale>
        <cfvo type="min"/>
        <cfvo type="percentile" val="50"/>
        <cfvo type="max"/>
        <color rgb="FF63BE7B"/>
        <color rgb="FFFFEB84"/>
        <color rgb="FFF8696B"/>
      </colorScale>
    </cfRule>
  </conditionalFormatting>
  <conditionalFormatting sqref="AV21:AV43">
    <cfRule type="containsText" dxfId="1041" priority="1" operator="containsText" text="M">
      <formula>NOT(ISERROR(SEARCH("M",AV21)))</formula>
    </cfRule>
    <cfRule type="containsText" dxfId="1040" priority="2" operator="containsText" text="H">
      <formula>NOT(ISERROR(SEARCH("H",AV21)))</formula>
    </cfRule>
  </conditionalFormatting>
  <dataValidations count="2">
    <dataValidation allowBlank="1" showInputMessage="1" sqref="A167:A168 A175:A176 AZ6:AZ11 AB149:AB161 AK120:AN125 AD118:AN119 BB15 D5:I6 Z6:AB6 AC163:AC166 L167:L168 L175:L178 N116:S116 O117:S117 K114:K117 BB158:BB160 AA100 L118:L126 BJ13:XFD27 BG11:BG12 L147:L148 T163:AA163 A78:A79 H32:H46 B33:B46 AO52:AO134 K48 P48:S48 C177:I178 N52:Z52 J138:J144 AA14:AA15 AA139 O167:O168 P55:S55 N176:N177 N56:S56 AA114:AB116 AA50:AA52 O49:S51 N57:N72 K50:K52 K119 P119:S119 C10:I11 M119:M126 P54:Q54 AB118 O147:O148 D134:H137 K139 P139:S139 P118:Q118 C118:F118 AC135:BC135 J147:J157 AB163:AB167 K168 P168:S168 M168 J161 P147:Q147 AD149:AK149 AA168 AE163:AL166 K148 P148:S148 M148 P138:Q138 D138:F138 AC167:BC178 AA55:AA56 AA78 AA170:AA171 AD6:AJ10 K176 P176:S176 AO15:AO23 P167:Q167 BA6:BB8 L149:S166 O177:S178 C175:F175 M141:X144 AD11:AS11 BA162:BB162 AK47:AK49 AL14 AB13:AG13 D167:F167 AO49 A100:A101 K44:K46 K55:K56 K100 AF138:AG138 O54:O55 AM147:AM148 AA148 BC147 AL148 AN148 AK147:AK148 AP47:AR49 G1:I4 AC147:AG147 AK13:AK14 AK161:AK162 AD150:AD166 AL162 AM149:AO166 AA162:AC162 AC148:AC161 AU126:BB130 AB169:AB175 L169:S169 B145:S146 AK6:AL6 N44:N46 M6:X6 AD12:AY12 AK150:AK157 A170:M172 O118:O119 O138:O139 K78 L140:L144 O31:O48 N170:S174 J158:K160 J162:K166 BB148 A44:A47 D79:F113 C49:F54 A114:F116 P175:Q175 A15:A16 B134:C138 A13 C13 B141:B144 O140:S140 V55:Y55 AA176 C147:F147 J167:J169 C56:C113 C12:T12 O175:O176 AB47:AB52 BC149:BC162 K14:K15 AA158:AA160 AB177:AB178 BC136:BC138 AB140:AB147 AZ48:BB48 J175:J178 AD50:BC51 D168:I169 BH6:XFD12 AP147:AR162 AC48:AC51 BC47 AS48:AT49 AC47:AD47 AL48 AP138:AR144 AD49:AJ49 AC136:BB137 AN48:AN49 AC45:BC46 BC49 AM47:AM49 BB139 AC139:AC144 AS139:AT144 AC138:AD138 AL139 AF47:AG47 BC140:BC144 AN140:AO140 AM140:AM144 AK138:AK144 AU134:BB134 K141:K144 AA141:AA146 Z7:AA8 N8:Q8 AK158:AL160 AS148:AT162 AB7:AB12 B4:F4 A4:A6 A173:J174 I133:I137 AA119 K1 B5:B6 AC6:AC12 O10:S10 A1:F3 N11:R11 O7:O9 K6 AC145:BC146 AA48 Z141:Z145 AK44:BC44 BA1:BC5 AF139:AH139 AP163:BC166 U7:X8 R44:AB46 AM2:AZ5 U101:X113 Z171 T170:Z170 T11 Y171:Y174 U171:X171 Y164:Y166 T146:Z146 T164 J134:AA137 Y176:Y178 T145:X145 U49 T171:T172 U161:Z161 Y168:Y169 T158:T160 T162 Y162 Z149:Z157 U149:X157 Y148:Y160 AZ14:BB14 AZ15 BA149:BA161 AU158:AU160 AV149:AY161 AV16:AZ43 AZ139:AZ144 AZ131:AZ133 AU131 AZ148:AZ162 AU162:AY162 C140:I144 C33:F47 C167:C169 AE47:AE48 AE138:AE139 AI139:AJ144 AF48:AJ48 AV6:AY8 AU6:AU9 Y6:Y8 BC6:BC13 AP6:AT10 C120:H133 O120:S133 Y14:Y43 L127:M133 AP126:AT134 BC126:BC134 AC126:AN134 A134:A147 Y139:Y145 A49:A54 B50:B53 O53:S53 J53:K53 M48:M53 P31:Q47 AP52:BC116 AC52:AN116 Y53:AB53 B16:B31 C15:C31 L6:L10 D13:F31 O13:Q30 R14:S43 AB15:AB43 M14:M46 J13:J52 U16:X43 V14:X14 I14:I46 H56:I116 B57:B77 U57:X77 A56:A57 B79:B99 J54:J133 M55:M116 AB54:AB113 U120:Z133 L13:L116 O57:S115 G49:I53 B101:B113 D56:G78 I126 AB120:AB138 AN14:AN43 AK16:AK43 BC15:BC43 AM13:AM43 AS14:AT43 AP13:AR43 AV49:BA49 Y56:Z117 J1:J7 I7:I9 A149:I166 G14:H31 G33:G46 A32:G32 G79:G116 V48:X49 Z49:Z51 L1:Z4 U79:X99 V119:Y119 Y48:Y51 AM6:AM10 Z15:Z43 L5:AG5 AK2:AK5 AC1:AZ1 AC2:AG4 AN10 AK7 AN6:AO9 BA15:BA43 AC14:AC44 AD140:AH144 AD15:AJ44 AE150:AJ162"/>
    <dataValidation type="list" allowBlank="1" showInputMessage="1" sqref="AL161 AO142:AO144 AL140:AL144 BB49 N178 AA149:AA157 AA161 K149:K157 AL149:AL157 AL49 AA57:AA77 BB140:BB144 BB161 K101:K113 AA79:AA99 K49 K177:K178 AK15 K79:K99 BB149:BB157 AA169 AA140 AA177:AA178 K161 AA101:AA113 N15:N43 AA49 K169 N53 N49:N51 K140 N120:N133 K120:K133 AA120:AA133 AA16:AA43 K16:K43 K57:K77 N73:N115 BB16:BB43 AO24:AO43 AL15:AL43">
      <formula1>#REF!</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4151ED"/>
  </sheetPr>
  <dimension ref="A1:AD208"/>
  <sheetViews>
    <sheetView tabSelected="1" topLeftCell="A13" zoomScale="80" zoomScaleNormal="80" workbookViewId="0">
      <selection activeCell="I21" sqref="I21:K21"/>
    </sheetView>
  </sheetViews>
  <sheetFormatPr defaultColWidth="9.109375" defaultRowHeight="13.8" x14ac:dyDescent="0.3"/>
  <cols>
    <col min="1" max="1" width="10.33203125" style="592" customWidth="1"/>
    <col min="2" max="2" width="12.6640625" style="362" customWidth="1"/>
    <col min="3" max="3" width="44.109375" style="362" bestFit="1" customWidth="1"/>
    <col min="4" max="4" width="16.33203125" style="362" customWidth="1"/>
    <col min="5" max="8" width="14" style="362" customWidth="1"/>
    <col min="9" max="9" width="13.109375" style="362" customWidth="1"/>
    <col min="10" max="10" width="12.33203125" style="590" customWidth="1"/>
    <col min="11" max="11" width="14.33203125" style="591" customWidth="1"/>
    <col min="12" max="12" width="29.77734375" style="362" customWidth="1"/>
    <col min="13" max="13" width="25.77734375" style="362" customWidth="1"/>
    <col min="14" max="14" width="11.77734375" style="362" customWidth="1"/>
    <col min="15" max="15" width="11" style="362" customWidth="1"/>
    <col min="16" max="16" width="19.109375" style="362" customWidth="1"/>
    <col min="17" max="17" width="11" style="362" customWidth="1"/>
    <col min="18" max="18" width="14" style="362" customWidth="1"/>
    <col min="19" max="20" width="9.109375" style="362"/>
    <col min="21" max="21" width="9.109375" style="362" customWidth="1"/>
    <col min="22" max="22" width="15.77734375" style="362" customWidth="1"/>
    <col min="23" max="23" width="9.109375" style="362" customWidth="1"/>
    <col min="24" max="24" width="13.77734375" style="362" customWidth="1"/>
    <col min="25" max="25" width="9.109375" style="362"/>
    <col min="26" max="26" width="22.77734375" style="362" customWidth="1"/>
    <col min="27" max="16384" width="9.109375" style="362"/>
  </cols>
  <sheetData>
    <row r="1" spans="1:30" ht="23.4" x14ac:dyDescent="0.45">
      <c r="A1" s="312" t="s">
        <v>573</v>
      </c>
      <c r="B1" s="313"/>
      <c r="C1" s="49"/>
      <c r="D1" s="49"/>
      <c r="E1" s="49"/>
      <c r="F1" s="49"/>
      <c r="G1" s="49"/>
      <c r="H1" s="49"/>
      <c r="I1" s="49"/>
      <c r="J1" s="314"/>
      <c r="K1" s="315"/>
      <c r="L1" s="49"/>
      <c r="M1" s="49"/>
      <c r="N1" s="49"/>
      <c r="O1" s="49"/>
      <c r="P1" s="49"/>
      <c r="Q1" s="49"/>
      <c r="R1" s="49"/>
      <c r="S1" s="49"/>
      <c r="T1" s="49"/>
      <c r="U1" s="49"/>
      <c r="V1" s="49"/>
      <c r="W1" s="49"/>
      <c r="X1" s="49"/>
      <c r="Y1" s="49"/>
      <c r="Z1" s="49"/>
      <c r="AA1" s="49"/>
      <c r="AB1" s="49"/>
      <c r="AC1" s="49"/>
      <c r="AD1" s="49"/>
    </row>
    <row r="2" spans="1:30" x14ac:dyDescent="0.3">
      <c r="A2" s="465"/>
      <c r="B2" s="466"/>
      <c r="C2" s="466"/>
      <c r="D2" s="466"/>
      <c r="E2" s="466"/>
      <c r="F2" s="466"/>
      <c r="G2" s="466"/>
      <c r="H2" s="466"/>
      <c r="I2" s="466"/>
      <c r="J2" s="467"/>
      <c r="K2" s="468"/>
      <c r="L2" s="468"/>
      <c r="M2" s="468"/>
      <c r="N2" s="468"/>
      <c r="O2" s="466"/>
      <c r="P2" s="466"/>
      <c r="Q2" s="466"/>
      <c r="R2" s="466"/>
      <c r="S2" s="466"/>
      <c r="T2" s="466"/>
      <c r="U2" s="466"/>
      <c r="V2" s="466"/>
      <c r="W2" s="466"/>
      <c r="X2" s="466"/>
      <c r="Y2" s="466"/>
      <c r="Z2" s="466"/>
      <c r="AA2" s="466"/>
      <c r="AB2" s="466"/>
      <c r="AC2" s="466"/>
      <c r="AD2" s="466"/>
    </row>
    <row r="3" spans="1:30" x14ac:dyDescent="0.3">
      <c r="A3" s="320"/>
      <c r="B3" s="49"/>
      <c r="C3" s="49"/>
      <c r="D3" s="49"/>
      <c r="E3" s="49"/>
      <c r="F3" s="49"/>
      <c r="G3" s="49"/>
      <c r="H3" s="49"/>
      <c r="I3" s="49"/>
      <c r="J3" s="314"/>
      <c r="K3" s="321"/>
      <c r="L3" s="49"/>
      <c r="M3" s="49"/>
      <c r="N3" s="49"/>
      <c r="O3" s="49"/>
      <c r="P3" s="49"/>
      <c r="Q3" s="49"/>
      <c r="R3" s="49"/>
      <c r="S3" s="49"/>
      <c r="T3" s="49"/>
      <c r="U3" s="49"/>
      <c r="V3" s="49"/>
      <c r="W3" s="49"/>
      <c r="X3" s="49"/>
      <c r="Y3" s="49"/>
      <c r="Z3" s="49"/>
      <c r="AA3" s="49"/>
      <c r="AB3" s="49"/>
      <c r="AC3" s="49"/>
      <c r="AD3" s="49"/>
    </row>
    <row r="4" spans="1:30" s="593" customFormat="1" ht="21" x14ac:dyDescent="0.3">
      <c r="A4" s="469" t="s">
        <v>20</v>
      </c>
      <c r="B4" s="470" t="str">
        <f>+Performance!C2</f>
        <v>MINISTRY OF JUSTICE (MoJ)</v>
      </c>
      <c r="C4" s="470"/>
      <c r="D4" s="470"/>
      <c r="E4" s="470"/>
      <c r="F4" s="470"/>
      <c r="G4" s="470"/>
      <c r="H4" s="470"/>
      <c r="I4" s="470"/>
      <c r="J4" s="470"/>
      <c r="K4" s="470"/>
      <c r="L4" s="470"/>
      <c r="M4" s="470"/>
      <c r="N4" s="470"/>
      <c r="O4" s="470"/>
      <c r="P4" s="470"/>
      <c r="Q4" s="470"/>
      <c r="R4" s="470"/>
      <c r="S4" s="470"/>
      <c r="T4" s="470"/>
      <c r="U4" s="470"/>
      <c r="V4" s="470"/>
      <c r="W4" s="470"/>
      <c r="X4" s="470"/>
      <c r="Y4" s="470"/>
      <c r="Z4" s="470"/>
      <c r="AA4" s="470"/>
      <c r="AB4" s="470"/>
      <c r="AC4" s="470"/>
      <c r="AD4" s="470"/>
    </row>
    <row r="5" spans="1:30" ht="21" x14ac:dyDescent="0.3">
      <c r="A5" s="320"/>
      <c r="B5" s="324"/>
      <c r="C5" s="324"/>
      <c r="D5" s="324"/>
      <c r="E5" s="324"/>
      <c r="F5" s="324"/>
      <c r="G5" s="324"/>
      <c r="H5" s="324"/>
      <c r="I5" s="324"/>
      <c r="J5" s="324"/>
      <c r="K5" s="325"/>
      <c r="L5" s="325"/>
      <c r="M5" s="325"/>
      <c r="N5" s="325"/>
      <c r="O5" s="49"/>
      <c r="P5" s="49"/>
      <c r="Q5" s="49"/>
      <c r="R5" s="49"/>
      <c r="S5" s="49"/>
      <c r="T5" s="49"/>
      <c r="U5" s="49"/>
      <c r="V5" s="49"/>
      <c r="W5" s="49"/>
      <c r="X5" s="49"/>
      <c r="Y5" s="49"/>
      <c r="Z5" s="49"/>
      <c r="AA5" s="49"/>
      <c r="AB5" s="49"/>
      <c r="AC5" s="49"/>
      <c r="AD5" s="49"/>
    </row>
    <row r="6" spans="1:30" ht="23.4" x14ac:dyDescent="0.3">
      <c r="A6" s="1209">
        <v>1</v>
      </c>
      <c r="B6" s="471" t="s">
        <v>476</v>
      </c>
      <c r="C6" s="472"/>
      <c r="D6" s="2090" t="str">
        <f>+$A$1</f>
        <v>Quarter 2 - 2019-2020</v>
      </c>
      <c r="E6" s="2090"/>
      <c r="F6" s="2090"/>
      <c r="G6" s="2090"/>
      <c r="H6" s="2090"/>
      <c r="I6" s="2090"/>
      <c r="J6" s="2090"/>
      <c r="K6" s="473"/>
      <c r="L6" s="473"/>
      <c r="M6" s="473"/>
      <c r="N6" s="466"/>
      <c r="O6" s="466"/>
      <c r="P6" s="474"/>
      <c r="Q6" s="474"/>
      <c r="R6" s="466"/>
      <c r="S6" s="466"/>
      <c r="T6" s="466"/>
      <c r="U6" s="466"/>
      <c r="V6" s="466"/>
      <c r="W6" s="466"/>
      <c r="X6" s="466"/>
      <c r="Y6" s="466"/>
      <c r="Z6" s="466"/>
      <c r="AA6" s="466"/>
      <c r="AB6" s="466"/>
      <c r="AC6" s="466"/>
      <c r="AD6" s="466"/>
    </row>
    <row r="7" spans="1:30" ht="14.4" thickBot="1" x14ac:dyDescent="0.35">
      <c r="A7" s="320"/>
      <c r="B7" s="43"/>
      <c r="C7" s="337"/>
      <c r="D7" s="337"/>
      <c r="E7" s="337"/>
      <c r="F7" s="337"/>
      <c r="G7" s="337"/>
      <c r="H7" s="337"/>
      <c r="I7" s="337"/>
      <c r="J7" s="337"/>
      <c r="K7" s="337"/>
      <c r="L7" s="337"/>
      <c r="M7" s="337"/>
      <c r="N7" s="337"/>
      <c r="O7" s="337"/>
      <c r="P7" s="337"/>
      <c r="Q7" s="337"/>
      <c r="R7" s="337"/>
      <c r="S7" s="337"/>
      <c r="T7" s="337"/>
      <c r="U7" s="337"/>
      <c r="V7" s="337"/>
      <c r="W7" s="337"/>
      <c r="X7" s="337"/>
      <c r="Y7" s="49"/>
      <c r="Z7" s="49"/>
      <c r="AA7" s="49"/>
      <c r="AB7" s="49"/>
      <c r="AC7" s="49"/>
      <c r="AD7" s="49"/>
    </row>
    <row r="8" spans="1:30" ht="14.4" thickBot="1" x14ac:dyDescent="0.35">
      <c r="A8" s="320"/>
      <c r="B8" s="49"/>
      <c r="C8" s="43"/>
      <c r="D8" s="428" t="s">
        <v>23</v>
      </c>
      <c r="E8" s="1083" t="s">
        <v>144</v>
      </c>
      <c r="F8" s="1849" t="s">
        <v>24</v>
      </c>
      <c r="G8" s="1850"/>
      <c r="H8" s="1851"/>
      <c r="I8" s="2086" t="s">
        <v>461</v>
      </c>
      <c r="J8" s="2087"/>
      <c r="K8" s="337"/>
      <c r="L8" s="337"/>
      <c r="M8" s="337"/>
      <c r="N8" s="337"/>
      <c r="O8" s="337"/>
      <c r="P8" s="337"/>
      <c r="Q8" s="337"/>
      <c r="R8" s="337"/>
      <c r="S8" s="337"/>
      <c r="T8" s="337"/>
      <c r="U8" s="337"/>
      <c r="V8" s="337"/>
      <c r="W8" s="337"/>
      <c r="X8" s="337"/>
      <c r="Y8" s="49"/>
      <c r="Z8" s="49"/>
      <c r="AA8" s="337"/>
      <c r="AB8" s="337"/>
      <c r="AC8" s="337"/>
      <c r="AD8" s="337"/>
    </row>
    <row r="9" spans="1:30" ht="14.4" thickBot="1" x14ac:dyDescent="0.35">
      <c r="A9" s="320"/>
      <c r="B9" s="359"/>
      <c r="C9" s="49"/>
      <c r="D9" s="490" t="s">
        <v>477</v>
      </c>
      <c r="E9" s="432" t="s">
        <v>477</v>
      </c>
      <c r="F9" s="1852"/>
      <c r="G9" s="1853"/>
      <c r="H9" s="1854"/>
      <c r="I9" s="2088"/>
      <c r="J9" s="2089"/>
      <c r="K9" s="337"/>
      <c r="L9" s="337"/>
      <c r="M9" s="337"/>
      <c r="N9" s="337"/>
      <c r="O9" s="337"/>
      <c r="P9" s="337"/>
      <c r="Q9" s="337"/>
      <c r="R9" s="337"/>
      <c r="S9" s="337"/>
      <c r="T9" s="337"/>
      <c r="U9" s="337"/>
      <c r="V9" s="337"/>
      <c r="W9" s="337"/>
      <c r="X9" s="337"/>
      <c r="Y9" s="49"/>
      <c r="Z9" s="49"/>
      <c r="AA9" s="337"/>
      <c r="AB9" s="337"/>
      <c r="AC9" s="337"/>
      <c r="AD9" s="337"/>
    </row>
    <row r="10" spans="1:30" ht="14.4" thickBot="1" x14ac:dyDescent="0.35">
      <c r="A10" s="320"/>
      <c r="B10" s="1855" t="s">
        <v>478</v>
      </c>
      <c r="C10" s="1856"/>
      <c r="D10" s="1042"/>
      <c r="E10" s="1043"/>
      <c r="F10" s="1857"/>
      <c r="G10" s="1858"/>
      <c r="H10" s="1859"/>
      <c r="I10" s="2129" t="str">
        <f>IF(OR(D10&lt;0,E10&lt;0),"Error - Negative number",IF(E10&gt;D10,"Offices only&gt;Total Estate",""))</f>
        <v/>
      </c>
      <c r="J10" s="2130"/>
      <c r="K10" s="337"/>
      <c r="L10" s="337"/>
      <c r="M10" s="337"/>
      <c r="N10" s="337"/>
      <c r="O10" s="337"/>
      <c r="P10" s="337"/>
      <c r="Q10" s="337"/>
      <c r="R10" s="337"/>
      <c r="S10" s="337"/>
      <c r="T10" s="337"/>
      <c r="U10" s="337"/>
      <c r="V10" s="337"/>
      <c r="W10" s="337"/>
      <c r="X10" s="337"/>
      <c r="Y10" s="49"/>
      <c r="Z10" s="49"/>
      <c r="AA10" s="337"/>
      <c r="AB10" s="337"/>
      <c r="AC10" s="337"/>
      <c r="AD10" s="337"/>
    </row>
    <row r="11" spans="1:30" x14ac:dyDescent="0.3">
      <c r="A11" s="320"/>
      <c r="B11" s="337"/>
      <c r="C11" s="337"/>
      <c r="D11" s="337"/>
      <c r="E11" s="337"/>
      <c r="F11" s="337"/>
      <c r="G11" s="337"/>
      <c r="H11" s="337"/>
      <c r="I11" s="337"/>
      <c r="J11" s="386"/>
      <c r="K11" s="425"/>
      <c r="L11" s="337"/>
      <c r="M11" s="337"/>
      <c r="N11" s="49"/>
      <c r="O11" s="49"/>
      <c r="P11" s="49"/>
      <c r="Q11" s="49"/>
      <c r="R11" s="49"/>
      <c r="S11" s="49"/>
      <c r="T11" s="49"/>
      <c r="U11" s="49"/>
      <c r="V11" s="49"/>
      <c r="W11" s="49"/>
      <c r="X11" s="49"/>
      <c r="Y11" s="49"/>
      <c r="Z11" s="49"/>
      <c r="AA11" s="49"/>
      <c r="AB11" s="49"/>
      <c r="AC11" s="49"/>
      <c r="AD11" s="49"/>
    </row>
    <row r="12" spans="1:30" x14ac:dyDescent="0.3">
      <c r="A12" s="320"/>
      <c r="B12" s="337"/>
      <c r="C12" s="337"/>
      <c r="D12" s="337"/>
      <c r="E12" s="337"/>
      <c r="F12" s="337"/>
      <c r="G12" s="337"/>
      <c r="H12" s="337"/>
      <c r="I12" s="337"/>
      <c r="J12" s="386"/>
      <c r="K12" s="425"/>
      <c r="L12" s="337"/>
      <c r="M12" s="337"/>
      <c r="N12" s="49"/>
      <c r="O12" s="49"/>
      <c r="P12" s="49"/>
      <c r="Q12" s="49"/>
      <c r="R12" s="49"/>
      <c r="S12" s="49"/>
      <c r="T12" s="49"/>
      <c r="U12" s="49"/>
      <c r="V12" s="49"/>
      <c r="W12" s="49"/>
      <c r="X12" s="49"/>
      <c r="Y12" s="49"/>
      <c r="Z12" s="49"/>
      <c r="AA12" s="49"/>
      <c r="AB12" s="49"/>
      <c r="AC12" s="49"/>
      <c r="AD12" s="49"/>
    </row>
    <row r="13" spans="1:30" ht="27.75" customHeight="1" x14ac:dyDescent="0.3">
      <c r="A13" s="1209">
        <v>2</v>
      </c>
      <c r="B13" s="471" t="s">
        <v>21</v>
      </c>
      <c r="C13" s="472"/>
      <c r="D13" s="2090" t="str">
        <f>+$A$1</f>
        <v>Quarter 2 - 2019-2020</v>
      </c>
      <c r="E13" s="2090"/>
      <c r="F13" s="2090"/>
      <c r="G13" s="2090"/>
      <c r="H13" s="2090"/>
      <c r="I13" s="2090"/>
      <c r="J13" s="2090"/>
      <c r="K13" s="473"/>
      <c r="L13" s="473"/>
      <c r="M13" s="473"/>
      <c r="N13" s="473"/>
      <c r="O13" s="466"/>
      <c r="P13" s="474"/>
      <c r="Q13" s="474"/>
      <c r="R13" s="466"/>
      <c r="S13" s="466"/>
      <c r="T13" s="466"/>
      <c r="U13" s="466"/>
      <c r="V13" s="466"/>
      <c r="W13" s="466"/>
      <c r="X13" s="466"/>
      <c r="Y13" s="466"/>
      <c r="Z13" s="466"/>
      <c r="AA13" s="466"/>
      <c r="AB13" s="466"/>
      <c r="AC13" s="466"/>
      <c r="AD13" s="466"/>
    </row>
    <row r="14" spans="1:30" s="594" customFormat="1" ht="23.4" x14ac:dyDescent="0.3">
      <c r="A14" s="1210" t="s">
        <v>505</v>
      </c>
      <c r="B14" s="475" t="s">
        <v>22</v>
      </c>
      <c r="C14" s="476"/>
      <c r="D14" s="2090"/>
      <c r="E14" s="2090"/>
      <c r="F14" s="2090"/>
      <c r="G14" s="2090"/>
      <c r="H14" s="2090"/>
      <c r="I14" s="2090"/>
      <c r="J14" s="2090"/>
      <c r="K14" s="477"/>
      <c r="L14" s="477"/>
      <c r="M14" s="477"/>
      <c r="N14" s="477"/>
      <c r="O14" s="477"/>
      <c r="P14" s="477"/>
      <c r="Q14" s="477"/>
      <c r="R14" s="477"/>
      <c r="S14" s="477"/>
      <c r="T14" s="477"/>
      <c r="U14" s="477"/>
      <c r="V14" s="477"/>
      <c r="W14" s="477"/>
      <c r="X14" s="477"/>
      <c r="Y14" s="478"/>
      <c r="Z14" s="478"/>
      <c r="AA14" s="478"/>
      <c r="AB14" s="478"/>
      <c r="AC14" s="478"/>
      <c r="AD14" s="478"/>
    </row>
    <row r="15" spans="1:30" ht="15.75" customHeight="1" thickBot="1" x14ac:dyDescent="0.35">
      <c r="A15" s="320"/>
      <c r="B15" s="43"/>
      <c r="C15" s="30"/>
      <c r="D15" s="43"/>
      <c r="E15" s="336"/>
      <c r="F15" s="336"/>
      <c r="G15" s="336"/>
      <c r="H15" s="336"/>
      <c r="I15" s="336"/>
      <c r="J15" s="336"/>
      <c r="K15" s="336"/>
      <c r="L15" s="49"/>
      <c r="M15" s="49"/>
      <c r="N15" s="49"/>
      <c r="O15" s="49"/>
      <c r="P15" s="49"/>
      <c r="Q15" s="49"/>
      <c r="R15" s="49"/>
      <c r="S15" s="49"/>
      <c r="T15" s="49"/>
      <c r="U15" s="49"/>
      <c r="V15" s="49"/>
      <c r="W15" s="49"/>
      <c r="X15" s="49"/>
      <c r="Y15" s="49"/>
      <c r="Z15" s="49"/>
      <c r="AA15" s="49"/>
      <c r="AB15" s="49"/>
      <c r="AC15" s="49"/>
      <c r="AD15" s="49"/>
    </row>
    <row r="16" spans="1:30" ht="15.75" customHeight="1" thickBot="1" x14ac:dyDescent="0.35">
      <c r="A16" s="320"/>
      <c r="B16" s="337"/>
      <c r="C16" s="337"/>
      <c r="D16" s="337"/>
      <c r="E16" s="337"/>
      <c r="F16" s="337"/>
      <c r="G16" s="337"/>
      <c r="H16" s="337"/>
      <c r="I16" s="337"/>
      <c r="J16" s="337"/>
      <c r="K16" s="337"/>
      <c r="L16" s="49"/>
      <c r="M16" s="49"/>
      <c r="N16" s="49"/>
      <c r="O16" s="1963" t="s">
        <v>23</v>
      </c>
      <c r="P16" s="2091"/>
      <c r="Q16" s="2091"/>
      <c r="R16" s="1964"/>
      <c r="S16" s="49"/>
      <c r="T16" s="49"/>
      <c r="U16" s="2092" t="s">
        <v>144</v>
      </c>
      <c r="V16" s="2093"/>
      <c r="W16" s="2093"/>
      <c r="X16" s="2094"/>
      <c r="Y16" s="49"/>
      <c r="Z16" s="49"/>
      <c r="AA16" s="49"/>
      <c r="AB16" s="49"/>
      <c r="AC16" s="49"/>
      <c r="AD16" s="49"/>
    </row>
    <row r="17" spans="1:30" ht="28.2" customHeight="1" thickBot="1" x14ac:dyDescent="0.35">
      <c r="A17" s="320"/>
      <c r="B17" s="337"/>
      <c r="C17" s="337"/>
      <c r="D17" s="1866" t="s">
        <v>23</v>
      </c>
      <c r="E17" s="1867"/>
      <c r="F17" s="1868"/>
      <c r="G17" s="1869" t="s">
        <v>144</v>
      </c>
      <c r="H17" s="1870"/>
      <c r="I17" s="1849" t="s">
        <v>24</v>
      </c>
      <c r="J17" s="1850"/>
      <c r="K17" s="1851"/>
      <c r="L17" s="1909" t="s">
        <v>461</v>
      </c>
      <c r="M17" s="49"/>
      <c r="N17" s="49"/>
      <c r="O17" s="1963" t="s">
        <v>25</v>
      </c>
      <c r="P17" s="2091"/>
      <c r="Q17" s="2091"/>
      <c r="R17" s="1964"/>
      <c r="S17" s="49"/>
      <c r="T17" s="49"/>
      <c r="U17" s="2092" t="s">
        <v>25</v>
      </c>
      <c r="V17" s="2093"/>
      <c r="W17" s="2093"/>
      <c r="X17" s="2094"/>
      <c r="Y17" s="49"/>
      <c r="Z17" s="49"/>
      <c r="AA17" s="49"/>
      <c r="AB17" s="49"/>
      <c r="AC17" s="49"/>
      <c r="AD17" s="49"/>
    </row>
    <row r="18" spans="1:30" ht="15.75" customHeight="1" thickBot="1" x14ac:dyDescent="0.35">
      <c r="A18" s="320"/>
      <c r="B18" s="337"/>
      <c r="C18" s="337"/>
      <c r="D18" s="338" t="s">
        <v>26</v>
      </c>
      <c r="E18" s="1087" t="s">
        <v>27</v>
      </c>
      <c r="F18" s="339" t="s">
        <v>28</v>
      </c>
      <c r="G18" s="433" t="s">
        <v>29</v>
      </c>
      <c r="H18" s="433" t="s">
        <v>28</v>
      </c>
      <c r="I18" s="1852"/>
      <c r="J18" s="1853"/>
      <c r="K18" s="1854"/>
      <c r="L18" s="1911"/>
      <c r="M18" s="49"/>
      <c r="N18" s="49"/>
      <c r="O18" s="2095" t="s">
        <v>30</v>
      </c>
      <c r="P18" s="2096"/>
      <c r="Q18" s="2095" t="s">
        <v>31</v>
      </c>
      <c r="R18" s="2096"/>
      <c r="S18" s="49"/>
      <c r="T18" s="49"/>
      <c r="U18" s="1869" t="s">
        <v>30</v>
      </c>
      <c r="V18" s="1870"/>
      <c r="W18" s="1869" t="s">
        <v>31</v>
      </c>
      <c r="X18" s="1870"/>
      <c r="Y18" s="49"/>
      <c r="Z18" s="49"/>
      <c r="AA18" s="49"/>
      <c r="AB18" s="49"/>
      <c r="AC18" s="49"/>
      <c r="AD18" s="49"/>
    </row>
    <row r="19" spans="1:30" ht="28.95" customHeight="1" thickBot="1" x14ac:dyDescent="0.35">
      <c r="A19" s="320"/>
      <c r="B19" s="1881" t="s">
        <v>32</v>
      </c>
      <c r="C19" s="1882"/>
      <c r="D19" s="340">
        <f>SUM(D20:D47)</f>
        <v>199681147.51999998</v>
      </c>
      <c r="E19" s="1107">
        <f>IF(D19&lt;&gt;0,F19*1000/D19,"")</f>
        <v>0.232823129548174</v>
      </c>
      <c r="F19" s="342">
        <f>SUM(F20:F47)</f>
        <v>46490.389677377003</v>
      </c>
      <c r="G19" s="343">
        <f>SUM(G20:G47)</f>
        <v>3066005.5300000003</v>
      </c>
      <c r="H19" s="343">
        <f>SUM(H20:H47)</f>
        <v>794.6497385104999</v>
      </c>
      <c r="I19" s="1871"/>
      <c r="J19" s="1872"/>
      <c r="K19" s="1873"/>
      <c r="L19" s="1119" t="str">
        <f>IF(OR(D19&lt;0,G19&lt;0),"Error - negative number",IF(G19&gt;D19,"Offices only &gt; Total Estate",IF(AND(D19&gt;0,E19=""),"Please enter CO2e factor","")))</f>
        <v/>
      </c>
      <c r="M19" s="49"/>
      <c r="N19" s="49"/>
      <c r="O19" s="1218" t="s">
        <v>33</v>
      </c>
      <c r="P19" s="1233" t="s">
        <v>34</v>
      </c>
      <c r="Q19" s="1218" t="s">
        <v>35</v>
      </c>
      <c r="R19" s="1233" t="s">
        <v>34</v>
      </c>
      <c r="S19" s="31"/>
      <c r="T19" s="49"/>
      <c r="U19" s="1234" t="s">
        <v>33</v>
      </c>
      <c r="V19" s="1235" t="s">
        <v>34</v>
      </c>
      <c r="W19" s="1234" t="s">
        <v>35</v>
      </c>
      <c r="X19" s="1235" t="s">
        <v>34</v>
      </c>
      <c r="Y19" s="49"/>
      <c r="Z19" s="49"/>
      <c r="AA19" s="49"/>
      <c r="AB19" s="49"/>
      <c r="AC19" s="49"/>
      <c r="AD19" s="49"/>
    </row>
    <row r="20" spans="1:30" ht="15" customHeight="1" thickBot="1" x14ac:dyDescent="0.35">
      <c r="A20" s="320" t="s">
        <v>372</v>
      </c>
      <c r="B20" s="1883" t="s">
        <v>36</v>
      </c>
      <c r="C20" s="649" t="s">
        <v>37</v>
      </c>
      <c r="D20" s="1039">
        <v>82581261</v>
      </c>
      <c r="E20" s="151">
        <f>+O20+Q20</f>
        <v>0.27729999999999999</v>
      </c>
      <c r="F20" s="349">
        <f>P20+R20</f>
        <v>22899.783675300001</v>
      </c>
      <c r="G20" s="1048">
        <v>475651</v>
      </c>
      <c r="H20" s="561">
        <f>IF(Performance!$L$2="y",F20,E20*G20/1000)</f>
        <v>131.89802229999998</v>
      </c>
      <c r="I20" s="2281"/>
      <c r="J20" s="2026"/>
      <c r="K20" s="2027"/>
      <c r="L20" s="1120" t="str">
        <f t="shared" ref="L20:L47" si="0">IF(OR(D20&lt;0,G20&lt;0),"Error - negative number",IF(G20&gt;D20,"Offices only &gt; Total Estate",IF(AND(D20&gt;0,E20=""),"Please enter CO2e factor","")))</f>
        <v/>
      </c>
      <c r="M20" s="49"/>
      <c r="N20" s="49"/>
      <c r="O20" s="62">
        <f>+'Emission Factors'!K7</f>
        <v>0.25559999999999999</v>
      </c>
      <c r="P20" s="32">
        <f>(D20*O20)/1000</f>
        <v>21107.770311600001</v>
      </c>
      <c r="Q20" s="63">
        <f>+'Emission Factors'!K8</f>
        <v>2.1700000000000001E-2</v>
      </c>
      <c r="R20" s="32">
        <f>(D20*Q20)/1000</f>
        <v>1792.0133637000001</v>
      </c>
      <c r="S20" s="31"/>
      <c r="T20" s="49"/>
      <c r="U20" s="64">
        <f>+O20</f>
        <v>0.25559999999999999</v>
      </c>
      <c r="V20" s="82">
        <f>IF(Performance!$L$2="y",P20,$G20*U20/1000)</f>
        <v>121.5763956</v>
      </c>
      <c r="W20" s="64">
        <f>+Q20</f>
        <v>2.1700000000000001E-2</v>
      </c>
      <c r="X20" s="33">
        <f>IF(Performance!$L$2="y",R20,$G20*W20/1000)</f>
        <v>10.321626700000001</v>
      </c>
      <c r="Y20" s="49"/>
      <c r="Z20" s="49"/>
      <c r="AA20" s="49"/>
      <c r="AB20" s="49"/>
      <c r="AC20" s="49"/>
      <c r="AD20" s="49"/>
    </row>
    <row r="21" spans="1:30" ht="15" customHeight="1" x14ac:dyDescent="0.3">
      <c r="A21" s="320" t="s">
        <v>372</v>
      </c>
      <c r="B21" s="1884"/>
      <c r="C21" s="649" t="s">
        <v>38</v>
      </c>
      <c r="D21" s="1039">
        <v>19147624</v>
      </c>
      <c r="E21" s="61">
        <f>+O21+Q21</f>
        <v>0.27729999999999999</v>
      </c>
      <c r="F21" s="349">
        <f>P21+R21</f>
        <v>5309.6361351999994</v>
      </c>
      <c r="G21" s="1048">
        <v>1977946</v>
      </c>
      <c r="H21" s="1171">
        <f>IF(Performance!$L$2="y",F21,E21*G21/1000)</f>
        <v>548.48442579999994</v>
      </c>
      <c r="I21" s="2281"/>
      <c r="J21" s="2026"/>
      <c r="K21" s="2027"/>
      <c r="L21" s="1056" t="str">
        <f t="shared" si="0"/>
        <v/>
      </c>
      <c r="M21" s="49"/>
      <c r="N21" s="49"/>
      <c r="O21" s="62">
        <f>+O20</f>
        <v>0.25559999999999999</v>
      </c>
      <c r="P21" s="32">
        <f>(D21*O21)/1000</f>
        <v>4894.1326943999993</v>
      </c>
      <c r="Q21" s="63">
        <f>+Q20</f>
        <v>2.1700000000000001E-2</v>
      </c>
      <c r="R21" s="32">
        <f>(D21*Q21)/1000</f>
        <v>415.50344079999996</v>
      </c>
      <c r="S21" s="31"/>
      <c r="T21" s="49"/>
      <c r="U21" s="65">
        <f>+O21</f>
        <v>0.25559999999999999</v>
      </c>
      <c r="V21" s="83">
        <f>IF(Performance!$L$2="y",P21,$G21*U21/1000)</f>
        <v>505.56299760000002</v>
      </c>
      <c r="W21" s="65">
        <f>+Q21</f>
        <v>2.1700000000000001E-2</v>
      </c>
      <c r="X21" s="34">
        <f>IF(Performance!$L$2="y",R21,$G21*W21/1000)</f>
        <v>42.921428200000001</v>
      </c>
      <c r="Y21" s="49"/>
      <c r="Z21" s="49"/>
      <c r="AA21" s="49"/>
      <c r="AB21" s="49"/>
      <c r="AC21" s="49"/>
      <c r="AD21" s="49"/>
    </row>
    <row r="22" spans="1:30" ht="17.25" customHeight="1" x14ac:dyDescent="0.3">
      <c r="A22" s="320" t="s">
        <v>372</v>
      </c>
      <c r="B22" s="1884"/>
      <c r="C22" s="649" t="s">
        <v>39</v>
      </c>
      <c r="D22" s="1039"/>
      <c r="E22" s="61">
        <f>+O22+Q22</f>
        <v>0.27729999999999999</v>
      </c>
      <c r="F22" s="349">
        <f>P22+R22</f>
        <v>0</v>
      </c>
      <c r="G22" s="1048"/>
      <c r="H22" s="1171">
        <f>IF(Performance!$L$2="y",F22,E22*G22/1000)</f>
        <v>0</v>
      </c>
      <c r="I22" s="2098"/>
      <c r="J22" s="2099"/>
      <c r="K22" s="2100"/>
      <c r="L22" s="1056" t="str">
        <f t="shared" si="0"/>
        <v/>
      </c>
      <c r="M22" s="49"/>
      <c r="N22" s="49"/>
      <c r="O22" s="62">
        <f>+O21</f>
        <v>0.25559999999999999</v>
      </c>
      <c r="P22" s="32">
        <f>(D22*O22)/1000</f>
        <v>0</v>
      </c>
      <c r="Q22" s="63">
        <f>+Q21</f>
        <v>2.1700000000000001E-2</v>
      </c>
      <c r="R22" s="32">
        <f>(D22*Q22)/1000</f>
        <v>0</v>
      </c>
      <c r="S22" s="31"/>
      <c r="T22" s="49"/>
      <c r="U22" s="65">
        <f>+O22</f>
        <v>0.25559999999999999</v>
      </c>
      <c r="V22" s="83">
        <f>IF(Performance!$L$2="y",P22,$G22*U22/1000)</f>
        <v>0</v>
      </c>
      <c r="W22" s="65">
        <f>+Q22</f>
        <v>2.1700000000000001E-2</v>
      </c>
      <c r="X22" s="34">
        <f>IF(Performance!$L$2="y",R22,$G22*W22/1000)</f>
        <v>0</v>
      </c>
      <c r="Y22" s="49"/>
      <c r="Z22" s="49"/>
      <c r="AA22" s="49"/>
      <c r="AB22" s="49"/>
      <c r="AC22" s="49"/>
      <c r="AD22" s="49"/>
    </row>
    <row r="23" spans="1:30" ht="17.25" customHeight="1" thickBot="1" x14ac:dyDescent="0.35">
      <c r="A23" s="320" t="s">
        <v>372</v>
      </c>
      <c r="B23" s="1884"/>
      <c r="C23" s="649" t="s">
        <v>40</v>
      </c>
      <c r="D23" s="1039"/>
      <c r="E23" s="61">
        <f>+O23+Q23</f>
        <v>0.27729999999999999</v>
      </c>
      <c r="F23" s="349">
        <f>P23+R23</f>
        <v>0</v>
      </c>
      <c r="G23" s="1048"/>
      <c r="H23" s="1171">
        <f>IF(Performance!$L$2="y",F23,E23*G23/1000)</f>
        <v>0</v>
      </c>
      <c r="I23" s="2098"/>
      <c r="J23" s="2099"/>
      <c r="K23" s="2100"/>
      <c r="L23" s="1056" t="str">
        <f t="shared" si="0"/>
        <v/>
      </c>
      <c r="M23" s="49"/>
      <c r="N23" s="49"/>
      <c r="O23" s="66">
        <f>+O22</f>
        <v>0.25559999999999999</v>
      </c>
      <c r="P23" s="35">
        <f>(D23*O23)/1000</f>
        <v>0</v>
      </c>
      <c r="Q23" s="67">
        <f>+Q22</f>
        <v>2.1700000000000001E-2</v>
      </c>
      <c r="R23" s="35">
        <f>(D23*Q23)/1000</f>
        <v>0</v>
      </c>
      <c r="S23" s="31"/>
      <c r="T23" s="49"/>
      <c r="U23" s="68">
        <f>+O23</f>
        <v>0.25559999999999999</v>
      </c>
      <c r="V23" s="84">
        <f>IF(Performance!$L$2="y",P23,$G23*U23/1000)</f>
        <v>0</v>
      </c>
      <c r="W23" s="68">
        <f>+Q23</f>
        <v>2.1700000000000001E-2</v>
      </c>
      <c r="X23" s="36">
        <f>IF(Performance!$L$2="y",R23,$G23*W23/1000)</f>
        <v>0</v>
      </c>
      <c r="Y23" s="49"/>
      <c r="Z23" s="49"/>
      <c r="AA23" s="49"/>
      <c r="AB23" s="49"/>
      <c r="AC23" s="49"/>
      <c r="AD23" s="49"/>
    </row>
    <row r="24" spans="1:30" ht="15.75" customHeight="1" thickBot="1" x14ac:dyDescent="0.35">
      <c r="A24" s="320" t="s">
        <v>370</v>
      </c>
      <c r="B24" s="1884"/>
      <c r="C24" s="37" t="s">
        <v>41</v>
      </c>
      <c r="D24" s="1039">
        <v>93348969.579999998</v>
      </c>
      <c r="E24" s="69">
        <f>+'Emission Factors'!K11</f>
        <v>0.18385000000000001</v>
      </c>
      <c r="F24" s="349">
        <f>(D24*E24)/1000</f>
        <v>17162.208057282998</v>
      </c>
      <c r="G24" s="1048">
        <v>589421.53</v>
      </c>
      <c r="H24" s="1171">
        <f>IF(Performance!$L$2="y",F24,E24*G24/1000)</f>
        <v>108.36514829050002</v>
      </c>
      <c r="I24" s="2025" t="s">
        <v>626</v>
      </c>
      <c r="J24" s="2026"/>
      <c r="K24" s="2027"/>
      <c r="L24" s="1056" t="str">
        <f t="shared" si="0"/>
        <v/>
      </c>
      <c r="M24" s="49"/>
      <c r="N24" s="49"/>
      <c r="O24" s="1860" t="s">
        <v>23</v>
      </c>
      <c r="P24" s="1861"/>
      <c r="Q24" s="1861"/>
      <c r="R24" s="1862"/>
      <c r="S24" s="49"/>
      <c r="T24" s="49"/>
      <c r="U24" s="2097" t="s">
        <v>144</v>
      </c>
      <c r="V24" s="1864"/>
      <c r="W24" s="1864"/>
      <c r="X24" s="1865"/>
      <c r="Y24" s="49"/>
      <c r="Z24" s="49"/>
      <c r="AA24" s="49"/>
      <c r="AB24" s="49"/>
      <c r="AC24" s="49"/>
      <c r="AD24" s="49"/>
    </row>
    <row r="25" spans="1:30" ht="15.75" customHeight="1" thickBot="1" x14ac:dyDescent="0.35">
      <c r="A25" s="320" t="s">
        <v>370</v>
      </c>
      <c r="B25" s="1884"/>
      <c r="C25" s="37" t="s">
        <v>42</v>
      </c>
      <c r="D25" s="1039">
        <v>4220581.5</v>
      </c>
      <c r="E25" s="69">
        <f>+'Emission Factors'!K12</f>
        <v>0.25675999999999999</v>
      </c>
      <c r="F25" s="349">
        <f t="shared" ref="F25:F47" si="1">(D25*E25)/1000</f>
        <v>1083.67650594</v>
      </c>
      <c r="G25" s="1048">
        <v>22987</v>
      </c>
      <c r="H25" s="1171">
        <f>IF(Performance!$L$2="y",F25,E25*G25/1000)</f>
        <v>5.9021421199999997</v>
      </c>
      <c r="I25" s="2098" t="s">
        <v>627</v>
      </c>
      <c r="J25" s="2099"/>
      <c r="K25" s="2100"/>
      <c r="L25" s="1056" t="str">
        <f t="shared" si="0"/>
        <v/>
      </c>
      <c r="M25" s="49"/>
      <c r="N25" s="49"/>
      <c r="O25" s="49"/>
      <c r="P25" s="49"/>
      <c r="Q25" s="49"/>
      <c r="R25" s="49"/>
      <c r="S25" s="49"/>
      <c r="T25" s="49"/>
      <c r="U25" s="49"/>
      <c r="V25" s="49"/>
      <c r="W25" s="49"/>
      <c r="X25" s="49"/>
      <c r="Y25" s="49"/>
      <c r="Z25" s="49"/>
      <c r="AA25" s="49"/>
      <c r="AB25" s="49"/>
      <c r="AC25" s="49"/>
      <c r="AD25" s="49"/>
    </row>
    <row r="26" spans="1:30" ht="13.5" customHeight="1" thickBot="1" x14ac:dyDescent="0.35">
      <c r="A26" s="320" t="s">
        <v>370</v>
      </c>
      <c r="B26" s="1884"/>
      <c r="C26" s="37" t="s">
        <v>43</v>
      </c>
      <c r="D26" s="1039">
        <v>136725.41</v>
      </c>
      <c r="E26" s="69">
        <f>+'Emission Factors'!K13</f>
        <v>0.21446999999999999</v>
      </c>
      <c r="F26" s="349">
        <f t="shared" si="1"/>
        <v>29.323498682699999</v>
      </c>
      <c r="G26" s="1048"/>
      <c r="H26" s="1171">
        <f>IF(Performance!$L$2="y",F26,E26*G26/1000)</f>
        <v>0</v>
      </c>
      <c r="I26" s="2098" t="s">
        <v>649</v>
      </c>
      <c r="J26" s="2099"/>
      <c r="K26" s="2100"/>
      <c r="L26" s="1056" t="str">
        <f t="shared" si="0"/>
        <v/>
      </c>
      <c r="M26" s="49"/>
      <c r="N26" s="49"/>
      <c r="O26" s="2095" t="s">
        <v>44</v>
      </c>
      <c r="P26" s="2096"/>
      <c r="Q26" s="2095" t="s">
        <v>45</v>
      </c>
      <c r="R26" s="2096"/>
      <c r="S26" s="49"/>
      <c r="T26" s="49"/>
      <c r="U26" s="1869" t="s">
        <v>44</v>
      </c>
      <c r="V26" s="1870"/>
      <c r="W26" s="1869" t="s">
        <v>45</v>
      </c>
      <c r="X26" s="1870"/>
      <c r="Y26" s="49"/>
      <c r="Z26" s="49"/>
      <c r="AA26" s="49"/>
      <c r="AB26" s="49"/>
      <c r="AC26" s="49"/>
      <c r="AD26" s="49"/>
    </row>
    <row r="27" spans="1:30" ht="15.75" customHeight="1" x14ac:dyDescent="0.3">
      <c r="A27" s="320" t="s">
        <v>370</v>
      </c>
      <c r="B27" s="1884"/>
      <c r="C27" s="37" t="s">
        <v>46</v>
      </c>
      <c r="D27" s="1039"/>
      <c r="E27" s="69">
        <f>+'Emission Factors'!K14</f>
        <v>0.34472999999999998</v>
      </c>
      <c r="F27" s="349">
        <f t="shared" si="1"/>
        <v>0</v>
      </c>
      <c r="G27" s="1048"/>
      <c r="H27" s="1171">
        <f>IF(Performance!$L$2="y",F27,E27*G27/1000)</f>
        <v>0</v>
      </c>
      <c r="I27" s="2098"/>
      <c r="J27" s="2099"/>
      <c r="K27" s="2100"/>
      <c r="L27" s="1056" t="str">
        <f t="shared" si="0"/>
        <v/>
      </c>
      <c r="M27" s="49"/>
      <c r="N27" s="49"/>
      <c r="O27" s="2105" t="s">
        <v>33</v>
      </c>
      <c r="P27" s="2107" t="s">
        <v>34</v>
      </c>
      <c r="Q27" s="2105" t="s">
        <v>35</v>
      </c>
      <c r="R27" s="2107" t="s">
        <v>34</v>
      </c>
      <c r="S27" s="49"/>
      <c r="T27" s="49"/>
      <c r="U27" s="2103" t="s">
        <v>33</v>
      </c>
      <c r="V27" s="2101" t="s">
        <v>34</v>
      </c>
      <c r="W27" s="2103" t="s">
        <v>35</v>
      </c>
      <c r="X27" s="2101" t="s">
        <v>34</v>
      </c>
      <c r="Y27" s="49"/>
      <c r="Z27" s="49"/>
      <c r="AA27" s="49"/>
      <c r="AB27" s="49"/>
      <c r="AC27" s="49"/>
      <c r="AD27" s="49"/>
    </row>
    <row r="28" spans="1:30" ht="15.75" customHeight="1" thickBot="1" x14ac:dyDescent="0.35">
      <c r="A28" s="320" t="s">
        <v>370</v>
      </c>
      <c r="B28" s="1884"/>
      <c r="C28" s="37" t="s">
        <v>47</v>
      </c>
      <c r="D28" s="1039">
        <v>227032.26</v>
      </c>
      <c r="E28" s="69">
        <f>+'Emission Factors'!K15</f>
        <v>1.5630000000000002E-2</v>
      </c>
      <c r="F28" s="349">
        <f t="shared" si="1"/>
        <v>3.5485142238000003</v>
      </c>
      <c r="G28" s="1048"/>
      <c r="H28" s="1171">
        <f>IF(Performance!$L$2="y",F28,E28*G28/1000)</f>
        <v>0</v>
      </c>
      <c r="I28" s="2098"/>
      <c r="J28" s="2099"/>
      <c r="K28" s="2100"/>
      <c r="L28" s="1056" t="str">
        <f t="shared" si="0"/>
        <v/>
      </c>
      <c r="M28" s="49"/>
      <c r="N28" s="49"/>
      <c r="O28" s="2106"/>
      <c r="P28" s="2108"/>
      <c r="Q28" s="2106"/>
      <c r="R28" s="2108"/>
      <c r="S28" s="49"/>
      <c r="T28" s="49"/>
      <c r="U28" s="2104"/>
      <c r="V28" s="2102"/>
      <c r="W28" s="2104"/>
      <c r="X28" s="2102"/>
      <c r="Y28" s="49"/>
      <c r="Z28" s="49"/>
      <c r="AA28" s="49"/>
      <c r="AB28" s="49"/>
      <c r="AC28" s="49"/>
      <c r="AD28" s="49"/>
    </row>
    <row r="29" spans="1:30" ht="15.75" customHeight="1" thickBot="1" x14ac:dyDescent="0.35">
      <c r="A29" s="320" t="s">
        <v>372</v>
      </c>
      <c r="B29" s="1884"/>
      <c r="C29" s="649" t="s">
        <v>48</v>
      </c>
      <c r="D29" s="1039"/>
      <c r="E29" s="69">
        <f>+O29+Q29</f>
        <v>0.18532999999999999</v>
      </c>
      <c r="F29" s="349">
        <f>P29+R29</f>
        <v>0</v>
      </c>
      <c r="G29" s="1048"/>
      <c r="H29" s="1171">
        <f>IF(Performance!$L$2="y",F29,E29*G29/1000)</f>
        <v>0</v>
      </c>
      <c r="I29" s="2098"/>
      <c r="J29" s="2099"/>
      <c r="K29" s="2100"/>
      <c r="L29" s="1056" t="str">
        <f t="shared" si="0"/>
        <v/>
      </c>
      <c r="M29" s="49"/>
      <c r="N29" s="49"/>
      <c r="O29" s="70">
        <f>+'Emission Factors'!K33</f>
        <v>0.17605999999999999</v>
      </c>
      <c r="P29" s="38">
        <f>(D29*O29)/1000</f>
        <v>0</v>
      </c>
      <c r="Q29" s="71">
        <f>+'Emission Factors'!K34</f>
        <v>9.2700000000000005E-3</v>
      </c>
      <c r="R29" s="38">
        <f>(D29*Q29)/1000</f>
        <v>0</v>
      </c>
      <c r="S29" s="49"/>
      <c r="T29" s="49"/>
      <c r="U29" s="72">
        <f>+O29</f>
        <v>0.17605999999999999</v>
      </c>
      <c r="V29" s="39">
        <f>IF(Performance!$L$2="y",P29,$G29*U29/1000)</f>
        <v>0</v>
      </c>
      <c r="W29" s="73">
        <f>+Q29</f>
        <v>9.2700000000000005E-3</v>
      </c>
      <c r="X29" s="39">
        <f>IF(Performance!$L$2="y",R29,$G29*W29/1000)</f>
        <v>0</v>
      </c>
      <c r="Y29" s="49"/>
      <c r="Z29" s="49"/>
      <c r="AA29" s="49"/>
      <c r="AB29" s="49"/>
      <c r="AC29" s="49"/>
      <c r="AD29" s="49"/>
    </row>
    <row r="30" spans="1:30" ht="15.75" customHeight="1" thickBot="1" x14ac:dyDescent="0.35">
      <c r="A30" s="320" t="s">
        <v>372</v>
      </c>
      <c r="B30" s="1884"/>
      <c r="C30" s="37" t="s">
        <v>49</v>
      </c>
      <c r="D30" s="1039"/>
      <c r="E30" s="69">
        <f>+'Emission Factors'!K17</f>
        <v>0</v>
      </c>
      <c r="F30" s="349">
        <f>(D30*E30)/1000</f>
        <v>0</v>
      </c>
      <c r="G30" s="1048"/>
      <c r="H30" s="1171">
        <f>IF(Performance!$L$2="y",F30,E30*G30/1000)</f>
        <v>0</v>
      </c>
      <c r="I30" s="2098"/>
      <c r="J30" s="2099"/>
      <c r="K30" s="2100"/>
      <c r="L30" s="1056" t="str">
        <f t="shared" si="0"/>
        <v/>
      </c>
      <c r="M30" s="49"/>
      <c r="N30" s="49"/>
      <c r="O30" s="49"/>
      <c r="P30" s="49"/>
      <c r="Q30" s="49"/>
      <c r="R30" s="49"/>
      <c r="S30" s="49"/>
      <c r="T30" s="49"/>
      <c r="U30" s="49"/>
      <c r="V30" s="49"/>
      <c r="W30" s="49"/>
      <c r="X30" s="49"/>
      <c r="Y30" s="49"/>
      <c r="Z30" s="49"/>
      <c r="AA30" s="49"/>
      <c r="AB30" s="49"/>
      <c r="AC30" s="49"/>
      <c r="AD30" s="49"/>
    </row>
    <row r="31" spans="1:30" ht="23.25" customHeight="1" thickBot="1" x14ac:dyDescent="0.35">
      <c r="A31" s="320" t="s">
        <v>372</v>
      </c>
      <c r="B31" s="1884"/>
      <c r="C31" s="37" t="s">
        <v>50</v>
      </c>
      <c r="D31" s="1039"/>
      <c r="E31" s="1031"/>
      <c r="F31" s="349">
        <f t="shared" si="1"/>
        <v>0</v>
      </c>
      <c r="G31" s="1048"/>
      <c r="H31" s="1171">
        <f>IF(Performance!$L$2="y",F31,E31*G31/1000)</f>
        <v>0</v>
      </c>
      <c r="I31" s="2098"/>
      <c r="J31" s="2099"/>
      <c r="K31" s="2100"/>
      <c r="L31" s="1056" t="str">
        <f>IF(OR(D31&lt;0,G31&lt;0),"Error - negative number",IF(G31&gt;D31,"Offices only &gt; Total Estate",IF(AND(D31&gt;0,E31=""),"Please enter CO2e factor","")))</f>
        <v/>
      </c>
      <c r="M31" s="49"/>
      <c r="N31" s="49"/>
      <c r="O31" s="2095" t="s">
        <v>511</v>
      </c>
      <c r="P31" s="2096"/>
      <c r="Q31" s="2095" t="s">
        <v>512</v>
      </c>
      <c r="R31" s="2096"/>
      <c r="S31" s="49"/>
      <c r="T31" s="49"/>
      <c r="U31" s="1869" t="s">
        <v>511</v>
      </c>
      <c r="V31" s="1870"/>
      <c r="W31" s="1869" t="s">
        <v>512</v>
      </c>
      <c r="X31" s="1870"/>
      <c r="Y31" s="49"/>
      <c r="Z31" s="49"/>
      <c r="AA31" s="49"/>
      <c r="AB31" s="49"/>
      <c r="AC31" s="49"/>
      <c r="AD31" s="49"/>
    </row>
    <row r="32" spans="1:30" ht="15" customHeight="1" thickBot="1" x14ac:dyDescent="0.35">
      <c r="A32" s="320" t="s">
        <v>372</v>
      </c>
      <c r="B32" s="1884"/>
      <c r="C32" s="37" t="s">
        <v>369</v>
      </c>
      <c r="D32" s="1039"/>
      <c r="E32" s="69">
        <f>+O32+Q32</f>
        <v>0.26563604119443424</v>
      </c>
      <c r="F32" s="349">
        <f>P32+R32</f>
        <v>0</v>
      </c>
      <c r="G32" s="1048"/>
      <c r="H32" s="1171">
        <f>IF(Performance!$L$2="y",F32,E32*G32/1000)</f>
        <v>0</v>
      </c>
      <c r="I32" s="2098"/>
      <c r="J32" s="2099"/>
      <c r="K32" s="2100"/>
      <c r="L32" s="1056" t="str">
        <f t="shared" si="0"/>
        <v/>
      </c>
      <c r="M32" s="49"/>
      <c r="N32" s="49"/>
      <c r="O32" s="70">
        <f>+'Emission Factors'!K31</f>
        <v>0.26563604119443424</v>
      </c>
      <c r="P32" s="38">
        <f>(D32*O32)/1000</f>
        <v>0</v>
      </c>
      <c r="Q32" s="71">
        <f>+'Emission Factors'!K32</f>
        <v>0</v>
      </c>
      <c r="R32" s="38">
        <f>(D32*Q32)/1000</f>
        <v>0</v>
      </c>
      <c r="S32" s="49"/>
      <c r="T32" s="49"/>
      <c r="U32" s="72">
        <f>+O32</f>
        <v>0.26563604119443424</v>
      </c>
      <c r="V32" s="39">
        <f>IF(Performance!$L$2="y",P32,$G32*U32/1000)</f>
        <v>0</v>
      </c>
      <c r="W32" s="73">
        <f>+Q32</f>
        <v>0</v>
      </c>
      <c r="X32" s="39">
        <f>IF(Performance!$L$2="y",R32,$G32*W32/1000)</f>
        <v>0</v>
      </c>
      <c r="Y32" s="49"/>
      <c r="Z32" s="49"/>
      <c r="AA32" s="49"/>
      <c r="AB32" s="49"/>
      <c r="AC32" s="49"/>
      <c r="AD32" s="49"/>
    </row>
    <row r="33" spans="1:30" ht="15.75" customHeight="1" x14ac:dyDescent="0.3">
      <c r="A33" s="320" t="s">
        <v>370</v>
      </c>
      <c r="B33" s="1884"/>
      <c r="C33" s="37" t="s">
        <v>514</v>
      </c>
      <c r="D33" s="1039"/>
      <c r="E33" s="1039"/>
      <c r="F33" s="349">
        <f>(D33*E33)/1000</f>
        <v>0</v>
      </c>
      <c r="G33" s="1048"/>
      <c r="H33" s="1171">
        <f>IF(Performance!$L$2="y",F33,E33*G33/1000)</f>
        <v>0</v>
      </c>
      <c r="I33" s="1226"/>
      <c r="J33" s="2112"/>
      <c r="K33" s="1880"/>
      <c r="L33" s="1056" t="str">
        <f t="shared" si="0"/>
        <v/>
      </c>
      <c r="M33" s="49"/>
      <c r="N33" s="49"/>
      <c r="O33" s="49"/>
      <c r="P33" s="49"/>
      <c r="Q33" s="49"/>
      <c r="R33" s="49"/>
      <c r="S33" s="49"/>
      <c r="T33" s="49"/>
      <c r="U33" s="49"/>
      <c r="V33" s="49"/>
      <c r="W33" s="49"/>
      <c r="X33" s="49"/>
      <c r="Y33" s="49"/>
      <c r="Z33" s="49"/>
      <c r="AA33" s="49"/>
      <c r="AB33" s="49"/>
      <c r="AC33" s="49"/>
      <c r="AD33" s="49"/>
    </row>
    <row r="34" spans="1:30" ht="15.75" customHeight="1" x14ac:dyDescent="0.3">
      <c r="A34" s="320"/>
      <c r="B34" s="1884"/>
      <c r="C34" s="37" t="s">
        <v>515</v>
      </c>
      <c r="D34" s="1039"/>
      <c r="E34" s="1039"/>
      <c r="F34" s="349">
        <f t="shared" ref="F34:F35" si="2">(D34*E34)/1000</f>
        <v>0</v>
      </c>
      <c r="G34" s="1048"/>
      <c r="H34" s="1171">
        <f>IF(Performance!$L$2="y",F34,E34*G34/1000)</f>
        <v>0</v>
      </c>
      <c r="I34" s="1226"/>
      <c r="J34" s="1879"/>
      <c r="K34" s="1880"/>
      <c r="L34" s="1056" t="str">
        <f t="shared" si="0"/>
        <v/>
      </c>
      <c r="M34" s="49"/>
      <c r="N34" s="49"/>
      <c r="O34" s="49"/>
      <c r="P34" s="49"/>
      <c r="Q34" s="49"/>
      <c r="R34" s="49"/>
      <c r="S34" s="49"/>
      <c r="T34" s="49"/>
      <c r="U34" s="49"/>
      <c r="V34" s="49"/>
      <c r="W34" s="49"/>
      <c r="X34" s="49"/>
      <c r="Y34" s="49"/>
      <c r="Z34" s="49"/>
      <c r="AA34" s="49"/>
      <c r="AB34" s="49"/>
      <c r="AC34" s="49"/>
      <c r="AD34" s="49"/>
    </row>
    <row r="35" spans="1:30" ht="15.75" customHeight="1" thickBot="1" x14ac:dyDescent="0.35">
      <c r="A35" s="320"/>
      <c r="B35" s="1885"/>
      <c r="C35" s="649" t="s">
        <v>516</v>
      </c>
      <c r="D35" s="1039">
        <v>8969.77</v>
      </c>
      <c r="E35" s="1039">
        <v>0.24675</v>
      </c>
      <c r="F35" s="349">
        <f t="shared" si="2"/>
        <v>2.2132907475000003</v>
      </c>
      <c r="G35" s="1048"/>
      <c r="H35" s="1171">
        <f>IF(Performance!$L$2="y",F35,E35*G35/1000)</f>
        <v>0</v>
      </c>
      <c r="I35" s="1226" t="s">
        <v>139</v>
      </c>
      <c r="J35" s="2112" t="s">
        <v>650</v>
      </c>
      <c r="K35" s="1880"/>
      <c r="L35" s="1056" t="str">
        <f t="shared" si="0"/>
        <v/>
      </c>
      <c r="M35" s="49"/>
      <c r="N35" s="49"/>
      <c r="O35" s="49"/>
      <c r="P35" s="49"/>
      <c r="Q35" s="49"/>
      <c r="R35" s="49"/>
      <c r="S35" s="49"/>
      <c r="T35" s="49"/>
      <c r="U35" s="49"/>
      <c r="V35" s="49"/>
      <c r="W35" s="49"/>
      <c r="X35" s="49"/>
      <c r="Y35" s="49"/>
      <c r="Z35" s="49"/>
      <c r="AA35" s="49"/>
      <c r="AB35" s="49"/>
      <c r="AC35" s="49"/>
      <c r="AD35" s="49"/>
    </row>
    <row r="36" spans="1:30" ht="15" customHeight="1" x14ac:dyDescent="0.3">
      <c r="A36" s="320" t="s">
        <v>370</v>
      </c>
      <c r="B36" s="1883" t="s">
        <v>53</v>
      </c>
      <c r="C36" s="184" t="s">
        <v>54</v>
      </c>
      <c r="D36" s="1037">
        <v>9984</v>
      </c>
      <c r="E36" s="151">
        <f>+'Emission Factors'!K21</f>
        <v>0</v>
      </c>
      <c r="F36" s="356">
        <f t="shared" si="1"/>
        <v>0</v>
      </c>
      <c r="G36" s="1114"/>
      <c r="H36" s="561">
        <f>IF(Performance!$L$2="y",F36,E36*G36/1000)</f>
        <v>0</v>
      </c>
      <c r="I36" s="2025" t="s">
        <v>579</v>
      </c>
      <c r="J36" s="2026"/>
      <c r="K36" s="2027"/>
      <c r="L36" s="1121" t="str">
        <f t="shared" si="0"/>
        <v/>
      </c>
      <c r="M36" s="49"/>
      <c r="N36" s="49"/>
      <c r="O36" s="49"/>
      <c r="P36" s="49"/>
      <c r="Q36" s="49"/>
      <c r="R36" s="49"/>
      <c r="S36" s="49"/>
      <c r="T36" s="49"/>
      <c r="U36" s="49"/>
      <c r="V36" s="49"/>
      <c r="W36" s="49"/>
      <c r="X36" s="49"/>
      <c r="Y36" s="49"/>
      <c r="Z36" s="49"/>
      <c r="AA36" s="49"/>
      <c r="AB36" s="49"/>
      <c r="AC36" s="49"/>
      <c r="AD36" s="49"/>
    </row>
    <row r="37" spans="1:30" ht="15" customHeight="1" x14ac:dyDescent="0.3">
      <c r="A37" s="320" t="s">
        <v>370</v>
      </c>
      <c r="B37" s="1884"/>
      <c r="C37" s="37" t="s">
        <v>55</v>
      </c>
      <c r="D37" s="1038"/>
      <c r="E37" s="69">
        <f>+'Emission Factors'!K22</f>
        <v>0</v>
      </c>
      <c r="F37" s="85">
        <f t="shared" si="1"/>
        <v>0</v>
      </c>
      <c r="G37" s="1115"/>
      <c r="H37" s="1171">
        <f>IF(Performance!$L$2="y",F37,E37*G37/1000)</f>
        <v>0</v>
      </c>
      <c r="I37" s="2098"/>
      <c r="J37" s="2099"/>
      <c r="K37" s="2100"/>
      <c r="L37" s="1056" t="str">
        <f t="shared" si="0"/>
        <v/>
      </c>
      <c r="M37" s="49"/>
      <c r="N37" s="49"/>
      <c r="O37" s="49"/>
      <c r="P37" s="49"/>
      <c r="Q37" s="49"/>
      <c r="R37" s="49"/>
      <c r="S37" s="49"/>
      <c r="T37" s="49"/>
      <c r="U37" s="49"/>
      <c r="V37" s="49"/>
      <c r="W37" s="49"/>
      <c r="X37" s="49"/>
      <c r="Y37" s="49"/>
      <c r="Z37" s="49"/>
      <c r="AA37" s="49"/>
      <c r="AB37" s="49"/>
      <c r="AC37" s="49"/>
      <c r="AD37" s="49"/>
    </row>
    <row r="38" spans="1:30" ht="15" customHeight="1" x14ac:dyDescent="0.3">
      <c r="A38" s="320" t="s">
        <v>370</v>
      </c>
      <c r="B38" s="1884"/>
      <c r="C38" s="37" t="s">
        <v>56</v>
      </c>
      <c r="D38" s="1038"/>
      <c r="E38" s="69">
        <f>+'Emission Factors'!K23</f>
        <v>0</v>
      </c>
      <c r="F38" s="85">
        <f t="shared" si="1"/>
        <v>0</v>
      </c>
      <c r="G38" s="1115"/>
      <c r="H38" s="1171">
        <f>IF(Performance!$L$2="y",F38,E38*G38/1000)</f>
        <v>0</v>
      </c>
      <c r="I38" s="2098"/>
      <c r="J38" s="2099"/>
      <c r="K38" s="2100"/>
      <c r="L38" s="1056" t="str">
        <f t="shared" si="0"/>
        <v/>
      </c>
      <c r="M38" s="49"/>
      <c r="N38" s="49"/>
      <c r="O38" s="49"/>
      <c r="P38" s="49"/>
      <c r="Q38" s="49"/>
      <c r="R38" s="49"/>
      <c r="S38" s="49"/>
      <c r="T38" s="49"/>
      <c r="U38" s="49"/>
      <c r="V38" s="49"/>
      <c r="W38" s="49"/>
      <c r="X38" s="49"/>
      <c r="Y38" s="49"/>
      <c r="Z38" s="49"/>
      <c r="AA38" s="49"/>
      <c r="AB38" s="49"/>
      <c r="AC38" s="49"/>
      <c r="AD38" s="49"/>
    </row>
    <row r="39" spans="1:30" ht="15" customHeight="1" x14ac:dyDescent="0.3">
      <c r="A39" s="320" t="s">
        <v>370</v>
      </c>
      <c r="B39" s="1884"/>
      <c r="C39" s="37" t="s">
        <v>410</v>
      </c>
      <c r="D39" s="1038"/>
      <c r="E39" s="74"/>
      <c r="F39" s="85">
        <f t="shared" si="1"/>
        <v>0</v>
      </c>
      <c r="G39" s="1115"/>
      <c r="H39" s="1171">
        <f>IF(Performance!$L$2="y",F39,E39*G39/1000)</f>
        <v>0</v>
      </c>
      <c r="I39" s="2098"/>
      <c r="J39" s="2099"/>
      <c r="K39" s="2100"/>
      <c r="L39" s="1056" t="str">
        <f t="shared" si="0"/>
        <v/>
      </c>
      <c r="M39" s="49"/>
      <c r="N39" s="49"/>
      <c r="O39" s="49"/>
      <c r="P39" s="49"/>
      <c r="Q39" s="49"/>
      <c r="R39" s="49"/>
      <c r="S39" s="49"/>
      <c r="T39" s="49"/>
      <c r="U39" s="49"/>
      <c r="V39" s="49"/>
      <c r="W39" s="49"/>
      <c r="X39" s="49"/>
      <c r="Y39" s="49"/>
      <c r="Z39" s="49"/>
      <c r="AA39" s="49"/>
      <c r="AB39" s="49"/>
      <c r="AC39" s="49"/>
      <c r="AD39" s="49"/>
    </row>
    <row r="40" spans="1:30" ht="15" customHeight="1" x14ac:dyDescent="0.3">
      <c r="A40" s="320"/>
      <c r="B40" s="1884"/>
      <c r="C40" s="37" t="s">
        <v>411</v>
      </c>
      <c r="D40" s="1038"/>
      <c r="E40" s="74"/>
      <c r="F40" s="85">
        <f t="shared" si="1"/>
        <v>0</v>
      </c>
      <c r="G40" s="1115"/>
      <c r="H40" s="1171">
        <f>IF(Performance!$L$2="y",F40,E40*G40/1000)</f>
        <v>0</v>
      </c>
      <c r="I40" s="2098"/>
      <c r="J40" s="2099"/>
      <c r="K40" s="2100"/>
      <c r="L40" s="1056"/>
      <c r="M40" s="49"/>
      <c r="N40" s="49"/>
      <c r="O40" s="49"/>
      <c r="P40" s="49"/>
      <c r="Q40" s="49"/>
      <c r="R40" s="49"/>
      <c r="S40" s="49"/>
      <c r="T40" s="49"/>
      <c r="U40" s="49"/>
      <c r="V40" s="49"/>
      <c r="W40" s="49"/>
      <c r="X40" s="49"/>
      <c r="Y40" s="49"/>
      <c r="Z40" s="49"/>
      <c r="AA40" s="49"/>
      <c r="AB40" s="49"/>
      <c r="AC40" s="49"/>
      <c r="AD40" s="49"/>
    </row>
    <row r="41" spans="1:30" ht="15" customHeight="1" x14ac:dyDescent="0.3">
      <c r="A41" s="320"/>
      <c r="B41" s="1884"/>
      <c r="C41" s="37" t="s">
        <v>412</v>
      </c>
      <c r="D41" s="1038"/>
      <c r="E41" s="74"/>
      <c r="F41" s="85">
        <f t="shared" si="1"/>
        <v>0</v>
      </c>
      <c r="G41" s="1115"/>
      <c r="H41" s="1171">
        <f>IF(Performance!$L$2="y",F41,E41*G41/1000)</f>
        <v>0</v>
      </c>
      <c r="I41" s="2098"/>
      <c r="J41" s="2099"/>
      <c r="K41" s="2100"/>
      <c r="L41" s="1056"/>
      <c r="M41" s="49"/>
      <c r="N41" s="49"/>
      <c r="O41" s="49"/>
      <c r="P41" s="49"/>
      <c r="Q41" s="49"/>
      <c r="R41" s="49"/>
      <c r="S41" s="49"/>
      <c r="T41" s="49"/>
      <c r="U41" s="49"/>
      <c r="V41" s="49"/>
      <c r="W41" s="49"/>
      <c r="X41" s="49"/>
      <c r="Y41" s="49"/>
      <c r="Z41" s="49"/>
      <c r="AA41" s="49"/>
      <c r="AB41" s="49"/>
      <c r="AC41" s="49"/>
      <c r="AD41" s="49"/>
    </row>
    <row r="42" spans="1:30" ht="15" customHeight="1" x14ac:dyDescent="0.3">
      <c r="A42" s="320" t="s">
        <v>370</v>
      </c>
      <c r="B42" s="1884"/>
      <c r="C42" s="357" t="s">
        <v>57</v>
      </c>
      <c r="D42" s="40">
        <f>+CHP!AC22</f>
        <v>0</v>
      </c>
      <c r="E42" s="69">
        <f>+CHP!AG17</f>
        <v>0</v>
      </c>
      <c r="F42" s="85">
        <f>(D42*E42)/1000</f>
        <v>0</v>
      </c>
      <c r="G42" s="1115"/>
      <c r="H42" s="652">
        <f>IF(Performance!$L$2="y",F42,E42*G42/1000)</f>
        <v>0</v>
      </c>
      <c r="I42" s="2098"/>
      <c r="J42" s="2099"/>
      <c r="K42" s="2100"/>
      <c r="L42" s="1056" t="str">
        <f t="shared" si="0"/>
        <v/>
      </c>
      <c r="M42" s="49"/>
      <c r="N42" s="49"/>
      <c r="O42" s="49"/>
      <c r="P42" s="49"/>
      <c r="Q42" s="49"/>
      <c r="R42" s="49"/>
      <c r="S42" s="49"/>
      <c r="T42" s="49"/>
      <c r="U42" s="49"/>
      <c r="V42" s="49"/>
      <c r="W42" s="49"/>
      <c r="X42" s="49"/>
      <c r="Y42" s="49"/>
      <c r="Z42" s="49"/>
      <c r="AA42" s="49"/>
      <c r="AB42" s="49"/>
      <c r="AC42" s="49"/>
      <c r="AD42" s="49"/>
    </row>
    <row r="43" spans="1:30" ht="15" customHeight="1" x14ac:dyDescent="0.3">
      <c r="A43" s="320" t="s">
        <v>370</v>
      </c>
      <c r="B43" s="1884"/>
      <c r="C43" s="357" t="s">
        <v>58</v>
      </c>
      <c r="D43" s="40">
        <f>+CHP!AC23</f>
        <v>0</v>
      </c>
      <c r="E43" s="69">
        <f>+CHP!AG18</f>
        <v>0</v>
      </c>
      <c r="F43" s="85">
        <f t="shared" si="1"/>
        <v>0</v>
      </c>
      <c r="G43" s="1115"/>
      <c r="H43" s="652">
        <f>IF(Performance!$L$2="y",F43,E43*G43/1000)</f>
        <v>0</v>
      </c>
      <c r="I43" s="2098"/>
      <c r="J43" s="2099"/>
      <c r="K43" s="2100"/>
      <c r="L43" s="1056" t="str">
        <f t="shared" si="0"/>
        <v/>
      </c>
      <c r="M43" s="49"/>
      <c r="N43" s="49"/>
      <c r="O43" s="49"/>
      <c r="P43" s="49"/>
      <c r="Q43" s="49"/>
      <c r="R43" s="49"/>
      <c r="S43" s="49"/>
      <c r="T43" s="49"/>
      <c r="U43" s="49"/>
      <c r="V43" s="49"/>
      <c r="W43" s="49"/>
      <c r="X43" s="49"/>
      <c r="Y43" s="49"/>
      <c r="Z43" s="49"/>
      <c r="AA43" s="49"/>
      <c r="AB43" s="49"/>
      <c r="AC43" s="49"/>
      <c r="AD43" s="49"/>
    </row>
    <row r="44" spans="1:30" ht="15" customHeight="1" x14ac:dyDescent="0.3">
      <c r="A44" s="320" t="s">
        <v>370</v>
      </c>
      <c r="B44" s="1884"/>
      <c r="C44" s="357" t="s">
        <v>59</v>
      </c>
      <c r="D44" s="40">
        <f>+CHP!AC49</f>
        <v>0</v>
      </c>
      <c r="E44" s="69">
        <f>+CHP!AG44</f>
        <v>0</v>
      </c>
      <c r="F44" s="85">
        <f t="shared" si="1"/>
        <v>0</v>
      </c>
      <c r="G44" s="1115"/>
      <c r="H44" s="652">
        <f>IF(Performance!$L$2="y",F44,E44*G44/1000)</f>
        <v>0</v>
      </c>
      <c r="I44" s="2098"/>
      <c r="J44" s="2099"/>
      <c r="K44" s="2100"/>
      <c r="L44" s="1056" t="str">
        <f t="shared" si="0"/>
        <v/>
      </c>
      <c r="M44" s="49"/>
      <c r="N44" s="49"/>
      <c r="O44" s="49"/>
      <c r="P44" s="49"/>
      <c r="Q44" s="49"/>
      <c r="R44" s="49"/>
      <c r="S44" s="49"/>
      <c r="T44" s="49"/>
      <c r="U44" s="49"/>
      <c r="V44" s="49"/>
      <c r="W44" s="49"/>
      <c r="X44" s="49"/>
      <c r="Y44" s="49"/>
      <c r="Z44" s="49"/>
      <c r="AA44" s="49"/>
      <c r="AB44" s="49"/>
      <c r="AC44" s="49"/>
      <c r="AD44" s="49"/>
    </row>
    <row r="45" spans="1:30" ht="15" customHeight="1" x14ac:dyDescent="0.3">
      <c r="A45" s="320" t="s">
        <v>370</v>
      </c>
      <c r="B45" s="1884"/>
      <c r="C45" s="357" t="s">
        <v>60</v>
      </c>
      <c r="D45" s="40">
        <f>+CHP!AC50</f>
        <v>0</v>
      </c>
      <c r="E45" s="69">
        <f>+CHP!AG45</f>
        <v>0</v>
      </c>
      <c r="F45" s="85">
        <f t="shared" si="1"/>
        <v>0</v>
      </c>
      <c r="G45" s="1115"/>
      <c r="H45" s="652">
        <f>IF(Performance!$L$2="y",F45,E45*G45/1000)</f>
        <v>0</v>
      </c>
      <c r="I45" s="2098"/>
      <c r="J45" s="2099"/>
      <c r="K45" s="2100"/>
      <c r="L45" s="1056" t="str">
        <f t="shared" si="0"/>
        <v/>
      </c>
      <c r="M45" s="49"/>
      <c r="N45" s="49"/>
      <c r="O45" s="49"/>
      <c r="P45" s="49"/>
      <c r="Q45" s="49"/>
      <c r="R45" s="49"/>
      <c r="S45" s="49"/>
      <c r="T45" s="49"/>
      <c r="U45" s="49"/>
      <c r="V45" s="49"/>
      <c r="W45" s="49"/>
      <c r="X45" s="49"/>
      <c r="Y45" s="49"/>
      <c r="Z45" s="49"/>
      <c r="AA45" s="49"/>
      <c r="AB45" s="49"/>
      <c r="AC45" s="49"/>
      <c r="AD45" s="49"/>
    </row>
    <row r="46" spans="1:30" ht="15" customHeight="1" x14ac:dyDescent="0.3">
      <c r="A46" s="320" t="s">
        <v>370</v>
      </c>
      <c r="B46" s="1884"/>
      <c r="C46" s="357" t="s">
        <v>61</v>
      </c>
      <c r="D46" s="40">
        <f>+CHP!AC76</f>
        <v>0</v>
      </c>
      <c r="E46" s="69">
        <f>+CHP!AG71</f>
        <v>0</v>
      </c>
      <c r="F46" s="85">
        <f t="shared" si="1"/>
        <v>0</v>
      </c>
      <c r="G46" s="1115"/>
      <c r="H46" s="652">
        <f>IF(Performance!$L$2="y",F46,E46*G46/1000)</f>
        <v>0</v>
      </c>
      <c r="I46" s="2098"/>
      <c r="J46" s="2099"/>
      <c r="K46" s="2100"/>
      <c r="L46" s="1056" t="str">
        <f t="shared" si="0"/>
        <v/>
      </c>
      <c r="M46" s="49"/>
      <c r="N46" s="49"/>
      <c r="O46" s="49"/>
      <c r="P46" s="49"/>
      <c r="Q46" s="49"/>
      <c r="R46" s="49"/>
      <c r="S46" s="49"/>
      <c r="T46" s="49"/>
      <c r="U46" s="49"/>
      <c r="V46" s="49"/>
      <c r="W46" s="49"/>
      <c r="X46" s="49"/>
      <c r="Y46" s="49"/>
      <c r="Z46" s="49"/>
      <c r="AA46" s="49"/>
      <c r="AB46" s="49"/>
      <c r="AC46" s="49"/>
      <c r="AD46" s="49"/>
    </row>
    <row r="47" spans="1:30" ht="15.75" customHeight="1" thickBot="1" x14ac:dyDescent="0.35">
      <c r="A47" s="320" t="s">
        <v>370</v>
      </c>
      <c r="B47" s="1885"/>
      <c r="C47" s="358" t="s">
        <v>62</v>
      </c>
      <c r="D47" s="190">
        <f>+CHP!AC77</f>
        <v>0</v>
      </c>
      <c r="E47" s="172">
        <f>+CHP!AG72</f>
        <v>0</v>
      </c>
      <c r="F47" s="86">
        <f t="shared" si="1"/>
        <v>0</v>
      </c>
      <c r="G47" s="1116"/>
      <c r="H47" s="355">
        <f>IF(Performance!$L$2="y",F47,E47*G47/1000)</f>
        <v>0</v>
      </c>
      <c r="I47" s="2113"/>
      <c r="J47" s="2114"/>
      <c r="K47" s="2115"/>
      <c r="L47" s="1122" t="str">
        <f t="shared" si="0"/>
        <v/>
      </c>
      <c r="M47" s="49"/>
      <c r="N47" s="49"/>
      <c r="O47" s="49"/>
      <c r="P47" s="49"/>
      <c r="Q47" s="49"/>
      <c r="R47" s="49"/>
      <c r="S47" s="49"/>
      <c r="T47" s="49"/>
      <c r="U47" s="49"/>
      <c r="V47" s="49"/>
      <c r="W47" s="49"/>
      <c r="X47" s="49"/>
      <c r="Y47" s="49"/>
      <c r="Z47" s="49"/>
      <c r="AA47" s="49"/>
      <c r="AB47" s="49"/>
      <c r="AC47" s="49"/>
      <c r="AD47" s="49"/>
    </row>
    <row r="48" spans="1:30" x14ac:dyDescent="0.3">
      <c r="A48" s="320"/>
      <c r="B48" s="49" t="s">
        <v>63</v>
      </c>
      <c r="C48" s="337"/>
      <c r="D48" s="337"/>
      <c r="E48" s="337"/>
      <c r="F48" s="337"/>
      <c r="G48" s="337"/>
      <c r="H48" s="337"/>
      <c r="I48" s="337"/>
      <c r="J48" s="337"/>
      <c r="K48" s="337"/>
      <c r="L48" s="49"/>
      <c r="M48" s="49"/>
      <c r="N48" s="49"/>
      <c r="O48" s="49"/>
      <c r="P48" s="49"/>
      <c r="Q48" s="49"/>
      <c r="R48" s="49"/>
      <c r="S48" s="49"/>
      <c r="T48" s="49"/>
      <c r="U48" s="49"/>
      <c r="V48" s="49"/>
      <c r="W48" s="49"/>
      <c r="X48" s="49"/>
      <c r="Y48" s="49"/>
      <c r="Z48" s="49"/>
      <c r="AA48" s="49"/>
      <c r="AB48" s="49"/>
      <c r="AC48" s="49"/>
      <c r="AD48" s="49"/>
    </row>
    <row r="49" spans="1:30" s="594" customFormat="1" ht="23.4" x14ac:dyDescent="0.3">
      <c r="A49" s="1210" t="s">
        <v>506</v>
      </c>
      <c r="B49" s="475" t="s">
        <v>65</v>
      </c>
      <c r="C49" s="476"/>
      <c r="D49" s="2090" t="str">
        <f>+$A$1</f>
        <v>Quarter 2 - 2019-2020</v>
      </c>
      <c r="E49" s="2090"/>
      <c r="F49" s="2090"/>
      <c r="G49" s="2090"/>
      <c r="H49" s="2090"/>
      <c r="I49" s="2090"/>
      <c r="J49" s="2090"/>
      <c r="K49" s="477"/>
      <c r="L49" s="477"/>
      <c r="M49" s="477"/>
      <c r="N49" s="477"/>
      <c r="O49" s="477"/>
      <c r="P49" s="477"/>
      <c r="Q49" s="477"/>
      <c r="R49" s="477"/>
      <c r="S49" s="477"/>
      <c r="T49" s="477"/>
      <c r="U49" s="477"/>
      <c r="V49" s="477"/>
      <c r="W49" s="477"/>
      <c r="X49" s="477"/>
      <c r="Y49" s="478"/>
      <c r="Z49" s="478"/>
      <c r="AA49" s="478"/>
      <c r="AB49" s="478"/>
      <c r="AC49" s="478"/>
      <c r="AD49" s="478"/>
    </row>
    <row r="50" spans="1:30" ht="14.4" thickBot="1" x14ac:dyDescent="0.35">
      <c r="A50" s="320"/>
      <c r="B50" s="43" t="s">
        <v>66</v>
      </c>
      <c r="C50" s="359"/>
      <c r="D50" s="337"/>
      <c r="E50" s="337"/>
      <c r="F50" s="337"/>
      <c r="G50" s="337"/>
      <c r="H50" s="337"/>
      <c r="I50" s="337"/>
      <c r="J50" s="337"/>
      <c r="K50" s="337"/>
      <c r="L50" s="49"/>
      <c r="M50" s="49"/>
      <c r="N50" s="49"/>
      <c r="O50" s="49"/>
      <c r="P50" s="49"/>
      <c r="Q50" s="49"/>
      <c r="R50" s="49"/>
      <c r="S50" s="49"/>
      <c r="T50" s="49"/>
      <c r="U50" s="49"/>
      <c r="V50" s="49"/>
      <c r="W50" s="49"/>
      <c r="X50" s="49"/>
      <c r="Y50" s="49"/>
      <c r="Z50" s="49"/>
      <c r="AA50" s="49"/>
      <c r="AB50" s="49"/>
      <c r="AC50" s="49"/>
      <c r="AD50" s="49"/>
    </row>
    <row r="51" spans="1:30" ht="30" customHeight="1" thickBot="1" x14ac:dyDescent="0.35">
      <c r="A51" s="320"/>
      <c r="B51" s="49"/>
      <c r="C51" s="49"/>
      <c r="D51" s="1898" t="s">
        <v>23</v>
      </c>
      <c r="E51" s="1899"/>
      <c r="F51" s="1900"/>
      <c r="G51" s="1901" t="s">
        <v>144</v>
      </c>
      <c r="H51" s="1902"/>
      <c r="I51" s="1903" t="s">
        <v>24</v>
      </c>
      <c r="J51" s="1904"/>
      <c r="K51" s="1905"/>
      <c r="L51" s="1909" t="s">
        <v>461</v>
      </c>
      <c r="M51" s="49"/>
      <c r="N51" s="49"/>
      <c r="O51" s="49"/>
      <c r="P51" s="49"/>
      <c r="Q51" s="49"/>
      <c r="R51" s="49"/>
      <c r="S51" s="49"/>
      <c r="T51" s="49"/>
      <c r="U51" s="49"/>
      <c r="V51" s="49"/>
      <c r="W51" s="49"/>
      <c r="X51" s="49"/>
      <c r="Y51" s="49"/>
      <c r="Z51" s="49"/>
      <c r="AA51" s="49"/>
      <c r="AB51" s="49"/>
      <c r="AC51" s="49"/>
      <c r="AD51" s="49"/>
    </row>
    <row r="52" spans="1:30" ht="39" customHeight="1" thickBot="1" x14ac:dyDescent="0.35">
      <c r="A52" s="320"/>
      <c r="B52" s="360"/>
      <c r="C52" s="359"/>
      <c r="D52" s="51" t="s">
        <v>67</v>
      </c>
      <c r="E52" s="41" t="s">
        <v>68</v>
      </c>
      <c r="F52" s="361" t="s">
        <v>28</v>
      </c>
      <c r="G52" s="433" t="s">
        <v>67</v>
      </c>
      <c r="H52" s="433" t="s">
        <v>28</v>
      </c>
      <c r="I52" s="1906"/>
      <c r="J52" s="1907"/>
      <c r="K52" s="1908"/>
      <c r="L52" s="1911"/>
      <c r="M52" s="49"/>
      <c r="N52" s="49"/>
      <c r="O52" s="49"/>
      <c r="P52" s="49"/>
      <c r="Q52" s="49"/>
      <c r="R52" s="49"/>
      <c r="S52" s="49"/>
      <c r="T52" s="49"/>
      <c r="U52" s="49"/>
      <c r="V52" s="49"/>
      <c r="W52" s="49"/>
      <c r="X52" s="49"/>
      <c r="Y52" s="49"/>
      <c r="Z52" s="49"/>
      <c r="AA52" s="49"/>
      <c r="AB52" s="49"/>
      <c r="AC52" s="49"/>
      <c r="AD52" s="49"/>
    </row>
    <row r="53" spans="1:30" ht="13.5" customHeight="1" thickBot="1" x14ac:dyDescent="0.35">
      <c r="A53" s="320" t="s">
        <v>370</v>
      </c>
      <c r="B53" s="1924" t="s">
        <v>69</v>
      </c>
      <c r="C53" s="1925"/>
      <c r="D53" s="1049"/>
      <c r="E53" s="1035"/>
      <c r="F53" s="42">
        <f>D53/1000</f>
        <v>0</v>
      </c>
      <c r="G53" s="1108"/>
      <c r="H53" s="651">
        <f>IF(Performance!L2="y",F53,G53/1000)</f>
        <v>0</v>
      </c>
      <c r="I53" s="1926"/>
      <c r="J53" s="1927"/>
      <c r="K53" s="1928"/>
      <c r="L53" s="1119" t="str">
        <f>IF(OR(D53&lt;0,G53&lt;0),"Error - negative number",IF(G53&gt;D53,"Offices only &gt; Total Estate",IF(AND(D53&gt;0,E53=""),"Please enter method used","")))</f>
        <v/>
      </c>
      <c r="M53" s="49"/>
      <c r="N53" s="49"/>
      <c r="O53" s="49"/>
      <c r="P53" s="49"/>
      <c r="Q53" s="49"/>
      <c r="R53" s="49"/>
      <c r="S53" s="49"/>
      <c r="T53" s="49"/>
      <c r="U53" s="49"/>
      <c r="V53" s="49"/>
      <c r="W53" s="49"/>
      <c r="X53" s="49"/>
      <c r="Y53" s="49"/>
      <c r="Z53" s="49"/>
      <c r="AA53" s="49"/>
      <c r="AB53" s="49"/>
      <c r="AC53" s="49"/>
      <c r="AD53" s="49"/>
    </row>
    <row r="54" spans="1:30" x14ac:dyDescent="0.3">
      <c r="A54" s="365"/>
      <c r="B54" s="337"/>
      <c r="C54" s="337"/>
      <c r="D54" s="337"/>
      <c r="E54" s="337"/>
      <c r="F54" s="366"/>
      <c r="G54" s="337"/>
      <c r="H54" s="337"/>
      <c r="I54" s="337"/>
      <c r="J54" s="337"/>
      <c r="K54" s="337"/>
      <c r="L54" s="49"/>
      <c r="M54" s="49"/>
      <c r="N54" s="49"/>
      <c r="O54" s="49"/>
      <c r="P54" s="49"/>
      <c r="Q54" s="49"/>
      <c r="R54" s="49"/>
      <c r="S54" s="49"/>
      <c r="T54" s="49"/>
      <c r="U54" s="49"/>
      <c r="V54" s="49"/>
      <c r="W54" s="49"/>
      <c r="X54" s="49"/>
      <c r="Y54" s="49"/>
      <c r="Z54" s="49"/>
      <c r="AA54" s="49"/>
      <c r="AB54" s="49"/>
      <c r="AC54" s="49"/>
      <c r="AD54" s="49"/>
    </row>
    <row r="55" spans="1:30" s="594" customFormat="1" ht="23.4" x14ac:dyDescent="0.3">
      <c r="A55" s="1210" t="s">
        <v>507</v>
      </c>
      <c r="B55" s="475" t="s">
        <v>71</v>
      </c>
      <c r="C55" s="476"/>
      <c r="D55" s="2090" t="str">
        <f>+$A$1</f>
        <v>Quarter 2 - 2019-2020</v>
      </c>
      <c r="E55" s="2090"/>
      <c r="F55" s="2090"/>
      <c r="G55" s="2090"/>
      <c r="H55" s="2090"/>
      <c r="I55" s="2090"/>
      <c r="J55" s="2090"/>
      <c r="K55" s="477"/>
      <c r="L55" s="477"/>
      <c r="M55" s="477"/>
      <c r="N55" s="477"/>
      <c r="O55" s="477"/>
      <c r="P55" s="477"/>
      <c r="Q55" s="477"/>
      <c r="R55" s="477"/>
      <c r="S55" s="477"/>
      <c r="T55" s="477"/>
      <c r="U55" s="477"/>
      <c r="V55" s="477"/>
      <c r="W55" s="477"/>
      <c r="X55" s="477"/>
      <c r="Y55" s="478"/>
      <c r="Z55" s="478"/>
      <c r="AA55" s="478"/>
      <c r="AB55" s="478"/>
      <c r="AC55" s="478"/>
      <c r="AD55" s="478"/>
    </row>
    <row r="56" spans="1:30" x14ac:dyDescent="0.3">
      <c r="A56" s="320"/>
      <c r="B56" s="43" t="s">
        <v>72</v>
      </c>
      <c r="C56" s="359"/>
      <c r="D56" s="337"/>
      <c r="E56" s="337"/>
      <c r="F56" s="337"/>
      <c r="G56" s="337"/>
      <c r="H56" s="337"/>
      <c r="I56" s="337"/>
      <c r="J56" s="337"/>
      <c r="K56" s="337"/>
      <c r="L56" s="49"/>
      <c r="M56" s="49"/>
      <c r="N56" s="49"/>
      <c r="O56" s="49"/>
      <c r="P56" s="49"/>
      <c r="Q56" s="49"/>
      <c r="R56" s="49"/>
      <c r="S56" s="49"/>
      <c r="T56" s="49"/>
      <c r="U56" s="49"/>
      <c r="V56" s="49"/>
      <c r="W56" s="49"/>
      <c r="X56" s="49"/>
      <c r="Y56" s="49"/>
      <c r="Z56" s="49"/>
      <c r="AA56" s="49"/>
      <c r="AB56" s="49"/>
      <c r="AC56" s="49"/>
      <c r="AD56" s="49"/>
    </row>
    <row r="57" spans="1:30" x14ac:dyDescent="0.3">
      <c r="A57" s="320"/>
      <c r="B57" s="43" t="s">
        <v>73</v>
      </c>
      <c r="C57" s="359"/>
      <c r="D57" s="337"/>
      <c r="E57" s="337"/>
      <c r="F57" s="337"/>
      <c r="G57" s="337"/>
      <c r="H57" s="337"/>
      <c r="I57" s="337"/>
      <c r="J57" s="337"/>
      <c r="K57" s="337"/>
      <c r="L57" s="49"/>
      <c r="M57" s="49"/>
      <c r="N57" s="49"/>
      <c r="O57" s="49"/>
      <c r="P57" s="49"/>
      <c r="Q57" s="49"/>
      <c r="R57" s="49"/>
      <c r="S57" s="49"/>
      <c r="T57" s="49"/>
      <c r="U57" s="49"/>
      <c r="V57" s="49"/>
      <c r="W57" s="49"/>
      <c r="X57" s="49"/>
      <c r="Y57" s="49"/>
      <c r="Z57" s="49"/>
      <c r="AA57" s="49"/>
      <c r="AB57" s="49"/>
      <c r="AC57" s="49"/>
      <c r="AD57" s="49"/>
    </row>
    <row r="58" spans="1:30" x14ac:dyDescent="0.3">
      <c r="A58" s="320"/>
      <c r="B58" s="43" t="s">
        <v>528</v>
      </c>
      <c r="C58" s="359"/>
      <c r="D58" s="337"/>
      <c r="E58" s="337"/>
      <c r="F58" s="337"/>
      <c r="G58" s="337"/>
      <c r="H58" s="337"/>
      <c r="I58" s="337"/>
      <c r="J58" s="337"/>
      <c r="K58" s="337"/>
      <c r="L58" s="49"/>
      <c r="M58" s="49"/>
      <c r="N58" s="49"/>
      <c r="O58" s="49"/>
      <c r="P58" s="49"/>
      <c r="Q58" s="49"/>
      <c r="R58" s="49"/>
      <c r="S58" s="49"/>
      <c r="T58" s="49"/>
      <c r="U58" s="49"/>
      <c r="V58" s="49"/>
      <c r="W58" s="49"/>
      <c r="X58" s="49"/>
      <c r="Y58" s="49"/>
      <c r="Z58" s="49"/>
      <c r="AA58" s="49"/>
      <c r="AB58" s="49"/>
      <c r="AC58" s="49"/>
      <c r="AD58" s="49"/>
    </row>
    <row r="59" spans="1:30" x14ac:dyDescent="0.3">
      <c r="A59" s="320"/>
      <c r="B59" s="43" t="s">
        <v>76</v>
      </c>
      <c r="C59" s="359"/>
      <c r="D59" s="337"/>
      <c r="E59" s="337"/>
      <c r="F59" s="337"/>
      <c r="G59" s="337"/>
      <c r="H59" s="337"/>
      <c r="I59" s="337"/>
      <c r="J59" s="337"/>
      <c r="K59" s="337"/>
      <c r="L59" s="49"/>
      <c r="M59" s="49"/>
      <c r="N59" s="49"/>
      <c r="O59" s="49"/>
      <c r="P59" s="49"/>
      <c r="Q59" s="49"/>
      <c r="R59" s="49"/>
      <c r="S59" s="49"/>
      <c r="T59" s="49"/>
      <c r="U59" s="49"/>
      <c r="V59" s="49"/>
      <c r="W59" s="49"/>
      <c r="X59" s="49"/>
      <c r="Y59" s="49"/>
      <c r="Z59" s="49"/>
      <c r="AA59" s="49"/>
      <c r="AB59" s="49"/>
      <c r="AC59" s="49"/>
      <c r="AD59" s="49"/>
    </row>
    <row r="60" spans="1:30" ht="13.5" customHeight="1" x14ac:dyDescent="0.3">
      <c r="A60" s="320"/>
      <c r="B60" s="143" t="s">
        <v>363</v>
      </c>
      <c r="C60" s="359"/>
      <c r="D60" s="337"/>
      <c r="E60" s="337"/>
      <c r="F60" s="337"/>
      <c r="G60" s="337"/>
      <c r="H60" s="337"/>
      <c r="I60" s="337"/>
      <c r="J60" s="337"/>
      <c r="K60" s="337"/>
      <c r="L60" s="49"/>
      <c r="M60" s="49"/>
      <c r="N60" s="49"/>
      <c r="O60" s="49"/>
      <c r="P60" s="49"/>
      <c r="Q60" s="49"/>
      <c r="R60" s="49"/>
      <c r="S60" s="49"/>
      <c r="T60" s="49"/>
      <c r="U60" s="49"/>
      <c r="V60" s="49"/>
      <c r="W60" s="49"/>
      <c r="X60" s="49"/>
      <c r="Y60" s="49"/>
      <c r="Z60" s="49"/>
      <c r="AA60" s="49"/>
      <c r="AB60" s="49"/>
      <c r="AC60" s="49"/>
      <c r="AD60" s="49"/>
    </row>
    <row r="61" spans="1:30" ht="15.75" customHeight="1" thickBot="1" x14ac:dyDescent="0.35">
      <c r="A61" s="320" t="s">
        <v>370</v>
      </c>
      <c r="B61" s="43"/>
      <c r="C61" s="359"/>
      <c r="D61" s="337"/>
      <c r="E61" s="337"/>
      <c r="F61" s="367"/>
      <c r="G61" s="337"/>
      <c r="H61" s="337"/>
      <c r="I61" s="337"/>
      <c r="J61" s="337"/>
      <c r="K61" s="49"/>
      <c r="L61" s="49"/>
      <c r="M61" s="49"/>
      <c r="N61" s="49"/>
      <c r="O61" s="49"/>
      <c r="P61" s="49"/>
      <c r="Q61" s="49"/>
      <c r="R61" s="49"/>
      <c r="S61" s="49"/>
      <c r="T61" s="49"/>
      <c r="U61" s="49"/>
      <c r="V61" s="49"/>
      <c r="W61" s="49"/>
      <c r="X61" s="49"/>
      <c r="Y61" s="49"/>
      <c r="Z61" s="49"/>
      <c r="AA61" s="49"/>
      <c r="AB61" s="49"/>
      <c r="AC61" s="49"/>
      <c r="AD61" s="49"/>
    </row>
    <row r="62" spans="1:30" ht="26.25" customHeight="1" thickBot="1" x14ac:dyDescent="0.35">
      <c r="A62" s="320"/>
      <c r="B62" s="1929" t="s">
        <v>79</v>
      </c>
      <c r="C62" s="1930"/>
      <c r="D62" s="1933" t="s">
        <v>23</v>
      </c>
      <c r="E62" s="1934"/>
      <c r="F62" s="1935"/>
      <c r="G62" s="148"/>
      <c r="H62" s="148"/>
      <c r="I62" s="1849" t="s">
        <v>24</v>
      </c>
      <c r="J62" s="1850"/>
      <c r="K62" s="1851"/>
      <c r="L62" s="1909" t="s">
        <v>461</v>
      </c>
      <c r="M62" s="49"/>
      <c r="N62" s="49"/>
      <c r="O62" s="49"/>
      <c r="P62" s="49"/>
      <c r="Q62" s="49"/>
      <c r="R62" s="49"/>
      <c r="S62" s="49"/>
      <c r="T62" s="49"/>
      <c r="U62" s="49"/>
      <c r="V62" s="49"/>
      <c r="W62" s="49"/>
      <c r="X62" s="49"/>
      <c r="Y62" s="49"/>
      <c r="Z62" s="49"/>
      <c r="AA62" s="49"/>
      <c r="AB62" s="49"/>
      <c r="AC62" s="49"/>
      <c r="AD62" s="49"/>
    </row>
    <row r="63" spans="1:30" ht="15.75" customHeight="1" thickBot="1" x14ac:dyDescent="0.35">
      <c r="A63" s="320"/>
      <c r="B63" s="1931"/>
      <c r="C63" s="1932"/>
      <c r="D63" s="368" t="s">
        <v>81</v>
      </c>
      <c r="E63" s="369" t="s">
        <v>27</v>
      </c>
      <c r="F63" s="370" t="s">
        <v>28</v>
      </c>
      <c r="G63" s="148"/>
      <c r="H63" s="148"/>
      <c r="I63" s="1852"/>
      <c r="J63" s="1853"/>
      <c r="K63" s="1854"/>
      <c r="L63" s="1911"/>
      <c r="M63" s="49"/>
      <c r="N63" s="49"/>
      <c r="O63" s="49"/>
      <c r="P63" s="49"/>
      <c r="Q63" s="49"/>
      <c r="R63" s="49"/>
      <c r="S63" s="49"/>
      <c r="T63" s="49"/>
      <c r="U63" s="49"/>
      <c r="V63" s="49"/>
      <c r="W63" s="49"/>
      <c r="X63" s="49"/>
      <c r="Y63" s="49"/>
      <c r="Z63" s="49"/>
      <c r="AA63" s="49"/>
      <c r="AB63" s="49"/>
      <c r="AC63" s="49"/>
      <c r="AD63" s="49"/>
    </row>
    <row r="64" spans="1:30" ht="31.5" customHeight="1" thickBot="1" x14ac:dyDescent="0.35">
      <c r="A64" s="320"/>
      <c r="B64" s="1955" t="s">
        <v>77</v>
      </c>
      <c r="C64" s="1956"/>
      <c r="D64" s="44">
        <f>SUM(D65:D85)</f>
        <v>4686290.49</v>
      </c>
      <c r="E64" s="1107">
        <f>IF(D64&lt;&gt;0,F64*1000/D64,"")</f>
        <v>0.57404227320536838</v>
      </c>
      <c r="F64" s="171">
        <f>SUM(F65:F85)</f>
        <v>2690.1288457802998</v>
      </c>
      <c r="G64" s="148"/>
      <c r="H64" s="148"/>
      <c r="I64" s="1957"/>
      <c r="J64" s="1958"/>
      <c r="K64" s="1959"/>
      <c r="L64" s="1119" t="str">
        <f t="shared" ref="L64:L122" si="3">IF(OR(D64&lt;0,G64&lt;0),"Error - negative number",IF(G64&gt;D64,"Offices only &gt; Total Estate",IF(AND(D64&gt;0,E64=""),"Please enter CO2e factor","")))</f>
        <v/>
      </c>
      <c r="M64" s="49"/>
      <c r="N64" s="49"/>
      <c r="O64" s="1960" t="str">
        <f>B64</f>
        <v>TOTAL DOMESTIC FROM FLEET (i.e. vehicles owned or leased by the department) (Scope 1)</v>
      </c>
      <c r="P64" s="1961"/>
      <c r="Q64" s="1961"/>
      <c r="R64" s="1961"/>
      <c r="S64" s="1961"/>
      <c r="T64" s="1961"/>
      <c r="U64" s="1961"/>
      <c r="V64" s="1961"/>
      <c r="W64" s="1962"/>
      <c r="X64" s="1963" t="s">
        <v>381</v>
      </c>
      <c r="Y64" s="1964"/>
      <c r="Z64" s="1909" t="s">
        <v>461</v>
      </c>
      <c r="AA64" s="49"/>
      <c r="AB64" s="49"/>
      <c r="AC64" s="49"/>
      <c r="AD64" s="49"/>
    </row>
    <row r="65" spans="1:30" ht="15" customHeight="1" x14ac:dyDescent="0.3">
      <c r="A65" s="320" t="s">
        <v>370</v>
      </c>
      <c r="B65" s="1912" t="s">
        <v>84</v>
      </c>
      <c r="C65" s="46" t="s">
        <v>85</v>
      </c>
      <c r="D65" s="1039">
        <v>16424</v>
      </c>
      <c r="E65" s="382">
        <f>+'Emission Factors'!K48</f>
        <v>0.15371000000000001</v>
      </c>
      <c r="F65" s="356">
        <f>(D65*E65)/1000</f>
        <v>2.5245330400000001</v>
      </c>
      <c r="G65" s="148"/>
      <c r="H65" s="148"/>
      <c r="I65" s="1915"/>
      <c r="J65" s="1916"/>
      <c r="K65" s="1917"/>
      <c r="L65" s="1120" t="str">
        <f t="shared" si="3"/>
        <v/>
      </c>
      <c r="M65" s="49"/>
      <c r="N65" s="49"/>
      <c r="O65" s="479"/>
      <c r="P65" s="480"/>
      <c r="Q65" s="1918" t="s">
        <v>78</v>
      </c>
      <c r="R65" s="1918" t="s">
        <v>80</v>
      </c>
      <c r="S65" s="1921" t="s">
        <v>27</v>
      </c>
      <c r="T65" s="1936" t="s">
        <v>374</v>
      </c>
      <c r="U65" s="1938" t="s">
        <v>24</v>
      </c>
      <c r="V65" s="1939"/>
      <c r="W65" s="1940"/>
      <c r="X65" s="1947" t="s">
        <v>27</v>
      </c>
      <c r="Y65" s="1950" t="s">
        <v>374</v>
      </c>
      <c r="Z65" s="1910"/>
      <c r="AA65" s="49"/>
      <c r="AB65" s="49"/>
      <c r="AC65" s="49"/>
      <c r="AD65" s="49"/>
    </row>
    <row r="66" spans="1:30" ht="15" customHeight="1" thickBot="1" x14ac:dyDescent="0.35">
      <c r="A66" s="320" t="s">
        <v>370</v>
      </c>
      <c r="B66" s="1913"/>
      <c r="C66" s="648" t="s">
        <v>87</v>
      </c>
      <c r="D66" s="1039"/>
      <c r="E66" s="382">
        <f>+'Emission Factors'!K49</f>
        <v>0.19228000000000001</v>
      </c>
      <c r="F66" s="85">
        <f t="shared" ref="F66:F85" si="4">(D66*E66)/1000</f>
        <v>0</v>
      </c>
      <c r="G66" s="148"/>
      <c r="H66" s="148"/>
      <c r="I66" s="1952"/>
      <c r="J66" s="1953"/>
      <c r="K66" s="1954"/>
      <c r="L66" s="1056" t="str">
        <f t="shared" si="3"/>
        <v/>
      </c>
      <c r="M66" s="49"/>
      <c r="N66" s="49"/>
      <c r="O66" s="1101"/>
      <c r="P66" s="1102"/>
      <c r="Q66" s="1919"/>
      <c r="R66" s="1919"/>
      <c r="S66" s="1922"/>
      <c r="T66" s="1937"/>
      <c r="U66" s="1941"/>
      <c r="V66" s="1942"/>
      <c r="W66" s="1943"/>
      <c r="X66" s="1948"/>
      <c r="Y66" s="1951"/>
      <c r="Z66" s="1910"/>
      <c r="AA66" s="49"/>
      <c r="AB66" s="49"/>
      <c r="AC66" s="49"/>
      <c r="AD66" s="49"/>
    </row>
    <row r="67" spans="1:30" ht="15" customHeight="1" thickBot="1" x14ac:dyDescent="0.35">
      <c r="A67" s="320" t="s">
        <v>370</v>
      </c>
      <c r="B67" s="1913"/>
      <c r="C67" s="648" t="s">
        <v>89</v>
      </c>
      <c r="D67" s="1039"/>
      <c r="E67" s="382">
        <f>+'Emission Factors'!K50</f>
        <v>0.28294999999999998</v>
      </c>
      <c r="F67" s="85">
        <f t="shared" si="4"/>
        <v>0</v>
      </c>
      <c r="G67" s="148"/>
      <c r="H67" s="148"/>
      <c r="I67" s="1952"/>
      <c r="J67" s="1953"/>
      <c r="K67" s="1954"/>
      <c r="L67" s="1056" t="str">
        <f t="shared" si="3"/>
        <v/>
      </c>
      <c r="M67" s="49"/>
      <c r="N67" s="49"/>
      <c r="O67" s="1103"/>
      <c r="P67" s="1104"/>
      <c r="Q67" s="1920"/>
      <c r="R67" s="1920"/>
      <c r="S67" s="1923"/>
      <c r="T67" s="171">
        <f>SUM(T68:T74)</f>
        <v>1107.0558588000001</v>
      </c>
      <c r="U67" s="1944"/>
      <c r="V67" s="1945"/>
      <c r="W67" s="1946"/>
      <c r="X67" s="1949"/>
      <c r="Y67" s="171">
        <f>SUM(Y68:Y74)</f>
        <v>37040.378799999999</v>
      </c>
      <c r="Z67" s="1911"/>
      <c r="AA67" s="49"/>
      <c r="AB67" s="49"/>
      <c r="AC67" s="49"/>
      <c r="AD67" s="49"/>
    </row>
    <row r="68" spans="1:30" ht="15" customHeight="1" x14ac:dyDescent="0.3">
      <c r="A68" s="320" t="s">
        <v>370</v>
      </c>
      <c r="B68" s="1913"/>
      <c r="C68" s="648" t="s">
        <v>91</v>
      </c>
      <c r="D68" s="1039"/>
      <c r="E68" s="382">
        <f>+'Emission Factors'!K51</f>
        <v>0.18084</v>
      </c>
      <c r="F68" s="85">
        <f t="shared" si="4"/>
        <v>0</v>
      </c>
      <c r="G68" s="148"/>
      <c r="H68" s="148"/>
      <c r="I68" s="1952"/>
      <c r="J68" s="1953"/>
      <c r="K68" s="1954"/>
      <c r="L68" s="1056" t="str">
        <f t="shared" si="3"/>
        <v/>
      </c>
      <c r="M68" s="49"/>
      <c r="N68" s="49"/>
      <c r="O68" s="1289" t="s">
        <v>82</v>
      </c>
      <c r="P68" s="1290"/>
      <c r="Q68" s="1231" t="s">
        <v>83</v>
      </c>
      <c r="R68" s="168">
        <v>41596</v>
      </c>
      <c r="S68" s="166">
        <f>+'Emission Factors'!K36</f>
        <v>2.2090399999999999</v>
      </c>
      <c r="T68" s="145">
        <f t="shared" ref="T68:T74" si="5">(R68*S68)/1000</f>
        <v>91.887227839999994</v>
      </c>
      <c r="U68" s="1972" t="s">
        <v>628</v>
      </c>
      <c r="V68" s="1973"/>
      <c r="W68" s="1974"/>
      <c r="X68" s="185">
        <f>+'Emission Factors'!K42</f>
        <v>7.0099999999999996E-2</v>
      </c>
      <c r="Y68" s="76">
        <f t="shared" ref="Y68:Y74" si="6">+X68*R68</f>
        <v>2915.8795999999998</v>
      </c>
      <c r="Z68" s="1121" t="str">
        <f t="shared" ref="Z68:Z74" si="7">IF(R68&lt;0,"Error - negative number","")</f>
        <v/>
      </c>
      <c r="AA68" s="49"/>
      <c r="AB68" s="49"/>
      <c r="AC68" s="49"/>
      <c r="AD68" s="49"/>
    </row>
    <row r="69" spans="1:30" ht="15" customHeight="1" x14ac:dyDescent="0.3">
      <c r="A69" s="320" t="s">
        <v>370</v>
      </c>
      <c r="B69" s="1913"/>
      <c r="C69" s="648" t="s">
        <v>94</v>
      </c>
      <c r="D69" s="1039">
        <v>929097</v>
      </c>
      <c r="E69" s="382">
        <f>+'Emission Factors'!K52</f>
        <v>0.14208000000000001</v>
      </c>
      <c r="F69" s="85">
        <f t="shared" si="4"/>
        <v>132.00610176000001</v>
      </c>
      <c r="G69" s="148"/>
      <c r="H69" s="148"/>
      <c r="I69" s="1952"/>
      <c r="J69" s="1953"/>
      <c r="K69" s="1954"/>
      <c r="L69" s="1056" t="str">
        <f t="shared" si="3"/>
        <v/>
      </c>
      <c r="M69" s="49"/>
      <c r="N69" s="49"/>
      <c r="O69" s="1287" t="s">
        <v>86</v>
      </c>
      <c r="P69" s="1288"/>
      <c r="Q69" s="1232" t="s">
        <v>83</v>
      </c>
      <c r="R69" s="169"/>
      <c r="S69" s="167">
        <f>+'Emission Factors'!K37</f>
        <v>2.3149500000000001</v>
      </c>
      <c r="T69" s="146">
        <f t="shared" si="5"/>
        <v>0</v>
      </c>
      <c r="U69" s="1969"/>
      <c r="V69" s="1970"/>
      <c r="W69" s="1971"/>
      <c r="X69" s="167">
        <f>+'Emission Factors'!K43</f>
        <v>0</v>
      </c>
      <c r="Y69" s="77">
        <f t="shared" si="6"/>
        <v>0</v>
      </c>
      <c r="Z69" s="1056" t="str">
        <f t="shared" si="7"/>
        <v/>
      </c>
      <c r="AA69" s="49"/>
      <c r="AB69" s="49"/>
      <c r="AC69" s="49"/>
      <c r="AD69" s="49"/>
    </row>
    <row r="70" spans="1:30" ht="15" customHeight="1" x14ac:dyDescent="0.3">
      <c r="A70" s="320" t="s">
        <v>370</v>
      </c>
      <c r="B70" s="1913"/>
      <c r="C70" s="648" t="s">
        <v>96</v>
      </c>
      <c r="D70" s="1039">
        <v>280987</v>
      </c>
      <c r="E70" s="382">
        <f>+'Emission Factors'!K53</f>
        <v>0.17061000000000001</v>
      </c>
      <c r="F70" s="85">
        <f t="shared" si="4"/>
        <v>47.939192070000004</v>
      </c>
      <c r="G70" s="148"/>
      <c r="H70" s="148"/>
      <c r="I70" s="1952"/>
      <c r="J70" s="1953"/>
      <c r="K70" s="1954"/>
      <c r="L70" s="1056" t="str">
        <f t="shared" si="3"/>
        <v/>
      </c>
      <c r="M70" s="49"/>
      <c r="N70" s="49"/>
      <c r="O70" s="1287" t="s">
        <v>88</v>
      </c>
      <c r="P70" s="1288"/>
      <c r="Q70" s="1232" t="s">
        <v>83</v>
      </c>
      <c r="R70" s="169">
        <v>391336</v>
      </c>
      <c r="S70" s="167">
        <f>+'Emission Factors'!K38</f>
        <v>2.5941100000000001</v>
      </c>
      <c r="T70" s="146">
        <f t="shared" si="5"/>
        <v>1015.1686309600001</v>
      </c>
      <c r="U70" s="1969" t="s">
        <v>628</v>
      </c>
      <c r="V70" s="1970"/>
      <c r="W70" s="1971"/>
      <c r="X70" s="167">
        <f>+'Emission Factors'!K44</f>
        <v>8.72E-2</v>
      </c>
      <c r="Y70" s="77">
        <f t="shared" si="6"/>
        <v>34124.499199999998</v>
      </c>
      <c r="Z70" s="1056" t="str">
        <f t="shared" si="7"/>
        <v/>
      </c>
      <c r="AA70" s="49"/>
      <c r="AB70" s="49"/>
      <c r="AC70" s="49"/>
      <c r="AD70" s="49"/>
    </row>
    <row r="71" spans="1:30" ht="15" customHeight="1" x14ac:dyDescent="0.3">
      <c r="A71" s="320" t="s">
        <v>370</v>
      </c>
      <c r="B71" s="1913"/>
      <c r="C71" s="648" t="s">
        <v>97</v>
      </c>
      <c r="D71" s="1039">
        <v>4704.49</v>
      </c>
      <c r="E71" s="382">
        <f>+'Emission Factors'!K54</f>
        <v>0.20946999999999999</v>
      </c>
      <c r="F71" s="85">
        <f t="shared" si="4"/>
        <v>0.98544952029999988</v>
      </c>
      <c r="G71" s="148"/>
      <c r="H71" s="148"/>
      <c r="I71" s="1952"/>
      <c r="J71" s="1953"/>
      <c r="K71" s="1954"/>
      <c r="L71" s="1056" t="str">
        <f t="shared" si="3"/>
        <v/>
      </c>
      <c r="M71" s="49"/>
      <c r="N71" s="49"/>
      <c r="O71" s="1287" t="s">
        <v>90</v>
      </c>
      <c r="P71" s="1288"/>
      <c r="Q71" s="1232" t="s">
        <v>83</v>
      </c>
      <c r="R71" s="169"/>
      <c r="S71" s="167">
        <f>+'Emission Factors'!K39</f>
        <v>2.6869700000000001</v>
      </c>
      <c r="T71" s="146">
        <f t="shared" si="5"/>
        <v>0</v>
      </c>
      <c r="U71" s="1969"/>
      <c r="V71" s="1970"/>
      <c r="W71" s="1971"/>
      <c r="X71" s="167">
        <f>+'Emission Factors'!K45</f>
        <v>0</v>
      </c>
      <c r="Y71" s="77">
        <f t="shared" si="6"/>
        <v>0</v>
      </c>
      <c r="Z71" s="1056" t="str">
        <f t="shared" si="7"/>
        <v/>
      </c>
      <c r="AA71" s="49"/>
      <c r="AB71" s="49"/>
      <c r="AC71" s="49"/>
      <c r="AD71" s="49"/>
    </row>
    <row r="72" spans="1:30" ht="15" customHeight="1" x14ac:dyDescent="0.3">
      <c r="A72" s="320" t="s">
        <v>370</v>
      </c>
      <c r="B72" s="1913"/>
      <c r="C72" s="648" t="s">
        <v>98</v>
      </c>
      <c r="D72" s="1039"/>
      <c r="E72" s="382">
        <f>+'Emission Factors'!K55</f>
        <v>0.17335999999999999</v>
      </c>
      <c r="F72" s="85">
        <f t="shared" si="4"/>
        <v>0</v>
      </c>
      <c r="G72" s="148"/>
      <c r="H72" s="148"/>
      <c r="I72" s="1952"/>
      <c r="J72" s="1953"/>
      <c r="K72" s="1954"/>
      <c r="L72" s="1056" t="str">
        <f t="shared" si="3"/>
        <v/>
      </c>
      <c r="M72" s="49"/>
      <c r="N72" s="49"/>
      <c r="O72" s="1287" t="s">
        <v>92</v>
      </c>
      <c r="P72" s="1288"/>
      <c r="Q72" s="1232" t="s">
        <v>93</v>
      </c>
      <c r="R72" s="169"/>
      <c r="S72" s="167">
        <f>+'Emission Factors'!K40</f>
        <v>2.5420400000000001</v>
      </c>
      <c r="T72" s="146">
        <f t="shared" si="5"/>
        <v>0</v>
      </c>
      <c r="U72" s="1969"/>
      <c r="V72" s="1970"/>
      <c r="W72" s="1971"/>
      <c r="X72" s="167">
        <f>+'Emission Factors'!K46</f>
        <v>0</v>
      </c>
      <c r="Y72" s="77">
        <f t="shared" si="6"/>
        <v>0</v>
      </c>
      <c r="Z72" s="1056" t="str">
        <f t="shared" si="7"/>
        <v/>
      </c>
      <c r="AA72" s="49"/>
      <c r="AB72" s="49"/>
      <c r="AC72" s="49"/>
      <c r="AD72" s="49"/>
    </row>
    <row r="73" spans="1:30" ht="15" customHeight="1" x14ac:dyDescent="0.3">
      <c r="A73" s="320" t="s">
        <v>370</v>
      </c>
      <c r="B73" s="1913"/>
      <c r="C73" s="648" t="s">
        <v>99</v>
      </c>
      <c r="D73" s="1039">
        <v>362219</v>
      </c>
      <c r="E73" s="382">
        <f>+'Emission Factors'!K56</f>
        <v>0.10895000000000001</v>
      </c>
      <c r="F73" s="85">
        <f t="shared" si="4"/>
        <v>39.463760050000005</v>
      </c>
      <c r="G73" s="148"/>
      <c r="H73" s="148"/>
      <c r="I73" s="1952" t="s">
        <v>651</v>
      </c>
      <c r="J73" s="1953"/>
      <c r="K73" s="1954"/>
      <c r="L73" s="1056" t="str">
        <f t="shared" si="3"/>
        <v/>
      </c>
      <c r="M73" s="49"/>
      <c r="N73" s="49"/>
      <c r="O73" s="1287" t="s">
        <v>95</v>
      </c>
      <c r="P73" s="1288"/>
      <c r="Q73" s="1232" t="s">
        <v>83</v>
      </c>
      <c r="R73" s="169"/>
      <c r="S73" s="167">
        <f>+'Emission Factors'!K41</f>
        <v>1.5226</v>
      </c>
      <c r="T73" s="146">
        <f t="shared" si="5"/>
        <v>0</v>
      </c>
      <c r="U73" s="1969"/>
      <c r="V73" s="1970"/>
      <c r="W73" s="1971"/>
      <c r="X73" s="167">
        <f>+'Emission Factors'!K47</f>
        <v>0</v>
      </c>
      <c r="Y73" s="77">
        <f t="shared" si="6"/>
        <v>0</v>
      </c>
      <c r="Z73" s="1056" t="str">
        <f t="shared" si="7"/>
        <v/>
      </c>
      <c r="AA73" s="49"/>
      <c r="AB73" s="49"/>
      <c r="AC73" s="49"/>
      <c r="AD73" s="49"/>
    </row>
    <row r="74" spans="1:30" ht="15" customHeight="1" thickBot="1" x14ac:dyDescent="0.35">
      <c r="A74" s="320" t="s">
        <v>370</v>
      </c>
      <c r="B74" s="1913"/>
      <c r="C74" s="648" t="s">
        <v>100</v>
      </c>
      <c r="D74" s="1039"/>
      <c r="E74" s="382">
        <f>+'Emission Factors'!K57</f>
        <v>0.13177</v>
      </c>
      <c r="F74" s="85">
        <f t="shared" si="4"/>
        <v>0</v>
      </c>
      <c r="G74" s="148"/>
      <c r="H74" s="148"/>
      <c r="I74" s="1952"/>
      <c r="J74" s="1953"/>
      <c r="K74" s="1954"/>
      <c r="L74" s="1056" t="str">
        <f t="shared" si="3"/>
        <v/>
      </c>
      <c r="M74" s="49"/>
      <c r="N74" s="49"/>
      <c r="O74" s="1284" t="s">
        <v>409</v>
      </c>
      <c r="P74" s="1285"/>
      <c r="Q74" s="1286"/>
      <c r="R74" s="170"/>
      <c r="S74" s="1488"/>
      <c r="T74" s="147">
        <f t="shared" si="5"/>
        <v>0</v>
      </c>
      <c r="U74" s="1975"/>
      <c r="V74" s="1976"/>
      <c r="W74" s="1977"/>
      <c r="X74" s="1488"/>
      <c r="Y74" s="80">
        <f t="shared" si="6"/>
        <v>0</v>
      </c>
      <c r="Z74" s="1122" t="str">
        <f t="shared" si="7"/>
        <v/>
      </c>
      <c r="AA74" s="49"/>
      <c r="AB74" s="49"/>
      <c r="AC74" s="49"/>
      <c r="AD74" s="49"/>
    </row>
    <row r="75" spans="1:30" ht="15" customHeight="1" x14ac:dyDescent="0.3">
      <c r="A75" s="320" t="s">
        <v>370</v>
      </c>
      <c r="B75" s="1913"/>
      <c r="C75" s="648" t="s">
        <v>529</v>
      </c>
      <c r="D75" s="1039"/>
      <c r="E75" s="382">
        <f>+'Emission Factors'!K58</f>
        <v>0.19900999999999999</v>
      </c>
      <c r="F75" s="85">
        <f t="shared" si="4"/>
        <v>0</v>
      </c>
      <c r="G75" s="148"/>
      <c r="H75" s="148"/>
      <c r="I75" s="1952"/>
      <c r="J75" s="1953"/>
      <c r="K75" s="1954"/>
      <c r="L75" s="1056" t="str">
        <f t="shared" si="3"/>
        <v/>
      </c>
      <c r="M75" s="49"/>
      <c r="N75" s="49"/>
      <c r="O75" s="1965" t="s">
        <v>367</v>
      </c>
      <c r="P75" s="1965"/>
      <c r="Q75" s="1965"/>
      <c r="R75" s="1965"/>
      <c r="S75" s="1965"/>
      <c r="T75" s="1965"/>
      <c r="U75" s="1965"/>
      <c r="V75" s="1965"/>
      <c r="W75" s="1965"/>
      <c r="X75" s="49"/>
      <c r="Y75" s="49"/>
      <c r="Z75" s="49"/>
      <c r="AA75" s="49"/>
      <c r="AB75" s="49"/>
      <c r="AC75" s="49"/>
      <c r="AD75" s="49"/>
    </row>
    <row r="76" spans="1:30" ht="15" customHeight="1" x14ac:dyDescent="0.3">
      <c r="A76" s="320" t="s">
        <v>370</v>
      </c>
      <c r="B76" s="1913"/>
      <c r="C76" s="648" t="s">
        <v>102</v>
      </c>
      <c r="D76" s="1039">
        <v>47830</v>
      </c>
      <c r="E76" s="382">
        <f>+'Emission Factors'!K59</f>
        <v>0.17710000000000001</v>
      </c>
      <c r="F76" s="85">
        <f t="shared" si="4"/>
        <v>8.4706930000000007</v>
      </c>
      <c r="G76" s="148"/>
      <c r="H76" s="148"/>
      <c r="I76" s="1952"/>
      <c r="J76" s="1953"/>
      <c r="K76" s="1954"/>
      <c r="L76" s="1056" t="str">
        <f t="shared" si="3"/>
        <v/>
      </c>
      <c r="M76" s="49"/>
      <c r="N76" s="49"/>
      <c r="O76" s="1966"/>
      <c r="P76" s="1966"/>
      <c r="Q76" s="1966"/>
      <c r="R76" s="1966"/>
      <c r="S76" s="1966"/>
      <c r="T76" s="1966"/>
      <c r="U76" s="1966"/>
      <c r="V76" s="1966"/>
      <c r="W76" s="1966"/>
      <c r="X76" s="49"/>
      <c r="Y76" s="49"/>
      <c r="Z76" s="49"/>
      <c r="AA76" s="49"/>
      <c r="AB76" s="49"/>
      <c r="AC76" s="49"/>
      <c r="AD76" s="49"/>
    </row>
    <row r="77" spans="1:30" ht="15" customHeight="1" x14ac:dyDescent="0.3">
      <c r="A77" s="320" t="s">
        <v>370</v>
      </c>
      <c r="B77" s="1913"/>
      <c r="C77" s="648" t="s">
        <v>103</v>
      </c>
      <c r="D77" s="1039"/>
      <c r="E77" s="382">
        <f>+'Emission Factors'!K60</f>
        <v>8.4449999999999997E-2</v>
      </c>
      <c r="F77" s="85">
        <f t="shared" si="4"/>
        <v>0</v>
      </c>
      <c r="G77" s="148"/>
      <c r="H77" s="148"/>
      <c r="I77" s="1952"/>
      <c r="J77" s="1953"/>
      <c r="K77" s="1954"/>
      <c r="L77" s="1056" t="str">
        <f t="shared" si="3"/>
        <v/>
      </c>
      <c r="M77" s="49"/>
      <c r="N77" s="49"/>
      <c r="O77" s="1966"/>
      <c r="P77" s="1966"/>
      <c r="Q77" s="1966"/>
      <c r="R77" s="1966"/>
      <c r="S77" s="1966"/>
      <c r="T77" s="1966"/>
      <c r="U77" s="1966"/>
      <c r="V77" s="1966"/>
      <c r="W77" s="1966"/>
      <c r="X77" s="49"/>
      <c r="Y77" s="49"/>
      <c r="Z77" s="49"/>
      <c r="AA77" s="49"/>
      <c r="AB77" s="49"/>
      <c r="AC77" s="49"/>
      <c r="AD77" s="49"/>
    </row>
    <row r="78" spans="1:30" ht="15" customHeight="1" x14ac:dyDescent="0.3">
      <c r="A78" s="320" t="s">
        <v>370</v>
      </c>
      <c r="B78" s="1913"/>
      <c r="C78" s="648" t="s">
        <v>104</v>
      </c>
      <c r="D78" s="1039"/>
      <c r="E78" s="382">
        <f>+'Emission Factors'!K61</f>
        <v>0.10289</v>
      </c>
      <c r="F78" s="85">
        <f t="shared" si="4"/>
        <v>0</v>
      </c>
      <c r="G78" s="148"/>
      <c r="H78" s="148"/>
      <c r="I78" s="1952"/>
      <c r="J78" s="1953"/>
      <c r="K78" s="1954"/>
      <c r="L78" s="1056" t="str">
        <f t="shared" si="3"/>
        <v/>
      </c>
      <c r="M78" s="49"/>
      <c r="N78" s="49"/>
      <c r="O78" s="1966"/>
      <c r="P78" s="1966"/>
      <c r="Q78" s="1966"/>
      <c r="R78" s="1966"/>
      <c r="S78" s="1966"/>
      <c r="T78" s="1966"/>
      <c r="U78" s="1966"/>
      <c r="V78" s="1966"/>
      <c r="W78" s="1966"/>
      <c r="X78" s="49"/>
      <c r="Y78" s="49"/>
      <c r="Z78" s="49"/>
      <c r="AA78" s="49"/>
      <c r="AB78" s="49"/>
      <c r="AC78" s="49"/>
      <c r="AD78" s="49"/>
    </row>
    <row r="79" spans="1:30" ht="15" customHeight="1" x14ac:dyDescent="0.3">
      <c r="A79" s="320" t="s">
        <v>370</v>
      </c>
      <c r="B79" s="1913"/>
      <c r="C79" s="648" t="s">
        <v>105</v>
      </c>
      <c r="D79" s="1039"/>
      <c r="E79" s="382">
        <f>+'Emission Factors'!K62</f>
        <v>0.13500999999999999</v>
      </c>
      <c r="F79" s="85">
        <f t="shared" si="4"/>
        <v>0</v>
      </c>
      <c r="G79" s="148"/>
      <c r="H79" s="148"/>
      <c r="I79" s="1952"/>
      <c r="J79" s="1953"/>
      <c r="K79" s="1954"/>
      <c r="L79" s="1056" t="str">
        <f t="shared" si="3"/>
        <v/>
      </c>
      <c r="M79" s="49"/>
      <c r="N79" s="49"/>
      <c r="O79" s="49"/>
      <c r="P79" s="49"/>
      <c r="Q79" s="49"/>
      <c r="R79" s="49"/>
      <c r="S79" s="49"/>
      <c r="T79" s="49"/>
      <c r="U79" s="49"/>
      <c r="V79" s="49"/>
      <c r="W79" s="49"/>
      <c r="X79" s="49"/>
      <c r="Y79" s="49"/>
      <c r="Z79" s="49"/>
      <c r="AA79" s="49"/>
      <c r="AB79" s="49"/>
      <c r="AC79" s="49"/>
      <c r="AD79" s="49"/>
    </row>
    <row r="80" spans="1:30" ht="15" customHeight="1" x14ac:dyDescent="0.3">
      <c r="A80" s="320" t="s">
        <v>370</v>
      </c>
      <c r="B80" s="1913"/>
      <c r="C80" s="648" t="s">
        <v>106</v>
      </c>
      <c r="D80" s="1039"/>
      <c r="E80" s="382">
        <f>+'Emission Factors'!K63</f>
        <v>0.11551</v>
      </c>
      <c r="F80" s="85">
        <f t="shared" si="4"/>
        <v>0</v>
      </c>
      <c r="G80" s="148"/>
      <c r="H80" s="148"/>
      <c r="I80" s="1952"/>
      <c r="J80" s="1953"/>
      <c r="K80" s="1954"/>
      <c r="L80" s="1056" t="str">
        <f t="shared" si="3"/>
        <v/>
      </c>
      <c r="M80" s="49"/>
      <c r="N80" s="49"/>
      <c r="O80" s="49"/>
      <c r="P80" s="49"/>
      <c r="Q80" s="49"/>
      <c r="R80" s="49"/>
      <c r="S80" s="49"/>
      <c r="T80" s="49"/>
      <c r="U80" s="49"/>
      <c r="V80" s="49"/>
      <c r="W80" s="49"/>
      <c r="X80" s="49"/>
      <c r="Y80" s="49"/>
      <c r="Z80" s="49"/>
      <c r="AA80" s="49"/>
      <c r="AB80" s="49"/>
      <c r="AC80" s="49"/>
      <c r="AD80" s="49"/>
    </row>
    <row r="81" spans="1:30" ht="15" customHeight="1" x14ac:dyDescent="0.3">
      <c r="A81" s="320" t="s">
        <v>370</v>
      </c>
      <c r="B81" s="1913"/>
      <c r="C81" s="649" t="s">
        <v>410</v>
      </c>
      <c r="D81" s="1039">
        <v>2646552</v>
      </c>
      <c r="E81" s="1036">
        <v>0.80745999999999996</v>
      </c>
      <c r="F81" s="85">
        <f t="shared" si="4"/>
        <v>2136.9848779199997</v>
      </c>
      <c r="G81" s="148"/>
      <c r="H81" s="148"/>
      <c r="I81" s="1952" t="s">
        <v>576</v>
      </c>
      <c r="J81" s="1953"/>
      <c r="K81" s="1954"/>
      <c r="L81" s="1056" t="str">
        <f t="shared" si="3"/>
        <v/>
      </c>
      <c r="M81" s="49"/>
      <c r="N81" s="49"/>
      <c r="O81" s="49"/>
      <c r="P81" s="49"/>
      <c r="Q81" s="49"/>
      <c r="R81" s="49"/>
      <c r="S81" s="49"/>
      <c r="T81" s="49"/>
      <c r="U81" s="49"/>
      <c r="V81" s="49"/>
      <c r="W81" s="49"/>
      <c r="X81" s="49"/>
      <c r="Y81" s="49"/>
      <c r="Z81" s="49"/>
      <c r="AA81" s="49"/>
      <c r="AB81" s="49"/>
      <c r="AC81" s="49"/>
      <c r="AD81" s="49"/>
    </row>
    <row r="82" spans="1:30" ht="15" customHeight="1" x14ac:dyDescent="0.3">
      <c r="A82" s="320" t="s">
        <v>370</v>
      </c>
      <c r="B82" s="1913"/>
      <c r="C82" s="649" t="s">
        <v>411</v>
      </c>
      <c r="D82" s="1039">
        <v>398477</v>
      </c>
      <c r="E82" s="1036">
        <v>0.80745999999999996</v>
      </c>
      <c r="F82" s="85">
        <f t="shared" si="4"/>
        <v>321.75423842000004</v>
      </c>
      <c r="G82" s="148"/>
      <c r="H82" s="148"/>
      <c r="I82" s="1952" t="s">
        <v>577</v>
      </c>
      <c r="J82" s="1953"/>
      <c r="K82" s="1954"/>
      <c r="L82" s="1056" t="str">
        <f t="shared" si="3"/>
        <v/>
      </c>
      <c r="M82" s="49"/>
      <c r="N82" s="49"/>
      <c r="O82" s="49"/>
      <c r="P82" s="49"/>
      <c r="Q82" s="49"/>
      <c r="R82" s="49"/>
      <c r="S82" s="49"/>
      <c r="T82" s="49"/>
      <c r="U82" s="49"/>
      <c r="V82" s="49"/>
      <c r="W82" s="49"/>
      <c r="X82" s="49"/>
      <c r="Y82" s="49"/>
      <c r="Z82" s="49"/>
      <c r="AA82" s="49"/>
      <c r="AB82" s="49"/>
      <c r="AC82" s="49"/>
      <c r="AD82" s="49"/>
    </row>
    <row r="83" spans="1:30" ht="15" customHeight="1" x14ac:dyDescent="0.3">
      <c r="A83" s="320" t="s">
        <v>370</v>
      </c>
      <c r="B83" s="1913"/>
      <c r="C83" s="649" t="s">
        <v>412</v>
      </c>
      <c r="D83" s="1039"/>
      <c r="E83" s="1036"/>
      <c r="F83" s="85">
        <f t="shared" si="4"/>
        <v>0</v>
      </c>
      <c r="G83" s="148"/>
      <c r="H83" s="148"/>
      <c r="I83" s="1952"/>
      <c r="J83" s="1953"/>
      <c r="K83" s="1954"/>
      <c r="L83" s="1056" t="str">
        <f t="shared" si="3"/>
        <v/>
      </c>
      <c r="M83" s="49"/>
      <c r="N83" s="49"/>
      <c r="O83" s="49"/>
      <c r="P83" s="49"/>
      <c r="Q83" s="49"/>
      <c r="R83" s="49"/>
      <c r="S83" s="49"/>
      <c r="T83" s="49"/>
      <c r="U83" s="49"/>
      <c r="V83" s="49"/>
      <c r="W83" s="49"/>
      <c r="X83" s="49"/>
      <c r="Y83" s="49"/>
      <c r="Z83" s="49"/>
      <c r="AA83" s="49"/>
      <c r="AB83" s="49"/>
      <c r="AC83" s="49"/>
      <c r="AD83" s="49"/>
    </row>
    <row r="84" spans="1:30" ht="15" customHeight="1" x14ac:dyDescent="0.3">
      <c r="A84" s="320"/>
      <c r="B84" s="1913"/>
      <c r="C84" s="649" t="s">
        <v>509</v>
      </c>
      <c r="D84" s="1039"/>
      <c r="E84" s="1036"/>
      <c r="F84" s="85">
        <f t="shared" si="4"/>
        <v>0</v>
      </c>
      <c r="G84" s="148"/>
      <c r="H84" s="148"/>
      <c r="I84" s="1952"/>
      <c r="J84" s="1953"/>
      <c r="K84" s="1954"/>
      <c r="L84" s="1056" t="str">
        <f t="shared" si="3"/>
        <v/>
      </c>
      <c r="M84" s="49"/>
      <c r="N84" s="49"/>
      <c r="O84" s="49"/>
      <c r="P84" s="49"/>
      <c r="Q84" s="49"/>
      <c r="R84" s="49"/>
      <c r="S84" s="49"/>
      <c r="T84" s="49"/>
      <c r="U84" s="49"/>
      <c r="V84" s="49"/>
      <c r="W84" s="49"/>
      <c r="X84" s="49"/>
      <c r="Y84" s="49"/>
      <c r="Z84" s="49"/>
      <c r="AA84" s="49"/>
      <c r="AB84" s="49"/>
      <c r="AC84" s="49"/>
      <c r="AD84" s="49"/>
    </row>
    <row r="85" spans="1:30" ht="15" customHeight="1" thickBot="1" x14ac:dyDescent="0.35">
      <c r="A85" s="320"/>
      <c r="B85" s="1914"/>
      <c r="C85" s="649" t="s">
        <v>510</v>
      </c>
      <c r="D85" s="1039"/>
      <c r="E85" s="81"/>
      <c r="F85" s="85">
        <f t="shared" si="4"/>
        <v>0</v>
      </c>
      <c r="G85" s="148"/>
      <c r="H85" s="148"/>
      <c r="I85" s="1952"/>
      <c r="J85" s="1953"/>
      <c r="K85" s="1954"/>
      <c r="L85" s="1056" t="str">
        <f t="shared" si="3"/>
        <v/>
      </c>
      <c r="M85" s="49"/>
      <c r="N85" s="49"/>
      <c r="O85" s="49"/>
      <c r="P85" s="49"/>
      <c r="Q85" s="49"/>
      <c r="R85" s="49"/>
      <c r="S85" s="49"/>
      <c r="T85" s="49"/>
      <c r="U85" s="49"/>
      <c r="V85" s="49"/>
      <c r="W85" s="49"/>
      <c r="X85" s="49"/>
      <c r="Y85" s="49"/>
      <c r="Z85" s="49"/>
      <c r="AA85" s="49"/>
      <c r="AB85" s="49"/>
      <c r="AC85" s="49"/>
      <c r="AD85" s="49"/>
    </row>
    <row r="86" spans="1:30" ht="29.25" customHeight="1" thickBot="1" x14ac:dyDescent="0.35">
      <c r="A86" s="320"/>
      <c r="B86" s="1955" t="s">
        <v>110</v>
      </c>
      <c r="C86" s="1956"/>
      <c r="D86" s="44">
        <f>SUM(D87:D107)</f>
        <v>14756354</v>
      </c>
      <c r="E86" s="481">
        <f>IF(D86&lt;&gt;0,F86*1000/D86,"")</f>
        <v>0.17710000000000004</v>
      </c>
      <c r="F86" s="171">
        <f>SUM(F87:F107)</f>
        <v>2613.3502934000003</v>
      </c>
      <c r="G86" s="148"/>
      <c r="H86" s="148"/>
      <c r="I86" s="1957"/>
      <c r="J86" s="1958"/>
      <c r="K86" s="1959"/>
      <c r="L86" s="1119" t="str">
        <f t="shared" si="3"/>
        <v/>
      </c>
      <c r="M86" s="49"/>
      <c r="N86" s="49"/>
      <c r="O86" s="1960" t="str">
        <f>B86</f>
        <v>TOTAL DOMESTIC FROM GREY FLEET/HIRE (i.e. employee owned or hire vehicles) (Scope 3)</v>
      </c>
      <c r="P86" s="1961"/>
      <c r="Q86" s="1961"/>
      <c r="R86" s="1961"/>
      <c r="S86" s="1961"/>
      <c r="T86" s="1961"/>
      <c r="U86" s="1961"/>
      <c r="V86" s="1961"/>
      <c r="W86" s="1962"/>
      <c r="X86" s="1963" t="s">
        <v>381</v>
      </c>
      <c r="Y86" s="1964"/>
      <c r="Z86" s="1909" t="s">
        <v>461</v>
      </c>
      <c r="AA86" s="49"/>
      <c r="AB86" s="49"/>
      <c r="AC86" s="49"/>
      <c r="AD86" s="49"/>
    </row>
    <row r="87" spans="1:30" ht="15" customHeight="1" x14ac:dyDescent="0.3">
      <c r="A87" s="320" t="s">
        <v>371</v>
      </c>
      <c r="B87" s="1912" t="s">
        <v>111</v>
      </c>
      <c r="C87" s="46" t="s">
        <v>85</v>
      </c>
      <c r="D87" s="1039"/>
      <c r="E87" s="382">
        <f t="shared" ref="E87:E102" si="8">+E65</f>
        <v>0.15371000000000001</v>
      </c>
      <c r="F87" s="356">
        <f>(D87*E87)/1000</f>
        <v>0</v>
      </c>
      <c r="G87" s="148"/>
      <c r="H87" s="148"/>
      <c r="I87" s="1915"/>
      <c r="J87" s="1916"/>
      <c r="K87" s="1917"/>
      <c r="L87" s="1120" t="str">
        <f t="shared" si="3"/>
        <v/>
      </c>
      <c r="M87" s="49"/>
      <c r="N87" s="49"/>
      <c r="O87" s="479"/>
      <c r="P87" s="480"/>
      <c r="Q87" s="1918" t="s">
        <v>78</v>
      </c>
      <c r="R87" s="1918" t="s">
        <v>80</v>
      </c>
      <c r="S87" s="1921" t="s">
        <v>27</v>
      </c>
      <c r="T87" s="1936" t="s">
        <v>374</v>
      </c>
      <c r="U87" s="1938" t="s">
        <v>24</v>
      </c>
      <c r="V87" s="1939"/>
      <c r="W87" s="1940"/>
      <c r="X87" s="1947" t="s">
        <v>27</v>
      </c>
      <c r="Y87" s="1967" t="s">
        <v>374</v>
      </c>
      <c r="Z87" s="1910"/>
      <c r="AA87" s="49"/>
      <c r="AB87" s="49"/>
      <c r="AC87" s="49"/>
      <c r="AD87" s="49"/>
    </row>
    <row r="88" spans="1:30" ht="15" customHeight="1" thickBot="1" x14ac:dyDescent="0.35">
      <c r="A88" s="320" t="s">
        <v>371</v>
      </c>
      <c r="B88" s="1913"/>
      <c r="C88" s="648" t="s">
        <v>87</v>
      </c>
      <c r="D88" s="1039"/>
      <c r="E88" s="382">
        <f t="shared" si="8"/>
        <v>0.19228000000000001</v>
      </c>
      <c r="F88" s="85">
        <f t="shared" ref="F88:F107" si="9">(D88*E88)/1000</f>
        <v>0</v>
      </c>
      <c r="G88" s="148"/>
      <c r="H88" s="148"/>
      <c r="I88" s="1952"/>
      <c r="J88" s="1953"/>
      <c r="K88" s="1954"/>
      <c r="L88" s="1056" t="str">
        <f t="shared" si="3"/>
        <v/>
      </c>
      <c r="M88" s="49"/>
      <c r="N88" s="49"/>
      <c r="O88" s="1101"/>
      <c r="P88" s="1102"/>
      <c r="Q88" s="1919"/>
      <c r="R88" s="1919"/>
      <c r="S88" s="1922"/>
      <c r="T88" s="1937"/>
      <c r="U88" s="1941"/>
      <c r="V88" s="1942"/>
      <c r="W88" s="1943"/>
      <c r="X88" s="1948"/>
      <c r="Y88" s="1968"/>
      <c r="Z88" s="1910"/>
      <c r="AA88" s="49"/>
      <c r="AB88" s="49"/>
      <c r="AC88" s="49"/>
      <c r="AD88" s="49"/>
    </row>
    <row r="89" spans="1:30" ht="15" customHeight="1" thickBot="1" x14ac:dyDescent="0.35">
      <c r="A89" s="320" t="s">
        <v>371</v>
      </c>
      <c r="B89" s="1913"/>
      <c r="C89" s="648" t="s">
        <v>89</v>
      </c>
      <c r="D89" s="1039"/>
      <c r="E89" s="382">
        <f t="shared" si="8"/>
        <v>0.28294999999999998</v>
      </c>
      <c r="F89" s="85">
        <f t="shared" si="9"/>
        <v>0</v>
      </c>
      <c r="G89" s="148"/>
      <c r="H89" s="148"/>
      <c r="I89" s="1952"/>
      <c r="J89" s="1953"/>
      <c r="K89" s="1954"/>
      <c r="L89" s="1056" t="str">
        <f t="shared" si="3"/>
        <v/>
      </c>
      <c r="M89" s="49"/>
      <c r="N89" s="49"/>
      <c r="O89" s="1103"/>
      <c r="P89" s="1104"/>
      <c r="Q89" s="1920"/>
      <c r="R89" s="1920"/>
      <c r="S89" s="1923"/>
      <c r="T89" s="171">
        <f>SUM(T90:T96)</f>
        <v>0</v>
      </c>
      <c r="U89" s="1944"/>
      <c r="V89" s="1945"/>
      <c r="W89" s="1946"/>
      <c r="X89" s="1949"/>
      <c r="Y89" s="171">
        <f>SUM(Y90:Y96)</f>
        <v>0</v>
      </c>
      <c r="Z89" s="1911"/>
      <c r="AA89" s="49"/>
      <c r="AB89" s="49"/>
      <c r="AC89" s="49"/>
      <c r="AD89" s="49"/>
    </row>
    <row r="90" spans="1:30" ht="15" customHeight="1" x14ac:dyDescent="0.3">
      <c r="A90" s="320" t="s">
        <v>371</v>
      </c>
      <c r="B90" s="1913"/>
      <c r="C90" s="648" t="s">
        <v>91</v>
      </c>
      <c r="D90" s="1039"/>
      <c r="E90" s="382">
        <f t="shared" si="8"/>
        <v>0.18084</v>
      </c>
      <c r="F90" s="85">
        <f t="shared" si="9"/>
        <v>0</v>
      </c>
      <c r="G90" s="148"/>
      <c r="H90" s="148"/>
      <c r="I90" s="1952"/>
      <c r="J90" s="1953"/>
      <c r="K90" s="1954"/>
      <c r="L90" s="1056" t="str">
        <f t="shared" si="3"/>
        <v/>
      </c>
      <c r="M90" s="49"/>
      <c r="N90" s="49"/>
      <c r="O90" s="1289" t="s">
        <v>82</v>
      </c>
      <c r="P90" s="1290"/>
      <c r="Q90" s="1231" t="s">
        <v>83</v>
      </c>
      <c r="R90" s="168"/>
      <c r="S90" s="166">
        <f>+'Emission Factors'!K36</f>
        <v>2.2090399999999999</v>
      </c>
      <c r="T90" s="145">
        <f t="shared" ref="T90:T96" si="10">(R90*S90)/1000</f>
        <v>0</v>
      </c>
      <c r="U90" s="1972"/>
      <c r="V90" s="1973"/>
      <c r="W90" s="1974"/>
      <c r="X90" s="185">
        <f>+'Emission Factors'!K42</f>
        <v>7.0099999999999996E-2</v>
      </c>
      <c r="Y90" s="76">
        <f t="shared" ref="Y90:Y96" si="11">+X90*R90</f>
        <v>0</v>
      </c>
      <c r="Z90" s="1121" t="str">
        <f t="shared" ref="Z90:Z96" si="12">IF(R90&lt;0,"Error - negative number","")</f>
        <v/>
      </c>
      <c r="AA90" s="49"/>
      <c r="AB90" s="49"/>
      <c r="AC90" s="49"/>
      <c r="AD90" s="49"/>
    </row>
    <row r="91" spans="1:30" ht="15" customHeight="1" x14ac:dyDescent="0.3">
      <c r="A91" s="320" t="s">
        <v>371</v>
      </c>
      <c r="B91" s="1913"/>
      <c r="C91" s="648" t="s">
        <v>94</v>
      </c>
      <c r="D91" s="1039"/>
      <c r="E91" s="382">
        <f t="shared" si="8"/>
        <v>0.14208000000000001</v>
      </c>
      <c r="F91" s="85">
        <f t="shared" si="9"/>
        <v>0</v>
      </c>
      <c r="G91" s="148"/>
      <c r="H91" s="148"/>
      <c r="I91" s="1952"/>
      <c r="J91" s="1953"/>
      <c r="K91" s="1954"/>
      <c r="L91" s="1056" t="str">
        <f t="shared" si="3"/>
        <v/>
      </c>
      <c r="M91" s="49"/>
      <c r="N91" s="49"/>
      <c r="O91" s="1287" t="s">
        <v>86</v>
      </c>
      <c r="P91" s="1288"/>
      <c r="Q91" s="1232" t="s">
        <v>83</v>
      </c>
      <c r="R91" s="169"/>
      <c r="S91" s="167">
        <f>+'Emission Factors'!K37</f>
        <v>2.3149500000000001</v>
      </c>
      <c r="T91" s="146">
        <f t="shared" si="10"/>
        <v>0</v>
      </c>
      <c r="U91" s="1969"/>
      <c r="V91" s="1970"/>
      <c r="W91" s="1971"/>
      <c r="X91" s="185">
        <f>+'Emission Factors'!K43</f>
        <v>0</v>
      </c>
      <c r="Y91" s="77">
        <f t="shared" si="11"/>
        <v>0</v>
      </c>
      <c r="Z91" s="1056" t="str">
        <f t="shared" si="12"/>
        <v/>
      </c>
      <c r="AA91" s="49"/>
      <c r="AB91" s="49"/>
      <c r="AC91" s="49"/>
      <c r="AD91" s="49"/>
    </row>
    <row r="92" spans="1:30" ht="15" customHeight="1" x14ac:dyDescent="0.3">
      <c r="A92" s="320" t="s">
        <v>371</v>
      </c>
      <c r="B92" s="1913"/>
      <c r="C92" s="648" t="s">
        <v>96</v>
      </c>
      <c r="D92" s="1039"/>
      <c r="E92" s="382">
        <f t="shared" si="8"/>
        <v>0.17061000000000001</v>
      </c>
      <c r="F92" s="85">
        <f t="shared" si="9"/>
        <v>0</v>
      </c>
      <c r="G92" s="148"/>
      <c r="H92" s="148"/>
      <c r="I92" s="1952"/>
      <c r="J92" s="1953"/>
      <c r="K92" s="1954"/>
      <c r="L92" s="1056" t="str">
        <f t="shared" si="3"/>
        <v/>
      </c>
      <c r="M92" s="49"/>
      <c r="N92" s="49"/>
      <c r="O92" s="1287" t="s">
        <v>88</v>
      </c>
      <c r="P92" s="1288"/>
      <c r="Q92" s="1232" t="s">
        <v>83</v>
      </c>
      <c r="R92" s="169"/>
      <c r="S92" s="167">
        <f>+'Emission Factors'!K38</f>
        <v>2.5941100000000001</v>
      </c>
      <c r="T92" s="146">
        <f t="shared" si="10"/>
        <v>0</v>
      </c>
      <c r="U92" s="1969"/>
      <c r="V92" s="1970"/>
      <c r="W92" s="1971"/>
      <c r="X92" s="185">
        <f>+'Emission Factors'!K44</f>
        <v>8.72E-2</v>
      </c>
      <c r="Y92" s="77">
        <f t="shared" si="11"/>
        <v>0</v>
      </c>
      <c r="Z92" s="1056" t="str">
        <f t="shared" si="12"/>
        <v/>
      </c>
      <c r="AA92" s="49"/>
      <c r="AB92" s="49"/>
      <c r="AC92" s="49"/>
      <c r="AD92" s="49"/>
    </row>
    <row r="93" spans="1:30" ht="15" customHeight="1" x14ac:dyDescent="0.3">
      <c r="A93" s="320" t="s">
        <v>371</v>
      </c>
      <c r="B93" s="1913"/>
      <c r="C93" s="648" t="s">
        <v>97</v>
      </c>
      <c r="D93" s="1039"/>
      <c r="E93" s="382">
        <f t="shared" si="8"/>
        <v>0.20946999999999999</v>
      </c>
      <c r="F93" s="85">
        <f t="shared" si="9"/>
        <v>0</v>
      </c>
      <c r="G93" s="148"/>
      <c r="H93" s="148"/>
      <c r="I93" s="1952"/>
      <c r="J93" s="1953"/>
      <c r="K93" s="1954"/>
      <c r="L93" s="1056" t="str">
        <f t="shared" si="3"/>
        <v/>
      </c>
      <c r="M93" s="49"/>
      <c r="N93" s="49"/>
      <c r="O93" s="1287" t="s">
        <v>90</v>
      </c>
      <c r="P93" s="1288"/>
      <c r="Q93" s="1232" t="s">
        <v>83</v>
      </c>
      <c r="R93" s="169"/>
      <c r="S93" s="167">
        <f>+'Emission Factors'!K39</f>
        <v>2.6869700000000001</v>
      </c>
      <c r="T93" s="146">
        <f t="shared" si="10"/>
        <v>0</v>
      </c>
      <c r="U93" s="1969"/>
      <c r="V93" s="1970"/>
      <c r="W93" s="1971"/>
      <c r="X93" s="185">
        <f>+'Emission Factors'!K45</f>
        <v>0</v>
      </c>
      <c r="Y93" s="77">
        <f t="shared" si="11"/>
        <v>0</v>
      </c>
      <c r="Z93" s="1056" t="str">
        <f t="shared" si="12"/>
        <v/>
      </c>
      <c r="AA93" s="49"/>
      <c r="AB93" s="49"/>
      <c r="AC93" s="49"/>
      <c r="AD93" s="49"/>
    </row>
    <row r="94" spans="1:30" ht="15" customHeight="1" x14ac:dyDescent="0.3">
      <c r="A94" s="320" t="s">
        <v>371</v>
      </c>
      <c r="B94" s="1913"/>
      <c r="C94" s="648" t="s">
        <v>98</v>
      </c>
      <c r="D94" s="1039"/>
      <c r="E94" s="382">
        <f t="shared" si="8"/>
        <v>0.17335999999999999</v>
      </c>
      <c r="F94" s="85">
        <f t="shared" si="9"/>
        <v>0</v>
      </c>
      <c r="G94" s="148"/>
      <c r="H94" s="148"/>
      <c r="I94" s="1952"/>
      <c r="J94" s="1953"/>
      <c r="K94" s="1954"/>
      <c r="L94" s="1056" t="str">
        <f t="shared" si="3"/>
        <v/>
      </c>
      <c r="M94" s="49"/>
      <c r="N94" s="49"/>
      <c r="O94" s="1287" t="s">
        <v>92</v>
      </c>
      <c r="P94" s="1288"/>
      <c r="Q94" s="1232" t="s">
        <v>93</v>
      </c>
      <c r="R94" s="169"/>
      <c r="S94" s="167">
        <f>+'Emission Factors'!K40</f>
        <v>2.5420400000000001</v>
      </c>
      <c r="T94" s="146">
        <f t="shared" si="10"/>
        <v>0</v>
      </c>
      <c r="U94" s="1969"/>
      <c r="V94" s="1970"/>
      <c r="W94" s="1971"/>
      <c r="X94" s="185">
        <f>+'Emission Factors'!K46</f>
        <v>0</v>
      </c>
      <c r="Y94" s="77">
        <f t="shared" si="11"/>
        <v>0</v>
      </c>
      <c r="Z94" s="1056" t="str">
        <f t="shared" si="12"/>
        <v/>
      </c>
      <c r="AA94" s="49"/>
      <c r="AB94" s="49"/>
      <c r="AC94" s="49"/>
      <c r="AD94" s="49"/>
    </row>
    <row r="95" spans="1:30" ht="15" customHeight="1" x14ac:dyDescent="0.3">
      <c r="A95" s="320" t="s">
        <v>371</v>
      </c>
      <c r="B95" s="1913"/>
      <c r="C95" s="648" t="s">
        <v>99</v>
      </c>
      <c r="D95" s="1039"/>
      <c r="E95" s="382">
        <f t="shared" si="8"/>
        <v>0.10895000000000001</v>
      </c>
      <c r="F95" s="85">
        <f t="shared" si="9"/>
        <v>0</v>
      </c>
      <c r="G95" s="148"/>
      <c r="H95" s="148"/>
      <c r="I95" s="1952"/>
      <c r="J95" s="1953"/>
      <c r="K95" s="1954"/>
      <c r="L95" s="1056" t="str">
        <f t="shared" si="3"/>
        <v/>
      </c>
      <c r="M95" s="49"/>
      <c r="N95" s="49"/>
      <c r="O95" s="1287" t="s">
        <v>95</v>
      </c>
      <c r="P95" s="1288"/>
      <c r="Q95" s="1232" t="s">
        <v>83</v>
      </c>
      <c r="R95" s="169"/>
      <c r="S95" s="167">
        <f>+'Emission Factors'!K41</f>
        <v>1.5226</v>
      </c>
      <c r="T95" s="146">
        <f t="shared" si="10"/>
        <v>0</v>
      </c>
      <c r="U95" s="1969"/>
      <c r="V95" s="1970"/>
      <c r="W95" s="1971"/>
      <c r="X95" s="185">
        <f>+'Emission Factors'!K47</f>
        <v>0</v>
      </c>
      <c r="Y95" s="77">
        <f t="shared" si="11"/>
        <v>0</v>
      </c>
      <c r="Z95" s="1056" t="str">
        <f t="shared" si="12"/>
        <v/>
      </c>
      <c r="AA95" s="49"/>
      <c r="AB95" s="49"/>
      <c r="AC95" s="49"/>
      <c r="AD95" s="49"/>
    </row>
    <row r="96" spans="1:30" ht="15" customHeight="1" thickBot="1" x14ac:dyDescent="0.35">
      <c r="A96" s="320" t="s">
        <v>371</v>
      </c>
      <c r="B96" s="1913"/>
      <c r="C96" s="648" t="s">
        <v>100</v>
      </c>
      <c r="D96" s="1039"/>
      <c r="E96" s="382">
        <f t="shared" si="8"/>
        <v>0.13177</v>
      </c>
      <c r="F96" s="85">
        <f t="shared" si="9"/>
        <v>0</v>
      </c>
      <c r="G96" s="148"/>
      <c r="H96" s="148"/>
      <c r="I96" s="1952"/>
      <c r="J96" s="1953"/>
      <c r="K96" s="1954"/>
      <c r="L96" s="1056" t="str">
        <f t="shared" si="3"/>
        <v/>
      </c>
      <c r="M96" s="49"/>
      <c r="N96" s="49"/>
      <c r="O96" s="1284" t="s">
        <v>409</v>
      </c>
      <c r="P96" s="1285"/>
      <c r="Q96" s="1286"/>
      <c r="R96" s="170"/>
      <c r="S96" s="1488"/>
      <c r="T96" s="147">
        <f t="shared" si="10"/>
        <v>0</v>
      </c>
      <c r="U96" s="1975"/>
      <c r="V96" s="1976"/>
      <c r="W96" s="1977"/>
      <c r="X96" s="1488"/>
      <c r="Y96" s="80">
        <f t="shared" si="11"/>
        <v>0</v>
      </c>
      <c r="Z96" s="1122" t="str">
        <f t="shared" si="12"/>
        <v/>
      </c>
      <c r="AA96" s="49"/>
      <c r="AB96" s="49"/>
      <c r="AC96" s="49"/>
      <c r="AD96" s="49"/>
    </row>
    <row r="97" spans="1:30" ht="15" customHeight="1" x14ac:dyDescent="0.3">
      <c r="A97" s="320" t="s">
        <v>371</v>
      </c>
      <c r="B97" s="1913"/>
      <c r="C97" s="648" t="s">
        <v>529</v>
      </c>
      <c r="D97" s="1039"/>
      <c r="E97" s="382">
        <f t="shared" si="8"/>
        <v>0.19900999999999999</v>
      </c>
      <c r="F97" s="85">
        <f t="shared" si="9"/>
        <v>0</v>
      </c>
      <c r="G97" s="148"/>
      <c r="H97" s="148"/>
      <c r="I97" s="1952"/>
      <c r="J97" s="1953"/>
      <c r="K97" s="1954"/>
      <c r="L97" s="1056" t="str">
        <f t="shared" si="3"/>
        <v/>
      </c>
      <c r="M97" s="49"/>
      <c r="N97" s="49"/>
      <c r="O97" s="1965" t="s">
        <v>367</v>
      </c>
      <c r="P97" s="1965"/>
      <c r="Q97" s="1965"/>
      <c r="R97" s="1965"/>
      <c r="S97" s="1965"/>
      <c r="T97" s="1965"/>
      <c r="U97" s="1965"/>
      <c r="V97" s="1965"/>
      <c r="W97" s="1965"/>
      <c r="X97" s="49"/>
      <c r="Y97" s="49"/>
      <c r="Z97" s="49"/>
      <c r="AA97" s="49"/>
      <c r="AB97" s="49"/>
      <c r="AC97" s="49"/>
      <c r="AD97" s="49"/>
    </row>
    <row r="98" spans="1:30" ht="15" customHeight="1" x14ac:dyDescent="0.3">
      <c r="A98" s="320" t="s">
        <v>371</v>
      </c>
      <c r="B98" s="1913"/>
      <c r="C98" s="648" t="s">
        <v>102</v>
      </c>
      <c r="D98" s="1039">
        <v>14756354</v>
      </c>
      <c r="E98" s="382">
        <f t="shared" si="8"/>
        <v>0.17710000000000001</v>
      </c>
      <c r="F98" s="85">
        <f t="shared" si="9"/>
        <v>2613.3502934000003</v>
      </c>
      <c r="G98" s="148"/>
      <c r="H98" s="148"/>
      <c r="I98" s="1952" t="s">
        <v>653</v>
      </c>
      <c r="J98" s="1953"/>
      <c r="K98" s="1954"/>
      <c r="L98" s="1056" t="str">
        <f t="shared" si="3"/>
        <v/>
      </c>
      <c r="M98" s="49"/>
      <c r="N98" s="49"/>
      <c r="O98" s="1966"/>
      <c r="P98" s="1966"/>
      <c r="Q98" s="1966"/>
      <c r="R98" s="1966"/>
      <c r="S98" s="1966"/>
      <c r="T98" s="1966"/>
      <c r="U98" s="1966"/>
      <c r="V98" s="1966"/>
      <c r="W98" s="1966"/>
      <c r="X98" s="49"/>
      <c r="Y98" s="49"/>
      <c r="Z98" s="49"/>
      <c r="AA98" s="49"/>
      <c r="AB98" s="49"/>
      <c r="AC98" s="49"/>
      <c r="AD98" s="49"/>
    </row>
    <row r="99" spans="1:30" ht="15" customHeight="1" x14ac:dyDescent="0.3">
      <c r="A99" s="320" t="s">
        <v>371</v>
      </c>
      <c r="B99" s="1913"/>
      <c r="C99" s="648" t="s">
        <v>103</v>
      </c>
      <c r="D99" s="1039"/>
      <c r="E99" s="382">
        <f t="shared" si="8"/>
        <v>8.4449999999999997E-2</v>
      </c>
      <c r="F99" s="85">
        <f t="shared" si="9"/>
        <v>0</v>
      </c>
      <c r="G99" s="148"/>
      <c r="H99" s="148"/>
      <c r="I99" s="1952"/>
      <c r="J99" s="1953"/>
      <c r="K99" s="1954"/>
      <c r="L99" s="1056" t="str">
        <f t="shared" si="3"/>
        <v/>
      </c>
      <c r="M99" s="49"/>
      <c r="N99" s="49"/>
      <c r="O99" s="1966"/>
      <c r="P99" s="1966"/>
      <c r="Q99" s="1966"/>
      <c r="R99" s="1966"/>
      <c r="S99" s="1966"/>
      <c r="T99" s="1966"/>
      <c r="U99" s="1966"/>
      <c r="V99" s="1966"/>
      <c r="W99" s="1966"/>
      <c r="X99" s="49"/>
      <c r="Y99" s="49"/>
      <c r="Z99" s="49"/>
      <c r="AA99" s="49"/>
      <c r="AB99" s="49"/>
      <c r="AC99" s="49"/>
      <c r="AD99" s="49"/>
    </row>
    <row r="100" spans="1:30" ht="15" customHeight="1" x14ac:dyDescent="0.3">
      <c r="A100" s="320" t="s">
        <v>371</v>
      </c>
      <c r="B100" s="1913"/>
      <c r="C100" s="648" t="s">
        <v>104</v>
      </c>
      <c r="D100" s="1039"/>
      <c r="E100" s="382">
        <f t="shared" si="8"/>
        <v>0.10289</v>
      </c>
      <c r="F100" s="85">
        <f t="shared" si="9"/>
        <v>0</v>
      </c>
      <c r="G100" s="148"/>
      <c r="H100" s="148"/>
      <c r="I100" s="1952"/>
      <c r="J100" s="1953"/>
      <c r="K100" s="1954"/>
      <c r="L100" s="1056" t="str">
        <f t="shared" si="3"/>
        <v/>
      </c>
      <c r="M100" s="49"/>
      <c r="N100" s="49"/>
      <c r="O100" s="1966"/>
      <c r="P100" s="1966"/>
      <c r="Q100" s="1966"/>
      <c r="R100" s="1966"/>
      <c r="S100" s="1966"/>
      <c r="T100" s="1966"/>
      <c r="U100" s="1966"/>
      <c r="V100" s="1966"/>
      <c r="W100" s="1966"/>
      <c r="X100" s="49"/>
      <c r="Y100" s="49"/>
      <c r="Z100" s="49"/>
      <c r="AA100" s="49"/>
      <c r="AB100" s="49"/>
      <c r="AC100" s="49"/>
      <c r="AD100" s="49"/>
    </row>
    <row r="101" spans="1:30" ht="15" customHeight="1" x14ac:dyDescent="0.3">
      <c r="A101" s="320" t="s">
        <v>371</v>
      </c>
      <c r="B101" s="1913"/>
      <c r="C101" s="648" t="s">
        <v>105</v>
      </c>
      <c r="D101" s="1039"/>
      <c r="E101" s="382">
        <f t="shared" si="8"/>
        <v>0.13500999999999999</v>
      </c>
      <c r="F101" s="85">
        <f t="shared" si="9"/>
        <v>0</v>
      </c>
      <c r="G101" s="148"/>
      <c r="H101" s="148"/>
      <c r="I101" s="1952"/>
      <c r="J101" s="1953"/>
      <c r="K101" s="1954"/>
      <c r="L101" s="1056" t="str">
        <f t="shared" si="3"/>
        <v/>
      </c>
      <c r="M101" s="49"/>
      <c r="N101" s="49"/>
      <c r="O101" s="49"/>
      <c r="P101" s="49"/>
      <c r="Q101" s="49"/>
      <c r="R101" s="49"/>
      <c r="S101" s="49"/>
      <c r="T101" s="49"/>
      <c r="U101" s="49"/>
      <c r="V101" s="49"/>
      <c r="W101" s="49"/>
      <c r="X101" s="49"/>
      <c r="Y101" s="49"/>
      <c r="Z101" s="49"/>
      <c r="AA101" s="49"/>
      <c r="AB101" s="49"/>
      <c r="AC101" s="49"/>
      <c r="AD101" s="49"/>
    </row>
    <row r="102" spans="1:30" ht="15" customHeight="1" x14ac:dyDescent="0.3">
      <c r="A102" s="320" t="s">
        <v>371</v>
      </c>
      <c r="B102" s="1913"/>
      <c r="C102" s="648" t="s">
        <v>106</v>
      </c>
      <c r="D102" s="1039"/>
      <c r="E102" s="382">
        <f t="shared" si="8"/>
        <v>0.11551</v>
      </c>
      <c r="F102" s="85">
        <f t="shared" si="9"/>
        <v>0</v>
      </c>
      <c r="G102" s="148"/>
      <c r="H102" s="148"/>
      <c r="I102" s="1952"/>
      <c r="J102" s="1953"/>
      <c r="K102" s="1954"/>
      <c r="L102" s="1056" t="str">
        <f t="shared" si="3"/>
        <v/>
      </c>
      <c r="M102" s="49"/>
      <c r="N102" s="49"/>
      <c r="O102" s="49"/>
      <c r="P102" s="49"/>
      <c r="Q102" s="49"/>
      <c r="R102" s="49"/>
      <c r="S102" s="49"/>
      <c r="T102" s="49"/>
      <c r="U102" s="49"/>
      <c r="V102" s="49"/>
      <c r="W102" s="49"/>
      <c r="X102" s="49"/>
      <c r="Y102" s="49"/>
      <c r="Z102" s="49"/>
      <c r="AA102" s="49"/>
      <c r="AB102" s="49"/>
      <c r="AC102" s="49"/>
      <c r="AD102" s="49"/>
    </row>
    <row r="103" spans="1:30" ht="15" customHeight="1" x14ac:dyDescent="0.3">
      <c r="A103" s="320" t="s">
        <v>371</v>
      </c>
      <c r="B103" s="1913"/>
      <c r="C103" s="649" t="s">
        <v>410</v>
      </c>
      <c r="D103" s="1039"/>
      <c r="E103" s="1036"/>
      <c r="F103" s="85">
        <f t="shared" si="9"/>
        <v>0</v>
      </c>
      <c r="G103" s="148"/>
      <c r="H103" s="148"/>
      <c r="I103" s="1952"/>
      <c r="J103" s="1953"/>
      <c r="K103" s="1954"/>
      <c r="L103" s="1056" t="str">
        <f t="shared" si="3"/>
        <v/>
      </c>
      <c r="M103" s="49"/>
      <c r="N103" s="49"/>
      <c r="O103" s="49"/>
      <c r="P103" s="49"/>
      <c r="Q103" s="49"/>
      <c r="R103" s="49"/>
      <c r="S103" s="49"/>
      <c r="T103" s="49"/>
      <c r="U103" s="49"/>
      <c r="V103" s="49"/>
      <c r="W103" s="49"/>
      <c r="X103" s="49"/>
      <c r="Y103" s="49"/>
      <c r="Z103" s="49"/>
      <c r="AA103" s="49"/>
      <c r="AB103" s="49"/>
      <c r="AC103" s="49"/>
      <c r="AD103" s="49"/>
    </row>
    <row r="104" spans="1:30" ht="15" customHeight="1" x14ac:dyDescent="0.3">
      <c r="A104" s="320" t="s">
        <v>371</v>
      </c>
      <c r="B104" s="1913"/>
      <c r="C104" s="649" t="s">
        <v>411</v>
      </c>
      <c r="D104" s="1039"/>
      <c r="E104" s="1036"/>
      <c r="F104" s="85">
        <f t="shared" si="9"/>
        <v>0</v>
      </c>
      <c r="G104" s="148"/>
      <c r="H104" s="148"/>
      <c r="I104" s="1952"/>
      <c r="J104" s="1953"/>
      <c r="K104" s="1954"/>
      <c r="L104" s="1056" t="str">
        <f t="shared" si="3"/>
        <v/>
      </c>
      <c r="M104" s="49"/>
      <c r="N104" s="49"/>
      <c r="O104" s="49"/>
      <c r="P104" s="49"/>
      <c r="Q104" s="49"/>
      <c r="R104" s="49"/>
      <c r="S104" s="49"/>
      <c r="T104" s="49"/>
      <c r="U104" s="49"/>
      <c r="V104" s="49"/>
      <c r="W104" s="49"/>
      <c r="X104" s="49"/>
      <c r="Y104" s="49"/>
      <c r="Z104" s="49"/>
      <c r="AA104" s="49"/>
      <c r="AB104" s="49"/>
      <c r="AC104" s="49"/>
      <c r="AD104" s="49"/>
    </row>
    <row r="105" spans="1:30" ht="15" customHeight="1" x14ac:dyDescent="0.3">
      <c r="A105" s="320" t="s">
        <v>371</v>
      </c>
      <c r="B105" s="1913"/>
      <c r="C105" s="649" t="s">
        <v>412</v>
      </c>
      <c r="D105" s="1039"/>
      <c r="E105" s="1036"/>
      <c r="F105" s="85">
        <f t="shared" si="9"/>
        <v>0</v>
      </c>
      <c r="G105" s="148"/>
      <c r="H105" s="148"/>
      <c r="I105" s="1952"/>
      <c r="J105" s="1953"/>
      <c r="K105" s="1954"/>
      <c r="L105" s="1056" t="str">
        <f t="shared" si="3"/>
        <v/>
      </c>
      <c r="M105" s="49"/>
      <c r="N105" s="49"/>
      <c r="O105" s="49"/>
      <c r="P105" s="49"/>
      <c r="Q105" s="49"/>
      <c r="R105" s="49"/>
      <c r="S105" s="49"/>
      <c r="T105" s="49"/>
      <c r="U105" s="49"/>
      <c r="V105" s="49"/>
      <c r="W105" s="49"/>
      <c r="X105" s="49"/>
      <c r="Y105" s="49"/>
      <c r="Z105" s="49"/>
      <c r="AA105" s="49"/>
      <c r="AB105" s="49"/>
      <c r="AC105" s="49"/>
      <c r="AD105" s="49"/>
    </row>
    <row r="106" spans="1:30" ht="15" customHeight="1" x14ac:dyDescent="0.3">
      <c r="A106" s="320"/>
      <c r="B106" s="1913"/>
      <c r="C106" s="649" t="s">
        <v>509</v>
      </c>
      <c r="D106" s="1039"/>
      <c r="E106" s="1036"/>
      <c r="F106" s="85">
        <f t="shared" si="9"/>
        <v>0</v>
      </c>
      <c r="G106" s="148"/>
      <c r="H106" s="148"/>
      <c r="I106" s="1952"/>
      <c r="J106" s="1953"/>
      <c r="K106" s="1954"/>
      <c r="L106" s="1056" t="str">
        <f t="shared" si="3"/>
        <v/>
      </c>
      <c r="M106" s="49"/>
      <c r="N106" s="49"/>
      <c r="O106" s="49"/>
      <c r="P106" s="49"/>
      <c r="Q106" s="49"/>
      <c r="R106" s="49"/>
      <c r="S106" s="49"/>
      <c r="T106" s="49"/>
      <c r="U106" s="49"/>
      <c r="V106" s="49"/>
      <c r="W106" s="49"/>
      <c r="X106" s="49"/>
      <c r="Y106" s="49"/>
      <c r="Z106" s="49"/>
      <c r="AA106" s="49"/>
      <c r="AB106" s="49"/>
      <c r="AC106" s="49"/>
      <c r="AD106" s="49"/>
    </row>
    <row r="107" spans="1:30" ht="15" customHeight="1" thickBot="1" x14ac:dyDescent="0.35">
      <c r="A107" s="320"/>
      <c r="B107" s="1914"/>
      <c r="C107" s="649" t="s">
        <v>510</v>
      </c>
      <c r="D107" s="1039"/>
      <c r="E107" s="81"/>
      <c r="F107" s="85">
        <f t="shared" si="9"/>
        <v>0</v>
      </c>
      <c r="G107" s="148"/>
      <c r="H107" s="148"/>
      <c r="I107" s="2109"/>
      <c r="J107" s="2110"/>
      <c r="K107" s="2111"/>
      <c r="L107" s="1056" t="str">
        <f t="shared" si="3"/>
        <v/>
      </c>
      <c r="M107" s="49"/>
      <c r="N107" s="49"/>
      <c r="O107" s="49"/>
      <c r="P107" s="49"/>
      <c r="Q107" s="49"/>
      <c r="R107" s="49"/>
      <c r="S107" s="49"/>
      <c r="T107" s="49"/>
      <c r="U107" s="49"/>
      <c r="V107" s="49"/>
      <c r="W107" s="49"/>
      <c r="X107" s="49"/>
      <c r="Y107" s="49"/>
      <c r="Z107" s="49"/>
      <c r="AA107" s="49"/>
      <c r="AB107" s="49"/>
      <c r="AC107" s="49"/>
      <c r="AD107" s="49"/>
    </row>
    <row r="108" spans="1:30" ht="15.75" customHeight="1" thickBot="1" x14ac:dyDescent="0.35">
      <c r="A108" s="320"/>
      <c r="B108" s="1955" t="s">
        <v>112</v>
      </c>
      <c r="C108" s="1956"/>
      <c r="D108" s="44">
        <f>SUM(D109:D121)</f>
        <v>16594546.340000002</v>
      </c>
      <c r="E108" s="379">
        <f>IF(D108&lt;&gt;0,F108*1000/D108,"")</f>
        <v>4.313810696479696E-2</v>
      </c>
      <c r="F108" s="171">
        <f>SUM(F109:F121)</f>
        <v>715.8573150471999</v>
      </c>
      <c r="G108" s="148"/>
      <c r="H108" s="148"/>
      <c r="I108" s="2083"/>
      <c r="J108" s="2084"/>
      <c r="K108" s="2085"/>
      <c r="L108" s="1119" t="str">
        <f t="shared" si="3"/>
        <v/>
      </c>
      <c r="M108" s="49"/>
      <c r="N108" s="49"/>
      <c r="O108" s="49"/>
      <c r="P108" s="49"/>
      <c r="Q108" s="49"/>
      <c r="R108" s="49"/>
      <c r="S108" s="49"/>
      <c r="T108" s="49"/>
      <c r="U108" s="49"/>
      <c r="V108" s="49"/>
      <c r="W108" s="49"/>
      <c r="X108" s="49"/>
      <c r="Y108" s="49"/>
      <c r="Z108" s="49"/>
      <c r="AA108" s="49"/>
      <c r="AB108" s="49"/>
      <c r="AC108" s="49"/>
      <c r="AD108" s="49"/>
    </row>
    <row r="109" spans="1:30" ht="15" customHeight="1" x14ac:dyDescent="0.3">
      <c r="A109" s="320" t="s">
        <v>371</v>
      </c>
      <c r="B109" s="1883" t="s">
        <v>113</v>
      </c>
      <c r="C109" s="46" t="s">
        <v>114</v>
      </c>
      <c r="D109" s="1037">
        <v>355715.16</v>
      </c>
      <c r="E109" s="381">
        <f>+'Emission Factors'!K88</f>
        <v>0.13483000000000001</v>
      </c>
      <c r="F109" s="385">
        <f t="shared" ref="F109:F121" si="13">(D109*E109)/1000</f>
        <v>47.961075022799996</v>
      </c>
      <c r="G109" s="148"/>
      <c r="H109" s="148"/>
      <c r="I109" s="1915" t="s">
        <v>629</v>
      </c>
      <c r="J109" s="1916"/>
      <c r="K109" s="1917"/>
      <c r="L109" s="1120" t="str">
        <f t="shared" si="3"/>
        <v/>
      </c>
      <c r="M109" s="49"/>
      <c r="N109" s="49"/>
      <c r="O109" s="49"/>
      <c r="P109" s="49"/>
      <c r="Q109" s="49"/>
      <c r="R109" s="49"/>
      <c r="S109" s="49"/>
      <c r="T109" s="49"/>
      <c r="U109" s="49"/>
      <c r="V109" s="49"/>
      <c r="W109" s="49"/>
      <c r="X109" s="49"/>
      <c r="Y109" s="49"/>
      <c r="Z109" s="49"/>
      <c r="AA109" s="49"/>
      <c r="AB109" s="49"/>
      <c r="AC109" s="49"/>
      <c r="AD109" s="49"/>
    </row>
    <row r="110" spans="1:30" ht="15" customHeight="1" x14ac:dyDescent="0.3">
      <c r="A110" s="320" t="s">
        <v>371</v>
      </c>
      <c r="B110" s="1884"/>
      <c r="C110" s="648" t="s">
        <v>115</v>
      </c>
      <c r="D110" s="1038">
        <v>16196591.720000001</v>
      </c>
      <c r="E110" s="382">
        <f>+'Emission Factors'!K89</f>
        <v>4.1149999999999999E-2</v>
      </c>
      <c r="F110" s="385">
        <f t="shared" si="13"/>
        <v>666.48974927799998</v>
      </c>
      <c r="G110" s="148"/>
      <c r="H110" s="148"/>
      <c r="I110" s="1952" t="s">
        <v>652</v>
      </c>
      <c r="J110" s="1953"/>
      <c r="K110" s="1954"/>
      <c r="L110" s="1056" t="str">
        <f t="shared" si="3"/>
        <v/>
      </c>
      <c r="M110" s="49"/>
      <c r="N110" s="49"/>
      <c r="O110" s="49"/>
      <c r="P110" s="49"/>
      <c r="Q110" s="49"/>
      <c r="R110" s="49"/>
      <c r="S110" s="49"/>
      <c r="T110" s="49"/>
      <c r="U110" s="49"/>
      <c r="V110" s="49"/>
      <c r="W110" s="49"/>
      <c r="X110" s="49"/>
      <c r="Y110" s="49"/>
      <c r="Z110" s="49"/>
      <c r="AA110" s="49"/>
      <c r="AB110" s="49"/>
      <c r="AC110" s="49"/>
      <c r="AD110" s="49"/>
    </row>
    <row r="111" spans="1:30" ht="15" customHeight="1" x14ac:dyDescent="0.3">
      <c r="A111" s="320" t="s">
        <v>371</v>
      </c>
      <c r="B111" s="1884"/>
      <c r="C111" s="648" t="s">
        <v>116</v>
      </c>
      <c r="D111" s="1038"/>
      <c r="E111" s="382">
        <f>+'Emission Factors'!K90</f>
        <v>3.508E-2</v>
      </c>
      <c r="F111" s="385">
        <f t="shared" si="13"/>
        <v>0</v>
      </c>
      <c r="G111" s="148"/>
      <c r="H111" s="148"/>
      <c r="I111" s="1952"/>
      <c r="J111" s="1953"/>
      <c r="K111" s="1954"/>
      <c r="L111" s="1056" t="str">
        <f t="shared" si="3"/>
        <v/>
      </c>
      <c r="M111" s="49"/>
      <c r="N111" s="49"/>
      <c r="O111" s="49"/>
      <c r="P111" s="49"/>
      <c r="Q111" s="49"/>
      <c r="R111" s="49"/>
      <c r="S111" s="49"/>
      <c r="T111" s="49"/>
      <c r="U111" s="49"/>
      <c r="V111" s="49"/>
      <c r="W111" s="49"/>
      <c r="X111" s="49"/>
      <c r="Y111" s="49"/>
      <c r="Z111" s="49"/>
      <c r="AA111" s="49"/>
      <c r="AB111" s="49"/>
      <c r="AC111" s="49"/>
      <c r="AD111" s="49"/>
    </row>
    <row r="112" spans="1:30" ht="15" customHeight="1" x14ac:dyDescent="0.3">
      <c r="A112" s="320" t="s">
        <v>371</v>
      </c>
      <c r="B112" s="1884"/>
      <c r="C112" s="648" t="s">
        <v>117</v>
      </c>
      <c r="D112" s="1038">
        <v>41369.46</v>
      </c>
      <c r="E112" s="382">
        <f>+'Emission Factors'!K91</f>
        <v>3.0839999999999999E-2</v>
      </c>
      <c r="F112" s="385">
        <f t="shared" si="13"/>
        <v>1.2758341464</v>
      </c>
      <c r="G112" s="148"/>
      <c r="H112" s="148"/>
      <c r="I112" s="1952" t="s">
        <v>652</v>
      </c>
      <c r="J112" s="1953"/>
      <c r="K112" s="1954"/>
      <c r="L112" s="1056" t="str">
        <f t="shared" si="3"/>
        <v/>
      </c>
      <c r="M112" s="49"/>
      <c r="N112" s="49"/>
      <c r="O112" s="49"/>
      <c r="P112" s="49"/>
      <c r="Q112" s="49"/>
      <c r="R112" s="49"/>
      <c r="S112" s="49"/>
      <c r="T112" s="49"/>
      <c r="U112" s="49"/>
      <c r="V112" s="49"/>
      <c r="W112" s="49"/>
      <c r="X112" s="49"/>
      <c r="Y112" s="49"/>
      <c r="Z112" s="49"/>
      <c r="AA112" s="49"/>
      <c r="AB112" s="49"/>
      <c r="AC112" s="49"/>
      <c r="AD112" s="49"/>
    </row>
    <row r="113" spans="1:30" ht="15" customHeight="1" x14ac:dyDescent="0.3">
      <c r="A113" s="320" t="s">
        <v>371</v>
      </c>
      <c r="B113" s="1884"/>
      <c r="C113" s="648" t="s">
        <v>118</v>
      </c>
      <c r="D113" s="1038">
        <v>870</v>
      </c>
      <c r="E113" s="382">
        <f>+'Emission Factors'!K92</f>
        <v>0.15018000000000001</v>
      </c>
      <c r="F113" s="385">
        <f t="shared" si="13"/>
        <v>0.13065659999999998</v>
      </c>
      <c r="G113" s="148"/>
      <c r="H113" s="148"/>
      <c r="I113" s="1952"/>
      <c r="J113" s="1953"/>
      <c r="K113" s="1954"/>
      <c r="L113" s="1056" t="str">
        <f t="shared" si="3"/>
        <v/>
      </c>
      <c r="M113" s="49"/>
      <c r="N113" s="49"/>
      <c r="O113" s="49"/>
      <c r="P113" s="49"/>
      <c r="Q113" s="49"/>
      <c r="R113" s="49"/>
      <c r="S113" s="49"/>
      <c r="T113" s="49"/>
      <c r="U113" s="49"/>
      <c r="V113" s="49"/>
      <c r="W113" s="49"/>
      <c r="X113" s="49"/>
      <c r="Y113" s="49"/>
      <c r="Z113" s="49"/>
      <c r="AA113" s="49"/>
      <c r="AB113" s="49"/>
      <c r="AC113" s="49"/>
      <c r="AD113" s="49"/>
    </row>
    <row r="114" spans="1:30" ht="15" customHeight="1" x14ac:dyDescent="0.3">
      <c r="A114" s="320" t="s">
        <v>371</v>
      </c>
      <c r="B114" s="1884"/>
      <c r="C114" s="648" t="s">
        <v>119</v>
      </c>
      <c r="D114" s="1038"/>
      <c r="E114" s="382">
        <f>+'Emission Factors'!K93</f>
        <v>0.21176</v>
      </c>
      <c r="F114" s="385">
        <f t="shared" si="13"/>
        <v>0</v>
      </c>
      <c r="G114" s="148"/>
      <c r="H114" s="148"/>
      <c r="I114" s="1952"/>
      <c r="J114" s="1953"/>
      <c r="K114" s="1954"/>
      <c r="L114" s="1056" t="str">
        <f t="shared" si="3"/>
        <v/>
      </c>
      <c r="M114" s="49"/>
      <c r="N114" s="49"/>
      <c r="O114" s="49"/>
      <c r="P114" s="49"/>
      <c r="Q114" s="49"/>
      <c r="R114" s="49"/>
      <c r="S114" s="49"/>
      <c r="T114" s="49"/>
      <c r="U114" s="49"/>
      <c r="V114" s="49"/>
      <c r="W114" s="49"/>
      <c r="X114" s="49"/>
      <c r="Y114" s="49"/>
      <c r="Z114" s="49"/>
      <c r="AA114" s="49"/>
      <c r="AB114" s="49"/>
      <c r="AC114" s="49"/>
      <c r="AD114" s="49"/>
    </row>
    <row r="115" spans="1:30" ht="15" customHeight="1" x14ac:dyDescent="0.3">
      <c r="A115" s="320" t="s">
        <v>371</v>
      </c>
      <c r="B115" s="1884"/>
      <c r="C115" s="648" t="s">
        <v>120</v>
      </c>
      <c r="D115" s="1038"/>
      <c r="E115" s="382">
        <f>+'Emission Factors'!K94</f>
        <v>0.12076000000000001</v>
      </c>
      <c r="F115" s="385">
        <f t="shared" si="13"/>
        <v>0</v>
      </c>
      <c r="G115" s="148"/>
      <c r="H115" s="148"/>
      <c r="I115" s="1952"/>
      <c r="J115" s="1953"/>
      <c r="K115" s="1954"/>
      <c r="L115" s="1056" t="str">
        <f t="shared" si="3"/>
        <v/>
      </c>
      <c r="M115" s="49"/>
      <c r="N115" s="49"/>
      <c r="O115" s="49"/>
      <c r="P115" s="49"/>
      <c r="Q115" s="49"/>
      <c r="R115" s="49"/>
      <c r="S115" s="49"/>
      <c r="T115" s="49"/>
      <c r="U115" s="49"/>
      <c r="V115" s="49"/>
      <c r="W115" s="49"/>
      <c r="X115" s="49"/>
      <c r="Y115" s="49"/>
      <c r="Z115" s="49"/>
      <c r="AA115" s="49"/>
      <c r="AB115" s="49"/>
      <c r="AC115" s="49"/>
      <c r="AD115" s="49"/>
    </row>
    <row r="116" spans="1:30" ht="15" customHeight="1" x14ac:dyDescent="0.3">
      <c r="A116" s="320" t="s">
        <v>371</v>
      </c>
      <c r="B116" s="1884"/>
      <c r="C116" s="648" t="s">
        <v>121</v>
      </c>
      <c r="D116" s="1038"/>
      <c r="E116" s="382">
        <f>+'Emission Factors'!K95</f>
        <v>8.208E-2</v>
      </c>
      <c r="F116" s="385">
        <f t="shared" si="13"/>
        <v>0</v>
      </c>
      <c r="G116" s="148"/>
      <c r="H116" s="148"/>
      <c r="I116" s="1952"/>
      <c r="J116" s="1953"/>
      <c r="K116" s="1954"/>
      <c r="L116" s="1056" t="str">
        <f t="shared" si="3"/>
        <v/>
      </c>
      <c r="M116" s="49"/>
      <c r="N116" s="49"/>
      <c r="O116" s="49"/>
      <c r="P116" s="49"/>
      <c r="Q116" s="49"/>
      <c r="R116" s="49"/>
      <c r="S116" s="49"/>
      <c r="T116" s="49"/>
      <c r="U116" s="49"/>
      <c r="V116" s="49"/>
      <c r="W116" s="49"/>
      <c r="X116" s="49"/>
      <c r="Y116" s="49"/>
      <c r="Z116" s="49"/>
      <c r="AA116" s="49"/>
      <c r="AB116" s="49"/>
      <c r="AC116" s="49"/>
      <c r="AD116" s="49"/>
    </row>
    <row r="117" spans="1:30" ht="15" customHeight="1" x14ac:dyDescent="0.3">
      <c r="A117" s="320" t="s">
        <v>371</v>
      </c>
      <c r="B117" s="1884"/>
      <c r="C117" s="648" t="s">
        <v>122</v>
      </c>
      <c r="D117" s="1038"/>
      <c r="E117" s="382">
        <f>+'Emission Factors'!K96</f>
        <v>0.10471</v>
      </c>
      <c r="F117" s="385">
        <f t="shared" si="13"/>
        <v>0</v>
      </c>
      <c r="G117" s="148"/>
      <c r="H117" s="148"/>
      <c r="I117" s="1952"/>
      <c r="J117" s="1953"/>
      <c r="K117" s="1954"/>
      <c r="L117" s="1056" t="str">
        <f t="shared" si="3"/>
        <v/>
      </c>
      <c r="M117" s="49"/>
      <c r="N117" s="49"/>
      <c r="O117" s="49"/>
      <c r="P117" s="49"/>
      <c r="Q117" s="49"/>
      <c r="R117" s="49"/>
      <c r="S117" s="49"/>
      <c r="T117" s="49"/>
      <c r="U117" s="49"/>
      <c r="V117" s="49"/>
      <c r="W117" s="49"/>
      <c r="X117" s="49"/>
      <c r="Y117" s="49"/>
      <c r="Z117" s="49"/>
      <c r="AA117" s="49"/>
      <c r="AB117" s="49"/>
      <c r="AC117" s="49"/>
      <c r="AD117" s="49"/>
    </row>
    <row r="118" spans="1:30" ht="15" customHeight="1" x14ac:dyDescent="0.3">
      <c r="A118" s="320" t="s">
        <v>371</v>
      </c>
      <c r="B118" s="1884"/>
      <c r="C118" s="648" t="s">
        <v>123</v>
      </c>
      <c r="D118" s="1038"/>
      <c r="E118" s="382">
        <f>+'Emission Factors'!K97</f>
        <v>2.7789999999999999E-2</v>
      </c>
      <c r="F118" s="385">
        <f t="shared" si="13"/>
        <v>0</v>
      </c>
      <c r="G118" s="148"/>
      <c r="H118" s="148"/>
      <c r="I118" s="1952"/>
      <c r="J118" s="1953"/>
      <c r="K118" s="1954"/>
      <c r="L118" s="1056" t="str">
        <f t="shared" si="3"/>
        <v/>
      </c>
      <c r="M118" s="49"/>
      <c r="N118" s="49"/>
      <c r="O118" s="49"/>
      <c r="P118" s="49"/>
      <c r="Q118" s="49"/>
      <c r="R118" s="49"/>
      <c r="S118" s="49"/>
      <c r="T118" s="49"/>
      <c r="U118" s="49"/>
      <c r="V118" s="49"/>
      <c r="W118" s="49"/>
      <c r="X118" s="49"/>
      <c r="Y118" s="49"/>
      <c r="Z118" s="49"/>
      <c r="AA118" s="49"/>
      <c r="AB118" s="49"/>
      <c r="AC118" s="49"/>
      <c r="AD118" s="49"/>
    </row>
    <row r="119" spans="1:30" ht="15" customHeight="1" x14ac:dyDescent="0.3">
      <c r="A119" s="320" t="s">
        <v>371</v>
      </c>
      <c r="B119" s="1884"/>
      <c r="C119" s="649" t="s">
        <v>410</v>
      </c>
      <c r="D119" s="1038"/>
      <c r="E119" s="1036"/>
      <c r="F119" s="385">
        <f t="shared" si="13"/>
        <v>0</v>
      </c>
      <c r="G119" s="148"/>
      <c r="H119" s="148"/>
      <c r="I119" s="1952"/>
      <c r="J119" s="1953"/>
      <c r="K119" s="1954"/>
      <c r="L119" s="1056" t="str">
        <f t="shared" si="3"/>
        <v/>
      </c>
      <c r="M119" s="49"/>
      <c r="N119" s="49"/>
      <c r="O119" s="49"/>
      <c r="P119" s="49"/>
      <c r="Q119" s="49"/>
      <c r="R119" s="49"/>
      <c r="S119" s="49"/>
      <c r="T119" s="49"/>
      <c r="U119" s="49"/>
      <c r="V119" s="49"/>
      <c r="W119" s="49"/>
      <c r="X119" s="49"/>
      <c r="Y119" s="49"/>
      <c r="Z119" s="49"/>
      <c r="AA119" s="49"/>
      <c r="AB119" s="49"/>
      <c r="AC119" s="49"/>
      <c r="AD119" s="49"/>
    </row>
    <row r="120" spans="1:30" ht="15" customHeight="1" x14ac:dyDescent="0.3">
      <c r="A120" s="320" t="s">
        <v>371</v>
      </c>
      <c r="B120" s="1884"/>
      <c r="C120" s="649" t="s">
        <v>411</v>
      </c>
      <c r="D120" s="1038"/>
      <c r="E120" s="1036"/>
      <c r="F120" s="385">
        <f t="shared" si="13"/>
        <v>0</v>
      </c>
      <c r="G120" s="148"/>
      <c r="H120" s="148"/>
      <c r="I120" s="1952"/>
      <c r="J120" s="1953"/>
      <c r="K120" s="1954"/>
      <c r="L120" s="1056" t="str">
        <f t="shared" si="3"/>
        <v/>
      </c>
      <c r="M120" s="49"/>
      <c r="N120" s="49"/>
      <c r="O120" s="49"/>
      <c r="P120" s="49"/>
      <c r="Q120" s="49"/>
      <c r="R120" s="49"/>
      <c r="S120" s="49"/>
      <c r="T120" s="49"/>
      <c r="U120" s="49"/>
      <c r="V120" s="49"/>
      <c r="W120" s="49"/>
      <c r="X120" s="49"/>
      <c r="Y120" s="49"/>
      <c r="Z120" s="49"/>
      <c r="AA120" s="49"/>
      <c r="AB120" s="49"/>
      <c r="AC120" s="49"/>
      <c r="AD120" s="49"/>
    </row>
    <row r="121" spans="1:30" ht="15" customHeight="1" thickBot="1" x14ac:dyDescent="0.35">
      <c r="A121" s="320" t="s">
        <v>371</v>
      </c>
      <c r="B121" s="1884"/>
      <c r="C121" s="649" t="s">
        <v>412</v>
      </c>
      <c r="D121" s="1039"/>
      <c r="E121" s="1036"/>
      <c r="F121" s="85">
        <f t="shared" si="13"/>
        <v>0</v>
      </c>
      <c r="G121" s="148"/>
      <c r="H121" s="148"/>
      <c r="I121" s="1952"/>
      <c r="J121" s="1953"/>
      <c r="K121" s="1954"/>
      <c r="L121" s="1056" t="str">
        <f t="shared" si="3"/>
        <v/>
      </c>
      <c r="M121" s="49"/>
      <c r="N121" s="49"/>
      <c r="O121" s="49"/>
      <c r="P121" s="49"/>
      <c r="Q121" s="49"/>
      <c r="R121" s="49"/>
      <c r="S121" s="49"/>
      <c r="T121" s="49"/>
      <c r="U121" s="49"/>
      <c r="V121" s="49"/>
      <c r="W121" s="49"/>
      <c r="X121" s="49"/>
      <c r="Y121" s="49"/>
      <c r="Z121" s="49"/>
      <c r="AA121" s="49"/>
      <c r="AB121" s="49"/>
      <c r="AC121" s="49"/>
      <c r="AD121" s="49"/>
    </row>
    <row r="122" spans="1:30" ht="14.4" thickBot="1" x14ac:dyDescent="0.35">
      <c r="A122" s="320"/>
      <c r="B122" s="656" t="s">
        <v>406</v>
      </c>
      <c r="C122" s="658" t="s">
        <v>405</v>
      </c>
      <c r="D122" s="1049"/>
      <c r="E122" s="389">
        <v>0</v>
      </c>
      <c r="F122" s="389"/>
      <c r="G122" s="1112"/>
      <c r="H122" s="1113"/>
      <c r="I122" s="1996"/>
      <c r="J122" s="1997"/>
      <c r="K122" s="1998"/>
      <c r="L122" s="1119" t="str">
        <f t="shared" si="3"/>
        <v/>
      </c>
      <c r="M122" s="49"/>
      <c r="N122" s="49"/>
      <c r="O122" s="49"/>
      <c r="P122" s="49"/>
      <c r="Q122" s="49"/>
      <c r="R122" s="49"/>
      <c r="S122" s="49"/>
      <c r="T122" s="49"/>
      <c r="U122" s="49"/>
      <c r="V122" s="49"/>
      <c r="W122" s="49"/>
      <c r="X122" s="49"/>
      <c r="Y122" s="49"/>
      <c r="Z122" s="49"/>
      <c r="AA122" s="49"/>
      <c r="AB122" s="49"/>
      <c r="AC122" s="49"/>
      <c r="AD122" s="49"/>
    </row>
    <row r="123" spans="1:30" ht="13.5" customHeight="1" thickBot="1" x14ac:dyDescent="0.35">
      <c r="A123" s="320"/>
      <c r="B123" s="1093" t="s">
        <v>124</v>
      </c>
      <c r="C123" s="387"/>
      <c r="D123" s="654"/>
      <c r="E123" s="481"/>
      <c r="F123" s="1111">
        <f>+F19+F53+F64+T67+F86+T89+F108</f>
        <v>53616.781990404503</v>
      </c>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row>
    <row r="124" spans="1:30" s="589" customFormat="1" ht="15" thickBot="1" x14ac:dyDescent="0.35">
      <c r="A124" s="391"/>
      <c r="B124" s="392" t="s">
        <v>125</v>
      </c>
      <c r="C124" s="393"/>
      <c r="D124" s="393"/>
      <c r="E124" s="393"/>
      <c r="F124" s="393"/>
      <c r="G124" s="393"/>
      <c r="H124" s="394"/>
      <c r="I124" s="395"/>
      <c r="J124" s="396"/>
      <c r="K124" s="396"/>
      <c r="L124" s="396"/>
      <c r="M124" s="396"/>
      <c r="N124" s="396"/>
      <c r="O124" s="396"/>
      <c r="P124" s="396"/>
      <c r="Q124" s="396"/>
      <c r="R124" s="396"/>
      <c r="S124" s="396"/>
      <c r="T124" s="396"/>
      <c r="U124" s="396"/>
      <c r="V124" s="396"/>
      <c r="W124" s="396"/>
      <c r="X124" s="396"/>
      <c r="Y124" s="396"/>
      <c r="Z124" s="396"/>
      <c r="AA124" s="396"/>
      <c r="AB124" s="396"/>
      <c r="AC124" s="396"/>
      <c r="AD124" s="396"/>
    </row>
    <row r="125" spans="1:30" ht="15.75" customHeight="1" thickBot="1" x14ac:dyDescent="0.35">
      <c r="A125" s="320"/>
      <c r="B125" s="397"/>
      <c r="C125" s="398"/>
      <c r="D125" s="1999" t="s">
        <v>23</v>
      </c>
      <c r="E125" s="2000"/>
      <c r="F125" s="2001"/>
      <c r="G125" s="376"/>
      <c r="H125" s="376"/>
      <c r="I125" s="2002" t="s">
        <v>24</v>
      </c>
      <c r="J125" s="2003"/>
      <c r="K125" s="2004"/>
      <c r="L125" s="361" t="s">
        <v>408</v>
      </c>
      <c r="M125" s="1909" t="s">
        <v>461</v>
      </c>
      <c r="N125" s="49"/>
      <c r="O125" s="49"/>
      <c r="P125" s="49"/>
      <c r="Q125" s="49"/>
      <c r="R125" s="49"/>
      <c r="S125" s="49"/>
      <c r="T125" s="49"/>
      <c r="U125" s="49"/>
      <c r="V125" s="49"/>
      <c r="W125" s="49"/>
      <c r="X125" s="49"/>
      <c r="Y125" s="49"/>
      <c r="Z125" s="49"/>
      <c r="AA125" s="49"/>
      <c r="AB125" s="49"/>
      <c r="AC125" s="49"/>
      <c r="AD125" s="49"/>
    </row>
    <row r="126" spans="1:30" ht="15.75" customHeight="1" thickBot="1" x14ac:dyDescent="0.35">
      <c r="A126" s="320"/>
      <c r="B126" s="397"/>
      <c r="C126" s="398"/>
      <c r="D126" s="399" t="s">
        <v>81</v>
      </c>
      <c r="E126" s="400" t="s">
        <v>171</v>
      </c>
      <c r="F126" s="401" t="s">
        <v>174</v>
      </c>
      <c r="G126" s="148"/>
      <c r="H126" s="148"/>
      <c r="I126" s="2005"/>
      <c r="J126" s="2006"/>
      <c r="K126" s="2007"/>
      <c r="L126" s="663" t="s">
        <v>28</v>
      </c>
      <c r="M126" s="1911"/>
      <c r="N126" s="49"/>
      <c r="O126" s="49"/>
      <c r="P126" s="49"/>
      <c r="Q126" s="49"/>
      <c r="R126" s="49"/>
      <c r="S126" s="49"/>
      <c r="T126" s="49"/>
      <c r="U126" s="49"/>
      <c r="V126" s="49"/>
      <c r="W126" s="49"/>
      <c r="X126" s="49"/>
      <c r="Y126" s="49"/>
      <c r="Z126" s="49"/>
      <c r="AA126" s="49"/>
      <c r="AB126" s="49"/>
      <c r="AC126" s="49"/>
      <c r="AD126" s="49"/>
    </row>
    <row r="127" spans="1:30" ht="13.5" customHeight="1" thickBot="1" x14ac:dyDescent="0.35">
      <c r="A127" s="320"/>
      <c r="B127" s="482" t="s">
        <v>126</v>
      </c>
      <c r="C127" s="483"/>
      <c r="D127" s="484">
        <f>SUM(D128:D136)</f>
        <v>922356.92</v>
      </c>
      <c r="E127" s="405"/>
      <c r="F127" s="485">
        <f>SUM(F128:F136)</f>
        <v>179.8215686872</v>
      </c>
      <c r="G127" s="148"/>
      <c r="H127" s="148"/>
      <c r="I127" s="2005"/>
      <c r="J127" s="2006"/>
      <c r="K127" s="2007"/>
      <c r="L127" s="660">
        <f>SUM(L128:L136)</f>
        <v>375.61256744214495</v>
      </c>
      <c r="M127" s="1119" t="str">
        <f>IF(D127&lt;0,"Error - Negative number","")</f>
        <v/>
      </c>
      <c r="N127" s="49"/>
      <c r="O127" s="49"/>
      <c r="P127" s="49"/>
      <c r="Q127" s="49"/>
      <c r="R127" s="49"/>
      <c r="S127" s="49"/>
      <c r="T127" s="49"/>
      <c r="U127" s="49"/>
      <c r="V127" s="49"/>
      <c r="W127" s="49"/>
      <c r="X127" s="49"/>
      <c r="Y127" s="49"/>
      <c r="Z127" s="49"/>
      <c r="AA127" s="49"/>
      <c r="AB127" s="49"/>
      <c r="AC127" s="49"/>
      <c r="AD127" s="49"/>
    </row>
    <row r="128" spans="1:30" ht="15" customHeight="1" x14ac:dyDescent="0.3">
      <c r="A128" s="320" t="s">
        <v>373</v>
      </c>
      <c r="B128" s="407" t="s">
        <v>127</v>
      </c>
      <c r="C128" s="408"/>
      <c r="D128" s="1041"/>
      <c r="E128" s="381">
        <f>+'Emission Factors'!K107</f>
        <v>0.15831999999999999</v>
      </c>
      <c r="F128" s="563">
        <f>(D128*E128)/1000</f>
        <v>0</v>
      </c>
      <c r="G128" s="148"/>
      <c r="H128" s="148"/>
      <c r="I128" s="2141"/>
      <c r="J128" s="2142"/>
      <c r="K128" s="2143"/>
      <c r="L128" s="559">
        <f>+F128*2.09</f>
        <v>0</v>
      </c>
      <c r="M128" s="1120" t="str">
        <f t="shared" ref="M128:M136" si="14">IF(D128&lt;0,"Error - Negative number","")</f>
        <v/>
      </c>
      <c r="N128" s="49"/>
      <c r="O128" s="49"/>
      <c r="P128" s="49"/>
      <c r="Q128" s="49"/>
      <c r="R128" s="49"/>
      <c r="S128" s="49"/>
      <c r="T128" s="49"/>
      <c r="U128" s="49"/>
      <c r="V128" s="49"/>
      <c r="W128" s="49"/>
      <c r="X128" s="49"/>
      <c r="Y128" s="49"/>
      <c r="Z128" s="49"/>
      <c r="AA128" s="49"/>
      <c r="AB128" s="49"/>
      <c r="AC128" s="49"/>
      <c r="AD128" s="49"/>
    </row>
    <row r="129" spans="1:30" ht="15.75" customHeight="1" x14ac:dyDescent="0.3">
      <c r="A129" s="320" t="s">
        <v>373</v>
      </c>
      <c r="B129" s="111" t="s">
        <v>128</v>
      </c>
      <c r="C129" s="112"/>
      <c r="D129" s="1040">
        <v>253366.96</v>
      </c>
      <c r="E129" s="382">
        <f>+'Emission Factors'!K108</f>
        <v>0.15573000000000001</v>
      </c>
      <c r="F129" s="564">
        <f t="shared" ref="F129:F136" si="15">(D129*E129)/1000</f>
        <v>39.456836680800002</v>
      </c>
      <c r="G129" s="148"/>
      <c r="H129" s="148"/>
      <c r="I129" s="2116" t="s">
        <v>630</v>
      </c>
      <c r="J129" s="2117"/>
      <c r="K129" s="2118"/>
      <c r="L129" s="661">
        <f t="shared" ref="L129:L135" si="16">+F129*2.09</f>
        <v>82.464788662871996</v>
      </c>
      <c r="M129" s="1056" t="str">
        <f t="shared" si="14"/>
        <v/>
      </c>
      <c r="N129" s="49"/>
      <c r="O129" s="49"/>
      <c r="P129" s="49"/>
      <c r="Q129" s="49"/>
      <c r="R129" s="49"/>
      <c r="S129" s="49"/>
      <c r="T129" s="49"/>
      <c r="U129" s="49"/>
      <c r="V129" s="49"/>
      <c r="W129" s="49"/>
      <c r="X129" s="49"/>
      <c r="Y129" s="49"/>
      <c r="Z129" s="49"/>
      <c r="AA129" s="49"/>
      <c r="AB129" s="49"/>
      <c r="AC129" s="49"/>
      <c r="AD129" s="49"/>
    </row>
    <row r="130" spans="1:30" ht="15" customHeight="1" x14ac:dyDescent="0.3">
      <c r="A130" s="320" t="s">
        <v>373</v>
      </c>
      <c r="B130" s="111" t="s">
        <v>129</v>
      </c>
      <c r="C130" s="112"/>
      <c r="D130" s="1040">
        <v>958.96</v>
      </c>
      <c r="E130" s="382">
        <f>+'Emission Factors'!K109</f>
        <v>0.2336</v>
      </c>
      <c r="F130" s="564">
        <f t="shared" si="15"/>
        <v>0.22401305600000002</v>
      </c>
      <c r="G130" s="148"/>
      <c r="H130" s="148"/>
      <c r="I130" s="2116" t="s">
        <v>631</v>
      </c>
      <c r="J130" s="2117"/>
      <c r="K130" s="2118"/>
      <c r="L130" s="661">
        <f t="shared" si="16"/>
        <v>0.46818728704000001</v>
      </c>
      <c r="M130" s="1056" t="str">
        <f t="shared" si="14"/>
        <v/>
      </c>
      <c r="N130" s="49"/>
      <c r="O130" s="49"/>
      <c r="P130" s="49"/>
      <c r="Q130" s="49"/>
      <c r="R130" s="49"/>
      <c r="S130" s="49"/>
      <c r="T130" s="49"/>
      <c r="U130" s="49"/>
      <c r="V130" s="49"/>
      <c r="W130" s="49"/>
      <c r="X130" s="49"/>
      <c r="Y130" s="49"/>
      <c r="Z130" s="49"/>
      <c r="AA130" s="49"/>
      <c r="AB130" s="49"/>
      <c r="AC130" s="49"/>
      <c r="AD130" s="49"/>
    </row>
    <row r="131" spans="1:30" ht="15.75" customHeight="1" x14ac:dyDescent="0.3">
      <c r="A131" s="320" t="s">
        <v>373</v>
      </c>
      <c r="B131" s="111" t="s">
        <v>130</v>
      </c>
      <c r="C131" s="112"/>
      <c r="D131" s="1040"/>
      <c r="E131" s="382">
        <f>+'Emission Factors'!K110</f>
        <v>0.19561999999999999</v>
      </c>
      <c r="F131" s="564">
        <f t="shared" si="15"/>
        <v>0</v>
      </c>
      <c r="G131" s="148"/>
      <c r="H131" s="148"/>
      <c r="I131" s="2116"/>
      <c r="J131" s="2117"/>
      <c r="K131" s="2118"/>
      <c r="L131" s="661">
        <f t="shared" si="16"/>
        <v>0</v>
      </c>
      <c r="M131" s="1056" t="str">
        <f t="shared" si="14"/>
        <v/>
      </c>
      <c r="N131" s="49"/>
      <c r="O131" s="49"/>
      <c r="P131" s="49"/>
      <c r="Q131" s="49"/>
      <c r="R131" s="49"/>
      <c r="S131" s="49"/>
      <c r="T131" s="49"/>
      <c r="U131" s="49"/>
      <c r="V131" s="49"/>
      <c r="W131" s="49"/>
      <c r="X131" s="49"/>
      <c r="Y131" s="49"/>
      <c r="Z131" s="49"/>
      <c r="AA131" s="49"/>
      <c r="AB131" s="49"/>
      <c r="AC131" s="49"/>
      <c r="AD131" s="49"/>
    </row>
    <row r="132" spans="1:30" ht="15" customHeight="1" x14ac:dyDescent="0.3">
      <c r="A132" s="320" t="s">
        <v>373</v>
      </c>
      <c r="B132" s="111" t="s">
        <v>131</v>
      </c>
      <c r="C132" s="112"/>
      <c r="D132" s="1040">
        <v>407529.13</v>
      </c>
      <c r="E132" s="382">
        <f>+'Emission Factors'!K111</f>
        <v>0.14981</v>
      </c>
      <c r="F132" s="564">
        <f t="shared" si="15"/>
        <v>61.051938965300003</v>
      </c>
      <c r="G132" s="148"/>
      <c r="H132" s="148"/>
      <c r="I132" s="2116" t="s">
        <v>632</v>
      </c>
      <c r="J132" s="2117"/>
      <c r="K132" s="2118"/>
      <c r="L132" s="661">
        <f t="shared" si="16"/>
        <v>127.598552437477</v>
      </c>
      <c r="M132" s="1056" t="str">
        <f t="shared" si="14"/>
        <v/>
      </c>
      <c r="N132" s="49"/>
      <c r="O132" s="49"/>
      <c r="P132" s="49"/>
      <c r="Q132" s="49"/>
      <c r="R132" s="49"/>
      <c r="S132" s="49"/>
      <c r="T132" s="49"/>
      <c r="U132" s="49"/>
      <c r="V132" s="49"/>
      <c r="W132" s="49"/>
      <c r="X132" s="49"/>
      <c r="Y132" s="49"/>
      <c r="Z132" s="49"/>
      <c r="AA132" s="49"/>
      <c r="AB132" s="49"/>
      <c r="AC132" s="49"/>
      <c r="AD132" s="49"/>
    </row>
    <row r="133" spans="1:30" ht="15.75" customHeight="1" x14ac:dyDescent="0.3">
      <c r="A133" s="320" t="s">
        <v>373</v>
      </c>
      <c r="B133" s="111" t="s">
        <v>132</v>
      </c>
      <c r="C133" s="112"/>
      <c r="D133" s="1040">
        <v>137205.87</v>
      </c>
      <c r="E133" s="382">
        <f>+'Emission Factors'!K112</f>
        <v>0.2397</v>
      </c>
      <c r="F133" s="564">
        <f t="shared" si="15"/>
        <v>32.888247038999999</v>
      </c>
      <c r="G133" s="148"/>
      <c r="H133" s="148"/>
      <c r="I133" s="2116"/>
      <c r="J133" s="2117"/>
      <c r="K133" s="2118"/>
      <c r="L133" s="661">
        <f t="shared" si="16"/>
        <v>68.736436311509991</v>
      </c>
      <c r="M133" s="1056" t="str">
        <f t="shared" si="14"/>
        <v/>
      </c>
      <c r="N133" s="49"/>
      <c r="O133" s="49"/>
      <c r="P133" s="49"/>
      <c r="Q133" s="49"/>
      <c r="R133" s="49"/>
      <c r="S133" s="49"/>
      <c r="T133" s="49"/>
      <c r="U133" s="49"/>
      <c r="V133" s="49"/>
      <c r="W133" s="49"/>
      <c r="X133" s="49"/>
      <c r="Y133" s="49"/>
      <c r="Z133" s="49"/>
      <c r="AA133" s="49"/>
      <c r="AB133" s="49"/>
      <c r="AC133" s="49"/>
      <c r="AD133" s="49"/>
    </row>
    <row r="134" spans="1:30" ht="15" customHeight="1" x14ac:dyDescent="0.3">
      <c r="A134" s="320" t="s">
        <v>373</v>
      </c>
      <c r="B134" s="111" t="s">
        <v>133</v>
      </c>
      <c r="C134" s="112"/>
      <c r="D134" s="1040">
        <v>106103.89</v>
      </c>
      <c r="E134" s="382">
        <f>+'Emission Factors'!K113</f>
        <v>0.43446000000000001</v>
      </c>
      <c r="F134" s="564">
        <f t="shared" si="15"/>
        <v>46.097896049399999</v>
      </c>
      <c r="G134" s="148"/>
      <c r="H134" s="148"/>
      <c r="I134" s="2116"/>
      <c r="J134" s="2117"/>
      <c r="K134" s="2118"/>
      <c r="L134" s="661">
        <f t="shared" si="16"/>
        <v>96.344602743245986</v>
      </c>
      <c r="M134" s="1056" t="str">
        <f t="shared" si="14"/>
        <v/>
      </c>
      <c r="N134" s="49"/>
      <c r="O134" s="49"/>
      <c r="P134" s="49"/>
      <c r="Q134" s="49"/>
      <c r="R134" s="49"/>
      <c r="S134" s="49"/>
      <c r="T134" s="49"/>
      <c r="U134" s="49"/>
      <c r="V134" s="49"/>
      <c r="W134" s="49"/>
      <c r="X134" s="49"/>
      <c r="Y134" s="49"/>
      <c r="Z134" s="49"/>
      <c r="AA134" s="49"/>
      <c r="AB134" s="49"/>
      <c r="AC134" s="49"/>
      <c r="AD134" s="49"/>
    </row>
    <row r="135" spans="1:30" ht="15.75" customHeight="1" thickBot="1" x14ac:dyDescent="0.35">
      <c r="A135" s="320" t="s">
        <v>373</v>
      </c>
      <c r="B135" s="111" t="s">
        <v>134</v>
      </c>
      <c r="C135" s="112"/>
      <c r="D135" s="1040"/>
      <c r="E135" s="382">
        <f>+'Emission Factors'!K114</f>
        <v>0.59924999999999995</v>
      </c>
      <c r="F135" s="564">
        <f>(D135*E135)/1000</f>
        <v>0</v>
      </c>
      <c r="G135" s="148"/>
      <c r="H135" s="148"/>
      <c r="I135" s="2116"/>
      <c r="J135" s="2117"/>
      <c r="K135" s="2118"/>
      <c r="L135" s="662">
        <f t="shared" si="16"/>
        <v>0</v>
      </c>
      <c r="M135" s="1056" t="str">
        <f t="shared" si="14"/>
        <v/>
      </c>
      <c r="N135" s="49"/>
      <c r="O135" s="49"/>
      <c r="P135" s="49"/>
      <c r="Q135" s="49"/>
      <c r="R135" s="49"/>
      <c r="S135" s="49"/>
      <c r="T135" s="49"/>
      <c r="U135" s="49"/>
      <c r="V135" s="49"/>
      <c r="W135" s="49"/>
      <c r="X135" s="49"/>
      <c r="Y135" s="49"/>
      <c r="Z135" s="49"/>
      <c r="AA135" s="49"/>
      <c r="AB135" s="49"/>
      <c r="AC135" s="49"/>
      <c r="AD135" s="49"/>
    </row>
    <row r="136" spans="1:30" ht="15" customHeight="1" thickBot="1" x14ac:dyDescent="0.35">
      <c r="A136" s="320" t="s">
        <v>373</v>
      </c>
      <c r="B136" s="409" t="s">
        <v>135</v>
      </c>
      <c r="C136" s="410"/>
      <c r="D136" s="664">
        <v>17192.11</v>
      </c>
      <c r="E136" s="411">
        <f>+'Emission Factors'!K115</f>
        <v>5.9699999999999996E-3</v>
      </c>
      <c r="F136" s="565">
        <f t="shared" si="15"/>
        <v>0.10263689669999999</v>
      </c>
      <c r="G136" s="173"/>
      <c r="H136" s="173"/>
      <c r="I136" s="2134"/>
      <c r="J136" s="2135"/>
      <c r="K136" s="2136"/>
      <c r="L136" s="49"/>
      <c r="M136" s="1122" t="str">
        <f t="shared" si="14"/>
        <v/>
      </c>
      <c r="N136" s="49"/>
      <c r="O136" s="49"/>
      <c r="P136" s="49"/>
      <c r="Q136" s="49"/>
      <c r="R136" s="49"/>
      <c r="S136" s="49"/>
      <c r="T136" s="49"/>
      <c r="U136" s="49"/>
      <c r="V136" s="49"/>
      <c r="W136" s="49"/>
      <c r="X136" s="49"/>
      <c r="Y136" s="49"/>
      <c r="Z136" s="49"/>
      <c r="AA136" s="49"/>
      <c r="AB136" s="49"/>
      <c r="AC136" s="49"/>
      <c r="AD136" s="49"/>
    </row>
    <row r="137" spans="1:30" ht="15" customHeight="1" x14ac:dyDescent="0.3">
      <c r="A137" s="49"/>
      <c r="B137" s="659" t="s">
        <v>407</v>
      </c>
      <c r="C137" s="650"/>
      <c r="D137" s="412"/>
      <c r="E137" s="413"/>
      <c r="F137" s="414"/>
      <c r="G137" s="414"/>
      <c r="H137" s="414"/>
      <c r="I137" s="415"/>
      <c r="J137" s="415"/>
      <c r="K137" s="415"/>
      <c r="L137" s="345"/>
      <c r="M137" s="420"/>
      <c r="N137" s="49"/>
      <c r="O137" s="49"/>
      <c r="P137" s="49"/>
      <c r="Q137" s="49"/>
      <c r="R137" s="49"/>
      <c r="S137" s="49"/>
      <c r="T137" s="49"/>
      <c r="U137" s="49"/>
      <c r="V137" s="49"/>
      <c r="W137" s="49"/>
      <c r="X137" s="49"/>
      <c r="Y137" s="49"/>
      <c r="Z137" s="49"/>
      <c r="AA137" s="49"/>
      <c r="AB137" s="49"/>
      <c r="AC137" s="49"/>
      <c r="AD137" s="49"/>
    </row>
    <row r="138" spans="1:30" s="594" customFormat="1" ht="23.4" x14ac:dyDescent="0.3">
      <c r="A138" s="1209"/>
      <c r="B138" s="471" t="s">
        <v>136</v>
      </c>
      <c r="C138" s="476"/>
      <c r="D138" s="2090" t="str">
        <f>+$A$1</f>
        <v>Quarter 2 - 2019-2020</v>
      </c>
      <c r="E138" s="2090"/>
      <c r="F138" s="2090"/>
      <c r="G138" s="2090"/>
      <c r="H138" s="2090"/>
      <c r="I138" s="2090"/>
      <c r="J138" s="2090"/>
      <c r="K138" s="477"/>
      <c r="L138" s="477"/>
      <c r="M138" s="477"/>
      <c r="N138" s="477"/>
      <c r="O138" s="477"/>
      <c r="P138" s="477"/>
      <c r="Q138" s="477"/>
      <c r="R138" s="477"/>
      <c r="S138" s="477"/>
      <c r="T138" s="477"/>
      <c r="U138" s="477"/>
      <c r="V138" s="477"/>
      <c r="W138" s="477"/>
      <c r="X138" s="477"/>
      <c r="Y138" s="478"/>
      <c r="Z138" s="478"/>
      <c r="AA138" s="478"/>
      <c r="AB138" s="478"/>
      <c r="AC138" s="478"/>
      <c r="AD138" s="478"/>
    </row>
    <row r="139" spans="1:30" ht="15" customHeight="1" thickBot="1" x14ac:dyDescent="0.35">
      <c r="A139" s="320"/>
      <c r="B139" s="43" t="s">
        <v>137</v>
      </c>
      <c r="C139" s="650"/>
      <c r="D139" s="412"/>
      <c r="E139" s="413"/>
      <c r="F139" s="414"/>
      <c r="G139" s="414"/>
      <c r="H139" s="414"/>
      <c r="I139" s="415"/>
      <c r="J139" s="415"/>
      <c r="K139" s="415"/>
      <c r="L139" s="49"/>
      <c r="M139" s="49"/>
      <c r="N139" s="49"/>
      <c r="O139" s="49"/>
      <c r="P139" s="49"/>
      <c r="Q139" s="49"/>
      <c r="R139" s="49"/>
      <c r="S139" s="49"/>
      <c r="T139" s="49"/>
      <c r="U139" s="49"/>
      <c r="V139" s="49"/>
      <c r="W139" s="49"/>
      <c r="X139" s="49"/>
      <c r="Y139" s="49"/>
      <c r="Z139" s="49"/>
      <c r="AA139" s="49"/>
      <c r="AB139" s="49"/>
      <c r="AC139" s="49"/>
      <c r="AD139" s="49"/>
    </row>
    <row r="140" spans="1:30" ht="30.75" customHeight="1" thickBot="1" x14ac:dyDescent="0.35">
      <c r="A140" s="320"/>
      <c r="B140" s="49"/>
      <c r="C140" s="49"/>
      <c r="D140" s="416"/>
      <c r="E140" s="650"/>
      <c r="F140" s="417" t="s">
        <v>23</v>
      </c>
      <c r="G140" s="418"/>
      <c r="H140" s="419" t="s">
        <v>144</v>
      </c>
      <c r="I140" s="2031" t="s">
        <v>24</v>
      </c>
      <c r="J140" s="2032"/>
      <c r="K140" s="2033"/>
      <c r="L140" s="49"/>
      <c r="M140" s="49"/>
      <c r="N140" s="49"/>
      <c r="O140" s="415"/>
      <c r="P140" s="49"/>
      <c r="Q140" s="49"/>
      <c r="R140" s="49"/>
      <c r="S140" s="49"/>
      <c r="T140" s="49"/>
      <c r="U140" s="49"/>
      <c r="V140" s="49"/>
      <c r="W140" s="49"/>
      <c r="X140" s="49"/>
      <c r="Y140" s="49"/>
      <c r="Z140" s="49"/>
      <c r="AA140" s="49"/>
      <c r="AB140" s="49"/>
      <c r="AC140" s="49"/>
      <c r="AD140" s="49"/>
    </row>
    <row r="141" spans="1:30" ht="15" customHeight="1" thickBot="1" x14ac:dyDescent="0.35">
      <c r="A141" s="320"/>
      <c r="B141" s="49"/>
      <c r="C141" s="49"/>
      <c r="D141" s="43" t="str">
        <f>IF(D33&gt;0,"Please add F7 to relevant to total for relevant scope","")</f>
        <v/>
      </c>
      <c r="E141" s="650"/>
      <c r="F141" s="51" t="s">
        <v>28</v>
      </c>
      <c r="G141" s="418"/>
      <c r="H141" s="433" t="s">
        <v>28</v>
      </c>
      <c r="I141" s="2034"/>
      <c r="J141" s="2035"/>
      <c r="K141" s="2036"/>
      <c r="L141" s="49"/>
      <c r="M141" s="49"/>
      <c r="N141" s="49"/>
      <c r="O141" s="415"/>
      <c r="P141" s="49"/>
      <c r="Q141" s="49"/>
      <c r="R141" s="49"/>
      <c r="S141" s="49"/>
      <c r="T141" s="49"/>
      <c r="U141" s="49"/>
      <c r="V141" s="49"/>
      <c r="W141" s="49"/>
      <c r="X141" s="49"/>
      <c r="Y141" s="49"/>
      <c r="Z141" s="49"/>
      <c r="AA141" s="49"/>
      <c r="AB141" s="49"/>
      <c r="AC141" s="49"/>
      <c r="AD141" s="49"/>
    </row>
    <row r="142" spans="1:30" ht="15" customHeight="1" thickBot="1" x14ac:dyDescent="0.35">
      <c r="A142" s="420"/>
      <c r="B142" s="49"/>
      <c r="C142" s="486"/>
      <c r="D142" s="1855" t="s">
        <v>513</v>
      </c>
      <c r="E142" s="1856"/>
      <c r="F142" s="42">
        <f>F143+F144+F145</f>
        <v>53616.781990404495</v>
      </c>
      <c r="G142" s="418"/>
      <c r="H142" s="651">
        <f>H143+H144+H145</f>
        <v>794.6497385104999</v>
      </c>
      <c r="I142" s="2037"/>
      <c r="J142" s="2038"/>
      <c r="K142" s="2039"/>
      <c r="L142" s="487"/>
      <c r="M142" s="420"/>
      <c r="N142" s="49"/>
      <c r="O142" s="415"/>
      <c r="P142" s="49"/>
      <c r="Q142" s="49"/>
      <c r="R142" s="49"/>
      <c r="S142" s="49"/>
      <c r="T142" s="49"/>
      <c r="U142" s="49"/>
      <c r="V142" s="49"/>
      <c r="W142" s="49"/>
      <c r="X142" s="49"/>
      <c r="Y142" s="49"/>
      <c r="Z142" s="49"/>
      <c r="AA142" s="49"/>
      <c r="AB142" s="49"/>
      <c r="AC142" s="49"/>
      <c r="AD142" s="49"/>
    </row>
    <row r="143" spans="1:30" ht="15" customHeight="1" x14ac:dyDescent="0.3">
      <c r="A143" s="420"/>
      <c r="B143" s="420"/>
      <c r="C143" s="488"/>
      <c r="D143" s="2081" t="s">
        <v>139</v>
      </c>
      <c r="E143" s="2082"/>
      <c r="F143" s="177">
        <f>F24+F25+F26+F27+F28+IF(I33="Scope 1",F33,0)+IF(I34="Scope 1",F34,0)+IF(I35="Scope 1",F35,0)+F36+F37+F38+F39+F40+F41+F42+F43+F44+F45+F46+F47+F53+T67+F64</f>
        <v>22078.154571457293</v>
      </c>
      <c r="G143" s="421"/>
      <c r="H143" s="652">
        <f>H24+H25+H26+H27+H28+IF(I33="Scope 1",H33,0)+IF(I34="Scope 1",H34,0)+IF(I35="Scope 1",H35,0)+H36+H37+H38+H39+H40+H41+H42+H43+H44+H45+H46+H47+H53</f>
        <v>114.26729041050001</v>
      </c>
      <c r="I143" s="2040"/>
      <c r="J143" s="2041"/>
      <c r="K143" s="2042"/>
      <c r="L143" s="420"/>
      <c r="M143" s="420"/>
      <c r="N143" s="49"/>
      <c r="O143" s="415"/>
      <c r="P143" s="49"/>
      <c r="Q143" s="49"/>
      <c r="R143" s="49"/>
      <c r="S143" s="49"/>
      <c r="T143" s="49"/>
      <c r="U143" s="49"/>
      <c r="V143" s="49"/>
      <c r="W143" s="49"/>
      <c r="X143" s="49"/>
      <c r="Y143" s="49"/>
      <c r="Z143" s="49"/>
      <c r="AA143" s="49"/>
      <c r="AB143" s="49"/>
      <c r="AC143" s="49"/>
      <c r="AD143" s="49"/>
    </row>
    <row r="144" spans="1:30" ht="15" customHeight="1" x14ac:dyDescent="0.3">
      <c r="A144" s="420"/>
      <c r="B144" s="420"/>
      <c r="C144" s="489"/>
      <c r="D144" s="2079" t="s">
        <v>140</v>
      </c>
      <c r="E144" s="2080"/>
      <c r="F144" s="177">
        <f>+P20+P21+P22+P23+P29+F30+F31+P32+IF(I33="Scope 2",F33,0)+IF(I34="Scope 2",F34,0)+IF(I35="Scope 2",F35,0)</f>
        <v>26001.903006</v>
      </c>
      <c r="G144" s="422"/>
      <c r="H144" s="652">
        <f>+V20+V21+V22+V23+V29+H30+H31+V32+IF(I33="Scope 2",H33,0)+IF(I34="Scope 2",H34,0)+IF(I35="Scope 2",H35,0)</f>
        <v>627.13939319999997</v>
      </c>
      <c r="I144" s="2043"/>
      <c r="J144" s="2044"/>
      <c r="K144" s="2045"/>
      <c r="L144" s="489"/>
      <c r="M144" s="420"/>
      <c r="N144" s="49"/>
      <c r="O144" s="415"/>
      <c r="P144" s="49"/>
      <c r="Q144" s="49"/>
      <c r="R144" s="49"/>
      <c r="S144" s="49"/>
      <c r="T144" s="49"/>
      <c r="U144" s="49"/>
      <c r="V144" s="49"/>
      <c r="W144" s="49"/>
      <c r="X144" s="49"/>
      <c r="Y144" s="49"/>
      <c r="Z144" s="49"/>
      <c r="AA144" s="49"/>
      <c r="AB144" s="49"/>
      <c r="AC144" s="49"/>
      <c r="AD144" s="49"/>
    </row>
    <row r="145" spans="1:30" ht="15" customHeight="1" thickBot="1" x14ac:dyDescent="0.35">
      <c r="A145" s="420"/>
      <c r="B145" s="420"/>
      <c r="C145" s="489"/>
      <c r="D145" s="2077" t="s">
        <v>141</v>
      </c>
      <c r="E145" s="2078"/>
      <c r="F145" s="178">
        <f>+R20+R21+R22+R23+R29+R32+IF(I33="Scope 3",F33,0)+IF(I34="Scope 3",F34,0)+IF(I35="Scope 3",F35,0)+F86+T89+F108</f>
        <v>5536.7244129472001</v>
      </c>
      <c r="G145" s="423"/>
      <c r="H145" s="180">
        <f>+X20+X21+X22+X23+X29+X32+IF(I33="Scope 3",H33,0)+IF(I34="Scope 3",H34,0)+IF(I35="Scope 3",H35,0)</f>
        <v>53.243054900000004</v>
      </c>
      <c r="I145" s="2138"/>
      <c r="J145" s="2139"/>
      <c r="K145" s="2140"/>
      <c r="L145" s="489"/>
      <c r="M145" s="420"/>
      <c r="N145" s="49"/>
      <c r="O145" s="415"/>
      <c r="P145" s="49"/>
      <c r="Q145" s="49"/>
      <c r="R145" s="49"/>
      <c r="S145" s="49"/>
      <c r="T145" s="49"/>
      <c r="U145" s="49"/>
      <c r="V145" s="49"/>
      <c r="W145" s="49"/>
      <c r="X145" s="49"/>
      <c r="Y145" s="49"/>
      <c r="Z145" s="49"/>
      <c r="AA145" s="49"/>
      <c r="AB145" s="49"/>
      <c r="AC145" s="49"/>
      <c r="AD145" s="49"/>
    </row>
    <row r="146" spans="1:30" ht="15" customHeight="1" thickBot="1" x14ac:dyDescent="0.35">
      <c r="A146" s="420"/>
      <c r="B146" s="420"/>
      <c r="C146" s="345"/>
      <c r="D146" s="2017" t="s">
        <v>172</v>
      </c>
      <c r="E146" s="2018"/>
      <c r="F146" s="179">
        <f>+Y67+Y89+F127</f>
        <v>37220.200368687198</v>
      </c>
      <c r="G146" s="424"/>
      <c r="H146" s="1108"/>
      <c r="I146" s="1095"/>
      <c r="J146" s="1096"/>
      <c r="K146" s="1097"/>
      <c r="L146" s="49"/>
      <c r="M146" s="420"/>
      <c r="N146" s="49"/>
      <c r="O146" s="415"/>
      <c r="P146" s="49"/>
      <c r="Q146" s="49"/>
      <c r="R146" s="49"/>
      <c r="S146" s="49"/>
      <c r="T146" s="49"/>
      <c r="U146" s="49"/>
      <c r="V146" s="49"/>
      <c r="W146" s="49"/>
      <c r="X146" s="49"/>
      <c r="Y146" s="49"/>
      <c r="Z146" s="49"/>
      <c r="AA146" s="49"/>
      <c r="AB146" s="49"/>
      <c r="AC146" s="49"/>
      <c r="AD146" s="49"/>
    </row>
    <row r="147" spans="1:30" ht="27.75" customHeight="1" x14ac:dyDescent="0.3">
      <c r="A147" s="320"/>
      <c r="B147" s="2019" t="s">
        <v>142</v>
      </c>
      <c r="C147" s="2019"/>
      <c r="D147" s="2019"/>
      <c r="E147" s="2019"/>
      <c r="F147" s="2019"/>
      <c r="G147" s="2019"/>
      <c r="H147" s="2019"/>
      <c r="I147" s="2019"/>
      <c r="J147" s="2019"/>
      <c r="K147" s="2019"/>
      <c r="L147" s="2019"/>
      <c r="M147" s="49"/>
      <c r="N147" s="49"/>
      <c r="O147" s="49"/>
      <c r="P147" s="49"/>
      <c r="Q147" s="49"/>
      <c r="R147" s="49"/>
      <c r="S147" s="49"/>
      <c r="T147" s="49"/>
      <c r="U147" s="49"/>
      <c r="V147" s="49"/>
      <c r="W147" s="49"/>
      <c r="X147" s="49"/>
      <c r="Y147" s="49"/>
      <c r="Z147" s="49"/>
      <c r="AA147" s="49"/>
      <c r="AB147" s="49"/>
      <c r="AC147" s="49"/>
      <c r="AD147" s="49"/>
    </row>
    <row r="148" spans="1:30" ht="27.75" customHeight="1" x14ac:dyDescent="0.3">
      <c r="A148" s="320"/>
      <c r="B148" s="1088"/>
      <c r="C148" s="1088"/>
      <c r="D148" s="1088"/>
      <c r="E148" s="1088"/>
      <c r="F148" s="1088"/>
      <c r="G148" s="1088"/>
      <c r="H148" s="1088"/>
      <c r="I148" s="1088"/>
      <c r="J148" s="1088"/>
      <c r="K148" s="1088"/>
      <c r="L148" s="1088"/>
      <c r="M148" s="49"/>
      <c r="N148" s="49"/>
      <c r="O148" s="49"/>
      <c r="P148" s="49"/>
      <c r="Q148" s="49"/>
      <c r="R148" s="49"/>
      <c r="S148" s="49"/>
      <c r="T148" s="49"/>
      <c r="U148" s="49"/>
      <c r="V148" s="49"/>
      <c r="W148" s="49"/>
      <c r="X148" s="49"/>
      <c r="Y148" s="49"/>
      <c r="Z148" s="49"/>
      <c r="AA148" s="49"/>
      <c r="AB148" s="49"/>
      <c r="AC148" s="49"/>
      <c r="AD148" s="49"/>
    </row>
    <row r="149" spans="1:30" s="594" customFormat="1" ht="23.4" x14ac:dyDescent="0.3">
      <c r="A149" s="1209"/>
      <c r="B149" s="471" t="s">
        <v>462</v>
      </c>
      <c r="C149" s="476"/>
      <c r="D149" s="2090" t="str">
        <f>+$A$1</f>
        <v>Quarter 2 - 2019-2020</v>
      </c>
      <c r="E149" s="2090"/>
      <c r="F149" s="2090"/>
      <c r="G149" s="2090"/>
      <c r="H149" s="2090"/>
      <c r="I149" s="2090"/>
      <c r="J149" s="2090"/>
      <c r="K149" s="477"/>
      <c r="L149" s="477"/>
      <c r="M149" s="477"/>
      <c r="N149" s="477"/>
      <c r="O149" s="477"/>
      <c r="P149" s="477"/>
      <c r="Q149" s="477"/>
      <c r="R149" s="477"/>
      <c r="S149" s="477"/>
      <c r="T149" s="477"/>
      <c r="U149" s="477"/>
      <c r="V149" s="477"/>
      <c r="W149" s="477"/>
      <c r="X149" s="477"/>
      <c r="Y149" s="478"/>
      <c r="Z149" s="478"/>
      <c r="AA149" s="478"/>
      <c r="AB149" s="478"/>
      <c r="AC149" s="478"/>
      <c r="AD149" s="478"/>
    </row>
    <row r="150" spans="1:30" ht="15" customHeight="1" x14ac:dyDescent="0.3">
      <c r="A150" s="320"/>
      <c r="B150" s="43" t="s">
        <v>480</v>
      </c>
      <c r="C150" s="650"/>
      <c r="D150" s="412"/>
      <c r="E150" s="413"/>
      <c r="F150" s="414"/>
      <c r="G150" s="414"/>
      <c r="H150" s="414"/>
      <c r="I150" s="415"/>
      <c r="J150" s="415"/>
      <c r="K150" s="415"/>
      <c r="L150" s="49"/>
      <c r="M150" s="49"/>
      <c r="N150" s="49"/>
      <c r="O150" s="49"/>
      <c r="P150" s="49"/>
      <c r="Q150" s="49"/>
      <c r="R150" s="49"/>
      <c r="S150" s="49"/>
      <c r="T150" s="49"/>
      <c r="U150" s="49"/>
      <c r="V150" s="49"/>
      <c r="W150" s="49"/>
      <c r="X150" s="49"/>
      <c r="Y150" s="49"/>
      <c r="Z150" s="49"/>
      <c r="AA150" s="49"/>
      <c r="AB150" s="49"/>
      <c r="AC150" s="49"/>
      <c r="AD150" s="49"/>
    </row>
    <row r="151" spans="1:30" ht="15" customHeight="1" thickBot="1" x14ac:dyDescent="0.35">
      <c r="A151" s="320"/>
      <c r="B151" s="49"/>
      <c r="C151" s="49"/>
      <c r="D151" s="416"/>
      <c r="E151" s="650"/>
      <c r="F151" s="650"/>
      <c r="G151" s="650"/>
      <c r="H151" s="650"/>
      <c r="I151" s="650"/>
      <c r="J151" s="650"/>
      <c r="K151" s="650"/>
      <c r="L151" s="49"/>
      <c r="M151" s="49"/>
      <c r="N151" s="49"/>
      <c r="O151" s="415"/>
      <c r="P151" s="49"/>
      <c r="Q151" s="49"/>
      <c r="R151" s="49"/>
      <c r="S151" s="49"/>
      <c r="T151" s="49"/>
      <c r="U151" s="49"/>
      <c r="V151" s="49"/>
      <c r="W151" s="49"/>
      <c r="X151" s="49"/>
      <c r="Y151" s="49"/>
      <c r="Z151" s="49"/>
      <c r="AA151" s="49"/>
      <c r="AB151" s="49"/>
      <c r="AC151" s="49"/>
      <c r="AD151" s="49"/>
    </row>
    <row r="152" spans="1:30" ht="15" customHeight="1" thickBot="1" x14ac:dyDescent="0.35">
      <c r="A152" s="320"/>
      <c r="B152" s="49"/>
      <c r="C152" s="49"/>
      <c r="D152" s="1860" t="s">
        <v>23</v>
      </c>
      <c r="E152" s="1861"/>
      <c r="F152" s="1862"/>
      <c r="G152" s="1860" t="s">
        <v>24</v>
      </c>
      <c r="H152" s="1861"/>
      <c r="I152" s="1862"/>
      <c r="J152" s="650"/>
      <c r="K152" s="650"/>
      <c r="L152" s="49"/>
      <c r="M152" s="49"/>
      <c r="N152" s="49"/>
      <c r="O152" s="415"/>
      <c r="P152" s="49"/>
      <c r="Q152" s="49"/>
      <c r="R152" s="49"/>
      <c r="S152" s="49"/>
      <c r="T152" s="49"/>
      <c r="U152" s="49"/>
      <c r="V152" s="49"/>
      <c r="W152" s="49"/>
      <c r="X152" s="49"/>
      <c r="Y152" s="49"/>
      <c r="Z152" s="49"/>
      <c r="AA152" s="49"/>
      <c r="AB152" s="49"/>
      <c r="AC152" s="49"/>
      <c r="AD152" s="49"/>
    </row>
    <row r="153" spans="1:30" ht="15" customHeight="1" thickBot="1" x14ac:dyDescent="0.35">
      <c r="A153" s="320"/>
      <c r="B153" s="2020" t="s">
        <v>463</v>
      </c>
      <c r="C153" s="2021"/>
      <c r="D153" s="1957"/>
      <c r="E153" s="1958"/>
      <c r="F153" s="1959"/>
      <c r="G153" s="2025"/>
      <c r="H153" s="2026"/>
      <c r="I153" s="2027"/>
      <c r="J153" s="650"/>
      <c r="K153" s="650"/>
      <c r="L153" s="487"/>
      <c r="M153" s="420"/>
      <c r="N153" s="49"/>
      <c r="O153" s="415"/>
      <c r="P153" s="49"/>
      <c r="Q153" s="49"/>
      <c r="R153" s="49"/>
      <c r="S153" s="49"/>
      <c r="T153" s="49"/>
      <c r="U153" s="49"/>
      <c r="V153" s="49"/>
      <c r="W153" s="49"/>
      <c r="X153" s="49"/>
      <c r="Y153" s="49"/>
      <c r="Z153" s="49"/>
      <c r="AA153" s="49"/>
      <c r="AB153" s="49"/>
      <c r="AC153" s="49"/>
      <c r="AD153" s="49"/>
    </row>
    <row r="154" spans="1:30" ht="15" customHeight="1" thickBot="1" x14ac:dyDescent="0.35">
      <c r="A154" s="320"/>
      <c r="B154" s="2020" t="s">
        <v>464</v>
      </c>
      <c r="C154" s="2021"/>
      <c r="D154" s="60" t="s">
        <v>466</v>
      </c>
      <c r="E154" s="2146"/>
      <c r="F154" s="2147"/>
      <c r="G154" s="2025"/>
      <c r="H154" s="2026"/>
      <c r="I154" s="2027"/>
      <c r="J154" s="650"/>
      <c r="K154" s="650"/>
      <c r="L154" s="420"/>
      <c r="M154" s="420"/>
      <c r="N154" s="49"/>
      <c r="O154" s="415"/>
      <c r="P154" s="49"/>
      <c r="Q154" s="49"/>
      <c r="R154" s="49"/>
      <c r="S154" s="49"/>
      <c r="T154" s="49"/>
      <c r="U154" s="49"/>
      <c r="V154" s="49"/>
      <c r="W154" s="49"/>
      <c r="X154" s="49"/>
      <c r="Y154" s="49"/>
      <c r="Z154" s="49"/>
      <c r="AA154" s="49"/>
      <c r="AB154" s="49"/>
      <c r="AC154" s="49"/>
      <c r="AD154" s="49"/>
    </row>
    <row r="155" spans="1:30" ht="45" customHeight="1" thickBot="1" x14ac:dyDescent="0.35">
      <c r="A155" s="320"/>
      <c r="B155" s="2020" t="s">
        <v>465</v>
      </c>
      <c r="C155" s="2021"/>
      <c r="D155" s="1996"/>
      <c r="E155" s="1997"/>
      <c r="F155" s="1998"/>
      <c r="G155" s="1857"/>
      <c r="H155" s="1858"/>
      <c r="I155" s="1859"/>
      <c r="J155" s="650"/>
      <c r="K155" s="650"/>
      <c r="L155" s="489"/>
      <c r="M155" s="420"/>
      <c r="N155" s="49"/>
      <c r="O155" s="415"/>
      <c r="P155" s="49"/>
      <c r="Q155" s="49"/>
      <c r="R155" s="49"/>
      <c r="S155" s="49"/>
      <c r="T155" s="49"/>
      <c r="U155" s="49"/>
      <c r="V155" s="49"/>
      <c r="W155" s="49"/>
      <c r="X155" s="49"/>
      <c r="Y155" s="49"/>
      <c r="Z155" s="49"/>
      <c r="AA155" s="49"/>
      <c r="AB155" s="49"/>
      <c r="AC155" s="49"/>
      <c r="AD155" s="49"/>
    </row>
    <row r="156" spans="1:30" ht="15" customHeight="1" x14ac:dyDescent="0.3">
      <c r="A156" s="320"/>
      <c r="B156" s="1088"/>
      <c r="C156" s="1088"/>
      <c r="D156" s="1088"/>
      <c r="E156" s="1088"/>
      <c r="F156" s="1088"/>
      <c r="G156" s="1088"/>
      <c r="H156" s="1088"/>
      <c r="I156" s="1088"/>
      <c r="J156" s="1088"/>
      <c r="K156" s="1088"/>
      <c r="L156" s="1088"/>
      <c r="M156" s="49"/>
      <c r="N156" s="49"/>
      <c r="O156" s="49"/>
      <c r="P156" s="49"/>
      <c r="Q156" s="49"/>
      <c r="R156" s="49"/>
      <c r="S156" s="49"/>
      <c r="T156" s="49"/>
      <c r="U156" s="49"/>
      <c r="V156" s="49"/>
      <c r="W156" s="49"/>
      <c r="X156" s="49"/>
      <c r="Y156" s="49"/>
      <c r="Z156" s="49"/>
      <c r="AA156" s="49"/>
      <c r="AB156" s="49"/>
      <c r="AC156" s="49"/>
      <c r="AD156" s="49"/>
    </row>
    <row r="157" spans="1:30" ht="27.75" customHeight="1" x14ac:dyDescent="0.3">
      <c r="A157" s="1209">
        <v>3</v>
      </c>
      <c r="B157" s="471" t="s">
        <v>143</v>
      </c>
      <c r="C157" s="472"/>
      <c r="D157" s="2090" t="str">
        <f>+$A$1</f>
        <v>Quarter 2 - 2019-2020</v>
      </c>
      <c r="E157" s="2090"/>
      <c r="F157" s="2090"/>
      <c r="G157" s="2090"/>
      <c r="H157" s="2090"/>
      <c r="I157" s="2090"/>
      <c r="J157" s="2090"/>
      <c r="K157" s="473"/>
      <c r="L157" s="473"/>
      <c r="M157" s="473"/>
      <c r="N157" s="466"/>
      <c r="O157" s="466"/>
      <c r="P157" s="474"/>
      <c r="Q157" s="474"/>
      <c r="R157" s="466"/>
      <c r="S157" s="466"/>
      <c r="T157" s="466"/>
      <c r="U157" s="466"/>
      <c r="V157" s="466"/>
      <c r="W157" s="466"/>
      <c r="X157" s="466"/>
      <c r="Y157" s="466"/>
      <c r="Z157" s="466"/>
      <c r="AA157" s="466"/>
      <c r="AB157" s="466"/>
      <c r="AC157" s="466"/>
      <c r="AD157" s="466"/>
    </row>
    <row r="158" spans="1:30" x14ac:dyDescent="0.3">
      <c r="A158" s="320"/>
      <c r="B158" s="49"/>
      <c r="C158" s="49"/>
      <c r="D158" s="336"/>
      <c r="E158" s="337"/>
      <c r="F158" s="337"/>
      <c r="G158" s="337"/>
      <c r="H158" s="337"/>
      <c r="I158" s="337"/>
      <c r="J158" s="386"/>
      <c r="K158" s="426"/>
      <c r="L158" s="337"/>
      <c r="M158" s="337"/>
      <c r="N158" s="49"/>
      <c r="O158" s="49"/>
      <c r="P158" s="49"/>
      <c r="Q158" s="49"/>
      <c r="R158" s="49"/>
      <c r="S158" s="49"/>
      <c r="T158" s="49"/>
      <c r="U158" s="49"/>
      <c r="V158" s="49"/>
      <c r="W158" s="49"/>
      <c r="X158" s="49"/>
      <c r="Y158" s="49"/>
      <c r="Z158" s="49"/>
      <c r="AA158" s="49"/>
      <c r="AB158" s="49"/>
      <c r="AC158" s="49"/>
      <c r="AD158" s="49"/>
    </row>
    <row r="159" spans="1:30" x14ac:dyDescent="0.3">
      <c r="A159" s="320"/>
      <c r="B159" s="49"/>
      <c r="C159" s="49"/>
      <c r="D159" s="336"/>
      <c r="E159" s="415"/>
      <c r="F159" s="415"/>
      <c r="G159" s="415"/>
      <c r="H159" s="415"/>
      <c r="I159" s="415"/>
      <c r="J159" s="415"/>
      <c r="K159" s="415"/>
      <c r="L159" s="337"/>
      <c r="M159" s="337"/>
      <c r="N159" s="49"/>
      <c r="O159" s="49"/>
      <c r="P159" s="49"/>
      <c r="Q159" s="49"/>
      <c r="R159" s="49"/>
      <c r="S159" s="49"/>
      <c r="T159" s="49"/>
      <c r="U159" s="49"/>
      <c r="V159" s="49"/>
      <c r="W159" s="49"/>
      <c r="X159" s="49"/>
      <c r="Y159" s="49"/>
      <c r="Z159" s="49"/>
      <c r="AA159" s="49"/>
      <c r="AB159" s="49"/>
      <c r="AC159" s="49"/>
      <c r="AD159" s="49"/>
    </row>
    <row r="160" spans="1:30" ht="18.75" customHeight="1" x14ac:dyDescent="0.3">
      <c r="A160" s="320"/>
      <c r="B160" s="43"/>
      <c r="C160" s="30"/>
      <c r="D160" s="43"/>
      <c r="E160" s="415"/>
      <c r="F160" s="415"/>
      <c r="G160" s="415"/>
      <c r="H160" s="415"/>
      <c r="I160" s="415"/>
      <c r="J160" s="415"/>
      <c r="K160" s="415"/>
      <c r="L160" s="415"/>
      <c r="M160" s="415"/>
      <c r="N160" s="415"/>
      <c r="O160" s="415"/>
      <c r="P160" s="415"/>
      <c r="Q160" s="415"/>
      <c r="R160" s="415"/>
      <c r="S160" s="415"/>
      <c r="T160" s="415"/>
      <c r="U160" s="415"/>
      <c r="V160" s="415"/>
      <c r="W160" s="415"/>
      <c r="X160" s="415"/>
      <c r="Y160" s="415"/>
      <c r="Z160" s="415"/>
      <c r="AA160" s="415"/>
      <c r="AB160" s="415"/>
      <c r="AC160" s="415"/>
      <c r="AD160" s="415"/>
    </row>
    <row r="161" spans="1:30" ht="15.75" customHeight="1" thickBot="1" x14ac:dyDescent="0.35">
      <c r="A161" s="320"/>
      <c r="B161" s="49"/>
      <c r="C161" s="49"/>
      <c r="D161" s="43"/>
      <c r="E161" s="49"/>
      <c r="F161" s="336"/>
      <c r="G161" s="336"/>
      <c r="H161" s="336"/>
      <c r="I161" s="415"/>
      <c r="J161" s="415"/>
      <c r="K161" s="415"/>
      <c r="L161" s="415"/>
      <c r="M161" s="415"/>
      <c r="N161" s="415"/>
      <c r="O161" s="415"/>
      <c r="P161" s="415"/>
      <c r="Q161" s="415"/>
      <c r="R161" s="415"/>
      <c r="S161" s="415"/>
      <c r="T161" s="415"/>
      <c r="U161" s="415"/>
      <c r="V161" s="415"/>
      <c r="W161" s="415"/>
      <c r="X161" s="415"/>
      <c r="Y161" s="415"/>
      <c r="Z161" s="415"/>
      <c r="AA161" s="415"/>
      <c r="AB161" s="415"/>
      <c r="AC161" s="415"/>
      <c r="AD161" s="415"/>
    </row>
    <row r="162" spans="1:30" ht="15.75" customHeight="1" thickBot="1" x14ac:dyDescent="0.35">
      <c r="A162" s="320"/>
      <c r="B162" s="49"/>
      <c r="C162" s="43"/>
      <c r="D162" s="428" t="s">
        <v>23</v>
      </c>
      <c r="E162" s="2046" t="s">
        <v>144</v>
      </c>
      <c r="F162" s="2047"/>
      <c r="G162" s="2047"/>
      <c r="H162" s="2048"/>
      <c r="I162" s="1849" t="s">
        <v>24</v>
      </c>
      <c r="J162" s="1850"/>
      <c r="K162" s="1851"/>
      <c r="L162" s="1909" t="s">
        <v>461</v>
      </c>
      <c r="M162" s="415"/>
      <c r="N162" s="415"/>
      <c r="O162" s="415"/>
      <c r="P162" s="415"/>
      <c r="Q162" s="415"/>
      <c r="R162" s="415"/>
      <c r="S162" s="415"/>
      <c r="T162" s="415"/>
      <c r="U162" s="415"/>
      <c r="V162" s="415"/>
      <c r="W162" s="415"/>
      <c r="X162" s="415"/>
      <c r="Y162" s="415"/>
      <c r="Z162" s="415"/>
      <c r="AA162" s="415"/>
      <c r="AB162" s="415"/>
      <c r="AC162" s="415"/>
      <c r="AD162" s="415"/>
    </row>
    <row r="163" spans="1:30" ht="39.75" customHeight="1" thickBot="1" x14ac:dyDescent="0.35">
      <c r="A163" s="320"/>
      <c r="B163" s="359"/>
      <c r="C163" s="49"/>
      <c r="D163" s="490" t="s">
        <v>145</v>
      </c>
      <c r="E163" s="432" t="s">
        <v>173</v>
      </c>
      <c r="F163" s="432" t="s">
        <v>376</v>
      </c>
      <c r="G163" s="433" t="s">
        <v>145</v>
      </c>
      <c r="H163" s="432" t="s">
        <v>469</v>
      </c>
      <c r="I163" s="1852"/>
      <c r="J163" s="1853"/>
      <c r="K163" s="1854"/>
      <c r="L163" s="1911"/>
      <c r="M163" s="415"/>
      <c r="N163" s="415"/>
      <c r="O163" s="415"/>
      <c r="P163" s="415"/>
      <c r="Q163" s="415"/>
      <c r="R163" s="415"/>
      <c r="S163" s="415"/>
      <c r="T163" s="415"/>
      <c r="U163" s="415"/>
      <c r="V163" s="415"/>
      <c r="W163" s="415"/>
      <c r="X163" s="415"/>
      <c r="Y163" s="415"/>
      <c r="Z163" s="415"/>
      <c r="AA163" s="415"/>
      <c r="AB163" s="415"/>
      <c r="AC163" s="415"/>
      <c r="AD163" s="415"/>
    </row>
    <row r="164" spans="1:30" ht="15.75" customHeight="1" thickBot="1" x14ac:dyDescent="0.35">
      <c r="A164" s="320"/>
      <c r="B164" s="1855" t="s">
        <v>146</v>
      </c>
      <c r="C164" s="1856"/>
      <c r="D164" s="1042">
        <v>2259986.9982851301</v>
      </c>
      <c r="E164" s="1042">
        <v>3304</v>
      </c>
      <c r="F164" s="1043">
        <v>4777.67864106451</v>
      </c>
      <c r="G164" s="491">
        <f>IF(Performance!$L$2="Y",D164,F164)</f>
        <v>4777.67864106451</v>
      </c>
      <c r="H164" s="562">
        <f>IF(AND(E164&lt;&gt;0,E164&lt;&gt;""),G164/E164,"")</f>
        <v>1.4460286443899848</v>
      </c>
      <c r="I164" s="1857"/>
      <c r="J164" s="1858"/>
      <c r="K164" s="1859"/>
      <c r="L164" s="1119" t="str">
        <f>IF(OR(D164&lt;0,E164&lt;0,F164&lt;0),"Error - negative number",IF(F164&gt;D164,"Offices only &gt; Total Estate",IF(AND(H164&lt;'QA config'!D2,H164&lt;&gt;""),CONCATENATE("&lt; ",'QA config'!D2," m3/FTE"),IF(AND(H164&gt;'QA config'!C2,H164&lt;&gt;""),CONCATENATE("&gt; ",'QA config'!C2," m3/FTE"),""))))</f>
        <v/>
      </c>
      <c r="M164" s="415"/>
      <c r="N164" s="415"/>
      <c r="O164" s="415"/>
      <c r="P164" s="415"/>
      <c r="Q164" s="415"/>
      <c r="R164" s="415"/>
      <c r="S164" s="415"/>
      <c r="T164" s="415"/>
      <c r="U164" s="415"/>
      <c r="V164" s="415"/>
      <c r="W164" s="415"/>
      <c r="X164" s="415"/>
      <c r="Y164" s="415"/>
      <c r="Z164" s="415"/>
      <c r="AA164" s="415"/>
      <c r="AB164" s="415"/>
      <c r="AC164" s="415"/>
      <c r="AD164" s="415"/>
    </row>
    <row r="165" spans="1:30" ht="13.5" customHeight="1" x14ac:dyDescent="0.3">
      <c r="A165" s="320"/>
      <c r="B165" s="49" t="s">
        <v>175</v>
      </c>
      <c r="C165" s="49"/>
      <c r="D165" s="49"/>
      <c r="E165" s="49"/>
      <c r="F165" s="49"/>
      <c r="G165" s="49"/>
      <c r="H165" s="49"/>
      <c r="I165" s="415"/>
      <c r="J165" s="415"/>
      <c r="K165" s="415"/>
      <c r="L165" s="415"/>
      <c r="M165" s="415"/>
      <c r="N165" s="415"/>
      <c r="O165" s="415"/>
      <c r="P165" s="415"/>
      <c r="Q165" s="415"/>
      <c r="R165" s="415"/>
      <c r="S165" s="415"/>
      <c r="T165" s="415"/>
      <c r="U165" s="415"/>
      <c r="V165" s="415"/>
      <c r="W165" s="415"/>
      <c r="X165" s="415"/>
      <c r="Y165" s="415"/>
      <c r="Z165" s="415"/>
      <c r="AA165" s="415"/>
      <c r="AB165" s="415"/>
      <c r="AC165" s="415"/>
      <c r="AD165" s="415"/>
    </row>
    <row r="166" spans="1:30" x14ac:dyDescent="0.3">
      <c r="A166" s="320"/>
      <c r="B166" s="49"/>
      <c r="C166" s="49"/>
      <c r="D166" s="360"/>
      <c r="E166" s="337"/>
      <c r="F166" s="337"/>
      <c r="G166" s="337"/>
      <c r="H166" s="337"/>
      <c r="I166" s="337"/>
      <c r="J166" s="415"/>
      <c r="K166" s="415"/>
      <c r="L166" s="337"/>
      <c r="M166" s="337"/>
      <c r="N166" s="437"/>
      <c r="O166" s="337"/>
      <c r="P166" s="49"/>
      <c r="Q166" s="49"/>
      <c r="R166" s="320"/>
      <c r="S166" s="49"/>
      <c r="T166" s="49"/>
      <c r="U166" s="49"/>
      <c r="V166" s="49"/>
      <c r="W166" s="49"/>
      <c r="X166" s="49"/>
      <c r="Y166" s="49"/>
      <c r="Z166" s="49"/>
      <c r="AA166" s="49"/>
      <c r="AB166" s="49"/>
      <c r="AC166" s="49"/>
      <c r="AD166" s="49"/>
    </row>
    <row r="167" spans="1:30" ht="27.75" customHeight="1" x14ac:dyDescent="0.3">
      <c r="A167" s="1209">
        <v>4</v>
      </c>
      <c r="B167" s="471" t="s">
        <v>147</v>
      </c>
      <c r="C167" s="472"/>
      <c r="D167" s="2090" t="str">
        <f>+$A$1</f>
        <v>Quarter 2 - 2019-2020</v>
      </c>
      <c r="E167" s="2090"/>
      <c r="F167" s="2090"/>
      <c r="G167" s="2090"/>
      <c r="H167" s="2090"/>
      <c r="I167" s="2090"/>
      <c r="J167" s="2090"/>
      <c r="K167" s="473"/>
      <c r="L167" s="473"/>
      <c r="M167" s="466"/>
      <c r="N167" s="466"/>
      <c r="O167" s="466"/>
      <c r="P167" s="474"/>
      <c r="Q167" s="466"/>
      <c r="R167" s="466"/>
      <c r="S167" s="466"/>
      <c r="T167" s="466"/>
      <c r="U167" s="466"/>
      <c r="V167" s="466"/>
      <c r="W167" s="466"/>
      <c r="X167" s="466"/>
      <c r="Y167" s="466"/>
      <c r="Z167" s="466"/>
      <c r="AA167" s="466"/>
      <c r="AB167" s="466"/>
      <c r="AC167" s="466"/>
      <c r="AD167" s="466"/>
    </row>
    <row r="168" spans="1:30" ht="15.75" customHeight="1" thickBot="1" x14ac:dyDescent="0.35">
      <c r="A168" s="320"/>
      <c r="B168" s="49"/>
      <c r="C168" s="49"/>
      <c r="D168" s="336"/>
      <c r="E168" s="336"/>
      <c r="F168" s="336"/>
      <c r="G168" s="336"/>
      <c r="H168" s="336"/>
      <c r="I168" s="336"/>
      <c r="J168" s="336"/>
      <c r="K168" s="336"/>
      <c r="L168" s="49"/>
      <c r="M168" s="49"/>
      <c r="N168" s="49"/>
      <c r="O168" s="49"/>
      <c r="P168" s="49"/>
      <c r="Q168" s="49"/>
      <c r="R168" s="49"/>
      <c r="S168" s="49"/>
      <c r="T168" s="49"/>
      <c r="U168" s="49"/>
      <c r="V168" s="49"/>
      <c r="W168" s="49"/>
      <c r="X168" s="49"/>
      <c r="Y168" s="49"/>
      <c r="Z168" s="49"/>
      <c r="AA168" s="49"/>
      <c r="AB168" s="49"/>
      <c r="AC168" s="49"/>
      <c r="AD168" s="49"/>
    </row>
    <row r="169" spans="1:30" ht="13.5" customHeight="1" thickBot="1" x14ac:dyDescent="0.35">
      <c r="A169" s="320"/>
      <c r="B169" s="49"/>
      <c r="C169" s="43"/>
      <c r="D169" s="337"/>
      <c r="E169" s="2060" t="s">
        <v>23</v>
      </c>
      <c r="F169" s="2061"/>
      <c r="G169" s="2062" t="s">
        <v>144</v>
      </c>
      <c r="H169" s="2137"/>
      <c r="I169" s="1849" t="s">
        <v>24</v>
      </c>
      <c r="J169" s="1850"/>
      <c r="K169" s="1851"/>
      <c r="L169" s="1909" t="s">
        <v>461</v>
      </c>
      <c r="M169" s="49"/>
      <c r="N169" s="49"/>
      <c r="O169" s="49"/>
      <c r="P169" s="49"/>
      <c r="Q169" s="49"/>
      <c r="R169" s="49"/>
      <c r="S169" s="49"/>
      <c r="T169" s="49"/>
      <c r="U169" s="49"/>
      <c r="V169" s="49"/>
      <c r="W169" s="49"/>
      <c r="X169" s="49"/>
      <c r="Y169" s="49"/>
      <c r="Z169" s="49"/>
      <c r="AA169" s="49"/>
      <c r="AB169" s="49"/>
      <c r="AC169" s="49"/>
      <c r="AD169" s="49"/>
    </row>
    <row r="170" spans="1:30" ht="16.5" customHeight="1" thickBot="1" x14ac:dyDescent="0.35">
      <c r="A170" s="320"/>
      <c r="B170" s="49"/>
      <c r="C170" s="359"/>
      <c r="D170" s="49"/>
      <c r="E170" s="438" t="s">
        <v>148</v>
      </c>
      <c r="F170" s="439" t="s">
        <v>149</v>
      </c>
      <c r="G170" s="433" t="s">
        <v>148</v>
      </c>
      <c r="H170" s="433" t="s">
        <v>149</v>
      </c>
      <c r="I170" s="1852"/>
      <c r="J170" s="1853"/>
      <c r="K170" s="1854"/>
      <c r="L170" s="1911"/>
      <c r="M170" s="49"/>
      <c r="N170" s="49"/>
      <c r="O170" s="49"/>
      <c r="P170" s="49"/>
      <c r="Q170" s="49"/>
      <c r="R170" s="49"/>
      <c r="S170" s="49"/>
      <c r="T170" s="49"/>
      <c r="U170" s="49"/>
      <c r="V170" s="49"/>
      <c r="W170" s="49"/>
      <c r="X170" s="49"/>
      <c r="Y170" s="49"/>
      <c r="Z170" s="49"/>
      <c r="AA170" s="49"/>
      <c r="AB170" s="49"/>
      <c r="AC170" s="49"/>
      <c r="AD170" s="49"/>
    </row>
    <row r="171" spans="1:30" ht="15.75" customHeight="1" x14ac:dyDescent="0.3">
      <c r="A171" s="320"/>
      <c r="B171" s="1291" t="s">
        <v>150</v>
      </c>
      <c r="C171" s="1310"/>
      <c r="D171" s="1300"/>
      <c r="E171" s="1046">
        <v>9584.11</v>
      </c>
      <c r="F171" s="440">
        <f>IF($E$184&gt;0,E171/$E$184,"")</f>
        <v>0.74107171162867658</v>
      </c>
      <c r="G171" s="1048">
        <v>143.43</v>
      </c>
      <c r="H171" s="442">
        <f>IF($G$184&gt;0,G171/$G$184,"")</f>
        <v>0.91159272912164746</v>
      </c>
      <c r="I171" s="2025"/>
      <c r="J171" s="2026"/>
      <c r="K171" s="2027"/>
      <c r="L171" s="1121" t="str">
        <f>IF(OR(E171&lt;0,G171&lt;0),"Error - negative number",IF(G171&gt;E171,"Offices only &gt; Total Estate",""))</f>
        <v/>
      </c>
      <c r="M171" s="49"/>
      <c r="N171" s="49"/>
      <c r="O171" s="49"/>
      <c r="P171" s="49"/>
      <c r="Q171" s="49"/>
      <c r="R171" s="49"/>
      <c r="S171" s="49"/>
      <c r="T171" s="49"/>
      <c r="U171" s="49"/>
      <c r="V171" s="49"/>
      <c r="W171" s="49"/>
      <c r="X171" s="49"/>
      <c r="Y171" s="49"/>
      <c r="Z171" s="49"/>
      <c r="AA171" s="49"/>
      <c r="AB171" s="49"/>
      <c r="AC171" s="49"/>
      <c r="AD171" s="49"/>
    </row>
    <row r="172" spans="1:30" ht="15.75" customHeight="1" x14ac:dyDescent="0.3">
      <c r="A172" s="320"/>
      <c r="B172" s="1292" t="s">
        <v>365</v>
      </c>
      <c r="C172" s="1311"/>
      <c r="D172" s="1301"/>
      <c r="E172" s="1046">
        <v>155.63999999999999</v>
      </c>
      <c r="F172" s="443"/>
      <c r="G172" s="1048"/>
      <c r="H172" s="444"/>
      <c r="I172" s="2098" t="s">
        <v>654</v>
      </c>
      <c r="J172" s="2099"/>
      <c r="K172" s="2100"/>
      <c r="L172" s="1056" t="str">
        <f t="shared" ref="L172:L185" si="17">IF(OR(E172&lt;0,G172&lt;0),"Error - negative number",IF(G172&gt;E172,"Offices only &gt; Total Estate",""))</f>
        <v/>
      </c>
      <c r="M172" s="49"/>
      <c r="N172" s="49"/>
      <c r="O172" s="49"/>
      <c r="P172" s="49"/>
      <c r="Q172" s="49"/>
      <c r="R172" s="49"/>
      <c r="S172" s="49"/>
      <c r="T172" s="49"/>
      <c r="U172" s="49"/>
      <c r="V172" s="49"/>
      <c r="W172" s="49"/>
      <c r="X172" s="49"/>
      <c r="Y172" s="49"/>
      <c r="Z172" s="49"/>
      <c r="AA172" s="49"/>
      <c r="AB172" s="49"/>
      <c r="AC172" s="49"/>
      <c r="AD172" s="49"/>
    </row>
    <row r="173" spans="1:30" ht="15.75" customHeight="1" x14ac:dyDescent="0.3">
      <c r="A173" s="320"/>
      <c r="B173" s="1293" t="s">
        <v>151</v>
      </c>
      <c r="C173" s="1312"/>
      <c r="D173" s="1302"/>
      <c r="E173" s="1046">
        <v>1.03</v>
      </c>
      <c r="F173" s="445">
        <f>IF($E$184&gt;0,E173/$E$184,"")</f>
        <v>7.9642644228575929E-5</v>
      </c>
      <c r="G173" s="1048">
        <v>0.01</v>
      </c>
      <c r="H173" s="446">
        <f>IF($G$184&gt;0,G173/$G$184,"")</f>
        <v>6.3556628956400158E-5</v>
      </c>
      <c r="I173" s="2098" t="s">
        <v>633</v>
      </c>
      <c r="J173" s="2099"/>
      <c r="K173" s="2100"/>
      <c r="L173" s="1056" t="str">
        <f t="shared" si="17"/>
        <v/>
      </c>
      <c r="M173" s="49"/>
      <c r="N173" s="49"/>
      <c r="O173" s="49"/>
      <c r="P173" s="49"/>
      <c r="Q173" s="49"/>
      <c r="R173" s="49"/>
      <c r="S173" s="49"/>
      <c r="T173" s="49"/>
      <c r="U173" s="49"/>
      <c r="V173" s="49"/>
      <c r="W173" s="49"/>
      <c r="X173" s="49"/>
      <c r="Y173" s="49"/>
      <c r="Z173" s="49"/>
      <c r="AA173" s="49"/>
      <c r="AB173" s="49"/>
      <c r="AC173" s="49"/>
      <c r="AD173" s="49"/>
    </row>
    <row r="174" spans="1:30" ht="15.75" customHeight="1" x14ac:dyDescent="0.3">
      <c r="A174" s="320"/>
      <c r="B174" s="1293" t="s">
        <v>185</v>
      </c>
      <c r="C174" s="1312"/>
      <c r="D174" s="1302"/>
      <c r="E174" s="1046"/>
      <c r="F174" s="443"/>
      <c r="G174" s="1048"/>
      <c r="H174" s="444"/>
      <c r="I174" s="2098"/>
      <c r="J174" s="2099"/>
      <c r="K174" s="2100"/>
      <c r="L174" s="1056" t="str">
        <f t="shared" si="17"/>
        <v/>
      </c>
      <c r="M174" s="49"/>
      <c r="N174" s="49"/>
      <c r="O174" s="49"/>
      <c r="P174" s="49"/>
      <c r="Q174" s="49"/>
      <c r="R174" s="49"/>
      <c r="S174" s="49"/>
      <c r="T174" s="49"/>
      <c r="U174" s="49"/>
      <c r="V174" s="49"/>
      <c r="W174" s="49"/>
      <c r="X174" s="49"/>
      <c r="Y174" s="49"/>
      <c r="Z174" s="49"/>
      <c r="AA174" s="49"/>
      <c r="AB174" s="49"/>
      <c r="AC174" s="49"/>
      <c r="AD174" s="49"/>
    </row>
    <row r="175" spans="1:30" ht="15.75" customHeight="1" x14ac:dyDescent="0.3">
      <c r="A175" s="320"/>
      <c r="B175" s="1293" t="s">
        <v>152</v>
      </c>
      <c r="C175" s="1312"/>
      <c r="D175" s="1302"/>
      <c r="E175" s="1046"/>
      <c r="F175" s="445">
        <f>IF($E$184&gt;0,E175/$E$184,"")</f>
        <v>0</v>
      </c>
      <c r="G175" s="1048"/>
      <c r="H175" s="446">
        <f>IF($G$184&gt;0,G175/$G$184,"")</f>
        <v>0</v>
      </c>
      <c r="I175" s="2098"/>
      <c r="J175" s="2099"/>
      <c r="K175" s="2100"/>
      <c r="L175" s="1056" t="str">
        <f t="shared" si="17"/>
        <v/>
      </c>
      <c r="M175" s="49"/>
      <c r="N175" s="49"/>
      <c r="O175" s="49"/>
      <c r="P175" s="49"/>
      <c r="Q175" s="49"/>
      <c r="R175" s="49"/>
      <c r="S175" s="49"/>
      <c r="T175" s="49"/>
      <c r="U175" s="49"/>
      <c r="V175" s="49"/>
      <c r="W175" s="49"/>
      <c r="X175" s="49"/>
      <c r="Y175" s="49"/>
      <c r="Z175" s="49"/>
      <c r="AA175" s="49"/>
      <c r="AB175" s="49"/>
      <c r="AC175" s="49"/>
      <c r="AD175" s="49"/>
    </row>
    <row r="176" spans="1:30" ht="15.75" customHeight="1" x14ac:dyDescent="0.3">
      <c r="A176" s="320"/>
      <c r="B176" s="1292" t="s">
        <v>153</v>
      </c>
      <c r="C176" s="1311"/>
      <c r="D176" s="1301"/>
      <c r="E176" s="1046">
        <v>861.37</v>
      </c>
      <c r="F176" s="445">
        <f>IF($E$184&gt;0,E176/$E$184,"")</f>
        <v>6.660367423220237E-2</v>
      </c>
      <c r="G176" s="1048">
        <v>6.38</v>
      </c>
      <c r="H176" s="446">
        <f>IF($G$184&gt;0,G176/$G$184,"")</f>
        <v>4.0549129274183297E-2</v>
      </c>
      <c r="I176" s="2098"/>
      <c r="J176" s="2099"/>
      <c r="K176" s="2100"/>
      <c r="L176" s="1056" t="str">
        <f t="shared" si="17"/>
        <v/>
      </c>
      <c r="M176" s="49"/>
      <c r="N176" s="49"/>
      <c r="O176" s="49"/>
      <c r="P176" s="49"/>
      <c r="Q176" s="49"/>
      <c r="R176" s="49"/>
      <c r="S176" s="49"/>
      <c r="T176" s="49"/>
      <c r="U176" s="49"/>
      <c r="V176" s="49"/>
      <c r="W176" s="49"/>
      <c r="X176" s="49"/>
      <c r="Y176" s="49"/>
      <c r="Z176" s="49"/>
      <c r="AA176" s="49"/>
      <c r="AB176" s="49"/>
      <c r="AC176" s="49"/>
      <c r="AD176" s="49"/>
    </row>
    <row r="177" spans="1:30" ht="15.75" customHeight="1" x14ac:dyDescent="0.3">
      <c r="A177" s="320"/>
      <c r="B177" s="1292" t="s">
        <v>154</v>
      </c>
      <c r="C177" s="1311"/>
      <c r="D177" s="1301"/>
      <c r="E177" s="1046">
        <v>2157.5</v>
      </c>
      <c r="F177" s="445">
        <f>IF($E$184&gt;0,E177/$E$184,"")</f>
        <v>0.16682427662441995</v>
      </c>
      <c r="G177" s="1048">
        <v>3.66</v>
      </c>
      <c r="H177" s="446">
        <f>IF($G$184&gt;0,G177/$G$184,"")</f>
        <v>2.3261726198042457E-2</v>
      </c>
      <c r="I177" s="2098"/>
      <c r="J177" s="2099"/>
      <c r="K177" s="2100"/>
      <c r="L177" s="1056" t="str">
        <f t="shared" si="17"/>
        <v/>
      </c>
      <c r="M177" s="49"/>
      <c r="N177" s="49"/>
      <c r="O177" s="49"/>
      <c r="P177" s="49"/>
      <c r="Q177" s="49"/>
      <c r="R177" s="49"/>
      <c r="S177" s="49"/>
      <c r="T177" s="49"/>
      <c r="U177" s="49"/>
      <c r="V177" s="49"/>
      <c r="W177" s="49"/>
      <c r="X177" s="49"/>
      <c r="Y177" s="49"/>
      <c r="Z177" s="49"/>
      <c r="AA177" s="49"/>
      <c r="AB177" s="49"/>
      <c r="AC177" s="49"/>
      <c r="AD177" s="49"/>
    </row>
    <row r="178" spans="1:30" ht="15.75" customHeight="1" thickBot="1" x14ac:dyDescent="0.35">
      <c r="A178" s="320"/>
      <c r="B178" s="1294" t="s">
        <v>155</v>
      </c>
      <c r="C178" s="1313"/>
      <c r="D178" s="1303"/>
      <c r="E178" s="1045"/>
      <c r="F178" s="492">
        <f>IF($E$184&gt;0,E178/$E$184,"")</f>
        <v>0</v>
      </c>
      <c r="G178" s="1109"/>
      <c r="H178" s="493">
        <f>IF($G$184&gt;0,G178/$G$184,"")</f>
        <v>0</v>
      </c>
      <c r="I178" s="2125"/>
      <c r="J178" s="2126"/>
      <c r="K178" s="2127"/>
      <c r="L178" s="1118" t="str">
        <f t="shared" si="17"/>
        <v/>
      </c>
      <c r="M178" s="49"/>
      <c r="N178" s="49"/>
      <c r="O178" s="49"/>
      <c r="P178" s="49"/>
      <c r="Q178" s="49"/>
      <c r="R178" s="49"/>
      <c r="S178" s="49"/>
      <c r="T178" s="49"/>
      <c r="U178" s="49"/>
      <c r="V178" s="49"/>
      <c r="W178" s="49"/>
      <c r="X178" s="49"/>
      <c r="Y178" s="49"/>
      <c r="Z178" s="49"/>
      <c r="AA178" s="49"/>
      <c r="AB178" s="49"/>
      <c r="AC178" s="49"/>
      <c r="AD178" s="49"/>
    </row>
    <row r="179" spans="1:30" ht="15.75" customHeight="1" thickBot="1" x14ac:dyDescent="0.35">
      <c r="A179" s="320"/>
      <c r="B179" s="1295" t="s">
        <v>156</v>
      </c>
      <c r="C179" s="1314"/>
      <c r="D179" s="1304"/>
      <c r="E179" s="1044"/>
      <c r="F179" s="60"/>
      <c r="G179" s="1108"/>
      <c r="H179" s="150"/>
      <c r="I179" s="1857"/>
      <c r="J179" s="1858"/>
      <c r="K179" s="1859"/>
      <c r="L179" s="1119" t="str">
        <f t="shared" si="17"/>
        <v/>
      </c>
      <c r="M179" s="49"/>
      <c r="N179" s="49"/>
      <c r="O179" s="49"/>
      <c r="P179" s="49"/>
      <c r="Q179" s="49"/>
      <c r="R179" s="49"/>
      <c r="S179" s="49"/>
      <c r="T179" s="49"/>
      <c r="U179" s="49"/>
      <c r="V179" s="49"/>
      <c r="W179" s="49"/>
      <c r="X179" s="49"/>
      <c r="Y179" s="49"/>
      <c r="Z179" s="49"/>
      <c r="AA179" s="49"/>
      <c r="AB179" s="49"/>
      <c r="AC179" s="49"/>
      <c r="AD179" s="49"/>
    </row>
    <row r="180" spans="1:30" ht="15.75" customHeight="1" thickBot="1" x14ac:dyDescent="0.35">
      <c r="A180" s="320"/>
      <c r="B180" s="1296" t="s">
        <v>157</v>
      </c>
      <c r="C180" s="1315"/>
      <c r="D180" s="1305"/>
      <c r="E180" s="494">
        <f>+E171+E173+E176</f>
        <v>10446.510000000002</v>
      </c>
      <c r="F180" s="60">
        <f>IF(E184=0,"",+E180/E184)</f>
        <v>0.80775502850510761</v>
      </c>
      <c r="G180" s="495">
        <f>IF(Performance!$L$2="y",E180,G171+G173+G176)</f>
        <v>149.82</v>
      </c>
      <c r="H180" s="456">
        <f>IF(G184=0,"",+G180/G184)</f>
        <v>0.95220541502478706</v>
      </c>
      <c r="I180" s="2122"/>
      <c r="J180" s="2123"/>
      <c r="K180" s="2124"/>
      <c r="L180" s="1119" t="str">
        <f t="shared" si="17"/>
        <v/>
      </c>
      <c r="M180" s="49"/>
      <c r="N180" s="49"/>
      <c r="O180" s="49"/>
      <c r="P180" s="49"/>
      <c r="Q180" s="49"/>
      <c r="R180" s="49"/>
      <c r="S180" s="49"/>
      <c r="T180" s="49"/>
      <c r="U180" s="49"/>
      <c r="V180" s="49"/>
      <c r="W180" s="49"/>
      <c r="X180" s="49"/>
      <c r="Y180" s="49"/>
      <c r="Z180" s="49"/>
      <c r="AA180" s="49"/>
      <c r="AB180" s="49"/>
      <c r="AC180" s="49"/>
      <c r="AD180" s="49"/>
    </row>
    <row r="181" spans="1:30" ht="15.75" customHeight="1" thickBot="1" x14ac:dyDescent="0.35">
      <c r="A181" s="320"/>
      <c r="B181" s="1297" t="s">
        <v>521</v>
      </c>
      <c r="C181" s="1309"/>
      <c r="D181" s="1306"/>
      <c r="E181" s="165">
        <f>E173+E175</f>
        <v>1.03</v>
      </c>
      <c r="F181" s="175">
        <f>IF($E$184&gt;0,E181/$E$184,"")</f>
        <v>7.9642644228575929E-5</v>
      </c>
      <c r="G181" s="181">
        <f>IF(Performance!$L$2="y",E181,G173+G175)</f>
        <v>0.01</v>
      </c>
      <c r="H181" s="176">
        <f>IF($G$184&gt;0,G181/$G$184,"")</f>
        <v>6.3556628956400158E-5</v>
      </c>
      <c r="I181" s="1857"/>
      <c r="J181" s="1858"/>
      <c r="K181" s="1859"/>
      <c r="L181" s="1119" t="str">
        <f t="shared" si="17"/>
        <v/>
      </c>
      <c r="M181" s="49"/>
      <c r="N181" s="49"/>
      <c r="O181" s="49"/>
      <c r="P181" s="49"/>
      <c r="Q181" s="49"/>
      <c r="R181" s="49"/>
      <c r="S181" s="49"/>
      <c r="T181" s="49"/>
      <c r="U181" s="49"/>
      <c r="V181" s="49"/>
      <c r="W181" s="49"/>
      <c r="X181" s="49"/>
      <c r="Y181" s="49"/>
      <c r="Z181" s="49"/>
      <c r="AA181" s="49"/>
      <c r="AB181" s="49"/>
      <c r="AC181" s="49"/>
      <c r="AD181" s="49"/>
    </row>
    <row r="182" spans="1:30" ht="15.75" customHeight="1" thickBot="1" x14ac:dyDescent="0.35">
      <c r="A182" s="320"/>
      <c r="B182" s="1296" t="s">
        <v>522</v>
      </c>
      <c r="C182" s="1315"/>
      <c r="D182" s="1305"/>
      <c r="E182" s="165">
        <f>SUM(E171:E178)-E172-E174</f>
        <v>12604.010000000002</v>
      </c>
      <c r="F182" s="60">
        <f>IF($E$184&gt;0,E182/$E$184,"")</f>
        <v>0.97457930512952751</v>
      </c>
      <c r="G182" s="181">
        <f>IF(Performance!$L$2="y",E182,SUM(G171:G178)-G172-G174)</f>
        <v>153.47999999999999</v>
      </c>
      <c r="H182" s="150">
        <f>IF($G$184&gt;0,G182/$G$184,"")</f>
        <v>0.9754671412228294</v>
      </c>
      <c r="I182" s="1857"/>
      <c r="J182" s="1858"/>
      <c r="K182" s="1859"/>
      <c r="L182" s="1119" t="str">
        <f t="shared" si="17"/>
        <v/>
      </c>
      <c r="M182" s="49"/>
      <c r="N182" s="49"/>
      <c r="O182" s="49"/>
      <c r="P182" s="49"/>
      <c r="Q182" s="49"/>
      <c r="R182" s="49"/>
      <c r="S182" s="49"/>
      <c r="T182" s="49"/>
      <c r="U182" s="49"/>
      <c r="V182" s="49"/>
      <c r="W182" s="49"/>
      <c r="X182" s="49"/>
      <c r="Y182" s="49"/>
      <c r="Z182" s="49"/>
      <c r="AA182" s="49"/>
      <c r="AB182" s="49"/>
      <c r="AC182" s="49"/>
      <c r="AD182" s="49"/>
    </row>
    <row r="183" spans="1:30" ht="15.75" customHeight="1" thickBot="1" x14ac:dyDescent="0.35">
      <c r="A183" s="320"/>
      <c r="B183" s="1297" t="s">
        <v>160</v>
      </c>
      <c r="C183" s="1309"/>
      <c r="D183" s="1306"/>
      <c r="E183" s="1046">
        <v>328.76</v>
      </c>
      <c r="F183" s="60">
        <f>IF($E$184&gt;0,E183/$E$184,"")</f>
        <v>2.5420694870472445E-2</v>
      </c>
      <c r="G183" s="1048">
        <v>3.86</v>
      </c>
      <c r="H183" s="150">
        <f>IF($G$184&gt;0,G183/$G$184,"")</f>
        <v>2.4532858777170458E-2</v>
      </c>
      <c r="I183" s="2122"/>
      <c r="J183" s="2123"/>
      <c r="K183" s="2124"/>
      <c r="L183" s="1119" t="str">
        <f t="shared" si="17"/>
        <v/>
      </c>
      <c r="M183" s="49"/>
      <c r="N183" s="49"/>
      <c r="O183" s="49"/>
      <c r="P183" s="49"/>
      <c r="Q183" s="49"/>
      <c r="R183" s="49"/>
      <c r="S183" s="49"/>
      <c r="T183" s="49"/>
      <c r="U183" s="49"/>
      <c r="V183" s="49"/>
      <c r="W183" s="49"/>
      <c r="X183" s="49"/>
      <c r="Y183" s="49"/>
      <c r="Z183" s="49"/>
      <c r="AA183" s="49"/>
      <c r="AB183" s="49"/>
      <c r="AC183" s="49"/>
      <c r="AD183" s="49"/>
    </row>
    <row r="184" spans="1:30" ht="15.75" customHeight="1" thickBot="1" x14ac:dyDescent="0.35">
      <c r="A184" s="320"/>
      <c r="B184" s="1298" t="s">
        <v>523</v>
      </c>
      <c r="C184" s="1316"/>
      <c r="D184" s="1307"/>
      <c r="E184" s="165">
        <f>E183+E182</f>
        <v>12932.770000000002</v>
      </c>
      <c r="F184" s="59"/>
      <c r="G184" s="163">
        <f>IF(Performance!$L$2="y",E184,G183+G182)</f>
        <v>157.34</v>
      </c>
      <c r="H184" s="149"/>
      <c r="I184" s="1857"/>
      <c r="J184" s="1858"/>
      <c r="K184" s="1859"/>
      <c r="L184" s="1119" t="str">
        <f t="shared" si="17"/>
        <v/>
      </c>
      <c r="M184" s="49"/>
      <c r="N184" s="49"/>
      <c r="O184" s="49"/>
      <c r="P184" s="49"/>
      <c r="Q184" s="49"/>
      <c r="R184" s="49"/>
      <c r="S184" s="49"/>
      <c r="T184" s="49"/>
      <c r="U184" s="49"/>
      <c r="V184" s="49"/>
      <c r="W184" s="49"/>
      <c r="X184" s="49"/>
      <c r="Y184" s="49"/>
      <c r="Z184" s="49"/>
      <c r="AA184" s="49"/>
      <c r="AB184" s="49"/>
      <c r="AC184" s="49"/>
      <c r="AD184" s="49"/>
    </row>
    <row r="185" spans="1:30" ht="17.25" customHeight="1" thickBot="1" x14ac:dyDescent="0.35">
      <c r="A185" s="320"/>
      <c r="B185" s="1299" t="s">
        <v>162</v>
      </c>
      <c r="C185" s="1317"/>
      <c r="D185" s="1308"/>
      <c r="E185" s="1047"/>
      <c r="F185" s="60">
        <f>IF($E$184&gt;0,E185/$E$184,"")</f>
        <v>0</v>
      </c>
      <c r="G185" s="1108"/>
      <c r="H185" s="150">
        <f>IF($E$184&gt;0,G185/$E$184,"")</f>
        <v>0</v>
      </c>
      <c r="I185" s="2131"/>
      <c r="J185" s="2132"/>
      <c r="K185" s="2133"/>
      <c r="L185" s="1119" t="str">
        <f t="shared" si="17"/>
        <v/>
      </c>
      <c r="M185" s="49"/>
      <c r="N185" s="49"/>
      <c r="O185" s="49"/>
      <c r="P185" s="49"/>
      <c r="Q185" s="49"/>
      <c r="R185" s="49"/>
      <c r="S185" s="49"/>
      <c r="T185" s="49"/>
      <c r="U185" s="49"/>
      <c r="V185" s="49"/>
      <c r="W185" s="49"/>
      <c r="X185" s="49"/>
      <c r="Y185" s="49"/>
      <c r="Z185" s="49"/>
      <c r="AA185" s="49"/>
      <c r="AB185" s="49"/>
      <c r="AC185" s="49"/>
      <c r="AD185" s="49"/>
    </row>
    <row r="186" spans="1:30" ht="31.5" customHeight="1" x14ac:dyDescent="0.3">
      <c r="A186" s="320"/>
      <c r="B186" s="49"/>
      <c r="C186" s="2076" t="s">
        <v>163</v>
      </c>
      <c r="D186" s="2128"/>
      <c r="E186" s="2128"/>
      <c r="F186" s="2128"/>
      <c r="G186" s="2128"/>
      <c r="H186" s="2128"/>
      <c r="I186" s="2128"/>
      <c r="J186" s="2128"/>
      <c r="K186" s="386"/>
      <c r="L186" s="426"/>
      <c r="M186" s="337"/>
      <c r="N186" s="337"/>
      <c r="O186" s="49"/>
      <c r="P186" s="49"/>
      <c r="Q186" s="49"/>
      <c r="R186" s="49"/>
      <c r="S186" s="49"/>
      <c r="T186" s="49"/>
      <c r="U186" s="49"/>
      <c r="V186" s="49"/>
      <c r="W186" s="49"/>
      <c r="X186" s="49"/>
      <c r="Y186" s="49"/>
      <c r="Z186" s="49"/>
      <c r="AA186" s="49"/>
      <c r="AB186" s="49"/>
      <c r="AC186" s="49"/>
      <c r="AD186" s="49"/>
    </row>
    <row r="187" spans="1:30" ht="27.75" customHeight="1" x14ac:dyDescent="0.3">
      <c r="A187" s="1209">
        <v>5</v>
      </c>
      <c r="B187" s="471" t="s">
        <v>164</v>
      </c>
      <c r="C187" s="472"/>
      <c r="D187" s="2090" t="str">
        <f>+$A$1</f>
        <v>Quarter 2 - 2019-2020</v>
      </c>
      <c r="E187" s="2090"/>
      <c r="F187" s="2090"/>
      <c r="G187" s="2090"/>
      <c r="H187" s="2090"/>
      <c r="I187" s="2090"/>
      <c r="J187" s="2090"/>
      <c r="K187" s="473"/>
      <c r="L187" s="473"/>
      <c r="M187" s="473"/>
      <c r="N187" s="466"/>
      <c r="O187" s="466"/>
      <c r="P187" s="474"/>
      <c r="Q187" s="474"/>
      <c r="R187" s="466"/>
      <c r="S187" s="466"/>
      <c r="T187" s="466"/>
      <c r="U187" s="466"/>
      <c r="V187" s="466"/>
      <c r="W187" s="466"/>
      <c r="X187" s="466"/>
      <c r="Y187" s="466"/>
      <c r="Z187" s="466"/>
      <c r="AA187" s="466"/>
      <c r="AB187" s="466"/>
      <c r="AC187" s="466"/>
      <c r="AD187" s="466"/>
    </row>
    <row r="188" spans="1:30" ht="15.75" customHeight="1" thickBot="1" x14ac:dyDescent="0.35">
      <c r="A188" s="320"/>
      <c r="B188" s="43"/>
      <c r="C188" s="49"/>
      <c r="D188" s="336"/>
      <c r="E188" s="336"/>
      <c r="F188" s="336"/>
      <c r="G188" s="336"/>
      <c r="H188" s="336"/>
      <c r="I188" s="336"/>
      <c r="J188" s="336"/>
      <c r="K188" s="336"/>
      <c r="L188" s="49"/>
      <c r="M188" s="49"/>
      <c r="N188" s="49"/>
      <c r="O188" s="49"/>
      <c r="P188" s="49"/>
      <c r="Q188" s="49"/>
      <c r="R188" s="49"/>
      <c r="S188" s="49"/>
      <c r="T188" s="49"/>
      <c r="U188" s="49"/>
      <c r="V188" s="49"/>
      <c r="W188" s="49"/>
      <c r="X188" s="49"/>
      <c r="Y188" s="49"/>
      <c r="Z188" s="49"/>
      <c r="AA188" s="49"/>
      <c r="AB188" s="49"/>
      <c r="AC188" s="49"/>
      <c r="AD188" s="49"/>
    </row>
    <row r="189" spans="1:30" ht="15.75" customHeight="1" thickBot="1" x14ac:dyDescent="0.35">
      <c r="A189" s="320"/>
      <c r="B189" s="1860" t="s">
        <v>23</v>
      </c>
      <c r="C189" s="1861"/>
      <c r="D189" s="1861"/>
      <c r="E189" s="1862"/>
      <c r="F189" s="1849" t="s">
        <v>24</v>
      </c>
      <c r="G189" s="1850"/>
      <c r="H189" s="1851"/>
      <c r="I189" s="2086" t="s">
        <v>461</v>
      </c>
      <c r="J189" s="2087"/>
      <c r="K189" s="49"/>
      <c r="L189" s="49"/>
      <c r="M189" s="49"/>
      <c r="N189" s="49"/>
      <c r="O189" s="49"/>
      <c r="P189" s="49"/>
      <c r="Q189" s="49"/>
      <c r="R189" s="49"/>
      <c r="S189" s="49"/>
      <c r="T189" s="49"/>
      <c r="U189" s="49"/>
      <c r="V189" s="49"/>
      <c r="W189" s="49"/>
      <c r="X189" s="49"/>
      <c r="Y189" s="49"/>
      <c r="Z189" s="49"/>
      <c r="AA189" s="49"/>
      <c r="AB189" s="49"/>
      <c r="AC189" s="49"/>
      <c r="AD189" s="49"/>
    </row>
    <row r="190" spans="1:30" ht="24.6" thickBot="1" x14ac:dyDescent="0.35">
      <c r="A190" s="320"/>
      <c r="B190" s="1086" t="s">
        <v>165</v>
      </c>
      <c r="C190" s="496" t="s">
        <v>166</v>
      </c>
      <c r="D190" s="1098" t="s">
        <v>167</v>
      </c>
      <c r="E190" s="497" t="s">
        <v>168</v>
      </c>
      <c r="F190" s="1852"/>
      <c r="G190" s="1853"/>
      <c r="H190" s="1854"/>
      <c r="I190" s="2088"/>
      <c r="J190" s="2089"/>
      <c r="K190" s="49"/>
      <c r="L190" s="49"/>
      <c r="M190" s="49"/>
      <c r="N190" s="49"/>
      <c r="O190" s="49"/>
      <c r="P190" s="49"/>
      <c r="Q190" s="49"/>
      <c r="R190" s="49"/>
      <c r="S190" s="49"/>
      <c r="T190" s="49"/>
      <c r="U190" s="49"/>
      <c r="V190" s="49"/>
      <c r="W190" s="49"/>
      <c r="X190" s="49"/>
      <c r="Y190" s="49"/>
      <c r="Z190" s="49"/>
      <c r="AA190" s="49"/>
      <c r="AB190" s="49"/>
      <c r="AC190" s="49"/>
      <c r="AD190" s="49"/>
    </row>
    <row r="191" spans="1:30" ht="14.4" thickBot="1" x14ac:dyDescent="0.35">
      <c r="A191" s="320"/>
      <c r="B191" s="1049">
        <v>265522</v>
      </c>
      <c r="C191" s="1049">
        <v>1938</v>
      </c>
      <c r="D191" s="1049">
        <v>430</v>
      </c>
      <c r="E191" s="58">
        <f>B191+(C191*2)+(D191/2)</f>
        <v>269613</v>
      </c>
      <c r="F191" s="1857"/>
      <c r="G191" s="1858"/>
      <c r="H191" s="1859"/>
      <c r="I191" s="2129" t="str">
        <f>IF(OR(B191&lt;0,C191&lt;0,D191&lt;0),"Error - Negative number","")</f>
        <v/>
      </c>
      <c r="J191" s="2130"/>
      <c r="K191" s="49"/>
      <c r="L191" s="49"/>
      <c r="M191" s="49"/>
      <c r="N191" s="49"/>
      <c r="O191" s="49"/>
      <c r="P191" s="49"/>
      <c r="Q191" s="49"/>
      <c r="R191" s="49"/>
      <c r="S191" s="49"/>
      <c r="T191" s="49"/>
      <c r="U191" s="49"/>
      <c r="V191" s="49"/>
      <c r="W191" s="49"/>
      <c r="X191" s="49"/>
      <c r="Y191" s="49"/>
      <c r="Z191" s="49"/>
      <c r="AA191" s="49"/>
      <c r="AB191" s="49"/>
      <c r="AC191" s="49"/>
      <c r="AD191" s="49"/>
    </row>
    <row r="192" spans="1:30" x14ac:dyDescent="0.3">
      <c r="A192" s="320"/>
      <c r="B192" s="337"/>
      <c r="C192" s="337"/>
      <c r="D192" s="337"/>
      <c r="E192" s="337"/>
      <c r="F192" s="337"/>
      <c r="G192" s="337"/>
      <c r="H192" s="337"/>
      <c r="I192" s="337"/>
      <c r="J192" s="337"/>
      <c r="K192" s="337"/>
      <c r="L192" s="337"/>
      <c r="M192" s="337"/>
      <c r="N192" s="49"/>
      <c r="O192" s="49"/>
      <c r="P192" s="49"/>
      <c r="Q192" s="49"/>
      <c r="R192" s="49"/>
      <c r="S192" s="49"/>
      <c r="T192" s="49"/>
      <c r="U192" s="49"/>
      <c r="V192" s="49"/>
      <c r="W192" s="49"/>
      <c r="X192" s="49"/>
      <c r="Y192" s="49"/>
      <c r="Z192" s="49"/>
      <c r="AA192" s="49"/>
      <c r="AB192" s="49"/>
      <c r="AC192" s="49"/>
      <c r="AD192" s="49"/>
    </row>
    <row r="193" spans="1:30" ht="27.75" customHeight="1" x14ac:dyDescent="0.3">
      <c r="A193" s="1209">
        <v>6</v>
      </c>
      <c r="B193" s="471" t="s">
        <v>169</v>
      </c>
      <c r="C193" s="472"/>
      <c r="D193" s="2090" t="str">
        <f>+$A$1</f>
        <v>Quarter 2 - 2019-2020</v>
      </c>
      <c r="E193" s="2090"/>
      <c r="F193" s="2090"/>
      <c r="G193" s="2090"/>
      <c r="H193" s="2090"/>
      <c r="I193" s="2090"/>
      <c r="J193" s="2090"/>
      <c r="K193" s="473"/>
      <c r="L193" s="473"/>
      <c r="M193" s="473"/>
      <c r="N193" s="466"/>
      <c r="O193" s="466"/>
      <c r="P193" s="474"/>
      <c r="Q193" s="474"/>
      <c r="R193" s="466"/>
      <c r="S193" s="466"/>
      <c r="T193" s="466"/>
      <c r="U193" s="466"/>
      <c r="V193" s="466"/>
      <c r="W193" s="466"/>
      <c r="X193" s="466"/>
      <c r="Y193" s="466"/>
      <c r="Z193" s="466"/>
      <c r="AA193" s="466"/>
      <c r="AB193" s="466"/>
      <c r="AC193" s="466"/>
      <c r="AD193" s="466"/>
    </row>
    <row r="194" spans="1:30" ht="27.75" customHeight="1" x14ac:dyDescent="0.3">
      <c r="A194" s="320"/>
      <c r="B194" s="49"/>
      <c r="C194" s="49"/>
      <c r="D194" s="49"/>
      <c r="E194" s="49"/>
      <c r="F194" s="49"/>
      <c r="G194" s="49"/>
      <c r="H194" s="49"/>
      <c r="I194" s="49"/>
      <c r="J194" s="49"/>
      <c r="K194" s="49"/>
      <c r="L194" s="49"/>
      <c r="M194" s="49"/>
      <c r="N194" s="49"/>
      <c r="O194" s="49"/>
      <c r="P194" s="464"/>
      <c r="Q194" s="464"/>
      <c r="R194" s="49"/>
      <c r="S194" s="49"/>
      <c r="T194" s="49"/>
      <c r="U194" s="49"/>
      <c r="V194" s="49"/>
      <c r="W194" s="49"/>
      <c r="X194" s="49"/>
      <c r="Y194" s="49"/>
      <c r="Z194" s="49"/>
      <c r="AA194" s="49"/>
      <c r="AB194" s="49"/>
      <c r="AC194" s="49"/>
      <c r="AD194" s="49"/>
    </row>
    <row r="195" spans="1:30" ht="14.4" thickBot="1" x14ac:dyDescent="0.35">
      <c r="A195" s="320"/>
      <c r="B195" s="43"/>
      <c r="C195" s="337"/>
      <c r="D195" s="337"/>
      <c r="E195" s="337"/>
      <c r="F195" s="337"/>
      <c r="G195" s="337"/>
      <c r="H195" s="337"/>
      <c r="I195" s="337"/>
      <c r="J195" s="337"/>
      <c r="K195" s="337"/>
      <c r="L195" s="337"/>
      <c r="M195" s="337"/>
      <c r="N195" s="337"/>
      <c r="O195" s="337"/>
      <c r="P195" s="337"/>
      <c r="Q195" s="337"/>
      <c r="R195" s="337"/>
      <c r="S195" s="337"/>
      <c r="T195" s="337"/>
      <c r="U195" s="337"/>
      <c r="V195" s="337"/>
      <c r="W195" s="337"/>
      <c r="X195" s="337"/>
      <c r="Y195" s="49"/>
      <c r="Z195" s="49"/>
      <c r="AA195" s="49"/>
      <c r="AB195" s="49"/>
      <c r="AC195" s="49"/>
      <c r="AD195" s="49"/>
    </row>
    <row r="196" spans="1:30" ht="15.75" customHeight="1" thickBot="1" x14ac:dyDescent="0.35">
      <c r="A196" s="320"/>
      <c r="B196" s="1860" t="s">
        <v>23</v>
      </c>
      <c r="C196" s="1861"/>
      <c r="D196" s="1862"/>
      <c r="E196" s="1860" t="s">
        <v>24</v>
      </c>
      <c r="F196" s="1861"/>
      <c r="G196" s="1862"/>
      <c r="H196" s="1881" t="s">
        <v>461</v>
      </c>
      <c r="I196" s="2145"/>
      <c r="J196" s="1882"/>
      <c r="K196" s="337"/>
      <c r="L196" s="337"/>
      <c r="M196" s="337"/>
      <c r="N196" s="337"/>
      <c r="O196" s="337"/>
      <c r="P196" s="337"/>
      <c r="Q196" s="337"/>
      <c r="R196" s="337"/>
      <c r="S196" s="337"/>
      <c r="T196" s="337"/>
      <c r="U196" s="337"/>
      <c r="V196" s="337"/>
      <c r="W196" s="337"/>
      <c r="X196" s="337"/>
      <c r="Y196" s="49"/>
      <c r="Z196" s="49"/>
      <c r="AA196" s="49"/>
      <c r="AB196" s="49"/>
      <c r="AC196" s="49"/>
      <c r="AD196" s="49"/>
    </row>
    <row r="197" spans="1:30" ht="13.5" customHeight="1" thickBot="1" x14ac:dyDescent="0.35">
      <c r="A197" s="320"/>
      <c r="B197" s="2020" t="s">
        <v>170</v>
      </c>
      <c r="C197" s="2021"/>
      <c r="D197" s="1049">
        <v>772</v>
      </c>
      <c r="E197" s="2025"/>
      <c r="F197" s="2026"/>
      <c r="G197" s="2027"/>
      <c r="H197" s="2129" t="str">
        <f>IF(D197&lt;0,"Error - Negative number","")</f>
        <v/>
      </c>
      <c r="I197" s="2144"/>
      <c r="J197" s="2130"/>
      <c r="K197" s="337"/>
      <c r="L197" s="337"/>
      <c r="M197" s="337"/>
      <c r="N197" s="337"/>
      <c r="O197" s="337"/>
      <c r="P197" s="337"/>
      <c r="Q197" s="337"/>
      <c r="R197" s="337"/>
      <c r="S197" s="337"/>
      <c r="T197" s="337"/>
      <c r="U197" s="337"/>
      <c r="V197" s="337"/>
      <c r="W197" s="337"/>
      <c r="X197" s="337"/>
      <c r="Y197" s="49"/>
      <c r="Z197" s="49"/>
      <c r="AA197" s="49"/>
      <c r="AB197" s="49"/>
      <c r="AC197" s="49"/>
      <c r="AD197" s="49"/>
    </row>
    <row r="198" spans="1:30" ht="13.5" customHeight="1" thickBot="1" x14ac:dyDescent="0.35">
      <c r="A198" s="320"/>
      <c r="B198" s="2020" t="s">
        <v>468</v>
      </c>
      <c r="C198" s="2021"/>
      <c r="D198" s="58">
        <f>IF(D197=0,"",+D109/D197)</f>
        <v>460.77093264248703</v>
      </c>
      <c r="E198" s="1857"/>
      <c r="F198" s="1858"/>
      <c r="G198" s="1859"/>
      <c r="H198" s="2119" t="str">
        <f>IF(AND(D198&lt;'QA config'!D3,D198&lt;&gt;""),CONCATENATE("Average distance less than ",'QA config'!D3," km"),IF(AND(D198&gt;'QA config'!C3,D198&lt;&gt;""),CONCATENATE("Average distance more than ",'QA config'!C3," km"),""))</f>
        <v/>
      </c>
      <c r="I198" s="2120"/>
      <c r="J198" s="2121"/>
      <c r="K198" s="337"/>
      <c r="L198" s="337"/>
      <c r="M198" s="337"/>
      <c r="N198" s="337"/>
      <c r="O198" s="337"/>
      <c r="P198" s="337"/>
      <c r="Q198" s="337"/>
      <c r="R198" s="337"/>
      <c r="S198" s="337"/>
      <c r="T198" s="337"/>
      <c r="U198" s="337"/>
      <c r="V198" s="337"/>
      <c r="W198" s="337"/>
      <c r="X198" s="337"/>
      <c r="Y198" s="49"/>
      <c r="Z198" s="49"/>
      <c r="AA198" s="49"/>
      <c r="AB198" s="49"/>
      <c r="AC198" s="49"/>
      <c r="AD198" s="49"/>
    </row>
    <row r="199" spans="1:30" x14ac:dyDescent="0.3">
      <c r="A199" s="320"/>
      <c r="B199" s="337"/>
      <c r="C199" s="337"/>
      <c r="D199" s="337"/>
      <c r="E199" s="337"/>
      <c r="F199" s="337"/>
      <c r="G199" s="337"/>
      <c r="H199" s="337"/>
      <c r="I199" s="337"/>
      <c r="J199" s="386"/>
      <c r="K199" s="425"/>
      <c r="L199" s="337"/>
      <c r="M199" s="337"/>
      <c r="N199" s="49"/>
      <c r="O199" s="49"/>
      <c r="P199" s="49"/>
      <c r="Q199" s="49"/>
      <c r="R199" s="49"/>
      <c r="S199" s="49"/>
      <c r="T199" s="49"/>
      <c r="U199" s="49"/>
      <c r="V199" s="49"/>
      <c r="W199" s="49"/>
      <c r="X199" s="49"/>
      <c r="Y199" s="49"/>
      <c r="Z199" s="49"/>
      <c r="AA199" s="49"/>
      <c r="AB199" s="49"/>
      <c r="AC199" s="49"/>
      <c r="AD199" s="49"/>
    </row>
    <row r="200" spans="1:30" ht="27.75" customHeight="1" x14ac:dyDescent="0.3">
      <c r="A200" s="362"/>
      <c r="J200" s="362"/>
      <c r="K200" s="362"/>
    </row>
    <row r="201" spans="1:30" x14ac:dyDescent="0.3">
      <c r="A201" s="362"/>
      <c r="J201" s="362"/>
      <c r="K201" s="362"/>
    </row>
    <row r="202" spans="1:30" ht="15.75" customHeight="1" x14ac:dyDescent="0.3">
      <c r="A202" s="362"/>
      <c r="J202" s="362"/>
      <c r="K202" s="362"/>
    </row>
    <row r="203" spans="1:30" ht="13.5" customHeight="1" x14ac:dyDescent="0.3">
      <c r="A203" s="362"/>
      <c r="J203" s="362"/>
      <c r="K203" s="362"/>
    </row>
    <row r="204" spans="1:30" ht="13.5" customHeight="1" x14ac:dyDescent="0.3">
      <c r="A204" s="362"/>
      <c r="J204" s="362"/>
      <c r="K204" s="362"/>
    </row>
    <row r="205" spans="1:30" x14ac:dyDescent="0.3">
      <c r="A205" s="362"/>
      <c r="J205" s="362"/>
      <c r="K205" s="362"/>
    </row>
    <row r="206" spans="1:30" x14ac:dyDescent="0.3">
      <c r="A206" s="362"/>
      <c r="J206" s="362"/>
      <c r="K206" s="362"/>
    </row>
    <row r="207" spans="1:30" x14ac:dyDescent="0.3">
      <c r="AA207" s="49"/>
      <c r="AB207" s="49"/>
      <c r="AC207" s="49"/>
      <c r="AD207" s="49"/>
    </row>
    <row r="208" spans="1:30" x14ac:dyDescent="0.3">
      <c r="AA208" s="49"/>
      <c r="AB208" s="49"/>
      <c r="AC208" s="49"/>
      <c r="AD208" s="49"/>
    </row>
  </sheetData>
  <sheetProtection algorithmName="SHA-512" hashValue="U1m1effBPkhF5E//aXPXefeCUQNUI7xYoFv47/bppoIth9Kak3Ph/RagrFRgZmLMvQlnuSIg1Fvn7i5Knq0m+w==" saltValue="eQScTahTt/Qaei2efUheQQ==" spinCount="100000" sheet="1" objects="1" scenarios="1"/>
  <mergeCells count="261">
    <mergeCell ref="I184:K184"/>
    <mergeCell ref="I185:K185"/>
    <mergeCell ref="C186:J186"/>
    <mergeCell ref="D187:J187"/>
    <mergeCell ref="B189:E189"/>
    <mergeCell ref="F189:H190"/>
    <mergeCell ref="I189:J190"/>
    <mergeCell ref="I178:K178"/>
    <mergeCell ref="I179:K179"/>
    <mergeCell ref="I180:K180"/>
    <mergeCell ref="I181:K181"/>
    <mergeCell ref="I182:K182"/>
    <mergeCell ref="I183:K183"/>
    <mergeCell ref="B197:C197"/>
    <mergeCell ref="E197:G197"/>
    <mergeCell ref="H197:J197"/>
    <mergeCell ref="B198:C198"/>
    <mergeCell ref="E198:G198"/>
    <mergeCell ref="H198:J198"/>
    <mergeCell ref="F191:H191"/>
    <mergeCell ref="I191:J191"/>
    <mergeCell ref="D193:J193"/>
    <mergeCell ref="B196:D196"/>
    <mergeCell ref="E196:G196"/>
    <mergeCell ref="H196:J196"/>
    <mergeCell ref="I172:K172"/>
    <mergeCell ref="I173:K173"/>
    <mergeCell ref="I174:K174"/>
    <mergeCell ref="I175:K175"/>
    <mergeCell ref="I176:K176"/>
    <mergeCell ref="I177:K177"/>
    <mergeCell ref="D167:J167"/>
    <mergeCell ref="E169:F169"/>
    <mergeCell ref="G169:H169"/>
    <mergeCell ref="I169:K170"/>
    <mergeCell ref="L169:L170"/>
    <mergeCell ref="I171:K171"/>
    <mergeCell ref="D157:J157"/>
    <mergeCell ref="E162:H162"/>
    <mergeCell ref="I162:K163"/>
    <mergeCell ref="L162:L163"/>
    <mergeCell ref="B164:C164"/>
    <mergeCell ref="I164:K164"/>
    <mergeCell ref="B154:C154"/>
    <mergeCell ref="E154:F154"/>
    <mergeCell ref="G154:I154"/>
    <mergeCell ref="B155:C155"/>
    <mergeCell ref="D155:F155"/>
    <mergeCell ref="G155:I155"/>
    <mergeCell ref="D149:J149"/>
    <mergeCell ref="D152:F152"/>
    <mergeCell ref="G152:I152"/>
    <mergeCell ref="B153:C153"/>
    <mergeCell ref="D153:F153"/>
    <mergeCell ref="G153:I153"/>
    <mergeCell ref="D144:E144"/>
    <mergeCell ref="I144:K144"/>
    <mergeCell ref="D145:E145"/>
    <mergeCell ref="I145:K145"/>
    <mergeCell ref="D146:E146"/>
    <mergeCell ref="B147:L147"/>
    <mergeCell ref="D138:J138"/>
    <mergeCell ref="I140:K141"/>
    <mergeCell ref="D142:E142"/>
    <mergeCell ref="I142:K142"/>
    <mergeCell ref="D143:E143"/>
    <mergeCell ref="I143:K143"/>
    <mergeCell ref="I131:K131"/>
    <mergeCell ref="I132:K132"/>
    <mergeCell ref="I133:K133"/>
    <mergeCell ref="I134:K134"/>
    <mergeCell ref="I135:K135"/>
    <mergeCell ref="I136:K136"/>
    <mergeCell ref="D125:F125"/>
    <mergeCell ref="I125:K127"/>
    <mergeCell ref="M125:M126"/>
    <mergeCell ref="I128:K128"/>
    <mergeCell ref="I129:K129"/>
    <mergeCell ref="I130:K130"/>
    <mergeCell ref="I117:K117"/>
    <mergeCell ref="I118:K118"/>
    <mergeCell ref="I119:K119"/>
    <mergeCell ref="I120:K120"/>
    <mergeCell ref="I121:K121"/>
    <mergeCell ref="I122:K122"/>
    <mergeCell ref="I108:K108"/>
    <mergeCell ref="B109:B121"/>
    <mergeCell ref="I109:K109"/>
    <mergeCell ref="I110:K110"/>
    <mergeCell ref="I111:K111"/>
    <mergeCell ref="I112:K112"/>
    <mergeCell ref="I113:K113"/>
    <mergeCell ref="I114:K114"/>
    <mergeCell ref="I115:K115"/>
    <mergeCell ref="I116:K116"/>
    <mergeCell ref="B108:C108"/>
    <mergeCell ref="U92:W92"/>
    <mergeCell ref="I93:K93"/>
    <mergeCell ref="U93:W93"/>
    <mergeCell ref="I102:K102"/>
    <mergeCell ref="I103:K103"/>
    <mergeCell ref="I104:K104"/>
    <mergeCell ref="I105:K105"/>
    <mergeCell ref="I106:K106"/>
    <mergeCell ref="I107:K107"/>
    <mergeCell ref="I97:K97"/>
    <mergeCell ref="O97:W100"/>
    <mergeCell ref="I98:K98"/>
    <mergeCell ref="I99:K99"/>
    <mergeCell ref="I100:K100"/>
    <mergeCell ref="I101:K101"/>
    <mergeCell ref="X87:X89"/>
    <mergeCell ref="Y87:Y88"/>
    <mergeCell ref="I88:K88"/>
    <mergeCell ref="I89:K89"/>
    <mergeCell ref="I90:K90"/>
    <mergeCell ref="U90:W90"/>
    <mergeCell ref="O86:W86"/>
    <mergeCell ref="X86:Y86"/>
    <mergeCell ref="Z86:Z89"/>
    <mergeCell ref="B87:B107"/>
    <mergeCell ref="I87:K87"/>
    <mergeCell ref="Q87:Q89"/>
    <mergeCell ref="R87:R89"/>
    <mergeCell ref="S87:S89"/>
    <mergeCell ref="T87:T88"/>
    <mergeCell ref="U87:W89"/>
    <mergeCell ref="I81:K81"/>
    <mergeCell ref="I82:K82"/>
    <mergeCell ref="I83:K83"/>
    <mergeCell ref="I84:K84"/>
    <mergeCell ref="I85:K85"/>
    <mergeCell ref="B86:C86"/>
    <mergeCell ref="I86:K86"/>
    <mergeCell ref="B65:B85"/>
    <mergeCell ref="I94:K94"/>
    <mergeCell ref="U94:W94"/>
    <mergeCell ref="I95:K95"/>
    <mergeCell ref="U95:W95"/>
    <mergeCell ref="I96:K96"/>
    <mergeCell ref="U96:W96"/>
    <mergeCell ref="I91:K91"/>
    <mergeCell ref="U91:W91"/>
    <mergeCell ref="I92:K92"/>
    <mergeCell ref="O75:W78"/>
    <mergeCell ref="I76:K76"/>
    <mergeCell ref="I77:K77"/>
    <mergeCell ref="I78:K78"/>
    <mergeCell ref="I79:K79"/>
    <mergeCell ref="I80:K80"/>
    <mergeCell ref="I70:K70"/>
    <mergeCell ref="I71:K71"/>
    <mergeCell ref="I72:K72"/>
    <mergeCell ref="I73:K73"/>
    <mergeCell ref="I74:K74"/>
    <mergeCell ref="I75:K75"/>
    <mergeCell ref="U70:W70"/>
    <mergeCell ref="U71:W71"/>
    <mergeCell ref="U72:W72"/>
    <mergeCell ref="U73:W73"/>
    <mergeCell ref="U74:W74"/>
    <mergeCell ref="X65:X67"/>
    <mergeCell ref="Y65:Y66"/>
    <mergeCell ref="I66:K66"/>
    <mergeCell ref="I67:K67"/>
    <mergeCell ref="I68:K68"/>
    <mergeCell ref="I69:K69"/>
    <mergeCell ref="O64:W64"/>
    <mergeCell ref="X64:Y64"/>
    <mergeCell ref="Z64:Z67"/>
    <mergeCell ref="I65:K65"/>
    <mergeCell ref="Q65:Q67"/>
    <mergeCell ref="R65:R67"/>
    <mergeCell ref="S65:S67"/>
    <mergeCell ref="T65:T66"/>
    <mergeCell ref="U65:W67"/>
    <mergeCell ref="U68:W68"/>
    <mergeCell ref="U69:W69"/>
    <mergeCell ref="J35:K35"/>
    <mergeCell ref="D55:J55"/>
    <mergeCell ref="B62:C63"/>
    <mergeCell ref="D62:F62"/>
    <mergeCell ref="I62:K63"/>
    <mergeCell ref="L62:L63"/>
    <mergeCell ref="B64:C64"/>
    <mergeCell ref="I64:K64"/>
    <mergeCell ref="D49:J49"/>
    <mergeCell ref="D51:F51"/>
    <mergeCell ref="G51:H51"/>
    <mergeCell ref="I51:K52"/>
    <mergeCell ref="L51:L52"/>
    <mergeCell ref="B53:C53"/>
    <mergeCell ref="I53:K53"/>
    <mergeCell ref="I30:K30"/>
    <mergeCell ref="I27:K27"/>
    <mergeCell ref="O27:O28"/>
    <mergeCell ref="P27:P28"/>
    <mergeCell ref="Q27:Q28"/>
    <mergeCell ref="R27:R28"/>
    <mergeCell ref="U27:U28"/>
    <mergeCell ref="B36:B47"/>
    <mergeCell ref="I36:K36"/>
    <mergeCell ref="I37:K37"/>
    <mergeCell ref="I38:K38"/>
    <mergeCell ref="I39:K39"/>
    <mergeCell ref="I40:K40"/>
    <mergeCell ref="I41:K41"/>
    <mergeCell ref="I31:K31"/>
    <mergeCell ref="O31:P31"/>
    <mergeCell ref="I42:K42"/>
    <mergeCell ref="I43:K43"/>
    <mergeCell ref="I44:K44"/>
    <mergeCell ref="I45:K45"/>
    <mergeCell ref="I46:K46"/>
    <mergeCell ref="I47:K47"/>
    <mergeCell ref="J33:K33"/>
    <mergeCell ref="J34:K34"/>
    <mergeCell ref="B19:C19"/>
    <mergeCell ref="B20:B35"/>
    <mergeCell ref="I20:K20"/>
    <mergeCell ref="I21:K21"/>
    <mergeCell ref="I22:K22"/>
    <mergeCell ref="I23:K23"/>
    <mergeCell ref="I24:K24"/>
    <mergeCell ref="O24:R24"/>
    <mergeCell ref="U24:X24"/>
    <mergeCell ref="I25:K25"/>
    <mergeCell ref="I26:K26"/>
    <mergeCell ref="O26:P26"/>
    <mergeCell ref="Q26:R26"/>
    <mergeCell ref="U26:V26"/>
    <mergeCell ref="W26:X26"/>
    <mergeCell ref="Q31:R31"/>
    <mergeCell ref="U31:V31"/>
    <mergeCell ref="W31:X31"/>
    <mergeCell ref="I32:K32"/>
    <mergeCell ref="V27:V28"/>
    <mergeCell ref="W27:W28"/>
    <mergeCell ref="X27:X28"/>
    <mergeCell ref="I28:K28"/>
    <mergeCell ref="I29:K29"/>
    <mergeCell ref="U16:X16"/>
    <mergeCell ref="D17:F17"/>
    <mergeCell ref="G17:H17"/>
    <mergeCell ref="I17:K19"/>
    <mergeCell ref="L17:L18"/>
    <mergeCell ref="O17:R17"/>
    <mergeCell ref="U17:X17"/>
    <mergeCell ref="O18:P18"/>
    <mergeCell ref="Q18:R18"/>
    <mergeCell ref="U18:V18"/>
    <mergeCell ref="W18:X18"/>
    <mergeCell ref="D6:J6"/>
    <mergeCell ref="F8:H9"/>
    <mergeCell ref="I8:J9"/>
    <mergeCell ref="B10:C10"/>
    <mergeCell ref="F10:H10"/>
    <mergeCell ref="I10:J10"/>
    <mergeCell ref="D13:J13"/>
    <mergeCell ref="D14:J14"/>
    <mergeCell ref="O16:R16"/>
  </mergeCells>
  <conditionalFormatting sqref="H17697">
    <cfRule type="expression" dxfId="1039" priority="17">
      <formula>$H$197&lt;&gt;""</formula>
    </cfRule>
  </conditionalFormatting>
  <conditionalFormatting sqref="H198 L64:L121">
    <cfRule type="expression" dxfId="1038" priority="16">
      <formula>H64&lt;&gt;""</formula>
    </cfRule>
  </conditionalFormatting>
  <conditionalFormatting sqref="H197">
    <cfRule type="expression" dxfId="1037" priority="15">
      <formula>H197&lt;&gt;""</formula>
    </cfRule>
  </conditionalFormatting>
  <conditionalFormatting sqref="L171:L185">
    <cfRule type="expression" dxfId="1036" priority="14">
      <formula>L171&lt;&gt;""</formula>
    </cfRule>
  </conditionalFormatting>
  <conditionalFormatting sqref="L19:L47">
    <cfRule type="expression" dxfId="1035" priority="13">
      <formula>L19&lt;&gt;""</formula>
    </cfRule>
  </conditionalFormatting>
  <conditionalFormatting sqref="L164">
    <cfRule type="expression" dxfId="1034" priority="12">
      <formula>L164&lt;&gt;""</formula>
    </cfRule>
  </conditionalFormatting>
  <conditionalFormatting sqref="I191">
    <cfRule type="expression" dxfId="1033" priority="10">
      <formula>I191&lt;&gt;""</formula>
    </cfRule>
  </conditionalFormatting>
  <conditionalFormatting sqref="M127:M136">
    <cfRule type="expression" dxfId="1032" priority="11">
      <formula>M127&lt;&gt;""</formula>
    </cfRule>
  </conditionalFormatting>
  <conditionalFormatting sqref="I10">
    <cfRule type="expression" dxfId="1031" priority="9">
      <formula>I10&lt;&gt;""</formula>
    </cfRule>
  </conditionalFormatting>
  <conditionalFormatting sqref="Z68:Z72">
    <cfRule type="expression" dxfId="1030" priority="8">
      <formula>Z68&lt;&gt;""</formula>
    </cfRule>
  </conditionalFormatting>
  <conditionalFormatting sqref="L53">
    <cfRule type="expression" dxfId="1029" priority="7">
      <formula>L53&lt;&gt;""</formula>
    </cfRule>
  </conditionalFormatting>
  <conditionalFormatting sqref="Z95">
    <cfRule type="expression" dxfId="1028" priority="2">
      <formula>Z95&lt;&gt;""</formula>
    </cfRule>
  </conditionalFormatting>
  <conditionalFormatting sqref="Z74">
    <cfRule type="expression" dxfId="1027" priority="6">
      <formula>Z74&lt;&gt;""</formula>
    </cfRule>
  </conditionalFormatting>
  <conditionalFormatting sqref="Z73">
    <cfRule type="expression" dxfId="1026" priority="5">
      <formula>Z73&lt;&gt;""</formula>
    </cfRule>
  </conditionalFormatting>
  <conditionalFormatting sqref="Z90:Z94">
    <cfRule type="expression" dxfId="1025" priority="4">
      <formula>Z90&lt;&gt;""</formula>
    </cfRule>
  </conditionalFormatting>
  <conditionalFormatting sqref="Z96">
    <cfRule type="expression" dxfId="1024" priority="3">
      <formula>Z96&lt;&gt;""</formula>
    </cfRule>
  </conditionalFormatting>
  <conditionalFormatting sqref="L122">
    <cfRule type="expression" dxfId="1023" priority="1">
      <formula>L122&lt;&gt;""</formula>
    </cfRule>
  </conditionalFormatting>
  <dataValidations count="6">
    <dataValidation type="decimal" operator="greaterThan" allowBlank="1" showInputMessage="1" showErrorMessage="1" errorTitle="Invalid input" error="Must be a positive number" sqref="E154:F154">
      <formula1>0</formula1>
    </dataValidation>
    <dataValidation type="list" allowBlank="1" showErrorMessage="1" errorTitle="Invalid input" error="Please enter &quot;yes&quot; or &quot;no&quot;." sqref="D153:F153">
      <formula1>"yes,no"</formula1>
    </dataValidation>
    <dataValidation type="list" allowBlank="1" showInputMessage="1" showErrorMessage="1" errorTitle="Invalid data" error="Please enter &quot;Scope 1&quot;, &quot;Scope 2&quot; or &quot;Scope 3&quot;." promptTitle="Reporting scope" prompt="Please enter the reporting scope of the data in this row." sqref="I33:I35">
      <formula1>"Scope 1,Scope 2,Scope 3"</formula1>
    </dataValidation>
    <dataValidation type="decimal" operator="greaterThan" allowBlank="1" showInputMessage="1" showErrorMessage="1" error="Must be a positive number" sqref="D10:E10">
      <formula1>0</formula1>
    </dataValidation>
    <dataValidation allowBlank="1" showInputMessage="1" sqref="L196:L198"/>
    <dataValidation allowBlank="1" sqref="G50:G52 H50 D108:E108 G17:G19 N189:V189 I189 K190:V194 J50 E184 I50:I51 E50:F50 I17 E18:E19 R19 I139:I140 F191:F192 D187:J187 B169:E170 B186:E186 G188:J188 I142:I146 J139 C9:E9 F170:F186 W18 O13:R14 P15:R15 P20:R23 E138:J138 B86:B87 D123:D127 E49:J49 D86:E86 E139:H139 G184 G169:G170 G181:G182 B187:B190 C190:D190 K48:K50 J48 H170 G48 D49:D52 D54:D64 I53:I54 J54 H52:H54 K186:V188 G186:J186 C187:C188 D188:E188 F10 C192:D195 E190:E192 G192:J192 G194:J194 E193:J193 B171:B185 D137 E13:K16 H171:I185 E181:E182 X122:Y122 J124:K124 A147:K148 I62 E55:J60 K54:K60 E61:K61 Q68:Q73 B123:C137 U68:U73 I169 H164:I164 U19:X59 B108:B109 B64:B65 P25:R59 E54:G54 E52:F53 C109:C122 S68:S73 O65:U65 T67:T74 X65:Y65 X64 C64:C107 H18:H48 C20:C61 F18:F48 L19:L51 Y89:Y121 J123:XFD123 F140:G146 E194:F195 L53:L62 B122 I128:I137 K137:K139 G137:H137 J137 F188:F189 G195 E196:E198 M127:M155 M169:V185 L169 G152:G155 E149:J149 K149:K155 E150:I151 J150:J155 B156:XFD156 E140:E141 I191 K195:K198 E126:F137 I195:J195 A166:XFD168 L164:L165 F157:K161 C163:D163 B157:E162 B163:B164 B165:K165 I162 G163:H163 E163:F164 M157:XFD165 L157:L162 I199:L199 D154:D155 G123:H124 L124:L155 N124:XFD155 M124:M125 L171:L185 D199:G199 C197:C199 H195:H199 I8 I10 K8:K10 H140:H145 B8:F8 E63:E85 E87:E107 M195:V199 L195 Z64 B1:AD7 N8:AD10 W169:XFD199 C11:AD12 AE200:XFD206 B192:B199 A169:A199 A207:XFD1048576 B138:D146 A156:A165 P19 Q18:Q19 O68:O75 X68:X86 I20:I32 I36:I48 A149:C155 D149:D152 O79:W85 S90:S95 Q90:Q95 U90:U95 O87:U87 T89:T96 X87:Y87 U96:W96 O86 R74:S74 X90:X121 O64 O15:O59 Y67:Y85 Z68:Z86 O90:O97 R96:S96 D42:E48 I64:I125 E109:E124 O101:W122 Z90:Z122 L64:L122 F63:F124 A1:A146 AA13:AD122 M13:N122 AE1:XFD122 D13:D19 B9:B20 Y13:Z59 S13:T59 L13:L17 V13:X15 U13:U18 C13:C18 B36:B62 U74"/>
  </dataValidations>
  <hyperlinks>
    <hyperlink ref="C42:C47" location="CHP!A1" display="CHP1 Electricity"/>
    <hyperlink ref="B60" location="'conversion factors'!A1" display="If you need to convert from miles to km, go to the Conversions tab or click here"/>
    <hyperlink ref="C42" location="CHP!T4" display="CHP1 Electricity"/>
    <hyperlink ref="C43" location="CHP!T4" display="CHP1 Heat"/>
    <hyperlink ref="C44" location="CHP!T31" display="CHP2 Electricity"/>
    <hyperlink ref="C45" location="CHP!T31" display="CHP2 Heat"/>
    <hyperlink ref="C46" location="CHP!T58" display="CHP3 Electricity"/>
    <hyperlink ref="C47" location="CHP!T58" display="CHP3 Heat"/>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BC178"/>
  <sheetViews>
    <sheetView zoomScale="80" zoomScaleNormal="80" workbookViewId="0">
      <pane xSplit="2" ySplit="14" topLeftCell="F144" activePane="bottomRight" state="frozen"/>
      <selection activeCell="AZ7" sqref="AZ7"/>
      <selection pane="topRight" activeCell="AZ7" sqref="AZ7"/>
      <selection pane="bottomLeft" activeCell="AZ7" sqref="AZ7"/>
      <selection pane="bottomRight" activeCell="P150" sqref="P150"/>
    </sheetView>
  </sheetViews>
  <sheetFormatPr defaultColWidth="9.109375" defaultRowHeight="15" customHeight="1" x14ac:dyDescent="0.3"/>
  <cols>
    <col min="1" max="1" width="12.6640625" customWidth="1"/>
    <col min="2" max="2" width="39.109375" customWidth="1"/>
    <col min="3" max="7" width="12.33203125" customWidth="1"/>
    <col min="8" max="8" width="12.33203125" hidden="1" customWidth="1"/>
    <col min="9" max="9" width="12.33203125" customWidth="1"/>
    <col min="10" max="10" width="14.21875" customWidth="1"/>
    <col min="11" max="11" width="7.109375" customWidth="1"/>
    <col min="12" max="12" width="10.109375" customWidth="1"/>
    <col min="13" max="13" width="20.77734375" customWidth="1"/>
    <col min="14" max="14" width="7.6640625" customWidth="1"/>
    <col min="15" max="17" width="14.6640625" customWidth="1"/>
    <col min="18" max="18" width="12.33203125" customWidth="1"/>
    <col min="19" max="19" width="12.21875" customWidth="1"/>
    <col min="20" max="21" width="8.77734375" customWidth="1"/>
    <col min="22" max="24" width="8.77734375" hidden="1" customWidth="1"/>
    <col min="25" max="25" width="8.77734375" customWidth="1"/>
    <col min="26" max="26" width="9" customWidth="1"/>
    <col min="27" max="27" width="9.33203125" customWidth="1"/>
    <col min="28" max="28" width="66.77734375" customWidth="1"/>
    <col min="29" max="29" width="14.109375" customWidth="1"/>
    <col min="30" max="33" width="16.33203125" customWidth="1"/>
    <col min="34" max="34" width="14" customWidth="1"/>
    <col min="35" max="35" width="14" hidden="1" customWidth="1"/>
    <col min="36" max="36" width="14.21875" customWidth="1"/>
    <col min="37" max="37" width="14.6640625" customWidth="1"/>
    <col min="38" max="38" width="6.77734375" customWidth="1"/>
    <col min="39" max="39" width="12.33203125" customWidth="1"/>
    <col min="40" max="40" width="20.77734375" customWidth="1"/>
    <col min="41" max="41" width="9.6640625" customWidth="1"/>
    <col min="42" max="46" width="10.21875" customWidth="1"/>
    <col min="47" max="48" width="9.21875" customWidth="1"/>
    <col min="49" max="51" width="9.21875" hidden="1" customWidth="1"/>
    <col min="52" max="54" width="9.21875" customWidth="1"/>
    <col min="55" max="55" width="51" customWidth="1"/>
    <col min="56" max="56" width="9.109375" customWidth="1"/>
  </cols>
  <sheetData>
    <row r="1" spans="1:55" thickBot="1" x14ac:dyDescent="0.35">
      <c r="A1" s="668" t="s">
        <v>414</v>
      </c>
      <c r="B1" s="669" t="s">
        <v>415</v>
      </c>
      <c r="C1" s="670" t="s">
        <v>416</v>
      </c>
      <c r="D1" s="671"/>
      <c r="E1" s="671"/>
      <c r="F1" s="671"/>
      <c r="G1" s="671"/>
      <c r="H1" s="671"/>
      <c r="I1" s="671"/>
      <c r="J1" s="88"/>
      <c r="K1" s="88"/>
      <c r="L1" s="672"/>
      <c r="M1" s="672"/>
      <c r="N1" s="673"/>
      <c r="O1" s="88"/>
      <c r="P1" s="674"/>
      <c r="Q1" s="1157"/>
      <c r="R1" s="1157"/>
      <c r="S1" s="1157"/>
      <c r="T1" s="672"/>
      <c r="U1" s="672"/>
      <c r="V1" s="672"/>
      <c r="W1" s="672"/>
      <c r="X1" s="672"/>
      <c r="Y1" s="675"/>
      <c r="Z1" s="672"/>
      <c r="AA1" s="1331"/>
      <c r="AB1" s="1331"/>
      <c r="AC1" s="676" t="s">
        <v>414</v>
      </c>
      <c r="AD1" s="677" t="s">
        <v>415</v>
      </c>
      <c r="AE1" s="678" t="s">
        <v>416</v>
      </c>
      <c r="AF1" s="673"/>
      <c r="AG1" s="88"/>
      <c r="AH1" s="88"/>
      <c r="AI1" s="88"/>
      <c r="AJ1" s="88"/>
      <c r="AK1" s="88"/>
      <c r="AL1" s="88"/>
      <c r="AM1" s="88"/>
      <c r="AN1" s="88"/>
      <c r="AO1" s="673"/>
      <c r="AP1" s="673"/>
      <c r="AQ1" s="673"/>
      <c r="AR1" s="673"/>
      <c r="AS1" s="673"/>
      <c r="AT1" s="673"/>
      <c r="AU1" s="673"/>
      <c r="AV1" s="673"/>
      <c r="AW1" s="673"/>
      <c r="AX1" s="673"/>
      <c r="AY1" s="673"/>
      <c r="AZ1" s="673"/>
      <c r="BA1" s="673"/>
      <c r="BB1" s="362"/>
      <c r="BC1" s="362"/>
    </row>
    <row r="2" spans="1:55" ht="15" customHeight="1" thickBot="1" x14ac:dyDescent="0.35">
      <c r="A2" s="679" t="s">
        <v>417</v>
      </c>
      <c r="B2" s="680" t="str">
        <f ca="1">IF(COUNTBLANK(AB16:AB43)+COUNTBLANK(AB49)+COUNTBLANK(AB57:AB75)+COUNTBLANK(AB79:AB97)+COUNTBLANK(AB101:AB113)+COUNTBLANK(AB120:AB125)-82=0,"YES","NO")</f>
        <v>NO</v>
      </c>
      <c r="C2" s="681">
        <f ca="1">IF((SUM(Y16:Y43,Y49,Y57:Y75,Y79:Y97,Y101:Y113,Y120:Y125)-(SUMIF(AB16:AB43,"",Y16:Y43)+SUMIF(AB49,"",Y49)+SUMIF(AB57:AB75,"",Y57:Y75)+SUMIF(AB79:AB97,"", Y79:Y97)+SUMIF(AB101:AB113,"", Y101:Y113)+SUMIF(AB120:AB125,"",Y120:Y125)))=0,"",SUM(Y16:Y43,Y49,Y57:Y75,Y79:Y97,Y101:Y113,Y120:Y125)-(SUMIF(AB16:AB43,"",Y16:Y43)+SUMIF(AB49,"",Y49)+SUMIF(AB57:AB75,"",Y57:Y75)+SUMIF(AB79:AB97,"",Y79:Y97)+SUMIF(AB101:AB113,"",Y101:Y113)+SUMIF(AB120:AB125,"",Y120:Y125)))</f>
        <v>0.52598335708174693</v>
      </c>
      <c r="D2" s="1157"/>
      <c r="E2" s="1157"/>
      <c r="F2" s="1157"/>
      <c r="G2" s="671"/>
      <c r="H2" s="671"/>
      <c r="I2" s="671"/>
      <c r="J2" s="2269" t="s">
        <v>418</v>
      </c>
      <c r="K2" s="2270"/>
      <c r="L2" s="682" t="s">
        <v>417</v>
      </c>
      <c r="M2" s="682" t="s">
        <v>250</v>
      </c>
      <c r="N2" s="1174" t="s">
        <v>249</v>
      </c>
      <c r="O2" s="683" t="s">
        <v>419</v>
      </c>
      <c r="P2" s="684" t="s">
        <v>420</v>
      </c>
      <c r="Q2" s="1157"/>
      <c r="R2" s="1157"/>
      <c r="S2" s="1157"/>
      <c r="T2" s="1157"/>
      <c r="U2" s="672"/>
      <c r="V2" s="672"/>
      <c r="W2" s="672"/>
      <c r="X2" s="672"/>
      <c r="Y2" s="672"/>
      <c r="Z2" s="672"/>
      <c r="AA2" s="1331"/>
      <c r="AB2" s="1331"/>
      <c r="AC2" s="685" t="s">
        <v>417</v>
      </c>
      <c r="AD2" s="680" t="str">
        <f ca="1">IF(COUNTBLANK(BC16:BC43)+COUNTBLANK(BC49)-25=0,"YES","NO")</f>
        <v>NO</v>
      </c>
      <c r="AE2" s="681" t="str">
        <f ca="1">IF((SUM(BA16:BA43,BA49)-(SUMIF(BC16:BC43,"",BA16:BA43)+SUMIF(BC49,"",BA49)))=0,"",(SUM(BA16:BA43,BA49)-(SUMIF(BC16:BC43,"",BA16:BA43)+SUMIF(BC49,"",BA49))))</f>
        <v/>
      </c>
      <c r="AF2" s="673"/>
      <c r="AG2" s="88"/>
      <c r="AH2" s="1331"/>
      <c r="AI2" s="1331"/>
      <c r="AJ2" s="1331"/>
      <c r="AK2" s="2271" t="s">
        <v>418</v>
      </c>
      <c r="AL2" s="2272"/>
      <c r="AM2" s="686" t="s">
        <v>417</v>
      </c>
      <c r="AN2" s="686" t="s">
        <v>250</v>
      </c>
      <c r="AO2" s="1175" t="s">
        <v>249</v>
      </c>
      <c r="AP2" s="106"/>
      <c r="AQ2" s="106"/>
      <c r="AR2" s="106"/>
      <c r="AS2" s="106"/>
      <c r="AT2" s="106"/>
      <c r="AU2" s="106"/>
      <c r="AV2" s="106"/>
      <c r="AW2" s="106"/>
      <c r="AX2" s="106"/>
      <c r="AY2" s="106"/>
      <c r="AZ2" s="106"/>
      <c r="BA2" s="106"/>
      <c r="BB2" s="362"/>
      <c r="BC2" s="362"/>
    </row>
    <row r="3" spans="1:55" ht="12.75" customHeight="1" x14ac:dyDescent="0.3">
      <c r="A3" s="679" t="s">
        <v>250</v>
      </c>
      <c r="B3" s="687" t="str">
        <f ca="1">IF(COUNTBLANK(AB140:AB142)-3=0,"YES","NO")</f>
        <v>NO</v>
      </c>
      <c r="C3" s="681">
        <f ca="1">IF(AB140="","",T140)</f>
        <v>6.0459068243039621E-2</v>
      </c>
      <c r="D3" s="1157"/>
      <c r="E3" s="1157"/>
      <c r="F3" s="1157"/>
      <c r="G3" s="671"/>
      <c r="H3" s="671"/>
      <c r="I3" s="671"/>
      <c r="J3" s="688" t="s">
        <v>395</v>
      </c>
      <c r="K3" s="689" t="s">
        <v>421</v>
      </c>
      <c r="L3" s="1124">
        <f>'QA config'!C6</f>
        <v>0.05</v>
      </c>
      <c r="M3" s="1124">
        <f>'QA config'!D6</f>
        <v>0.25</v>
      </c>
      <c r="N3" s="1124">
        <f>'QA config'!E6</f>
        <v>0.25</v>
      </c>
      <c r="O3" s="1124">
        <f>'QA config'!F6</f>
        <v>0.25</v>
      </c>
      <c r="P3" s="1124">
        <f>'QA config'!G6</f>
        <v>0.25</v>
      </c>
      <c r="Q3" s="1157"/>
      <c r="R3" s="1157"/>
      <c r="S3" s="1157"/>
      <c r="T3" s="1157"/>
      <c r="U3" s="672"/>
      <c r="V3" s="672"/>
      <c r="W3" s="672"/>
      <c r="X3" s="672"/>
      <c r="Y3" s="672"/>
      <c r="Z3" s="672"/>
      <c r="AA3" s="1331"/>
      <c r="AB3" s="1331"/>
      <c r="AC3" s="685" t="s">
        <v>250</v>
      </c>
      <c r="AD3" s="687" t="str">
        <f ca="1">IF(COUNTBLANK(BC140:BC142)-3=0,"YES","NO")</f>
        <v>NO</v>
      </c>
      <c r="AE3" s="681">
        <f ca="1">IF(BC140="","",AU140)</f>
        <v>0.5755780638679715</v>
      </c>
      <c r="AF3" s="673"/>
      <c r="AG3" s="88"/>
      <c r="AH3" s="1331"/>
      <c r="AI3" s="1331"/>
      <c r="AJ3" s="1331"/>
      <c r="AK3" s="690" t="s">
        <v>395</v>
      </c>
      <c r="AL3" s="691" t="s">
        <v>421</v>
      </c>
      <c r="AM3" s="692">
        <f t="shared" ref="AM3:AO4" si="0">+L3</f>
        <v>0.05</v>
      </c>
      <c r="AN3" s="692">
        <f t="shared" si="0"/>
        <v>0.25</v>
      </c>
      <c r="AO3" s="693">
        <f t="shared" si="0"/>
        <v>0.25</v>
      </c>
      <c r="AP3" s="106"/>
      <c r="AQ3" s="106"/>
      <c r="AR3" s="106"/>
      <c r="AS3" s="106"/>
      <c r="AT3" s="106"/>
      <c r="AU3" s="106"/>
      <c r="AV3" s="106"/>
      <c r="AW3" s="106"/>
      <c r="AX3" s="106"/>
      <c r="AY3" s="106"/>
      <c r="AZ3" s="106"/>
      <c r="BA3" s="106"/>
      <c r="BB3" s="591"/>
      <c r="BC3" s="362"/>
    </row>
    <row r="4" spans="1:55" thickBot="1" x14ac:dyDescent="0.35">
      <c r="A4" s="694" t="s">
        <v>249</v>
      </c>
      <c r="B4" s="687" t="str">
        <f ca="1">IF(COUNTBLANK(AB149:AB157)+COUNTBLANK(AB161)-10=0,"YES","NO")</f>
        <v>NO</v>
      </c>
      <c r="C4" s="681">
        <f ca="1">IF((SUM(Y149:Y157,Y161)-(SUMIF(AB149:AB157,"",Y149:Y157)+SUMIF(AB161,"",Y161)))=0,"",SUM(Y149:Y157,Y161)-(SUMIF(AB149:AB157,"",Y149:Y157)+SUMIF(AB161,"",Y161)))</f>
        <v>8.3261739168421139E-2</v>
      </c>
      <c r="D4" s="1157"/>
      <c r="E4" s="1157"/>
      <c r="F4" s="1157"/>
      <c r="G4" s="671"/>
      <c r="H4" s="671"/>
      <c r="I4" s="671"/>
      <c r="J4" s="690" t="s">
        <v>394</v>
      </c>
      <c r="K4" s="691"/>
      <c r="L4" s="1124">
        <f>'QA config'!C7</f>
        <v>1E-3</v>
      </c>
      <c r="M4" s="1124">
        <f>'QA config'!D7</f>
        <v>0.05</v>
      </c>
      <c r="N4" s="1124">
        <f>'QA config'!E7</f>
        <v>0.05</v>
      </c>
      <c r="O4" s="1124">
        <f>'QA config'!F7</f>
        <v>0.05</v>
      </c>
      <c r="P4" s="1124">
        <f>'QA config'!G7</f>
        <v>0.05</v>
      </c>
      <c r="Q4" s="1157"/>
      <c r="R4" s="1157"/>
      <c r="S4" s="1157"/>
      <c r="T4" s="1157"/>
      <c r="U4" s="672"/>
      <c r="V4" s="672"/>
      <c r="W4" s="672"/>
      <c r="X4" s="672"/>
      <c r="Y4" s="672"/>
      <c r="Z4" s="672"/>
      <c r="AA4" s="1331"/>
      <c r="AB4" s="1331"/>
      <c r="AC4" s="695" t="s">
        <v>249</v>
      </c>
      <c r="AD4" s="696" t="str">
        <f ca="1">IF(COUNTBLANK(BC149:BC157)+COUNTBLANK(BC161)-10=0,"YES","NO")</f>
        <v>NO</v>
      </c>
      <c r="AE4" s="697" t="e">
        <f ca="1">IF((SUM(AZ149:AZ157,AZ161)-(SUMIF(BC149:BC157,"",AZ149:AZ157)+SUMIF(BC161,"",AZ161)))=0,"",SUM(AZ149:AZ157,AZ161)-(SUMIF(BC149:BC157,"",AZ149:AZ157)+SUMIF(BC161,"",AZ161)))</f>
        <v>#VALUE!</v>
      </c>
      <c r="AF4" s="673"/>
      <c r="AG4" s="88"/>
      <c r="AH4" s="1331"/>
      <c r="AI4" s="1331"/>
      <c r="AJ4" s="1331"/>
      <c r="AK4" s="690" t="s">
        <v>394</v>
      </c>
      <c r="AL4" s="691"/>
      <c r="AM4" s="692">
        <f t="shared" si="0"/>
        <v>1E-3</v>
      </c>
      <c r="AN4" s="692">
        <f t="shared" si="0"/>
        <v>0.05</v>
      </c>
      <c r="AO4" s="693">
        <f t="shared" si="0"/>
        <v>0.05</v>
      </c>
      <c r="AP4" s="106"/>
      <c r="AQ4" s="106"/>
      <c r="AR4" s="106"/>
      <c r="AS4" s="106"/>
      <c r="AT4" s="106"/>
      <c r="AU4" s="106"/>
      <c r="AV4" s="106"/>
      <c r="AW4" s="106"/>
      <c r="AX4" s="106"/>
      <c r="AY4" s="106"/>
      <c r="AZ4" s="106"/>
      <c r="BA4" s="106"/>
      <c r="BB4" s="698"/>
      <c r="BC4" s="362"/>
    </row>
    <row r="5" spans="1:55" thickBot="1" x14ac:dyDescent="0.35">
      <c r="A5" s="694" t="s">
        <v>397</v>
      </c>
      <c r="B5" s="687" t="str">
        <f ca="1">IF(COUNTBLANK(AB169)-1=0,"YES","NO")</f>
        <v>NO</v>
      </c>
      <c r="C5" s="681">
        <f ca="1">IF(AB169="","",+T169)</f>
        <v>5.8808975879483819E-2</v>
      </c>
      <c r="D5" s="1157"/>
      <c r="E5" s="1157"/>
      <c r="F5" s="1157"/>
      <c r="G5" s="671"/>
      <c r="H5" s="671"/>
      <c r="I5" s="671"/>
      <c r="J5" s="699" t="s">
        <v>396</v>
      </c>
      <c r="K5" s="700" t="s">
        <v>422</v>
      </c>
      <c r="L5" s="701">
        <f>+L4</f>
        <v>1E-3</v>
      </c>
      <c r="M5" s="701">
        <f>+M4</f>
        <v>0.05</v>
      </c>
      <c r="N5" s="701">
        <f>+N4</f>
        <v>0.05</v>
      </c>
      <c r="O5" s="701">
        <f>+O4</f>
        <v>0.05</v>
      </c>
      <c r="P5" s="702">
        <f>+P4</f>
        <v>0.05</v>
      </c>
      <c r="Q5" s="1157"/>
      <c r="R5" s="1157"/>
      <c r="S5" s="1157"/>
      <c r="T5" s="1157"/>
      <c r="U5" s="672"/>
      <c r="V5" s="672"/>
      <c r="W5" s="672"/>
      <c r="X5" s="672"/>
      <c r="Y5" s="672"/>
      <c r="Z5" s="672"/>
      <c r="AA5" s="672"/>
      <c r="AB5" s="672"/>
      <c r="AC5" s="672"/>
      <c r="AD5" s="672"/>
      <c r="AE5" s="672"/>
      <c r="AF5" s="672"/>
      <c r="AG5" s="88"/>
      <c r="AH5" s="1331"/>
      <c r="AI5" s="1331"/>
      <c r="AJ5" s="1331"/>
      <c r="AK5" s="699" t="s">
        <v>396</v>
      </c>
      <c r="AL5" s="700" t="s">
        <v>422</v>
      </c>
      <c r="AM5" s="701">
        <f>+AM4</f>
        <v>1E-3</v>
      </c>
      <c r="AN5" s="701">
        <f>+AN4</f>
        <v>0.05</v>
      </c>
      <c r="AO5" s="702">
        <f>+AO4</f>
        <v>0.05</v>
      </c>
      <c r="AP5" s="106"/>
      <c r="AQ5" s="106"/>
      <c r="AR5" s="106"/>
      <c r="AS5" s="106"/>
      <c r="AT5" s="106"/>
      <c r="AU5" s="106"/>
      <c r="AV5" s="106"/>
      <c r="AW5" s="106"/>
      <c r="AX5" s="106"/>
      <c r="AY5" s="106"/>
      <c r="AZ5" s="106"/>
      <c r="BA5" s="106"/>
      <c r="BB5" s="703"/>
      <c r="BC5" s="362"/>
    </row>
    <row r="6" spans="1:55" thickBot="1" x14ac:dyDescent="0.35">
      <c r="A6" s="704" t="s">
        <v>420</v>
      </c>
      <c r="B6" s="696" t="str">
        <f ca="1">IF(COUNTBLANK(AB177:AB178)-2=0,"YES","NO")</f>
        <v>NO</v>
      </c>
      <c r="C6" s="697">
        <f ca="1">IF(AB177="","",+T177)</f>
        <v>0.29044117647058826</v>
      </c>
      <c r="D6" s="1157"/>
      <c r="E6" s="1157"/>
      <c r="F6" s="1157"/>
      <c r="G6" s="671"/>
      <c r="H6" s="671"/>
      <c r="I6" s="671"/>
      <c r="J6" s="671"/>
      <c r="K6" s="671"/>
      <c r="L6" s="671"/>
      <c r="M6" s="1157"/>
      <c r="N6" s="705"/>
      <c r="O6" s="706"/>
      <c r="P6" s="706"/>
      <c r="Q6" s="706"/>
      <c r="R6" s="706"/>
      <c r="S6" s="1157"/>
      <c r="T6" s="1157"/>
      <c r="U6" s="1157"/>
      <c r="V6" s="1157"/>
      <c r="W6" s="1157"/>
      <c r="X6" s="1157"/>
      <c r="Y6" s="1157"/>
      <c r="Z6" s="672"/>
      <c r="AA6" s="1157"/>
      <c r="AB6" s="1157"/>
      <c r="AC6" s="1157"/>
      <c r="AD6" s="1157"/>
      <c r="AE6" s="1157"/>
      <c r="AF6" s="1157"/>
      <c r="AG6" s="1157"/>
      <c r="AH6" s="1157"/>
      <c r="AI6" s="1157"/>
      <c r="AJ6" s="88"/>
      <c r="AK6" s="88"/>
      <c r="AL6" s="88"/>
      <c r="AM6" s="88"/>
      <c r="AN6" s="88"/>
      <c r="AO6" s="88"/>
      <c r="AP6" s="88"/>
      <c r="AQ6" s="88"/>
      <c r="AR6" s="88"/>
      <c r="AS6" s="106"/>
      <c r="AT6" s="106"/>
      <c r="AU6" s="106"/>
      <c r="AV6" s="106"/>
      <c r="AW6" s="106"/>
      <c r="AX6" s="106"/>
      <c r="AY6" s="106"/>
      <c r="AZ6" s="106"/>
      <c r="BA6" s="106"/>
      <c r="BB6" s="106"/>
      <c r="BC6" s="106"/>
    </row>
    <row r="7" spans="1:55" ht="15.75" customHeight="1" thickBot="1" x14ac:dyDescent="0.35">
      <c r="A7" s="673"/>
      <c r="B7" s="673"/>
      <c r="C7" s="673"/>
      <c r="D7" s="673"/>
      <c r="E7" s="673"/>
      <c r="F7" s="673"/>
      <c r="G7" s="707"/>
      <c r="H7" s="707"/>
      <c r="I7" s="671"/>
      <c r="J7" s="2278" t="s">
        <v>413</v>
      </c>
      <c r="K7" s="1337" t="str">
        <f>C14</f>
        <v>Q2</v>
      </c>
      <c r="L7" s="1332">
        <f ca="1">INDIRECT(CONCATENATE("'",K7,"'!",IF(LEN(K7)=2,"F142","F137")))</f>
        <v>53616.781990404495</v>
      </c>
      <c r="M7" s="673"/>
      <c r="N7" s="673"/>
      <c r="O7" s="708" t="s">
        <v>423</v>
      </c>
      <c r="P7" s="1326" t="s">
        <v>424</v>
      </c>
      <c r="Q7" s="1329"/>
      <c r="R7" s="50"/>
      <c r="S7" s="50"/>
      <c r="T7" s="673"/>
      <c r="U7" s="88"/>
      <c r="V7" s="88"/>
      <c r="W7" s="88"/>
      <c r="X7" s="88"/>
      <c r="Y7" s="88"/>
      <c r="Z7" s="88"/>
      <c r="AA7" s="88"/>
      <c r="AB7" s="88"/>
      <c r="AC7" s="88"/>
      <c r="AD7" s="88"/>
      <c r="AE7" s="88"/>
      <c r="AF7" s="88"/>
      <c r="AG7" s="88"/>
      <c r="AH7" s="88"/>
      <c r="AI7" s="88"/>
      <c r="AJ7" s="88"/>
      <c r="AK7" s="2278" t="s">
        <v>413</v>
      </c>
      <c r="AL7" s="1337" t="str">
        <f>AD14</f>
        <v>Q2</v>
      </c>
      <c r="AM7" s="1362">
        <f ca="1">INDIRECT(CONCATENATE("'",AL7,"'!",IF(LEN(AL7)=2,"H142","H137")))</f>
        <v>794.6497385104999</v>
      </c>
      <c r="AN7" s="88"/>
      <c r="AO7" s="88"/>
      <c r="AP7" s="88"/>
      <c r="AQ7" s="88"/>
      <c r="AR7" s="88"/>
      <c r="AS7" s="106"/>
      <c r="AT7" s="106"/>
      <c r="AU7" s="106"/>
      <c r="AV7" s="106"/>
      <c r="AW7" s="106"/>
      <c r="AX7" s="106"/>
      <c r="AY7" s="106"/>
      <c r="AZ7" s="106"/>
      <c r="BA7" s="106"/>
      <c r="BB7" s="106"/>
      <c r="BC7" s="106"/>
    </row>
    <row r="8" spans="1:55" ht="14.4" x14ac:dyDescent="0.3">
      <c r="A8" s="673"/>
      <c r="B8" s="673"/>
      <c r="C8" s="673"/>
      <c r="D8" s="673"/>
      <c r="E8" s="673"/>
      <c r="F8" s="673"/>
      <c r="G8" s="673"/>
      <c r="H8" s="673"/>
      <c r="I8" s="671"/>
      <c r="J8" s="2279"/>
      <c r="K8" s="1336" t="str">
        <f>D14</f>
        <v>Q1</v>
      </c>
      <c r="L8" s="1333">
        <f ca="1">INDIRECT(CONCATENATE("'",K8,"'!",IF(LEN(K8)=2,"F142","F137")))</f>
        <v>73523.848819970561</v>
      </c>
      <c r="M8" s="673"/>
      <c r="N8" s="671"/>
      <c r="O8" s="712">
        <f>'QA config'!D3</f>
        <v>100</v>
      </c>
      <c r="P8" s="1327" t="s">
        <v>425</v>
      </c>
      <c r="Q8" s="1330"/>
      <c r="R8" s="50"/>
      <c r="S8" s="50"/>
      <c r="T8" s="673"/>
      <c r="U8" s="88"/>
      <c r="V8" s="88"/>
      <c r="W8" s="88"/>
      <c r="X8" s="88"/>
      <c r="Y8" s="88"/>
      <c r="Z8" s="88"/>
      <c r="AA8" s="88"/>
      <c r="AB8" s="88"/>
      <c r="AC8" s="88"/>
      <c r="AD8" s="88"/>
      <c r="AE8" s="88"/>
      <c r="AF8" s="88"/>
      <c r="AG8" s="88"/>
      <c r="AH8" s="88"/>
      <c r="AI8" s="88"/>
      <c r="AJ8" s="88"/>
      <c r="AK8" s="2279"/>
      <c r="AL8" s="1336" t="str">
        <f>AE14</f>
        <v>Q1</v>
      </c>
      <c r="AM8" s="1363">
        <f ca="1">INDIRECT(CONCATENATE("'",AL8,"'!",IF(LEN(AL8)=2,"H142","H137")))</f>
        <v>876.05685648478038</v>
      </c>
      <c r="AN8" s="88"/>
      <c r="AO8" s="88"/>
      <c r="AP8" s="88"/>
      <c r="AQ8" s="88"/>
      <c r="AR8" s="88"/>
      <c r="AS8" s="88"/>
      <c r="AT8" s="88"/>
      <c r="AU8" s="88"/>
      <c r="AV8" s="88"/>
      <c r="AW8" s="88"/>
      <c r="AX8" s="88"/>
      <c r="AY8" s="88"/>
      <c r="AZ8" s="88"/>
      <c r="BA8" s="88"/>
      <c r="BB8" s="88"/>
      <c r="BC8" s="88"/>
    </row>
    <row r="9" spans="1:55" thickBot="1" x14ac:dyDescent="0.35">
      <c r="A9" s="673"/>
      <c r="B9" s="673"/>
      <c r="C9" s="673"/>
      <c r="D9" s="673"/>
      <c r="E9" s="673"/>
      <c r="F9" s="673"/>
      <c r="G9" s="673"/>
      <c r="H9" s="673"/>
      <c r="I9" s="671"/>
      <c r="J9" s="2279"/>
      <c r="K9" s="1335" t="s">
        <v>525</v>
      </c>
      <c r="L9" s="1333">
        <f>'2019-2020'!$F$142</f>
        <v>127140.63081037506</v>
      </c>
      <c r="M9" s="673"/>
      <c r="N9" s="673"/>
      <c r="O9" s="714">
        <f>'QA config'!C3</f>
        <v>800</v>
      </c>
      <c r="P9" s="1328" t="s">
        <v>426</v>
      </c>
      <c r="Q9" s="1330"/>
      <c r="R9" s="50"/>
      <c r="S9" s="50"/>
      <c r="T9" s="673"/>
      <c r="U9" s="673"/>
      <c r="V9" s="673"/>
      <c r="W9" s="673"/>
      <c r="X9" s="673"/>
      <c r="Y9" s="709"/>
      <c r="Z9" s="196"/>
      <c r="AA9" s="196"/>
      <c r="AB9" s="88"/>
      <c r="AC9" s="50"/>
      <c r="AD9" s="88"/>
      <c r="AE9" s="88"/>
      <c r="AF9" s="88"/>
      <c r="AG9" s="88"/>
      <c r="AH9" s="88"/>
      <c r="AI9" s="88"/>
      <c r="AJ9" s="89"/>
      <c r="AK9" s="2279"/>
      <c r="AL9" s="1335" t="s">
        <v>525</v>
      </c>
      <c r="AM9" s="1363">
        <f>'2019-2020'!$H$142</f>
        <v>1670.7065949952803</v>
      </c>
      <c r="AN9" s="88"/>
      <c r="AO9" s="1170"/>
      <c r="AP9" s="88"/>
      <c r="AQ9" s="88"/>
      <c r="AR9" s="88"/>
      <c r="AS9" s="88"/>
      <c r="AT9" s="88"/>
      <c r="AU9" s="2227"/>
      <c r="AV9" s="2227"/>
      <c r="AW9" s="1164"/>
      <c r="AX9" s="1164"/>
      <c r="AY9" s="1164"/>
      <c r="AZ9" s="710"/>
      <c r="BA9" s="711"/>
      <c r="BB9" s="50"/>
      <c r="BC9" s="88"/>
    </row>
    <row r="10" spans="1:55" thickBot="1" x14ac:dyDescent="0.35">
      <c r="A10" s="673"/>
      <c r="B10" s="673"/>
      <c r="C10" s="671"/>
      <c r="D10" s="671"/>
      <c r="E10" s="671"/>
      <c r="F10" s="671"/>
      <c r="G10" s="671"/>
      <c r="H10" s="671"/>
      <c r="I10" s="671"/>
      <c r="J10" s="2280"/>
      <c r="K10" s="1338" t="s">
        <v>524</v>
      </c>
      <c r="L10" s="1334">
        <f>'2018-2019'!$F$142</f>
        <v>336511.49261138501</v>
      </c>
      <c r="M10" s="673"/>
      <c r="N10" s="673"/>
      <c r="O10" s="88"/>
      <c r="P10" s="88"/>
      <c r="Q10" s="88"/>
      <c r="R10" s="88"/>
      <c r="S10" s="88"/>
      <c r="T10" s="196"/>
      <c r="U10" s="196"/>
      <c r="V10" s="196"/>
      <c r="W10" s="196"/>
      <c r="X10" s="196"/>
      <c r="Y10" s="709"/>
      <c r="Z10" s="196"/>
      <c r="AA10" s="196"/>
      <c r="AB10" s="713"/>
      <c r="AC10" s="50"/>
      <c r="AD10" s="88"/>
      <c r="AE10" s="88"/>
      <c r="AF10" s="88"/>
      <c r="AG10" s="88"/>
      <c r="AH10" s="88"/>
      <c r="AI10" s="88"/>
      <c r="AJ10" s="89"/>
      <c r="AK10" s="2280"/>
      <c r="AL10" s="1338" t="s">
        <v>524</v>
      </c>
      <c r="AM10" s="1364">
        <f>'2018-2019'!$H$142</f>
        <v>7606.1139040172638</v>
      </c>
      <c r="AN10" s="88"/>
      <c r="AO10" s="362"/>
      <c r="AP10" s="88"/>
      <c r="AQ10" s="88"/>
      <c r="AR10" s="88"/>
      <c r="AS10" s="88"/>
      <c r="AT10" s="88"/>
      <c r="AU10" s="2227"/>
      <c r="AV10" s="2227"/>
      <c r="AW10" s="1164"/>
      <c r="AX10" s="1164"/>
      <c r="AY10" s="1164"/>
      <c r="AZ10" s="710"/>
      <c r="BA10" s="711"/>
      <c r="BB10" s="50"/>
      <c r="BC10" s="88"/>
    </row>
    <row r="11" spans="1:55" ht="14.4" x14ac:dyDescent="0.3">
      <c r="A11" s="673"/>
      <c r="B11" s="673"/>
      <c r="C11" s="671"/>
      <c r="D11" s="671"/>
      <c r="E11" s="671"/>
      <c r="F11" s="671"/>
      <c r="G11" s="671"/>
      <c r="H11" s="671"/>
      <c r="I11" s="671"/>
      <c r="J11" s="1331"/>
      <c r="K11" s="1331"/>
      <c r="L11" s="1331"/>
      <c r="M11" s="673"/>
      <c r="N11" s="1176"/>
      <c r="O11" s="88"/>
      <c r="P11" s="88"/>
      <c r="Q11" s="88"/>
      <c r="R11" s="88"/>
      <c r="S11" s="673"/>
      <c r="T11" s="1064"/>
      <c r="U11" s="196"/>
      <c r="V11" s="196"/>
      <c r="W11" s="196"/>
      <c r="X11" s="196"/>
      <c r="Y11" s="709"/>
      <c r="Z11" s="196"/>
      <c r="AA11" s="196"/>
      <c r="AB11" s="715"/>
      <c r="AC11" s="50"/>
      <c r="AD11" s="88"/>
      <c r="AE11" s="88"/>
      <c r="AF11" s="88"/>
      <c r="AG11" s="88"/>
      <c r="AH11" s="88"/>
      <c r="AI11" s="88"/>
      <c r="AJ11" s="89"/>
      <c r="AK11" s="88"/>
      <c r="AL11" s="716" t="s">
        <v>427</v>
      </c>
      <c r="AM11" s="665"/>
      <c r="AN11" s="88"/>
      <c r="AO11" s="1176"/>
      <c r="AP11" s="88"/>
      <c r="AQ11" s="88"/>
      <c r="AR11" s="88"/>
      <c r="AS11" s="88"/>
      <c r="AT11" s="673"/>
      <c r="AU11" s="2227"/>
      <c r="AV11" s="2227"/>
      <c r="AW11" s="1164"/>
      <c r="AX11" s="1164"/>
      <c r="AY11" s="1164"/>
      <c r="AZ11" s="710"/>
      <c r="BA11" s="711"/>
      <c r="BB11" s="50"/>
      <c r="BC11" s="665"/>
    </row>
    <row r="12" spans="1:55" ht="15" customHeight="1" thickBot="1" x14ac:dyDescent="0.35">
      <c r="A12" s="673"/>
      <c r="B12" s="673"/>
      <c r="C12" s="717"/>
      <c r="D12" s="717"/>
      <c r="E12" s="717"/>
      <c r="F12" s="717"/>
      <c r="G12" s="1057"/>
      <c r="H12" s="1057"/>
      <c r="I12" s="671"/>
      <c r="J12" s="92"/>
      <c r="K12" s="88"/>
      <c r="L12" s="93"/>
      <c r="M12" s="718"/>
      <c r="N12" s="90"/>
      <c r="O12" s="92"/>
      <c r="P12" s="92"/>
      <c r="Q12" s="1065"/>
      <c r="R12" s="1064"/>
      <c r="S12" s="1064"/>
      <c r="T12" s="1064"/>
      <c r="U12" s="196"/>
      <c r="V12" s="196"/>
      <c r="W12" s="196"/>
      <c r="X12" s="196"/>
      <c r="Y12" s="709"/>
      <c r="Z12" s="196"/>
      <c r="AA12" s="196"/>
      <c r="AB12" s="719"/>
      <c r="AC12" s="50"/>
      <c r="AD12" s="91"/>
      <c r="AE12" s="91"/>
      <c r="AF12" s="91"/>
      <c r="AG12" s="91"/>
      <c r="AH12" s="673"/>
      <c r="AI12" s="673"/>
      <c r="AJ12" s="720"/>
      <c r="AK12" s="92"/>
      <c r="AL12" s="88"/>
      <c r="AM12" s="93"/>
      <c r="AN12" s="718"/>
      <c r="AO12" s="90"/>
      <c r="AP12" s="92"/>
      <c r="AQ12" s="92"/>
      <c r="AR12" s="92"/>
      <c r="AS12" s="93"/>
      <c r="AT12" s="93"/>
      <c r="AU12" s="2273"/>
      <c r="AV12" s="2273"/>
      <c r="AW12" s="2273"/>
      <c r="AX12" s="2273"/>
      <c r="AY12" s="2273"/>
      <c r="AZ12" s="2273"/>
      <c r="BA12" s="2273"/>
      <c r="BB12" s="50"/>
      <c r="BC12" s="93"/>
    </row>
    <row r="13" spans="1:55" ht="28.2" customHeight="1" x14ac:dyDescent="0.3">
      <c r="A13" s="2274" t="str">
        <f>+Performance!C2</f>
        <v>MINISTRY OF JUSTICE (MoJ)</v>
      </c>
      <c r="B13" s="2275"/>
      <c r="C13" s="1244" t="s">
        <v>176</v>
      </c>
      <c r="D13" s="2254" t="s">
        <v>177</v>
      </c>
      <c r="E13" s="2255"/>
      <c r="F13" s="2255"/>
      <c r="G13" s="2256"/>
      <c r="H13" s="2257"/>
      <c r="I13" s="2258"/>
      <c r="J13" s="2168" t="s">
        <v>428</v>
      </c>
      <c r="K13" s="2169"/>
      <c r="L13" s="2173" t="s">
        <v>429</v>
      </c>
      <c r="M13" s="2171"/>
      <c r="N13" s="2174"/>
      <c r="O13" s="2173" t="s">
        <v>430</v>
      </c>
      <c r="P13" s="2170"/>
      <c r="Q13" s="2170"/>
      <c r="R13" s="2171"/>
      <c r="S13" s="2174"/>
      <c r="T13" s="2173" t="s">
        <v>418</v>
      </c>
      <c r="U13" s="2268"/>
      <c r="V13" s="2268"/>
      <c r="W13" s="2268"/>
      <c r="X13" s="2268"/>
      <c r="Y13" s="2171"/>
      <c r="Z13" s="2171"/>
      <c r="AA13" s="2174"/>
      <c r="AB13" s="2152" t="s">
        <v>431</v>
      </c>
      <c r="AC13" s="2266" t="s">
        <v>432</v>
      </c>
      <c r="AD13" s="1320" t="s">
        <v>176</v>
      </c>
      <c r="AE13" s="2217" t="s">
        <v>177</v>
      </c>
      <c r="AF13" s="2219"/>
      <c r="AG13" s="2219"/>
      <c r="AH13" s="2219"/>
      <c r="AI13" s="2219"/>
      <c r="AJ13" s="2221"/>
      <c r="AK13" s="2198" t="s">
        <v>428</v>
      </c>
      <c r="AL13" s="2199"/>
      <c r="AM13" s="2185" t="s">
        <v>429</v>
      </c>
      <c r="AN13" s="2183"/>
      <c r="AO13" s="2186"/>
      <c r="AP13" s="2182" t="s">
        <v>430</v>
      </c>
      <c r="AQ13" s="2182"/>
      <c r="AR13" s="2182"/>
      <c r="AS13" s="2183"/>
      <c r="AT13" s="2184"/>
      <c r="AU13" s="2185" t="s">
        <v>418</v>
      </c>
      <c r="AV13" s="2183"/>
      <c r="AW13" s="2183"/>
      <c r="AX13" s="2183"/>
      <c r="AY13" s="2183"/>
      <c r="AZ13" s="2183"/>
      <c r="BA13" s="2183"/>
      <c r="BB13" s="2186"/>
      <c r="BC13" s="2211" t="s">
        <v>433</v>
      </c>
    </row>
    <row r="14" spans="1:55" ht="55.8" thickBot="1" x14ac:dyDescent="0.35">
      <c r="A14" s="2276"/>
      <c r="B14" s="2277"/>
      <c r="C14" s="1250" t="s">
        <v>201</v>
      </c>
      <c r="D14" s="821" t="s">
        <v>199</v>
      </c>
      <c r="E14" s="1251" t="s">
        <v>561</v>
      </c>
      <c r="F14" s="1251" t="s">
        <v>560</v>
      </c>
      <c r="G14" s="822" t="s">
        <v>559</v>
      </c>
      <c r="H14" s="1339" t="s">
        <v>557</v>
      </c>
      <c r="I14" s="823" t="s">
        <v>178</v>
      </c>
      <c r="J14" s="724" t="s">
        <v>434</v>
      </c>
      <c r="K14" s="725" t="s">
        <v>435</v>
      </c>
      <c r="L14" s="1052" t="s">
        <v>436</v>
      </c>
      <c r="M14" s="726" t="s">
        <v>437</v>
      </c>
      <c r="N14" s="727" t="s">
        <v>435</v>
      </c>
      <c r="O14" s="728" t="s">
        <v>438</v>
      </c>
      <c r="P14" s="925" t="s">
        <v>470</v>
      </c>
      <c r="Q14" s="925" t="s">
        <v>471</v>
      </c>
      <c r="R14" s="1169" t="s">
        <v>439</v>
      </c>
      <c r="S14" s="729" t="s">
        <v>440</v>
      </c>
      <c r="T14" s="2261" t="s">
        <v>441</v>
      </c>
      <c r="U14" s="2262"/>
      <c r="V14" s="829" t="str">
        <f>C14</f>
        <v>Q2</v>
      </c>
      <c r="W14" s="829" t="str">
        <f>D14</f>
        <v>Q1</v>
      </c>
      <c r="X14" s="829" t="str">
        <f>H14</f>
        <v>2018-2019</v>
      </c>
      <c r="Y14" s="2157" t="s">
        <v>442</v>
      </c>
      <c r="Z14" s="2155"/>
      <c r="AA14" s="830" t="s">
        <v>435</v>
      </c>
      <c r="AB14" s="2153"/>
      <c r="AC14" s="2267"/>
      <c r="AD14" s="1386" t="str">
        <f t="shared" ref="AD14:AI14" si="1">C14</f>
        <v>Q2</v>
      </c>
      <c r="AE14" s="832" t="str">
        <f t="shared" si="1"/>
        <v>Q1</v>
      </c>
      <c r="AF14" s="1385" t="str">
        <f t="shared" si="1"/>
        <v>Q4-19</v>
      </c>
      <c r="AG14" s="1385" t="str">
        <f t="shared" si="1"/>
        <v>Q3-19</v>
      </c>
      <c r="AH14" s="833" t="str">
        <f t="shared" si="1"/>
        <v>Q2-19</v>
      </c>
      <c r="AI14" s="833" t="str">
        <f t="shared" si="1"/>
        <v>2018-2019</v>
      </c>
      <c r="AJ14" s="834" t="str">
        <f t="shared" ref="AJ14" si="2">I14</f>
        <v>25% of previous year total</v>
      </c>
      <c r="AK14" s="958" t="s">
        <v>434</v>
      </c>
      <c r="AL14" s="959" t="s">
        <v>435</v>
      </c>
      <c r="AM14" s="1167" t="s">
        <v>436</v>
      </c>
      <c r="AN14" s="837" t="s">
        <v>437</v>
      </c>
      <c r="AO14" s="927" t="s">
        <v>435</v>
      </c>
      <c r="AP14" s="928" t="s">
        <v>438</v>
      </c>
      <c r="AQ14" s="730" t="s">
        <v>470</v>
      </c>
      <c r="AR14" s="730" t="s">
        <v>471</v>
      </c>
      <c r="AS14" s="1168" t="s">
        <v>439</v>
      </c>
      <c r="AT14" s="1162" t="s">
        <v>440</v>
      </c>
      <c r="AU14" s="1167" t="s">
        <v>441</v>
      </c>
      <c r="AV14" s="1168" t="s">
        <v>444</v>
      </c>
      <c r="AW14" s="1168" t="str">
        <f>AD14</f>
        <v>Q2</v>
      </c>
      <c r="AX14" s="1168" t="str">
        <f>AE14</f>
        <v>Q1</v>
      </c>
      <c r="AY14" s="1168" t="str">
        <f>AI14</f>
        <v>2018-2019</v>
      </c>
      <c r="AZ14" s="1168" t="s">
        <v>442</v>
      </c>
      <c r="BA14" s="1168" t="s">
        <v>443</v>
      </c>
      <c r="BB14" s="732" t="s">
        <v>435</v>
      </c>
      <c r="BC14" s="2212"/>
    </row>
    <row r="15" spans="1:55" ht="12.75" customHeight="1" thickBot="1" x14ac:dyDescent="0.35">
      <c r="A15" s="2264" t="s">
        <v>32</v>
      </c>
      <c r="B15" s="2265"/>
      <c r="C15" s="1177">
        <f t="shared" ref="C15:H15" ca="1" si="3">INDIRECT(CONCATENATE("'",C$14,"'!$D$19"),TRUE)</f>
        <v>199681147.51999998</v>
      </c>
      <c r="D15" s="733">
        <f t="shared" ca="1" si="3"/>
        <v>303985370.11227977</v>
      </c>
      <c r="E15" s="734">
        <f t="shared" ca="1" si="3"/>
        <v>482342086.93393362</v>
      </c>
      <c r="F15" s="734">
        <f t="shared" ca="1" si="3"/>
        <v>401159358.01937699</v>
      </c>
      <c r="G15" s="734">
        <f t="shared" ca="1" si="3"/>
        <v>201349605.94132331</v>
      </c>
      <c r="H15" s="734">
        <f t="shared" ca="1" si="3"/>
        <v>1373672655.4588969</v>
      </c>
      <c r="I15" s="735">
        <f ca="1">H15/4</f>
        <v>343418163.86472422</v>
      </c>
      <c r="J15" s="1281"/>
      <c r="K15" s="1271"/>
      <c r="L15" s="1272"/>
      <c r="M15" s="1273"/>
      <c r="N15" s="1274"/>
      <c r="O15" s="1275">
        <f ca="1">IF(OR(+$J15="missing?",+$J15="new category"),"",IF($D15=0,"",IF(SUM($C15:$I15)=0,"",IFERROR((($C15-$D15)/$D15),"N/A"))))</f>
        <v>-0.34312250801331023</v>
      </c>
      <c r="P15" s="1276">
        <f ca="1">IF(OR(+$J15="missing?",+$J15="new category"),"",IF($E15=0,"",IF(SUM($C15:$I15)=0,"",IFERROR((($C15-$E15)/$E15),"N/A"))))</f>
        <v>-0.58601757356630935</v>
      </c>
      <c r="Q15" s="1276">
        <f ca="1">IF(OR(+$J15="missing?",+$J15="new category"),"",IF($F15=0,"",IF(SUM($C15:$I15)=0,"",IFERROR((($C15-$F15)/$F15),"N/A"))))</f>
        <v>-0.50223983679235307</v>
      </c>
      <c r="R15" s="1276">
        <f ca="1">IF(OR(+$J15="missing?",+$J15="new category"),"",IF($G15=0,"",IF(SUM($C15:$I15)=0,"",IFERROR((($C15-$G15)/$G15),"N/A"))))</f>
        <v>-8.2863753992622486E-3</v>
      </c>
      <c r="S15" s="1277">
        <f ca="1">IF(OR(+$J15="missing?",+$J15="new category"),"",IF($I15=0,"",IF(SUM($C15:$I15)=0,"",IFERROR((($C15-$I15)/$I15),"N/A"))))</f>
        <v>-0.41854808938220184</v>
      </c>
      <c r="T15" s="1343"/>
      <c r="U15" s="1344"/>
      <c r="V15" s="1344"/>
      <c r="W15" s="1344"/>
      <c r="X15" s="1344"/>
      <c r="Y15" s="1345"/>
      <c r="Z15" s="1344"/>
      <c r="AA15" s="741"/>
      <c r="AB15" s="1278"/>
      <c r="AC15" s="742" t="str">
        <f ca="1">IF(AD15&gt;C15,"Offices only&gt;Total Estate","")</f>
        <v/>
      </c>
      <c r="AD15" s="1381">
        <f t="shared" ref="AD15:AI15" ca="1" si="4">INDIRECT(CONCATENATE("'",AD$14,"'!$G$19"),TRUE)</f>
        <v>3066005.5300000003</v>
      </c>
      <c r="AE15" s="995">
        <f t="shared" ca="1" si="4"/>
        <v>3408011.6600585929</v>
      </c>
      <c r="AF15" s="996">
        <f t="shared" ca="1" si="4"/>
        <v>5472091.390625</v>
      </c>
      <c r="AG15" s="996">
        <f t="shared" ca="1" si="4"/>
        <v>5127048.6480532698</v>
      </c>
      <c r="AH15" s="996">
        <f t="shared" ca="1" si="4"/>
        <v>7074443.3866157532</v>
      </c>
      <c r="AI15" s="996">
        <f t="shared" ca="1" si="4"/>
        <v>24322654.292481523</v>
      </c>
      <c r="AJ15" s="997">
        <f ca="1">AI15/4</f>
        <v>6080663.5731203808</v>
      </c>
      <c r="AK15" s="1382"/>
      <c r="AL15" s="1383"/>
      <c r="AM15" s="1389"/>
      <c r="AN15" s="1384"/>
      <c r="AO15" s="1390"/>
      <c r="AP15" s="1387">
        <f ca="1">IF(OR(+$AK15="missing?",+$AK15="new category"),"",IF($AE15=0,"",IF(SUM($AD15:$AJ15)=0,"",IFERROR((($AD15-$AE15)/$AE15),"N/A"))))</f>
        <v>-0.10035356805460949</v>
      </c>
      <c r="AQ15" s="745">
        <f ca="1">IF(OR(+$AK15="missing?",+$AK15="new category"),"",IF($AF15=0,"",IF(SUM($AD15:$AJ15)=0,"",IFERROR((($AD15-$AF15)/$AF15),"N/A"))))</f>
        <v>-0.43970132968670805</v>
      </c>
      <c r="AR15" s="739">
        <f ca="1">IF(OR(+$AK15="missing?",+$AK15="new category"),"",IF($AG15=0,"",IF(SUM($AD15:$AJ15)=0,"",IFERROR((($AD15-$AG15)/$AG15),"N/A"))))</f>
        <v>-0.40199406316065356</v>
      </c>
      <c r="AS15" s="739">
        <f ca="1">IF(OR(+$AK15="missing?",+$AK15="new category"),"",IF($AH15=0,"",IF(SUM($AD15:$AJ15)=0,"",IFERROR((($AD15-$AH15)/$AH15),"N/A"))))</f>
        <v>-0.56660823156764206</v>
      </c>
      <c r="AT15" s="1365">
        <f ca="1">IF(OR(+$AK15="missing?",+$AK15="new category"),"",IF($AJ15=0,"",IF(SUM($AD15:$AJ15)=0,"",IFERROR((($AD15-$AJ15)/$AJ15),"N/A"))))</f>
        <v>-0.49577780564060459</v>
      </c>
      <c r="AU15" s="1371"/>
      <c r="AV15" s="1372"/>
      <c r="AW15" s="1372"/>
      <c r="AX15" s="1372"/>
      <c r="AY15" s="1372"/>
      <c r="AZ15" s="1372"/>
      <c r="BA15" s="1372"/>
      <c r="BB15" s="1373"/>
      <c r="BC15" s="1368"/>
    </row>
    <row r="16" spans="1:55" ht="12.75" customHeight="1" x14ac:dyDescent="0.3">
      <c r="A16" s="2236" t="s">
        <v>36</v>
      </c>
      <c r="B16" s="1246" t="str">
        <f>'Q1'!C20</f>
        <v>Mains Standard Grid Electricity Consumption (Scope 2+3)*</v>
      </c>
      <c r="C16" s="1262">
        <f t="shared" ref="C16:H25" ca="1" si="5">INDEX(INDIRECT(CONCATENATE("'",C$14,"'!$D$20:$D$35"),TRUE),MATCH($B16,INDIRECT(CONCATENATE("'",C$14,"'!$C$20:$C$35"),TRUE),0))</f>
        <v>82581261</v>
      </c>
      <c r="D16" s="1263">
        <f t="shared" ca="1" si="5"/>
        <v>85866883.833344698</v>
      </c>
      <c r="E16" s="1264">
        <f t="shared" ca="1" si="5"/>
        <v>96807243.177263305</v>
      </c>
      <c r="F16" s="1264">
        <f t="shared" ca="1" si="5"/>
        <v>93973803.189505905</v>
      </c>
      <c r="G16" s="1264">
        <f t="shared" ca="1" si="5"/>
        <v>85861433.726936594</v>
      </c>
      <c r="H16" s="1264">
        <f t="shared" ca="1" si="5"/>
        <v>362017255.85655791</v>
      </c>
      <c r="I16" s="1265">
        <f t="shared" ref="I16:I43" ca="1" si="6">H16/4</f>
        <v>90504313.964139476</v>
      </c>
      <c r="J16" s="800" t="str">
        <f t="shared" ref="J16:J43" ca="1" si="7">IF(AND(C16&gt;0,SUM(D16:I16)&gt;0),"",IF(AND(C16=0,SUM(C16:I16)=0),"",IF(AND(C16=0,D16&gt;0),"Missing value?",IF(AND(C16=0,I16&gt;0),"Missing value?","New category"))))</f>
        <v/>
      </c>
      <c r="K16" s="801"/>
      <c r="L16" s="895"/>
      <c r="M16" s="763"/>
      <c r="N16" s="896"/>
      <c r="O16" s="802">
        <f t="shared" ref="O16:O34" ca="1" si="8">IF(OR(+$J16="missing?",+$J16="new category"),"",IF($D16=0,"",IF(SUM($C16:$I16)=0,"",IFERROR((($C16-$D16)/$D16),"N/A"))))</f>
        <v>-3.826414429713812E-2</v>
      </c>
      <c r="P16" s="764">
        <f t="shared" ref="P16:P43" ca="1" si="9">IF(OR(+$J16="missing?",+$J16="new category"),"",IF($E16=0,"",IF(SUM($C16:$I16)=0,"",IFERROR((($C16-$E16)/$E16),"N/A"))))</f>
        <v>-0.14695162996444566</v>
      </c>
      <c r="Q16" s="764">
        <f t="shared" ref="Q16:Q43" ca="1" si="10">IF(OR(+$J16="missing?",+$J16="new category"),"",IF($F16=0,"",IF(SUM($C16:$I16)=0,"",IFERROR((($C16-$F16)/$F16),"N/A"))))</f>
        <v>-0.12123104315073752</v>
      </c>
      <c r="R16" s="764">
        <f t="shared" ref="R16:R81" ca="1" si="11">IF(OR(+$J16="missing?",+$J16="new category"),"",IF($G16=0,"",IF(SUM($C16:$I16)=0,"",IFERROR((($C16-$G16)/$G16),"N/A"))))</f>
        <v>-3.8203097532338692E-2</v>
      </c>
      <c r="S16" s="803">
        <f t="shared" ref="S16:S81" ca="1" si="12">IF(OR(+$J16="missing?",+$J16="new category"),"",IF($I16=0,"",IF(SUM($C16:$I16)=0,"",IFERROR((($C16-$I16)/$I16),"N/A"))))</f>
        <v>-8.7543373537739069E-2</v>
      </c>
      <c r="T16" s="1243">
        <f ca="1">IF(SUM(C16:I16)=0,"",IF(OR(AND(C16=0,SUM(D16:I16)&gt;0),AND(C16&gt;0,SUM(D16:I16)=0)),1,IF(MAX(IF(O16&lt;0,-O16,O16),IF(P16&lt;0,-P16,P16),IF(Q16&lt;0,-Q16,Q16),IF(R16&lt;0,-R16,R16),IF(S16&lt;0,-S16,S16))=0,"",MAX(IF(O16&lt;0,-O16,O16),IF(P16&lt;0,-P16,P16),IF(Q16&lt;0,-Q16,Q16),IF(R16&lt;0,-R16,R16),IF(S16&lt;0,-S16,S16)))))</f>
        <v>0.14695162996444566</v>
      </c>
      <c r="U16" s="1166" t="str">
        <f t="shared" ref="U16:U43" ca="1" si="13">IF(+T16="","",IF(T16&gt;L$3,"H",IF(T16&gt;L$4,"M","")))</f>
        <v>H</v>
      </c>
      <c r="V16" s="1350">
        <f t="shared" ref="V16:X31" ca="1" si="14">INDEX(INDIRECT(CONCATENATE("'",V$14,"'!$F$20:$F$35"),TRUE),MATCH($B16,INDIRECT(CONCATENATE("'",V$14,"'!$C$20:$C$35"),TRUE),0))</f>
        <v>22899.783675300001</v>
      </c>
      <c r="W16" s="1350">
        <f t="shared" ca="1" si="14"/>
        <v>23810.886886986482</v>
      </c>
      <c r="X16" s="1350">
        <f t="shared" ca="1" si="14"/>
        <v>111211.70099913457</v>
      </c>
      <c r="Y16" s="1074">
        <f ca="1">IF(V16=0,IF(W16&gt;0, W16/L$8, IF(X16&gt;0,X16/L$10, "")), IF(T16="", "", V16/L$7*T16))</f>
        <v>6.2763194880304157E-2</v>
      </c>
      <c r="Z16" s="1166" t="str">
        <f t="shared" ref="Z16:Z43" ca="1" si="15">IF(+Y16="","",IF(Y16&gt;L$3,"H",IF(Y16&gt;L$4,"M","")))</f>
        <v>H</v>
      </c>
      <c r="AA16" s="751"/>
      <c r="AB16" s="1279" t="str">
        <f ca="1">IF(CONCATENATE(IF(K16="OK","",J16),"    ",IF(L16="","",IF(N16="OK","",CONCATENATE(M16," = ",ROUND(L16,3),"kgCO2e/kWh"))),"    ",IF(AND(+AA16="",Z16="M"),"Value change with medium impact",IF(AND(AA16="",Z16="H"),"Value change with high impact",""))," ")="         ","",CONCATENATE(IF(K16="OK","",J16),"    ",IF(L16="","",IF(N16="OK","",CONCATENATE(M16," = ",ROUND(L16,3),"kgCO2e/kWh"))),"    ",IF(AND(+AA16="",Z16="M"),"Value change with medium impact",IF(AND(AA16="",Z16="H"),"Value change with high impact",""))," "))</f>
        <v xml:space="preserve">        Value change with high impact </v>
      </c>
      <c r="AC16" s="1268" t="str">
        <f t="shared" ref="AC16:AC43" ca="1" si="16">IF(AD16&gt;C16,"Offices only&gt;Total Estate","")</f>
        <v/>
      </c>
      <c r="AD16" s="759">
        <f t="shared" ref="AD16:AI25" ca="1" si="17">INDEX(INDIRECT(CONCATENATE("'",AD$14,"'!$G$20:$G$35"),TRUE),MATCH($B16,INDIRECT(CONCATENATE("'",AD$14,"'!$C$20:$C$35"),TRUE),0))</f>
        <v>475651</v>
      </c>
      <c r="AE16" s="760">
        <f t="shared" ca="1" si="17"/>
        <v>447893.80078125</v>
      </c>
      <c r="AF16" s="761">
        <f t="shared" ca="1" si="17"/>
        <v>668313</v>
      </c>
      <c r="AG16" s="761">
        <f t="shared" ca="1" si="17"/>
        <v>608935</v>
      </c>
      <c r="AH16" s="761">
        <f t="shared" ca="1" si="17"/>
        <v>2117787</v>
      </c>
      <c r="AI16" s="761">
        <f t="shared" ca="1" si="17"/>
        <v>5409992</v>
      </c>
      <c r="AJ16" s="961">
        <f t="shared" ref="AJ16:AJ43" ca="1" si="18">AI16/4</f>
        <v>1352498</v>
      </c>
      <c r="AK16" s="1361" t="str">
        <f t="shared" ref="AK16:AK43" ca="1" si="19">IF(AND(AD16&gt;0,SUM(AE16:AJ16)&gt;0),"",IF(AND(AD16=0,SUM(AD16:AJ16)=0),"",IF(AND(AD16=0,AE16&gt;0),"Missing value?",IF(AND(AD16=0,AJ16&gt;0),"Missing value?","New category"))))</f>
        <v/>
      </c>
      <c r="AL16" s="801"/>
      <c r="AM16" s="895"/>
      <c r="AN16" s="763"/>
      <c r="AO16" s="1391"/>
      <c r="AP16" s="1388">
        <f t="shared" ref="AP16:AP43" ca="1" si="20">IF(OR(+$AK16="missing?",+$AK16="new category"),"",IF($AE16=0,"",IF(SUM($AD16:$AJ16)=0,"",IFERROR((($AD16-$AE16)/$AE16),"N/A"))))</f>
        <v>6.1972724718077833E-2</v>
      </c>
      <c r="AQ16" s="764">
        <f t="shared" ref="AQ16:AQ43" ca="1" si="21">IF(OR(+$AK16="missing?",+$AK16="new category"),"",IF($AF16=0,"",IF(SUM($AD16:$AJ16)=0,"",IFERROR((($AD16-$AF16)/$AF16),"N/A"))))</f>
        <v>-0.28828108984861883</v>
      </c>
      <c r="AR16" s="765">
        <f t="shared" ref="AR16:AR43" ca="1" si="22">IF(OR(+$AK16="missing?",+$AK16="new category"),"",IF($AG16=0,"",IF(SUM($AD16:$AJ16)=0,"",IFERROR((($AD16-$AG16)/$AG16),"N/A"))))</f>
        <v>-0.21888050448734264</v>
      </c>
      <c r="AS16" s="765">
        <f t="shared" ref="AS16:AS43" ca="1" si="23">IF(OR(+$AK16="missing?",+$AK16="new category"),"",IF($AH16=0,"",IF(SUM($AD16:$AJ16)=0,"",IFERROR((($AD16-$AH16)/$AH16),"N/A"))))</f>
        <v>-0.77540186997087057</v>
      </c>
      <c r="AT16" s="1366">
        <f ca="1">IF(OR(+$AK16="missing?",+$AK16="new category"),"",IF($AJ16=0,"",IF(SUM($AD16:$AJ16)=0,"",IFERROR((($AD16-$AJ16)/$AJ16),"N/A"))))</f>
        <v>-0.64831667033888407</v>
      </c>
      <c r="AU16" s="1376">
        <f ca="1">IF(MAX(IF(AP16&lt;0,-AP16,AP16),IF(AS16&lt;0,-AS16,AS16),IF(AT16&lt;0,-AT16,AT16))=0,"",MAX(IF(AP16&lt;0,-AP16,AP16),IF(AQ16&lt;0,-AQ16,AQ16),IF(AR16&lt;0,-AR16,AR16),IF(AS16&lt;0,-AS16,AS16),IF(AT16&lt;0,-AT16,AT16)))</f>
        <v>0.77540186997087057</v>
      </c>
      <c r="AV16" s="766" t="str">
        <f t="shared" ref="AV16:AV43" ca="1" si="24">IF(+AU16="","",IF(AU16&gt;L$3,"H",IF(AU16&gt;L$4,"M","")))</f>
        <v>H</v>
      </c>
      <c r="AW16" s="1349">
        <f t="shared" ref="AW16:AY31" ca="1" si="25">INDEX(INDIRECT(CONCATENATE("'",AW$14,"'!$H$20:$H$35"),TRUE),MATCH($B16,INDIRECT(CONCATENATE("'",AW$14,"'!$C$20:$C$35"),TRUE),0))</f>
        <v>131.89802229999998</v>
      </c>
      <c r="AX16" s="1349">
        <f t="shared" ca="1" si="25"/>
        <v>124.20095095664063</v>
      </c>
      <c r="AY16" s="1349">
        <f t="shared" ca="1" si="25"/>
        <v>1661.9495423999999</v>
      </c>
      <c r="AZ16" s="1377">
        <f ca="1">IF(AW16=0,IF(AX16&gt;0, AX16/AM$8, IF(AY16&gt;0,AY16/AM$10, "")), IF(AU16="", "", AW16/AM$7*AU16))</f>
        <v>0.12870321121426784</v>
      </c>
      <c r="BA16" s="766" t="str">
        <f t="shared" ref="BA16:BA43" ca="1" si="26">IF(+AZ16="","",IF(AZ16&gt;L$3,"H",IF(AZ16&gt;L$4,"M","")))</f>
        <v>H</v>
      </c>
      <c r="BB16" s="801"/>
      <c r="BC16" s="1279" t="str">
        <f ca="1">IF(CONCATENATE(AC16, "    ", IF(AL16="OK","",AK16), "    ",IF(AM16="","",IF(AO16="OK","",CONCATENATE(AN16," = ",ROUND(AM16,3),"kgCO2e/kWh"))),"    ",IF(AND(+BB16="",BA16="M"),"Value change with medium impact",IF(AND(BB16="",BA16="H"),"Value change with high impact",""))," ")="            ","",CONCATENATE(AC16, "    ", IF(AL16="OK","",AK16), "    ",IF(AM16="","",IF(AO16="OK","",CONCATENATE(AN16," = ",ROUND(AM16,3),"kgCO2e/kWh"))),"    ",IF(AND(+BB16="",BA16="M"),"Value change with medium impact",IF(AND(BB16="",BA16="H"),"Value change with high impact",""))," "))</f>
        <v xml:space="preserve">            Value change with high impact </v>
      </c>
    </row>
    <row r="17" spans="1:55" ht="12.75" customHeight="1" x14ac:dyDescent="0.3">
      <c r="A17" s="2236"/>
      <c r="B17" s="1246" t="str">
        <f>'Q1'!C21</f>
        <v>Mains Green Tariff  Electricity  Consumption (Scope 2+3)*</v>
      </c>
      <c r="C17" s="1252">
        <f t="shared" ca="1" si="5"/>
        <v>19147624</v>
      </c>
      <c r="D17" s="1258">
        <f t="shared" ca="1" si="5"/>
        <v>20428376</v>
      </c>
      <c r="E17" s="1060">
        <f t="shared" ca="1" si="5"/>
        <v>23655629</v>
      </c>
      <c r="F17" s="1060">
        <f t="shared" ca="1" si="5"/>
        <v>23265552</v>
      </c>
      <c r="G17" s="1060">
        <f t="shared" ca="1" si="5"/>
        <v>21526220</v>
      </c>
      <c r="H17" s="1060">
        <f t="shared" ca="1" si="5"/>
        <v>90146951</v>
      </c>
      <c r="I17" s="1266">
        <f t="shared" ca="1" si="6"/>
        <v>22536737.75</v>
      </c>
      <c r="J17" s="771" t="str">
        <f t="shared" ca="1" si="7"/>
        <v/>
      </c>
      <c r="K17" s="772"/>
      <c r="L17" s="773"/>
      <c r="M17" s="774"/>
      <c r="N17" s="775"/>
      <c r="O17" s="776">
        <f t="shared" ca="1" si="8"/>
        <v>-6.2694753611349227E-2</v>
      </c>
      <c r="P17" s="777">
        <f t="shared" ca="1" si="9"/>
        <v>-0.19056796164667614</v>
      </c>
      <c r="Q17" s="777">
        <f t="shared" ca="1" si="10"/>
        <v>-0.17699678907253091</v>
      </c>
      <c r="R17" s="777">
        <f t="shared" ca="1" si="11"/>
        <v>-0.11049761639526122</v>
      </c>
      <c r="S17" s="778">
        <f t="shared" ca="1" si="12"/>
        <v>-0.15038173614990041</v>
      </c>
      <c r="T17" s="1066">
        <f t="shared" ref="T17:T43" ca="1" si="27">IF(SUM(C17:I17)=0,"",IF(OR(AND(C17=0,SUM(D17:I17)&gt;0),AND(C17&gt;0,SUM(D17:I17)=0)),1,IF(MAX(IF(O17&lt;0,-O17,O17),IF(P17&lt;0,-P17,P17),IF(Q17&lt;0,-Q17,Q17),IF(R17&lt;0,-R17,R17),IF(S17&lt;0,-S17,S17))=0,"",MAX(IF(O17&lt;0,-O17,O17),IF(P17&lt;0,-P17,P17),IF(Q17&lt;0,-Q17,Q17),IF(R17&lt;0,-R17,R17),IF(S17&lt;0,-S17,S17)))))</f>
        <v>0.19056796164667614</v>
      </c>
      <c r="U17" s="1165" t="str">
        <f t="shared" ca="1" si="13"/>
        <v>H</v>
      </c>
      <c r="V17" s="1350">
        <f t="shared" ca="1" si="14"/>
        <v>5309.6361351999994</v>
      </c>
      <c r="W17" s="1350">
        <f t="shared" ca="1" si="14"/>
        <v>5664.7886648000003</v>
      </c>
      <c r="X17" s="1350">
        <f t="shared" ca="1" si="14"/>
        <v>27693.143347199999</v>
      </c>
      <c r="Y17" s="1067">
        <f t="shared" ref="Y17:Y31" ca="1" si="28">IF(V17=0,IF(W17&gt;0, W17/L$8, IF(X17&gt;0,X17/L$10, "")), IF(T17="", "", V17/L$7*T17))</f>
        <v>1.8871825160109084E-2</v>
      </c>
      <c r="Z17" s="1165" t="str">
        <f t="shared" ca="1" si="15"/>
        <v>M</v>
      </c>
      <c r="AA17" s="772"/>
      <c r="AB17" s="946" t="str">
        <f t="shared" ref="AB17:AB43" ca="1" si="29">IF(CONCATENATE(IF(K17="OK","",J17),"    ",IF(L17="","",IF(N17="OK","",CONCATENATE(M17," = ",ROUND(L17,3),"kgCO2e/kWh"))),"    ",IF(AND(+AA17="",Z17="M"),"Value change with medium impact",IF(AND(AA17="",Z17="H"),"Value change with high impact",""))," ")="         ","",CONCATENATE(IF(K17="OK","",J17),"    ",IF(L17="","",IF(N17="OK","",CONCATENATE(M17," = ",ROUND(L17,3),"kgCO2e/kWh"))),"    ",IF(AND(+AA17="",Z17="M"),"Value change with medium impact",IF(AND(AA17="",Z17="H"),"Value change with high impact",""))," "))</f>
        <v xml:space="preserve">        Value change with medium impact </v>
      </c>
      <c r="AC17" s="1269" t="str">
        <f t="shared" ca="1" si="16"/>
        <v/>
      </c>
      <c r="AD17" s="780">
        <f t="shared" ca="1" si="17"/>
        <v>1977946</v>
      </c>
      <c r="AE17" s="781">
        <f t="shared" ca="1" si="17"/>
        <v>2221918</v>
      </c>
      <c r="AF17" s="769">
        <f t="shared" ca="1" si="17"/>
        <v>2757691</v>
      </c>
      <c r="AG17" s="769">
        <f t="shared" ca="1" si="17"/>
        <v>3037924</v>
      </c>
      <c r="AH17" s="769">
        <f t="shared" ca="1" si="17"/>
        <v>4459287</v>
      </c>
      <c r="AI17" s="769">
        <f t="shared" ca="1" si="17"/>
        <v>14076710</v>
      </c>
      <c r="AJ17" s="967">
        <f t="shared" ca="1" si="18"/>
        <v>3519177.5</v>
      </c>
      <c r="AK17" s="771" t="str">
        <f t="shared" ca="1" si="19"/>
        <v/>
      </c>
      <c r="AL17" s="772"/>
      <c r="AM17" s="773"/>
      <c r="AN17" s="774"/>
      <c r="AO17" s="1392"/>
      <c r="AP17" s="938">
        <f t="shared" ca="1" si="20"/>
        <v>-0.10980243195293436</v>
      </c>
      <c r="AQ17" s="756">
        <f t="shared" ca="1" si="21"/>
        <v>-0.28275285374612313</v>
      </c>
      <c r="AR17" s="783">
        <f t="shared" ca="1" si="22"/>
        <v>-0.34891524606935526</v>
      </c>
      <c r="AS17" s="783">
        <f t="shared" ca="1" si="23"/>
        <v>-0.55644344039753435</v>
      </c>
      <c r="AT17" s="1367">
        <f ca="1">IF(OR(+$AK17="missing?",+$AK17="new category"),"",IF($AJ17=0,"",IF(SUM($AD17:$AJ17)=0,"",IFERROR((($AD17-$AJ17)/$AJ17),"N/A"))))</f>
        <v>-0.4379521919539438</v>
      </c>
      <c r="AU17" s="1369">
        <f t="shared" ref="AU17:AU43" ca="1" si="30">IF(MAX(IF(AP17&lt;0,-AP17,AP17),IF(AS17&lt;0,-AS17,AS17),IF(AT17&lt;0,-AT17,AT17))=0,"",MAX(IF(AP17&lt;0,-AP17,AP17),IF(AQ17&lt;0,-AQ17,AQ17),IF(AR17&lt;0,-AR17,AR17),IF(AS17&lt;0,-AS17,AS17),IF(AT17&lt;0,-AT17,AT17)))</f>
        <v>0.55644344039753435</v>
      </c>
      <c r="AV17" s="1165" t="str">
        <f t="shared" ca="1" si="24"/>
        <v>H</v>
      </c>
      <c r="AW17" s="1350">
        <f t="shared" ca="1" si="25"/>
        <v>548.48442579999994</v>
      </c>
      <c r="AX17" s="1350">
        <f t="shared" ca="1" si="25"/>
        <v>616.13786139999991</v>
      </c>
      <c r="AY17" s="1350">
        <f t="shared" ca="1" si="25"/>
        <v>4324.3653119999999</v>
      </c>
      <c r="AZ17" s="1357">
        <f t="shared" ref="AZ17:AZ31" ca="1" si="31">IF(AW17=0,IF(AX17&gt;0, AX17/AM$8, IF(AY17&gt;0,AY17/AM$10, "")), IF(AU17="", "", AW17/AM$7*AU17))</f>
        <v>0.38406929003549328</v>
      </c>
      <c r="BA17" s="1165" t="str">
        <f t="shared" ca="1" si="26"/>
        <v>H</v>
      </c>
      <c r="BB17" s="772"/>
      <c r="BC17" s="946" t="str">
        <f t="shared" ref="BC17" ca="1" si="32">IF(CONCATENATE(AC17, "    ", IF(AL17="OK","",AK17), "    ",IF(AM17="","",IF(AO17="OK","",CONCATENATE(AN17," = ",ROUND(AM17,3),"kgCO2e/kWh"))),"    ",IF(AND(+BB17="",BA17="M"),"Value change with medium impact",IF(AND(BB17="",BA17="H"),"Value change with high impact",""))," ")="            ","",CONCATENATE(AC17, "    ", IF(AL17="OK","",AK17), "    ",IF(AM17="","",IF(AO17="OK","",CONCATENATE(AN17," = ",ROUND(AM17,3),"kgCO2e/kWh"))),"    ",IF(AND(+BB17="",BA17="M"),"Value change with medium impact",IF(AND(BB17="",BA17="H"),"Value change with high impact",""))," "))</f>
        <v xml:space="preserve">            Value change with high impact </v>
      </c>
    </row>
    <row r="18" spans="1:55" ht="12.75" customHeight="1" x14ac:dyDescent="0.3">
      <c r="A18" s="2236"/>
      <c r="B18" s="1246" t="str">
        <f>'Q1'!C22</f>
        <v>CHP Bought Electricity (GQ)  Consumption (Scope 2+3)*</v>
      </c>
      <c r="C18" s="1252">
        <f t="shared" ca="1" si="5"/>
        <v>0</v>
      </c>
      <c r="D18" s="1258">
        <f t="shared" ca="1" si="5"/>
        <v>0</v>
      </c>
      <c r="E18" s="1060">
        <f t="shared" ca="1" si="5"/>
        <v>0</v>
      </c>
      <c r="F18" s="1060">
        <f t="shared" ca="1" si="5"/>
        <v>0</v>
      </c>
      <c r="G18" s="1060">
        <f t="shared" ca="1" si="5"/>
        <v>0</v>
      </c>
      <c r="H18" s="1060">
        <f t="shared" ca="1" si="5"/>
        <v>0</v>
      </c>
      <c r="I18" s="1266">
        <f t="shared" ca="1" si="6"/>
        <v>0</v>
      </c>
      <c r="J18" s="771" t="str">
        <f t="shared" ca="1" si="7"/>
        <v/>
      </c>
      <c r="K18" s="772"/>
      <c r="L18" s="773"/>
      <c r="M18" s="774"/>
      <c r="N18" s="775"/>
      <c r="O18" s="776" t="str">
        <f t="shared" ca="1" si="8"/>
        <v/>
      </c>
      <c r="P18" s="777" t="str">
        <f t="shared" ca="1" si="9"/>
        <v/>
      </c>
      <c r="Q18" s="777" t="str">
        <f t="shared" ca="1" si="10"/>
        <v/>
      </c>
      <c r="R18" s="777" t="str">
        <f t="shared" ca="1" si="11"/>
        <v/>
      </c>
      <c r="S18" s="778" t="str">
        <f t="shared" ca="1" si="12"/>
        <v/>
      </c>
      <c r="T18" s="1066" t="str">
        <f t="shared" ca="1" si="27"/>
        <v/>
      </c>
      <c r="U18" s="1165" t="str">
        <f t="shared" ca="1" si="13"/>
        <v/>
      </c>
      <c r="V18" s="1350">
        <f t="shared" ca="1" si="14"/>
        <v>0</v>
      </c>
      <c r="W18" s="1350">
        <f t="shared" ca="1" si="14"/>
        <v>0</v>
      </c>
      <c r="X18" s="1350">
        <f t="shared" ca="1" si="14"/>
        <v>0</v>
      </c>
      <c r="Y18" s="1067" t="str">
        <f t="shared" ca="1" si="28"/>
        <v/>
      </c>
      <c r="Z18" s="1165" t="str">
        <f t="shared" ca="1" si="15"/>
        <v/>
      </c>
      <c r="AA18" s="772"/>
      <c r="AB18" s="946" t="str">
        <f t="shared" ca="1" si="29"/>
        <v/>
      </c>
      <c r="AC18" s="1269" t="str">
        <f t="shared" ca="1" si="16"/>
        <v/>
      </c>
      <c r="AD18" s="780">
        <f t="shared" ca="1" si="17"/>
        <v>0</v>
      </c>
      <c r="AE18" s="781">
        <f t="shared" ca="1" si="17"/>
        <v>0</v>
      </c>
      <c r="AF18" s="769">
        <f t="shared" ca="1" si="17"/>
        <v>0</v>
      </c>
      <c r="AG18" s="769">
        <f t="shared" ca="1" si="17"/>
        <v>0</v>
      </c>
      <c r="AH18" s="769">
        <f t="shared" ca="1" si="17"/>
        <v>0</v>
      </c>
      <c r="AI18" s="769">
        <f t="shared" ca="1" si="17"/>
        <v>0</v>
      </c>
      <c r="AJ18" s="967">
        <f t="shared" ca="1" si="18"/>
        <v>0</v>
      </c>
      <c r="AK18" s="771" t="str">
        <f t="shared" ca="1" si="19"/>
        <v/>
      </c>
      <c r="AL18" s="772"/>
      <c r="AM18" s="773"/>
      <c r="AN18" s="774"/>
      <c r="AO18" s="1392"/>
      <c r="AP18" s="938" t="str">
        <f t="shared" ca="1" si="20"/>
        <v/>
      </c>
      <c r="AQ18" s="756" t="str">
        <f t="shared" ca="1" si="21"/>
        <v/>
      </c>
      <c r="AR18" s="783" t="str">
        <f t="shared" ca="1" si="22"/>
        <v/>
      </c>
      <c r="AS18" s="783" t="str">
        <f t="shared" ca="1" si="23"/>
        <v/>
      </c>
      <c r="AT18" s="1367" t="str">
        <f t="shared" ref="AT18:AT28" ca="1" si="33">IF(OR(+$AK18="missing?",+$AK18="new category"),"",IF($AJ18=0,"",IF(SUM($AD18:$AJ18)=0,"",IFERROR((($AD18-$AJ18)/$AJ18),"N/A"))))</f>
        <v/>
      </c>
      <c r="AU18" s="1369" t="str">
        <f t="shared" ca="1" si="30"/>
        <v/>
      </c>
      <c r="AV18" s="1165" t="str">
        <f t="shared" ca="1" si="24"/>
        <v/>
      </c>
      <c r="AW18" s="1350">
        <f t="shared" ca="1" si="25"/>
        <v>0</v>
      </c>
      <c r="AX18" s="1350">
        <f t="shared" ca="1" si="25"/>
        <v>0</v>
      </c>
      <c r="AY18" s="1350">
        <f t="shared" ca="1" si="25"/>
        <v>0</v>
      </c>
      <c r="AZ18" s="1357" t="str">
        <f t="shared" ca="1" si="31"/>
        <v/>
      </c>
      <c r="BA18" s="1165" t="str">
        <f t="shared" ca="1" si="26"/>
        <v/>
      </c>
      <c r="BB18" s="772"/>
      <c r="BC18" s="946" t="str">
        <f ca="1">IF(CONCATENATE(AC18, "    ", IF(AL18="OK","",AK18), "    ",IF(AM18="","",IF(AO18="OK","",CONCATENATE(AN18," = ",ROUND(AM18,3),"kgCO2e/kWh"))),"    ",IF(AND(+BB18="",BA18="M"),"Value change with medium impact",IF(AND(BB18="",BA18="H"),"Value change with high impact",""))," ")="             ","",CONCATENATE(AC18, "    ", IF(AL18="OK","",AK18), "    ",IF(AM18="","",IF(AO18="OK","",CONCATENATE(AN18," = ",ROUND(AM18,3),"kgCO2e/kWh"))),"    ",IF(AND(+BB18="",BA18="M"),"Value change with medium impact",IF(AND(BB18="",BA18="H"),"Value change with high impact",""))," "))</f>
        <v/>
      </c>
    </row>
    <row r="19" spans="1:55" ht="12.75" customHeight="1" x14ac:dyDescent="0.3">
      <c r="A19" s="2236"/>
      <c r="B19" s="1246" t="str">
        <f>'Q1'!C23</f>
        <v>CHP Bought Electricity (Other) Consumption (Scope 2+3)*</v>
      </c>
      <c r="C19" s="1252">
        <f t="shared" ca="1" si="5"/>
        <v>0</v>
      </c>
      <c r="D19" s="1258">
        <f t="shared" ca="1" si="5"/>
        <v>0</v>
      </c>
      <c r="E19" s="1060">
        <f t="shared" ca="1" si="5"/>
        <v>0</v>
      </c>
      <c r="F19" s="1060">
        <f t="shared" ca="1" si="5"/>
        <v>0</v>
      </c>
      <c r="G19" s="1060">
        <f t="shared" ca="1" si="5"/>
        <v>0</v>
      </c>
      <c r="H19" s="1060">
        <f t="shared" ca="1" si="5"/>
        <v>0</v>
      </c>
      <c r="I19" s="1266">
        <f t="shared" ca="1" si="6"/>
        <v>0</v>
      </c>
      <c r="J19" s="771" t="str">
        <f t="shared" ca="1" si="7"/>
        <v/>
      </c>
      <c r="K19" s="772"/>
      <c r="L19" s="773"/>
      <c r="M19" s="774"/>
      <c r="N19" s="775"/>
      <c r="O19" s="776" t="str">
        <f t="shared" ca="1" si="8"/>
        <v/>
      </c>
      <c r="P19" s="777" t="str">
        <f t="shared" ca="1" si="9"/>
        <v/>
      </c>
      <c r="Q19" s="777" t="str">
        <f t="shared" ca="1" si="10"/>
        <v/>
      </c>
      <c r="R19" s="777" t="str">
        <f t="shared" ca="1" si="11"/>
        <v/>
      </c>
      <c r="S19" s="778" t="str">
        <f t="shared" ca="1" si="12"/>
        <v/>
      </c>
      <c r="T19" s="1066" t="str">
        <f t="shared" ca="1" si="27"/>
        <v/>
      </c>
      <c r="U19" s="1165" t="str">
        <f t="shared" ca="1" si="13"/>
        <v/>
      </c>
      <c r="V19" s="1350">
        <f t="shared" ca="1" si="14"/>
        <v>0</v>
      </c>
      <c r="W19" s="1350">
        <f t="shared" ca="1" si="14"/>
        <v>0</v>
      </c>
      <c r="X19" s="1350">
        <f t="shared" ca="1" si="14"/>
        <v>0</v>
      </c>
      <c r="Y19" s="1067" t="str">
        <f t="shared" ca="1" si="28"/>
        <v/>
      </c>
      <c r="Z19" s="1165" t="str">
        <f t="shared" ca="1" si="15"/>
        <v/>
      </c>
      <c r="AA19" s="772"/>
      <c r="AB19" s="946" t="str">
        <f ca="1">IF(CONCATENATE(IF(K19="OK","",J19),"    ",IF(L19="","",IF(N19="OK","",CONCATENATE(M19," = ",ROUND(L19,3),"kgCO2e/kWh"))),"    ",IF(AND(+AA19="",Z19="M"),"Value change with medium impact",IF(AND(AA19="",Z19="H"),"Value change with high impact",""))," ")="         ","",CONCATENATE(IF(K19="OK","",J19),"    ",IF(L19="","",IF(N19="OK","",CONCATENATE(M19," = ",ROUND(L19,3),"kgCO2e/kWh"))),"    ",IF(AND(+AA19="",Z19="M"),"Value change with medium impact",IF(AND(AA19="",Z19="H"),"Value change with high impact",""))," "))</f>
        <v/>
      </c>
      <c r="AC19" s="1269" t="str">
        <f t="shared" ca="1" si="16"/>
        <v/>
      </c>
      <c r="AD19" s="780">
        <f t="shared" ca="1" si="17"/>
        <v>0</v>
      </c>
      <c r="AE19" s="781">
        <f t="shared" ca="1" si="17"/>
        <v>0</v>
      </c>
      <c r="AF19" s="769">
        <f t="shared" ca="1" si="17"/>
        <v>0</v>
      </c>
      <c r="AG19" s="769">
        <f t="shared" ca="1" si="17"/>
        <v>0</v>
      </c>
      <c r="AH19" s="769">
        <f t="shared" ca="1" si="17"/>
        <v>0</v>
      </c>
      <c r="AI19" s="769">
        <f t="shared" ca="1" si="17"/>
        <v>0</v>
      </c>
      <c r="AJ19" s="967">
        <f t="shared" ca="1" si="18"/>
        <v>0</v>
      </c>
      <c r="AK19" s="771" t="str">
        <f t="shared" ca="1" si="19"/>
        <v/>
      </c>
      <c r="AL19" s="772"/>
      <c r="AM19" s="773"/>
      <c r="AN19" s="774"/>
      <c r="AO19" s="1392"/>
      <c r="AP19" s="938" t="str">
        <f t="shared" ca="1" si="20"/>
        <v/>
      </c>
      <c r="AQ19" s="756" t="str">
        <f t="shared" ca="1" si="21"/>
        <v/>
      </c>
      <c r="AR19" s="783" t="str">
        <f t="shared" ca="1" si="22"/>
        <v/>
      </c>
      <c r="AS19" s="783" t="str">
        <f t="shared" ca="1" si="23"/>
        <v/>
      </c>
      <c r="AT19" s="1367" t="str">
        <f t="shared" ca="1" si="33"/>
        <v/>
      </c>
      <c r="AU19" s="1369" t="str">
        <f t="shared" ca="1" si="30"/>
        <v/>
      </c>
      <c r="AV19" s="1165" t="str">
        <f t="shared" ca="1" si="24"/>
        <v/>
      </c>
      <c r="AW19" s="1350">
        <f t="shared" ca="1" si="25"/>
        <v>0</v>
      </c>
      <c r="AX19" s="1350">
        <f t="shared" ca="1" si="25"/>
        <v>0</v>
      </c>
      <c r="AY19" s="1350">
        <f t="shared" ca="1" si="25"/>
        <v>0</v>
      </c>
      <c r="AZ19" s="1357" t="str">
        <f t="shared" ca="1" si="31"/>
        <v/>
      </c>
      <c r="BA19" s="1165" t="str">
        <f t="shared" ca="1" si="26"/>
        <v/>
      </c>
      <c r="BB19" s="772"/>
      <c r="BC19" s="946" t="str">
        <f t="shared" ref="BC19:BC43" ca="1" si="34">IF(CONCATENATE(AC19, "    ", IF(AL19="OK","",AK19), "    ",IF(AM19="","",IF(AO19="OK","",CONCATENATE(AN19," = ",ROUND(AM19,3),"kgCO2e/kWh"))),"    ",IF(AND(+BB19="",BA19="M"),"Value change with medium impact",IF(AND(BB19="",BA19="H"),"Value change with high impact",""))," ")="             ","",CONCATENATE(AC19, "    ", IF(AL19="OK","",AK19), "    ",IF(AM19="","",IF(AO19="OK","",CONCATENATE(AN19," = ",ROUND(AM19,3),"kgCO2e/kWh"))),"    ",IF(AND(+BB19="",BA19="M"),"Value change with medium impact",IF(AND(BB19="",BA19="H"),"Value change with high impact",""))," "))</f>
        <v/>
      </c>
    </row>
    <row r="20" spans="1:55" ht="12.75" customHeight="1" x14ac:dyDescent="0.3">
      <c r="A20" s="2236"/>
      <c r="B20" s="1246" t="str">
        <f>'Q1'!C24</f>
        <v>Natural Gas (Scope 1)</v>
      </c>
      <c r="C20" s="1252">
        <f t="shared" ca="1" si="5"/>
        <v>93348969.579999998</v>
      </c>
      <c r="D20" s="1258">
        <f t="shared" ca="1" si="5"/>
        <v>187582302.541558</v>
      </c>
      <c r="E20" s="1060">
        <f t="shared" ca="1" si="5"/>
        <v>342734657.59192502</v>
      </c>
      <c r="F20" s="1060">
        <f t="shared" ca="1" si="5"/>
        <v>269864659.32309502</v>
      </c>
      <c r="G20" s="1060">
        <f t="shared" ca="1" si="5"/>
        <v>89118810.354325995</v>
      </c>
      <c r="H20" s="1060">
        <f t="shared" ca="1" si="5"/>
        <v>877312308.58363605</v>
      </c>
      <c r="I20" s="1266">
        <f t="shared" ca="1" si="6"/>
        <v>219328077.14590901</v>
      </c>
      <c r="J20" s="771" t="str">
        <f t="shared" ca="1" si="7"/>
        <v/>
      </c>
      <c r="K20" s="772"/>
      <c r="L20" s="773"/>
      <c r="M20" s="774"/>
      <c r="N20" s="775"/>
      <c r="O20" s="776">
        <f t="shared" ca="1" si="8"/>
        <v>-0.50235726763552779</v>
      </c>
      <c r="P20" s="777">
        <f t="shared" ca="1" si="9"/>
        <v>-0.72763486997236981</v>
      </c>
      <c r="Q20" s="777">
        <f t="shared" ca="1" si="10"/>
        <v>-0.65408968401365186</v>
      </c>
      <c r="R20" s="777">
        <f t="shared" ca="1" si="11"/>
        <v>4.7466513622156578E-2</v>
      </c>
      <c r="S20" s="778">
        <f t="shared" ca="1" si="12"/>
        <v>-0.57438659566645833</v>
      </c>
      <c r="T20" s="1066">
        <f t="shared" ca="1" si="27"/>
        <v>0.72763486997236981</v>
      </c>
      <c r="U20" s="1165" t="str">
        <f t="shared" ca="1" si="13"/>
        <v>H</v>
      </c>
      <c r="V20" s="1350">
        <f t="shared" ca="1" si="14"/>
        <v>17162.208057282998</v>
      </c>
      <c r="W20" s="1350">
        <f t="shared" ca="1" si="14"/>
        <v>34487.006322265435</v>
      </c>
      <c r="X20" s="1350">
        <f t="shared" ca="1" si="14"/>
        <v>161390.3722870457</v>
      </c>
      <c r="Y20" s="1067">
        <f t="shared" ca="1" si="28"/>
        <v>0.23290881258846807</v>
      </c>
      <c r="Z20" s="1165" t="str">
        <f t="shared" ca="1" si="15"/>
        <v>H</v>
      </c>
      <c r="AA20" s="772"/>
      <c r="AB20" s="946" t="str">
        <f t="shared" ca="1" si="29"/>
        <v xml:space="preserve">        Value change with high impact </v>
      </c>
      <c r="AC20" s="1269" t="str">
        <f t="shared" ca="1" si="16"/>
        <v/>
      </c>
      <c r="AD20" s="780">
        <f t="shared" ca="1" si="17"/>
        <v>589421.53</v>
      </c>
      <c r="AE20" s="781">
        <f t="shared" ca="1" si="17"/>
        <v>738199.85927734303</v>
      </c>
      <c r="AF20" s="769">
        <f t="shared" ca="1" si="17"/>
        <v>2046087.390625</v>
      </c>
      <c r="AG20" s="769">
        <f t="shared" ca="1" si="17"/>
        <v>1480189.6480532701</v>
      </c>
      <c r="AH20" s="769">
        <f t="shared" ca="1" si="17"/>
        <v>474382.38661575317</v>
      </c>
      <c r="AI20" s="769">
        <f t="shared" ca="1" si="17"/>
        <v>4812965.292481523</v>
      </c>
      <c r="AJ20" s="967">
        <f t="shared" ca="1" si="18"/>
        <v>1203241.3231203808</v>
      </c>
      <c r="AK20" s="771" t="str">
        <f t="shared" ca="1" si="19"/>
        <v/>
      </c>
      <c r="AL20" s="772"/>
      <c r="AM20" s="773"/>
      <c r="AN20" s="774"/>
      <c r="AO20" s="1392"/>
      <c r="AP20" s="938">
        <f t="shared" ca="1" si="20"/>
        <v>-0.20154207211985761</v>
      </c>
      <c r="AQ20" s="756">
        <f t="shared" ca="1" si="21"/>
        <v>-0.71192749014500567</v>
      </c>
      <c r="AR20" s="783">
        <f t="shared" ca="1" si="22"/>
        <v>-0.60179323590379041</v>
      </c>
      <c r="AS20" s="783">
        <f t="shared" ca="1" si="23"/>
        <v>0.24250298204563792</v>
      </c>
      <c r="AT20" s="1367">
        <f t="shared" ca="1" si="33"/>
        <v>-0.51013855768230609</v>
      </c>
      <c r="AU20" s="1369">
        <f t="shared" ca="1" si="30"/>
        <v>0.71192749014500567</v>
      </c>
      <c r="AV20" s="1165" t="str">
        <f t="shared" ca="1" si="24"/>
        <v>H</v>
      </c>
      <c r="AW20" s="1350">
        <f t="shared" ca="1" si="25"/>
        <v>108.36514829050002</v>
      </c>
      <c r="AX20" s="1350">
        <f t="shared" ca="1" si="25"/>
        <v>135.71804412813952</v>
      </c>
      <c r="AY20" s="1350">
        <f t="shared" ca="1" si="25"/>
        <v>885.3930952049011</v>
      </c>
      <c r="AZ20" s="1357">
        <f t="shared" ca="1" si="31"/>
        <v>9.7084444004542567E-2</v>
      </c>
      <c r="BA20" s="1165" t="str">
        <f t="shared" ca="1" si="26"/>
        <v>H</v>
      </c>
      <c r="BB20" s="772"/>
      <c r="BC20" s="946" t="str">
        <f t="shared" ca="1" si="34"/>
        <v xml:space="preserve">            Value change with high impact </v>
      </c>
    </row>
    <row r="21" spans="1:55" ht="12.75" customHeight="1" x14ac:dyDescent="0.3">
      <c r="A21" s="2236"/>
      <c r="B21" s="1246" t="str">
        <f>'Q1'!C25</f>
        <v>Gas Oil (Scope 1)</v>
      </c>
      <c r="C21" s="1252">
        <f t="shared" ca="1" si="5"/>
        <v>4220581.5</v>
      </c>
      <c r="D21" s="1258">
        <f t="shared" ca="1" si="5"/>
        <v>9674252.3800000008</v>
      </c>
      <c r="E21" s="1060">
        <f t="shared" ca="1" si="5"/>
        <v>18334192.238652799</v>
      </c>
      <c r="F21" s="1060">
        <f t="shared" ca="1" si="5"/>
        <v>13355042.448577501</v>
      </c>
      <c r="G21" s="1060">
        <f t="shared" ca="1" si="5"/>
        <v>4400716.0260086497</v>
      </c>
      <c r="H21" s="1060">
        <f t="shared" ca="1" si="5"/>
        <v>41638438.00199572</v>
      </c>
      <c r="I21" s="1266">
        <f t="shared" ca="1" si="6"/>
        <v>10409609.50049893</v>
      </c>
      <c r="J21" s="771" t="str">
        <f t="shared" ca="1" si="7"/>
        <v/>
      </c>
      <c r="K21" s="772"/>
      <c r="L21" s="773"/>
      <c r="M21" s="774"/>
      <c r="N21" s="775"/>
      <c r="O21" s="776">
        <f t="shared" ca="1" si="8"/>
        <v>-0.56373047402346144</v>
      </c>
      <c r="P21" s="777">
        <f t="shared" ca="1" si="9"/>
        <v>-0.76979724849279052</v>
      </c>
      <c r="Q21" s="777">
        <f t="shared" ca="1" si="10"/>
        <v>-0.68397094084492771</v>
      </c>
      <c r="R21" s="777">
        <f t="shared" ca="1" si="11"/>
        <v>-4.0933003843928478E-2</v>
      </c>
      <c r="S21" s="778">
        <f t="shared" ca="1" si="12"/>
        <v>-0.59454948816305664</v>
      </c>
      <c r="T21" s="1066">
        <f t="shared" ca="1" si="27"/>
        <v>0.76979724849279052</v>
      </c>
      <c r="U21" s="1165" t="str">
        <f t="shared" ca="1" si="13"/>
        <v>H</v>
      </c>
      <c r="V21" s="1350">
        <f t="shared" ca="1" si="14"/>
        <v>1083.67650594</v>
      </c>
      <c r="W21" s="1350">
        <f t="shared" ca="1" si="14"/>
        <v>2483.9610410887999</v>
      </c>
      <c r="X21" s="1350">
        <f t="shared" ca="1" si="14"/>
        <v>11513.860876311855</v>
      </c>
      <c r="Y21" s="1067">
        <f t="shared" ca="1" si="28"/>
        <v>1.5558770249922634E-2</v>
      </c>
      <c r="Z21" s="1165" t="str">
        <f t="shared" ca="1" si="15"/>
        <v>M</v>
      </c>
      <c r="AA21" s="772"/>
      <c r="AB21" s="946" t="str">
        <f t="shared" ca="1" si="29"/>
        <v xml:space="preserve">        Value change with medium impact </v>
      </c>
      <c r="AC21" s="1269" t="str">
        <f t="shared" ca="1" si="16"/>
        <v/>
      </c>
      <c r="AD21" s="1252">
        <f t="shared" ca="1" si="17"/>
        <v>22987</v>
      </c>
      <c r="AE21" s="1258">
        <f t="shared" ca="1" si="17"/>
        <v>0</v>
      </c>
      <c r="AF21" s="1060">
        <f t="shared" ca="1" si="17"/>
        <v>0</v>
      </c>
      <c r="AG21" s="1060">
        <f t="shared" ca="1" si="17"/>
        <v>0</v>
      </c>
      <c r="AH21" s="1060">
        <f t="shared" ca="1" si="17"/>
        <v>22987</v>
      </c>
      <c r="AI21" s="1060">
        <f t="shared" ca="1" si="17"/>
        <v>22987</v>
      </c>
      <c r="AJ21" s="1266">
        <f t="shared" ca="1" si="18"/>
        <v>5746.75</v>
      </c>
      <c r="AK21" s="771" t="str">
        <f t="shared" ca="1" si="19"/>
        <v/>
      </c>
      <c r="AL21" s="772"/>
      <c r="AM21" s="773"/>
      <c r="AN21" s="774"/>
      <c r="AO21" s="775"/>
      <c r="AP21" s="944" t="str">
        <f t="shared" ca="1" si="20"/>
        <v/>
      </c>
      <c r="AQ21" s="777" t="str">
        <f t="shared" ca="1" si="21"/>
        <v/>
      </c>
      <c r="AR21" s="777" t="str">
        <f t="shared" ca="1" si="22"/>
        <v/>
      </c>
      <c r="AS21" s="777">
        <f t="shared" ca="1" si="23"/>
        <v>0</v>
      </c>
      <c r="AT21" s="945">
        <f t="shared" ca="1" si="33"/>
        <v>3</v>
      </c>
      <c r="AU21" s="1370">
        <f t="shared" ca="1" si="30"/>
        <v>3</v>
      </c>
      <c r="AV21" s="1165" t="str">
        <f t="shared" ca="1" si="24"/>
        <v>H</v>
      </c>
      <c r="AW21" s="1350">
        <f t="shared" ca="1" si="25"/>
        <v>5.9021421199999997</v>
      </c>
      <c r="AX21" s="1350">
        <f t="shared" ca="1" si="25"/>
        <v>0</v>
      </c>
      <c r="AY21" s="1350">
        <f t="shared" ca="1" si="25"/>
        <v>6.3563652399999997</v>
      </c>
      <c r="AZ21" s="1357">
        <f t="shared" ca="1" si="31"/>
        <v>2.2282051452239972E-2</v>
      </c>
      <c r="BA21" s="1165" t="str">
        <f t="shared" ca="1" si="26"/>
        <v>M</v>
      </c>
      <c r="BB21" s="772"/>
      <c r="BC21" s="946" t="str">
        <f t="shared" ca="1" si="34"/>
        <v xml:space="preserve">            Value change with medium impact </v>
      </c>
    </row>
    <row r="22" spans="1:55" ht="12.75" customHeight="1" x14ac:dyDescent="0.3">
      <c r="A22" s="2236"/>
      <c r="B22" s="1246" t="str">
        <f>'Q1'!C26</f>
        <v>LPG (Scope 1)</v>
      </c>
      <c r="C22" s="1252">
        <f t="shared" ca="1" si="5"/>
        <v>136725.41</v>
      </c>
      <c r="D22" s="1258">
        <f t="shared" ca="1" si="5"/>
        <v>185170.3</v>
      </c>
      <c r="E22" s="1060">
        <f t="shared" ca="1" si="5"/>
        <v>514003.592759119</v>
      </c>
      <c r="F22" s="1060">
        <f t="shared" ca="1" si="5"/>
        <v>413026.89053500199</v>
      </c>
      <c r="G22" s="1060">
        <f t="shared" ca="1" si="5"/>
        <v>195375.41015625</v>
      </c>
      <c r="H22" s="1060">
        <f t="shared" ca="1" si="5"/>
        <v>1476390.881731621</v>
      </c>
      <c r="I22" s="1266">
        <f t="shared" ca="1" si="6"/>
        <v>369097.72043290525</v>
      </c>
      <c r="J22" s="771" t="str">
        <f t="shared" ca="1" si="7"/>
        <v/>
      </c>
      <c r="K22" s="772"/>
      <c r="L22" s="773"/>
      <c r="M22" s="774"/>
      <c r="N22" s="775"/>
      <c r="O22" s="776">
        <f t="shared" ca="1" si="8"/>
        <v>-0.26162343529172866</v>
      </c>
      <c r="P22" s="777">
        <f t="shared" ca="1" si="9"/>
        <v>-0.73399911610330981</v>
      </c>
      <c r="Q22" s="777">
        <f t="shared" ca="1" si="10"/>
        <v>-0.66896729212256167</v>
      </c>
      <c r="R22" s="777">
        <f t="shared" ca="1" si="11"/>
        <v>-0.3001913091793133</v>
      </c>
      <c r="S22" s="778">
        <f t="shared" ca="1" si="12"/>
        <v>-0.629568533125487</v>
      </c>
      <c r="T22" s="1066">
        <f t="shared" ca="1" si="27"/>
        <v>0.73399911610330981</v>
      </c>
      <c r="U22" s="1165" t="str">
        <f t="shared" ca="1" si="13"/>
        <v>H</v>
      </c>
      <c r="V22" s="1350">
        <f t="shared" ca="1" si="14"/>
        <v>29.323498682699999</v>
      </c>
      <c r="W22" s="1350">
        <f t="shared" ca="1" si="14"/>
        <v>39.713474240999993</v>
      </c>
      <c r="X22" s="1350">
        <f t="shared" ca="1" si="14"/>
        <v>316.65631631379807</v>
      </c>
      <c r="Y22" s="1067">
        <f t="shared" ca="1" si="28"/>
        <v>4.0143069604606815E-4</v>
      </c>
      <c r="Z22" s="1165" t="str">
        <f t="shared" ca="1" si="15"/>
        <v/>
      </c>
      <c r="AA22" s="772"/>
      <c r="AB22" s="946" t="str">
        <f t="shared" ca="1" si="29"/>
        <v/>
      </c>
      <c r="AC22" s="1269" t="str">
        <f t="shared" ca="1" si="16"/>
        <v/>
      </c>
      <c r="AD22" s="1252">
        <f t="shared" ca="1" si="17"/>
        <v>0</v>
      </c>
      <c r="AE22" s="1258">
        <f t="shared" ca="1" si="17"/>
        <v>0</v>
      </c>
      <c r="AF22" s="1060">
        <f t="shared" ca="1" si="17"/>
        <v>0</v>
      </c>
      <c r="AG22" s="1060">
        <f t="shared" ca="1" si="17"/>
        <v>0</v>
      </c>
      <c r="AH22" s="1060">
        <f t="shared" ca="1" si="17"/>
        <v>0</v>
      </c>
      <c r="AI22" s="1060">
        <f t="shared" ca="1" si="17"/>
        <v>0</v>
      </c>
      <c r="AJ22" s="1266">
        <f t="shared" ca="1" si="18"/>
        <v>0</v>
      </c>
      <c r="AK22" s="771" t="str">
        <f t="shared" ca="1" si="19"/>
        <v/>
      </c>
      <c r="AL22" s="772"/>
      <c r="AM22" s="773"/>
      <c r="AN22" s="774"/>
      <c r="AO22" s="775"/>
      <c r="AP22" s="944" t="str">
        <f t="shared" ca="1" si="20"/>
        <v/>
      </c>
      <c r="AQ22" s="777" t="str">
        <f t="shared" ca="1" si="21"/>
        <v/>
      </c>
      <c r="AR22" s="777" t="str">
        <f t="shared" ca="1" si="22"/>
        <v/>
      </c>
      <c r="AS22" s="777" t="str">
        <f t="shared" ca="1" si="23"/>
        <v/>
      </c>
      <c r="AT22" s="945" t="str">
        <f t="shared" ca="1" si="33"/>
        <v/>
      </c>
      <c r="AU22" s="1370" t="str">
        <f t="shared" ca="1" si="30"/>
        <v/>
      </c>
      <c r="AV22" s="1165" t="str">
        <f t="shared" ca="1" si="24"/>
        <v/>
      </c>
      <c r="AW22" s="1350">
        <f t="shared" ca="1" si="25"/>
        <v>0</v>
      </c>
      <c r="AX22" s="1350">
        <f t="shared" ca="1" si="25"/>
        <v>0</v>
      </c>
      <c r="AY22" s="1350">
        <f t="shared" ca="1" si="25"/>
        <v>0</v>
      </c>
      <c r="AZ22" s="1357" t="str">
        <f t="shared" ca="1" si="31"/>
        <v/>
      </c>
      <c r="BA22" s="1165" t="str">
        <f t="shared" ca="1" si="26"/>
        <v/>
      </c>
      <c r="BB22" s="772"/>
      <c r="BC22" s="946" t="str">
        <f t="shared" ca="1" si="34"/>
        <v/>
      </c>
    </row>
    <row r="23" spans="1:55" ht="12.75" customHeight="1" x14ac:dyDescent="0.3">
      <c r="A23" s="2236"/>
      <c r="B23" s="1246" t="str">
        <f>'Q1'!C27</f>
        <v>Solid Fossil Fuels (Scope 1)</v>
      </c>
      <c r="C23" s="1252">
        <f t="shared" ca="1" si="5"/>
        <v>0</v>
      </c>
      <c r="D23" s="1258">
        <f t="shared" ca="1" si="5"/>
        <v>0</v>
      </c>
      <c r="E23" s="1060">
        <f t="shared" ca="1" si="5"/>
        <v>0</v>
      </c>
      <c r="F23" s="1060">
        <f t="shared" ca="1" si="5"/>
        <v>0</v>
      </c>
      <c r="G23" s="1060">
        <f t="shared" ca="1" si="5"/>
        <v>0</v>
      </c>
      <c r="H23" s="1060">
        <f t="shared" ca="1" si="5"/>
        <v>0</v>
      </c>
      <c r="I23" s="1266">
        <f t="shared" ca="1" si="6"/>
        <v>0</v>
      </c>
      <c r="J23" s="771" t="str">
        <f t="shared" ca="1" si="7"/>
        <v/>
      </c>
      <c r="K23" s="772"/>
      <c r="L23" s="773"/>
      <c r="M23" s="774"/>
      <c r="N23" s="775"/>
      <c r="O23" s="776" t="str">
        <f t="shared" ca="1" si="8"/>
        <v/>
      </c>
      <c r="P23" s="777" t="str">
        <f t="shared" ca="1" si="9"/>
        <v/>
      </c>
      <c r="Q23" s="777" t="str">
        <f t="shared" ca="1" si="10"/>
        <v/>
      </c>
      <c r="R23" s="777" t="str">
        <f t="shared" ca="1" si="11"/>
        <v/>
      </c>
      <c r="S23" s="778" t="str">
        <f t="shared" ca="1" si="12"/>
        <v/>
      </c>
      <c r="T23" s="1066" t="str">
        <f t="shared" ca="1" si="27"/>
        <v/>
      </c>
      <c r="U23" s="1165" t="str">
        <f t="shared" ca="1" si="13"/>
        <v/>
      </c>
      <c r="V23" s="1350">
        <f t="shared" ca="1" si="14"/>
        <v>0</v>
      </c>
      <c r="W23" s="1350">
        <f t="shared" ca="1" si="14"/>
        <v>0</v>
      </c>
      <c r="X23" s="1350">
        <f t="shared" ca="1" si="14"/>
        <v>0</v>
      </c>
      <c r="Y23" s="1067" t="str">
        <f t="shared" ca="1" si="28"/>
        <v/>
      </c>
      <c r="Z23" s="1165" t="str">
        <f t="shared" ca="1" si="15"/>
        <v/>
      </c>
      <c r="AA23" s="772"/>
      <c r="AB23" s="946" t="str">
        <f t="shared" ca="1" si="29"/>
        <v/>
      </c>
      <c r="AC23" s="1269" t="str">
        <f t="shared" ca="1" si="16"/>
        <v/>
      </c>
      <c r="AD23" s="1252">
        <f t="shared" ca="1" si="17"/>
        <v>0</v>
      </c>
      <c r="AE23" s="1258">
        <f t="shared" ca="1" si="17"/>
        <v>0</v>
      </c>
      <c r="AF23" s="1060">
        <f t="shared" ca="1" si="17"/>
        <v>0</v>
      </c>
      <c r="AG23" s="1060">
        <f t="shared" ca="1" si="17"/>
        <v>0</v>
      </c>
      <c r="AH23" s="1060">
        <f t="shared" ca="1" si="17"/>
        <v>0</v>
      </c>
      <c r="AI23" s="1060">
        <f t="shared" ca="1" si="17"/>
        <v>0</v>
      </c>
      <c r="AJ23" s="1266">
        <f t="shared" ca="1" si="18"/>
        <v>0</v>
      </c>
      <c r="AK23" s="771" t="str">
        <f t="shared" ca="1" si="19"/>
        <v/>
      </c>
      <c r="AL23" s="772"/>
      <c r="AM23" s="773"/>
      <c r="AN23" s="774"/>
      <c r="AO23" s="775"/>
      <c r="AP23" s="944" t="str">
        <f t="shared" ca="1" si="20"/>
        <v/>
      </c>
      <c r="AQ23" s="777" t="str">
        <f t="shared" ca="1" si="21"/>
        <v/>
      </c>
      <c r="AR23" s="777" t="str">
        <f t="shared" ca="1" si="22"/>
        <v/>
      </c>
      <c r="AS23" s="777" t="str">
        <f t="shared" ca="1" si="23"/>
        <v/>
      </c>
      <c r="AT23" s="945" t="str">
        <f t="shared" ca="1" si="33"/>
        <v/>
      </c>
      <c r="AU23" s="1370" t="str">
        <f t="shared" ca="1" si="30"/>
        <v/>
      </c>
      <c r="AV23" s="1165" t="str">
        <f t="shared" ca="1" si="24"/>
        <v/>
      </c>
      <c r="AW23" s="1350">
        <f t="shared" ca="1" si="25"/>
        <v>0</v>
      </c>
      <c r="AX23" s="1350">
        <f t="shared" ca="1" si="25"/>
        <v>0</v>
      </c>
      <c r="AY23" s="1350">
        <f t="shared" ca="1" si="25"/>
        <v>0</v>
      </c>
      <c r="AZ23" s="1357" t="str">
        <f t="shared" ca="1" si="31"/>
        <v/>
      </c>
      <c r="BA23" s="1165" t="str">
        <f t="shared" ca="1" si="26"/>
        <v/>
      </c>
      <c r="BB23" s="772"/>
      <c r="BC23" s="946" t="str">
        <f t="shared" ca="1" si="34"/>
        <v/>
      </c>
    </row>
    <row r="24" spans="1:55" ht="12.75" customHeight="1" x14ac:dyDescent="0.3">
      <c r="A24" s="2236"/>
      <c r="B24" s="1246" t="str">
        <f>'Q1'!C28</f>
        <v>Solid Fuels (Biomass) (Scope 1)</v>
      </c>
      <c r="C24" s="1252">
        <f t="shared" ca="1" si="5"/>
        <v>227032.26</v>
      </c>
      <c r="D24" s="1258">
        <f t="shared" ca="1" si="5"/>
        <v>229500</v>
      </c>
      <c r="E24" s="1060">
        <f t="shared" ca="1" si="5"/>
        <v>271000</v>
      </c>
      <c r="F24" s="1060">
        <f t="shared" ca="1" si="5"/>
        <v>268878.00750732399</v>
      </c>
      <c r="G24" s="1060">
        <f t="shared" ca="1" si="5"/>
        <v>227032.25806451601</v>
      </c>
      <c r="H24" s="1060">
        <f t="shared" ca="1" si="5"/>
        <v>996410.26557183999</v>
      </c>
      <c r="I24" s="1266">
        <f t="shared" ca="1" si="6"/>
        <v>249102.56639296</v>
      </c>
      <c r="J24" s="771" t="str">
        <f t="shared" ca="1" si="7"/>
        <v/>
      </c>
      <c r="K24" s="772"/>
      <c r="L24" s="784">
        <f ca="1">IF(C24&gt;0,'Q2'!E28,"")</f>
        <v>1.5630000000000002E-2</v>
      </c>
      <c r="M24" s="785" t="str">
        <f ca="1">IF(L24="","",IF('Q2'!I28=0,"Fuel type not stated",'Q2'!I28))</f>
        <v>Fuel type not stated</v>
      </c>
      <c r="N24" s="772"/>
      <c r="O24" s="776">
        <f t="shared" ca="1" si="8"/>
        <v>-1.0752679738562051E-2</v>
      </c>
      <c r="P24" s="777">
        <f t="shared" ca="1" si="9"/>
        <v>-0.16224258302583022</v>
      </c>
      <c r="Q24" s="777">
        <f t="shared" ca="1" si="10"/>
        <v>-0.15563097887871746</v>
      </c>
      <c r="R24" s="777">
        <f t="shared" ca="1" si="11"/>
        <v>8.5251497769843215E-9</v>
      </c>
      <c r="S24" s="778">
        <f t="shared" ca="1" si="12"/>
        <v>-8.8599273433995929E-2</v>
      </c>
      <c r="T24" s="1066">
        <f t="shared" ca="1" si="27"/>
        <v>0.16224258302583022</v>
      </c>
      <c r="U24" s="1165" t="str">
        <f t="shared" ca="1" si="13"/>
        <v>H</v>
      </c>
      <c r="V24" s="1350">
        <f t="shared" ca="1" si="14"/>
        <v>3.5485142238000003</v>
      </c>
      <c r="W24" s="1350">
        <f t="shared" ca="1" si="14"/>
        <v>3.5870850000000005</v>
      </c>
      <c r="X24" s="1350">
        <f t="shared" ca="1" si="14"/>
        <v>15.005938599511911</v>
      </c>
      <c r="Y24" s="1067">
        <f t="shared" ca="1" si="28"/>
        <v>1.0737684959836726E-5</v>
      </c>
      <c r="Z24" s="1165" t="str">
        <f t="shared" ca="1" si="15"/>
        <v/>
      </c>
      <c r="AA24" s="772"/>
      <c r="AB24" s="946" t="str">
        <f t="shared" ca="1" si="29"/>
        <v xml:space="preserve">    Fuel type not stated = 0.016kgCO2e/kWh     </v>
      </c>
      <c r="AC24" s="1269" t="str">
        <f t="shared" ca="1" si="16"/>
        <v/>
      </c>
      <c r="AD24" s="1252">
        <f t="shared" ca="1" si="17"/>
        <v>0</v>
      </c>
      <c r="AE24" s="1258">
        <f t="shared" ca="1" si="17"/>
        <v>0</v>
      </c>
      <c r="AF24" s="1060">
        <f t="shared" ca="1" si="17"/>
        <v>0</v>
      </c>
      <c r="AG24" s="1060">
        <f t="shared" ca="1" si="17"/>
        <v>0</v>
      </c>
      <c r="AH24" s="1060">
        <f t="shared" ca="1" si="17"/>
        <v>0</v>
      </c>
      <c r="AI24" s="1060">
        <f t="shared" ca="1" si="17"/>
        <v>0</v>
      </c>
      <c r="AJ24" s="1266">
        <f t="shared" ca="1" si="18"/>
        <v>0</v>
      </c>
      <c r="AK24" s="771" t="str">
        <f t="shared" ca="1" si="19"/>
        <v/>
      </c>
      <c r="AL24" s="772"/>
      <c r="AM24" s="784" t="str">
        <f ca="1">IF(AD24&gt;0,'Q2'!E28,"")</f>
        <v/>
      </c>
      <c r="AN24" s="785" t="str">
        <f ca="1">IF(AM24="","",IF('Q2'!I28=0,"Fuel type not stated",'Q2'!I28))</f>
        <v/>
      </c>
      <c r="AO24" s="772"/>
      <c r="AP24" s="944" t="str">
        <f t="shared" ca="1" si="20"/>
        <v/>
      </c>
      <c r="AQ24" s="777" t="str">
        <f t="shared" ca="1" si="21"/>
        <v/>
      </c>
      <c r="AR24" s="777" t="str">
        <f t="shared" ca="1" si="22"/>
        <v/>
      </c>
      <c r="AS24" s="777" t="str">
        <f t="shared" ca="1" si="23"/>
        <v/>
      </c>
      <c r="AT24" s="945" t="str">
        <f t="shared" ca="1" si="33"/>
        <v/>
      </c>
      <c r="AU24" s="1370" t="str">
        <f t="shared" ca="1" si="30"/>
        <v/>
      </c>
      <c r="AV24" s="1165" t="str">
        <f t="shared" ca="1" si="24"/>
        <v/>
      </c>
      <c r="AW24" s="1350">
        <f t="shared" ca="1" si="25"/>
        <v>0</v>
      </c>
      <c r="AX24" s="1350">
        <f t="shared" ca="1" si="25"/>
        <v>0</v>
      </c>
      <c r="AY24" s="1350">
        <f t="shared" ca="1" si="25"/>
        <v>0</v>
      </c>
      <c r="AZ24" s="1357" t="str">
        <f t="shared" ca="1" si="31"/>
        <v/>
      </c>
      <c r="BA24" s="1165" t="str">
        <f t="shared" ca="1" si="26"/>
        <v/>
      </c>
      <c r="BB24" s="772"/>
      <c r="BC24" s="946" t="str">
        <f t="shared" ca="1" si="34"/>
        <v/>
      </c>
    </row>
    <row r="25" spans="1:55" ht="12.75" customHeight="1" x14ac:dyDescent="0.3">
      <c r="A25" s="2236"/>
      <c r="B25" s="1246" t="str">
        <f>'Q1'!C29</f>
        <v>District Heating (Scope 2+3)*</v>
      </c>
      <c r="C25" s="1252">
        <f t="shared" ca="1" si="5"/>
        <v>0</v>
      </c>
      <c r="D25" s="1258">
        <f t="shared" ca="1" si="5"/>
        <v>0</v>
      </c>
      <c r="E25" s="1060">
        <f t="shared" ca="1" si="5"/>
        <v>0</v>
      </c>
      <c r="F25" s="1060">
        <f t="shared" ca="1" si="5"/>
        <v>0</v>
      </c>
      <c r="G25" s="1060">
        <f t="shared" ca="1" si="5"/>
        <v>0</v>
      </c>
      <c r="H25" s="1060">
        <f t="shared" ca="1" si="5"/>
        <v>0</v>
      </c>
      <c r="I25" s="1266">
        <f t="shared" ca="1" si="6"/>
        <v>0</v>
      </c>
      <c r="J25" s="771" t="str">
        <f t="shared" ca="1" si="7"/>
        <v/>
      </c>
      <c r="K25" s="772"/>
      <c r="L25" s="784" t="str">
        <f ca="1">IF(C25&gt;0,'Q2'!E29,"")</f>
        <v/>
      </c>
      <c r="M25" s="785" t="str">
        <f ca="1">IF(L25="","",IF('Q2'!I29=0,"Fuel type not stated",'Q2'!I29))</f>
        <v/>
      </c>
      <c r="N25" s="772"/>
      <c r="O25" s="776" t="str">
        <f ca="1">IF(OR(+$J25="missing?",+$J25="new category"),"",IF($D25=0,"",IF(SUM($C25:$I25)=0,"",IFERROR((($C25-$D25)/$D25),"N/A"))))</f>
        <v/>
      </c>
      <c r="P25" s="777" t="str">
        <f t="shared" ca="1" si="9"/>
        <v/>
      </c>
      <c r="Q25" s="777" t="str">
        <f t="shared" ca="1" si="10"/>
        <v/>
      </c>
      <c r="R25" s="777" t="str">
        <f t="shared" ca="1" si="11"/>
        <v/>
      </c>
      <c r="S25" s="778" t="str">
        <f t="shared" ca="1" si="12"/>
        <v/>
      </c>
      <c r="T25" s="1066" t="str">
        <f t="shared" ca="1" si="27"/>
        <v/>
      </c>
      <c r="U25" s="1165" t="str">
        <f t="shared" ca="1" si="13"/>
        <v/>
      </c>
      <c r="V25" s="1350">
        <f t="shared" ca="1" si="14"/>
        <v>0</v>
      </c>
      <c r="W25" s="1350">
        <f t="shared" ca="1" si="14"/>
        <v>0</v>
      </c>
      <c r="X25" s="1350">
        <f t="shared" ca="1" si="14"/>
        <v>0</v>
      </c>
      <c r="Y25" s="1067" t="str">
        <f t="shared" ca="1" si="28"/>
        <v/>
      </c>
      <c r="Z25" s="1165" t="str">
        <f t="shared" ca="1" si="15"/>
        <v/>
      </c>
      <c r="AA25" s="772"/>
      <c r="AB25" s="946" t="str">
        <f t="shared" ca="1" si="29"/>
        <v/>
      </c>
      <c r="AC25" s="1269" t="str">
        <f t="shared" ca="1" si="16"/>
        <v/>
      </c>
      <c r="AD25" s="1252">
        <f t="shared" ca="1" si="17"/>
        <v>0</v>
      </c>
      <c r="AE25" s="1258">
        <f t="shared" ca="1" si="17"/>
        <v>0</v>
      </c>
      <c r="AF25" s="1060">
        <f t="shared" ca="1" si="17"/>
        <v>0</v>
      </c>
      <c r="AG25" s="1060">
        <f t="shared" ca="1" si="17"/>
        <v>0</v>
      </c>
      <c r="AH25" s="1060">
        <f t="shared" ca="1" si="17"/>
        <v>0</v>
      </c>
      <c r="AI25" s="1060">
        <f t="shared" ca="1" si="17"/>
        <v>0</v>
      </c>
      <c r="AJ25" s="1266">
        <f t="shared" ca="1" si="18"/>
        <v>0</v>
      </c>
      <c r="AK25" s="771" t="str">
        <f t="shared" ca="1" si="19"/>
        <v/>
      </c>
      <c r="AL25" s="772"/>
      <c r="AM25" s="784" t="str">
        <f ca="1">IF(AD25&gt;0,'Q2'!E29,"")</f>
        <v/>
      </c>
      <c r="AN25" s="785" t="str">
        <f ca="1">IF(AM25="","",IF('Q2'!I29=0,"Fuel type not stated",'Q2'!I29))</f>
        <v/>
      </c>
      <c r="AO25" s="772"/>
      <c r="AP25" s="944" t="str">
        <f t="shared" ca="1" si="20"/>
        <v/>
      </c>
      <c r="AQ25" s="777" t="str">
        <f t="shared" ca="1" si="21"/>
        <v/>
      </c>
      <c r="AR25" s="777" t="str">
        <f t="shared" ca="1" si="22"/>
        <v/>
      </c>
      <c r="AS25" s="777" t="str">
        <f t="shared" ca="1" si="23"/>
        <v/>
      </c>
      <c r="AT25" s="945" t="str">
        <f t="shared" ca="1" si="33"/>
        <v/>
      </c>
      <c r="AU25" s="1370" t="str">
        <f t="shared" ca="1" si="30"/>
        <v/>
      </c>
      <c r="AV25" s="1165" t="str">
        <f t="shared" ca="1" si="24"/>
        <v/>
      </c>
      <c r="AW25" s="1350">
        <f t="shared" ca="1" si="25"/>
        <v>0</v>
      </c>
      <c r="AX25" s="1350">
        <f t="shared" ca="1" si="25"/>
        <v>0</v>
      </c>
      <c r="AY25" s="1350">
        <f t="shared" ca="1" si="25"/>
        <v>0</v>
      </c>
      <c r="AZ25" s="1357" t="str">
        <f t="shared" ca="1" si="31"/>
        <v/>
      </c>
      <c r="BA25" s="1165" t="str">
        <f t="shared" ca="1" si="26"/>
        <v/>
      </c>
      <c r="BB25" s="772"/>
      <c r="BC25" s="946" t="str">
        <f t="shared" ca="1" si="34"/>
        <v/>
      </c>
    </row>
    <row r="26" spans="1:55" ht="12.75" customHeight="1" x14ac:dyDescent="0.3">
      <c r="A26" s="2236"/>
      <c r="B26" s="1246" t="str">
        <f>'Q1'!C30</f>
        <v>Heat from renewable sources (Scope 2)</v>
      </c>
      <c r="C26" s="1252">
        <f t="shared" ref="C26:H31" ca="1" si="35">INDEX(INDIRECT(CONCATENATE("'",C$14,"'!$D$20:$D$35"),TRUE),MATCH($B26,INDIRECT(CONCATENATE("'",C$14,"'!$C$20:$C$35"),TRUE),0))</f>
        <v>0</v>
      </c>
      <c r="D26" s="1258">
        <f t="shared" ca="1" si="35"/>
        <v>0</v>
      </c>
      <c r="E26" s="1060">
        <f t="shared" ca="1" si="35"/>
        <v>0</v>
      </c>
      <c r="F26" s="1060">
        <f t="shared" ca="1" si="35"/>
        <v>0</v>
      </c>
      <c r="G26" s="1060">
        <f t="shared" ca="1" si="35"/>
        <v>0</v>
      </c>
      <c r="H26" s="1060">
        <f t="shared" ca="1" si="35"/>
        <v>0</v>
      </c>
      <c r="I26" s="1266">
        <f t="shared" ca="1" si="6"/>
        <v>0</v>
      </c>
      <c r="J26" s="771" t="str">
        <f t="shared" ca="1" si="7"/>
        <v/>
      </c>
      <c r="K26" s="772"/>
      <c r="L26" s="784" t="str">
        <f ca="1">IF(C26&gt;0,'Q2'!E30,"")</f>
        <v/>
      </c>
      <c r="M26" s="785" t="str">
        <f ca="1">IF(L26="","",IF('Q2'!I30=0,"Fuel type not stated",'Q2'!I30))</f>
        <v/>
      </c>
      <c r="N26" s="772"/>
      <c r="O26" s="776" t="str">
        <f ca="1">IF(OR(+$J26="missing?",+$J26="new category"),"",IF($D26=0,"",IF(SUM($C26:$I26)=0,"",IFERROR((($C26-$D26)/$D26),"N/A"))))</f>
        <v/>
      </c>
      <c r="P26" s="777" t="str">
        <f t="shared" ca="1" si="9"/>
        <v/>
      </c>
      <c r="Q26" s="777" t="str">
        <f t="shared" ca="1" si="10"/>
        <v/>
      </c>
      <c r="R26" s="777" t="str">
        <f t="shared" ca="1" si="11"/>
        <v/>
      </c>
      <c r="S26" s="778" t="str">
        <f t="shared" ca="1" si="12"/>
        <v/>
      </c>
      <c r="T26" s="1066" t="str">
        <f t="shared" ca="1" si="27"/>
        <v/>
      </c>
      <c r="U26" s="1165" t="str">
        <f t="shared" ca="1" si="13"/>
        <v/>
      </c>
      <c r="V26" s="1350">
        <f t="shared" ca="1" si="14"/>
        <v>0</v>
      </c>
      <c r="W26" s="1350">
        <f t="shared" ca="1" si="14"/>
        <v>0</v>
      </c>
      <c r="X26" s="1350">
        <f t="shared" ca="1" si="14"/>
        <v>0</v>
      </c>
      <c r="Y26" s="1067" t="str">
        <f t="shared" ca="1" si="28"/>
        <v/>
      </c>
      <c r="Z26" s="1165" t="str">
        <f t="shared" ca="1" si="15"/>
        <v/>
      </c>
      <c r="AA26" s="772"/>
      <c r="AB26" s="946" t="str">
        <f t="shared" ca="1" si="29"/>
        <v/>
      </c>
      <c r="AC26" s="1269" t="str">
        <f t="shared" ca="1" si="16"/>
        <v/>
      </c>
      <c r="AD26" s="1252">
        <f t="shared" ref="AD26:AI31" ca="1" si="36">INDEX(INDIRECT(CONCATENATE("'",AD$14,"'!$G$20:$G$35"),TRUE),MATCH($B26,INDIRECT(CONCATENATE("'",AD$14,"'!$C$20:$C$35"),TRUE),0))</f>
        <v>0</v>
      </c>
      <c r="AE26" s="1258">
        <f t="shared" ca="1" si="36"/>
        <v>0</v>
      </c>
      <c r="AF26" s="1060">
        <f t="shared" ca="1" si="36"/>
        <v>0</v>
      </c>
      <c r="AG26" s="1060">
        <f t="shared" ca="1" si="36"/>
        <v>0</v>
      </c>
      <c r="AH26" s="1060">
        <f t="shared" ca="1" si="36"/>
        <v>0</v>
      </c>
      <c r="AI26" s="1060">
        <f t="shared" ca="1" si="36"/>
        <v>0</v>
      </c>
      <c r="AJ26" s="1266">
        <f t="shared" ca="1" si="18"/>
        <v>0</v>
      </c>
      <c r="AK26" s="771" t="str">
        <f t="shared" ca="1" si="19"/>
        <v/>
      </c>
      <c r="AL26" s="772"/>
      <c r="AM26" s="784" t="str">
        <f ca="1">IF(AD26&gt;0,'Q2'!E30,"")</f>
        <v/>
      </c>
      <c r="AN26" s="785" t="str">
        <f ca="1">IF(AM26="","",IF('Q2'!I30=0,"Fuel type not stated",'Q2'!I30))</f>
        <v/>
      </c>
      <c r="AO26" s="772"/>
      <c r="AP26" s="944" t="str">
        <f t="shared" ca="1" si="20"/>
        <v/>
      </c>
      <c r="AQ26" s="777" t="str">
        <f t="shared" ca="1" si="21"/>
        <v/>
      </c>
      <c r="AR26" s="777" t="str">
        <f t="shared" ca="1" si="22"/>
        <v/>
      </c>
      <c r="AS26" s="777" t="str">
        <f t="shared" ca="1" si="23"/>
        <v/>
      </c>
      <c r="AT26" s="945" t="str">
        <f t="shared" ca="1" si="33"/>
        <v/>
      </c>
      <c r="AU26" s="1370" t="str">
        <f t="shared" ca="1" si="30"/>
        <v/>
      </c>
      <c r="AV26" s="1165" t="str">
        <f t="shared" ca="1" si="24"/>
        <v/>
      </c>
      <c r="AW26" s="1350">
        <f t="shared" ca="1" si="25"/>
        <v>0</v>
      </c>
      <c r="AX26" s="1350">
        <f t="shared" ca="1" si="25"/>
        <v>0</v>
      </c>
      <c r="AY26" s="1350">
        <f t="shared" ca="1" si="25"/>
        <v>0</v>
      </c>
      <c r="AZ26" s="1357" t="str">
        <f t="shared" ca="1" si="31"/>
        <v/>
      </c>
      <c r="BA26" s="1165" t="str">
        <f t="shared" ca="1" si="26"/>
        <v/>
      </c>
      <c r="BB26" s="772"/>
      <c r="BC26" s="946" t="str">
        <f t="shared" ca="1" si="34"/>
        <v/>
      </c>
    </row>
    <row r="27" spans="1:55" ht="12.75" customHeight="1" x14ac:dyDescent="0.3">
      <c r="A27" s="2236"/>
      <c r="B27" s="1246" t="str">
        <f>'Q1'!C31</f>
        <v>Heat from non renewable sources (excluding WDHS) (Scope 2) (please specify, incl. CO2e factor and notes)</v>
      </c>
      <c r="C27" s="1252">
        <f t="shared" ca="1" si="35"/>
        <v>0</v>
      </c>
      <c r="D27" s="1258">
        <f t="shared" ca="1" si="35"/>
        <v>0</v>
      </c>
      <c r="E27" s="1060">
        <f t="shared" ca="1" si="35"/>
        <v>0</v>
      </c>
      <c r="F27" s="1060">
        <f t="shared" ca="1" si="35"/>
        <v>0</v>
      </c>
      <c r="G27" s="1060">
        <f t="shared" ca="1" si="35"/>
        <v>0</v>
      </c>
      <c r="H27" s="1060">
        <f t="shared" ca="1" si="35"/>
        <v>0</v>
      </c>
      <c r="I27" s="1266">
        <f t="shared" ca="1" si="6"/>
        <v>0</v>
      </c>
      <c r="J27" s="771" t="str">
        <f t="shared" ca="1" si="7"/>
        <v/>
      </c>
      <c r="K27" s="772"/>
      <c r="L27" s="784" t="str">
        <f ca="1">IF(C27&gt;0,'Q2'!E31,"")</f>
        <v/>
      </c>
      <c r="M27" s="785" t="str">
        <f ca="1">IF(L27="","",IF('Q2'!I31=0,"Fuel type not stated",'Q2'!I31))</f>
        <v/>
      </c>
      <c r="N27" s="772"/>
      <c r="O27" s="776" t="str">
        <f t="shared" ca="1" si="8"/>
        <v/>
      </c>
      <c r="P27" s="777" t="str">
        <f t="shared" ca="1" si="9"/>
        <v/>
      </c>
      <c r="Q27" s="777" t="str">
        <f t="shared" ca="1" si="10"/>
        <v/>
      </c>
      <c r="R27" s="777" t="str">
        <f t="shared" ca="1" si="11"/>
        <v/>
      </c>
      <c r="S27" s="778" t="str">
        <f t="shared" ca="1" si="12"/>
        <v/>
      </c>
      <c r="T27" s="1066" t="str">
        <f t="shared" ca="1" si="27"/>
        <v/>
      </c>
      <c r="U27" s="1165" t="str">
        <f t="shared" ca="1" si="13"/>
        <v/>
      </c>
      <c r="V27" s="1350">
        <f t="shared" ca="1" si="14"/>
        <v>0</v>
      </c>
      <c r="W27" s="1350">
        <f t="shared" ca="1" si="14"/>
        <v>0</v>
      </c>
      <c r="X27" s="1350">
        <f t="shared" ca="1" si="14"/>
        <v>0</v>
      </c>
      <c r="Y27" s="1067" t="str">
        <f t="shared" ca="1" si="28"/>
        <v/>
      </c>
      <c r="Z27" s="1165" t="str">
        <f t="shared" ca="1" si="15"/>
        <v/>
      </c>
      <c r="AA27" s="772"/>
      <c r="AB27" s="946" t="str">
        <f t="shared" ca="1" si="29"/>
        <v/>
      </c>
      <c r="AC27" s="1269" t="str">
        <f t="shared" ca="1" si="16"/>
        <v/>
      </c>
      <c r="AD27" s="1252">
        <f t="shared" ca="1" si="36"/>
        <v>0</v>
      </c>
      <c r="AE27" s="1258">
        <f t="shared" ca="1" si="36"/>
        <v>0</v>
      </c>
      <c r="AF27" s="1060">
        <f t="shared" ca="1" si="36"/>
        <v>0</v>
      </c>
      <c r="AG27" s="1060">
        <f t="shared" ca="1" si="36"/>
        <v>0</v>
      </c>
      <c r="AH27" s="1060">
        <f t="shared" ca="1" si="36"/>
        <v>0</v>
      </c>
      <c r="AI27" s="1060">
        <f t="shared" ca="1" si="36"/>
        <v>0</v>
      </c>
      <c r="AJ27" s="1266">
        <f t="shared" ca="1" si="18"/>
        <v>0</v>
      </c>
      <c r="AK27" s="771" t="str">
        <f t="shared" ca="1" si="19"/>
        <v/>
      </c>
      <c r="AL27" s="772"/>
      <c r="AM27" s="784" t="str">
        <f ca="1">IF(AD27&gt;0,'Q2'!E31,"")</f>
        <v/>
      </c>
      <c r="AN27" s="785" t="str">
        <f ca="1">IF(AM27="","",IF('Q2'!I31=0,"Fuel type not stated",'Q2'!I31))</f>
        <v/>
      </c>
      <c r="AO27" s="772"/>
      <c r="AP27" s="944" t="str">
        <f t="shared" ca="1" si="20"/>
        <v/>
      </c>
      <c r="AQ27" s="777" t="str">
        <f t="shared" ca="1" si="21"/>
        <v/>
      </c>
      <c r="AR27" s="777" t="str">
        <f t="shared" ca="1" si="22"/>
        <v/>
      </c>
      <c r="AS27" s="777" t="str">
        <f t="shared" ca="1" si="23"/>
        <v/>
      </c>
      <c r="AT27" s="945" t="str">
        <f t="shared" ca="1" si="33"/>
        <v/>
      </c>
      <c r="AU27" s="1370" t="str">
        <f t="shared" ca="1" si="30"/>
        <v/>
      </c>
      <c r="AV27" s="1165" t="str">
        <f t="shared" ca="1" si="24"/>
        <v/>
      </c>
      <c r="AW27" s="1350">
        <f t="shared" ca="1" si="25"/>
        <v>0</v>
      </c>
      <c r="AX27" s="1350">
        <f t="shared" ca="1" si="25"/>
        <v>0</v>
      </c>
      <c r="AY27" s="1350">
        <f t="shared" ca="1" si="25"/>
        <v>0</v>
      </c>
      <c r="AZ27" s="1357" t="str">
        <f t="shared" ca="1" si="31"/>
        <v/>
      </c>
      <c r="BA27" s="1165" t="str">
        <f t="shared" ca="1" si="26"/>
        <v/>
      </c>
      <c r="BB27" s="772"/>
      <c r="BC27" s="946" t="str">
        <f t="shared" ca="1" si="34"/>
        <v/>
      </c>
    </row>
    <row r="28" spans="1:55" ht="12.75" customHeight="1" x14ac:dyDescent="0.3">
      <c r="A28" s="2236"/>
      <c r="B28" s="1246" t="str">
        <f>'Q1'!C32</f>
        <v>Heat from WDHS (Scope 2+3)</v>
      </c>
      <c r="C28" s="1252">
        <f t="shared" ca="1" si="35"/>
        <v>0</v>
      </c>
      <c r="D28" s="1258">
        <f t="shared" ca="1" si="35"/>
        <v>0</v>
      </c>
      <c r="E28" s="1060">
        <f t="shared" ca="1" si="35"/>
        <v>0</v>
      </c>
      <c r="F28" s="1060">
        <f t="shared" ca="1" si="35"/>
        <v>0</v>
      </c>
      <c r="G28" s="1060">
        <f t="shared" ca="1" si="35"/>
        <v>0</v>
      </c>
      <c r="H28" s="1060">
        <f t="shared" ca="1" si="35"/>
        <v>0</v>
      </c>
      <c r="I28" s="1266">
        <f t="shared" ca="1" si="6"/>
        <v>0</v>
      </c>
      <c r="J28" s="771" t="str">
        <f t="shared" ca="1" si="7"/>
        <v/>
      </c>
      <c r="K28" s="772"/>
      <c r="L28" s="784" t="str">
        <f ca="1">IF(C28&gt;0,'Q2'!E32,"")</f>
        <v/>
      </c>
      <c r="M28" s="785" t="str">
        <f ca="1">IF(L28="","",IF('Q2'!I32=0,"Fuel type not stated",'Q2'!I32))</f>
        <v/>
      </c>
      <c r="N28" s="772"/>
      <c r="O28" s="776" t="str">
        <f t="shared" ca="1" si="8"/>
        <v/>
      </c>
      <c r="P28" s="777" t="str">
        <f t="shared" ca="1" si="9"/>
        <v/>
      </c>
      <c r="Q28" s="777" t="str">
        <f t="shared" ca="1" si="10"/>
        <v/>
      </c>
      <c r="R28" s="777" t="str">
        <f t="shared" ca="1" si="11"/>
        <v/>
      </c>
      <c r="S28" s="778" t="str">
        <f t="shared" ca="1" si="12"/>
        <v/>
      </c>
      <c r="T28" s="1066" t="str">
        <f t="shared" ca="1" si="27"/>
        <v/>
      </c>
      <c r="U28" s="1165" t="str">
        <f t="shared" ca="1" si="13"/>
        <v/>
      </c>
      <c r="V28" s="1350">
        <f t="shared" ca="1" si="14"/>
        <v>0</v>
      </c>
      <c r="W28" s="1350">
        <f t="shared" ca="1" si="14"/>
        <v>0</v>
      </c>
      <c r="X28" s="1350">
        <f t="shared" ca="1" si="14"/>
        <v>0</v>
      </c>
      <c r="Y28" s="1067" t="str">
        <f t="shared" ca="1" si="28"/>
        <v/>
      </c>
      <c r="Z28" s="1165" t="str">
        <f t="shared" ca="1" si="15"/>
        <v/>
      </c>
      <c r="AA28" s="772"/>
      <c r="AB28" s="946" t="str">
        <f t="shared" ca="1" si="29"/>
        <v/>
      </c>
      <c r="AC28" s="1269" t="str">
        <f t="shared" ca="1" si="16"/>
        <v/>
      </c>
      <c r="AD28" s="1252">
        <f t="shared" ca="1" si="36"/>
        <v>0</v>
      </c>
      <c r="AE28" s="1258">
        <f t="shared" ca="1" si="36"/>
        <v>0</v>
      </c>
      <c r="AF28" s="1060">
        <f t="shared" ca="1" si="36"/>
        <v>0</v>
      </c>
      <c r="AG28" s="1060">
        <f t="shared" ca="1" si="36"/>
        <v>0</v>
      </c>
      <c r="AH28" s="1060">
        <f t="shared" ca="1" si="36"/>
        <v>0</v>
      </c>
      <c r="AI28" s="1060">
        <f t="shared" ca="1" si="36"/>
        <v>0</v>
      </c>
      <c r="AJ28" s="1266">
        <f t="shared" ca="1" si="18"/>
        <v>0</v>
      </c>
      <c r="AK28" s="771" t="str">
        <f t="shared" ca="1" si="19"/>
        <v/>
      </c>
      <c r="AL28" s="772"/>
      <c r="AM28" s="784" t="str">
        <f ca="1">IF(AD28&gt;0,'Q2'!E32,"")</f>
        <v/>
      </c>
      <c r="AN28" s="785" t="str">
        <f ca="1">IF(AM28="","",IF('Q2'!I32=0,"Fuel type not stated",'Q2'!I32))</f>
        <v/>
      </c>
      <c r="AO28" s="772"/>
      <c r="AP28" s="944" t="str">
        <f t="shared" ca="1" si="20"/>
        <v/>
      </c>
      <c r="AQ28" s="777" t="str">
        <f t="shared" ca="1" si="21"/>
        <v/>
      </c>
      <c r="AR28" s="777" t="str">
        <f t="shared" ca="1" si="22"/>
        <v/>
      </c>
      <c r="AS28" s="777" t="str">
        <f t="shared" ca="1" si="23"/>
        <v/>
      </c>
      <c r="AT28" s="945" t="str">
        <f t="shared" ca="1" si="33"/>
        <v/>
      </c>
      <c r="AU28" s="1370" t="str">
        <f t="shared" ca="1" si="30"/>
        <v/>
      </c>
      <c r="AV28" s="1165" t="str">
        <f t="shared" ca="1" si="24"/>
        <v/>
      </c>
      <c r="AW28" s="1350">
        <f t="shared" ca="1" si="25"/>
        <v>0</v>
      </c>
      <c r="AX28" s="1350">
        <f t="shared" ca="1" si="25"/>
        <v>0</v>
      </c>
      <c r="AY28" s="1350">
        <f t="shared" ca="1" si="25"/>
        <v>0</v>
      </c>
      <c r="AZ28" s="1357" t="str">
        <f t="shared" ca="1" si="31"/>
        <v/>
      </c>
      <c r="BA28" s="1165" t="str">
        <f t="shared" ca="1" si="26"/>
        <v/>
      </c>
      <c r="BB28" s="772"/>
      <c r="BC28" s="946" t="str">
        <f t="shared" ca="1" si="34"/>
        <v/>
      </c>
    </row>
    <row r="29" spans="1:55" ht="12.75" customHeight="1" x14ac:dyDescent="0.3">
      <c r="A29" s="2236"/>
      <c r="B29" s="1246" t="str">
        <f>'Q1'!C33</f>
        <v>Other 1 (enter CO2 factor and specify scope and fuel in "Notes")</v>
      </c>
      <c r="C29" s="1252">
        <f t="shared" ca="1" si="35"/>
        <v>0</v>
      </c>
      <c r="D29" s="1258">
        <f t="shared" ca="1" si="35"/>
        <v>0</v>
      </c>
      <c r="E29" s="1060">
        <f t="shared" ca="1" si="35"/>
        <v>0</v>
      </c>
      <c r="F29" s="1060">
        <f t="shared" ca="1" si="35"/>
        <v>0</v>
      </c>
      <c r="G29" s="1060">
        <f t="shared" ca="1" si="35"/>
        <v>0</v>
      </c>
      <c r="H29" s="1060">
        <f t="shared" ca="1" si="35"/>
        <v>0</v>
      </c>
      <c r="I29" s="1266">
        <f t="shared" ca="1" si="6"/>
        <v>0</v>
      </c>
      <c r="J29" s="771" t="str">
        <f t="shared" ca="1" si="7"/>
        <v/>
      </c>
      <c r="K29" s="772"/>
      <c r="L29" s="784" t="str">
        <f ca="1">IF(C29&gt;0,'Q2'!E33,"")</f>
        <v/>
      </c>
      <c r="M29" s="785" t="str">
        <f ca="1">IF(L29="","",IF('Q2'!I33=0,"Fuel type not stated",'Q2'!I33))</f>
        <v/>
      </c>
      <c r="N29" s="772"/>
      <c r="O29" s="776" t="str">
        <f ca="1">IF(OR(+$J29="missing?",+$J29="new category"),"",IF($D29=0,"",IF(SUM($C29:$I29)=0,"",IFERROR((($C29-$D29)/$D29),"N/A"))))</f>
        <v/>
      </c>
      <c r="P29" s="777" t="str">
        <f t="shared" ca="1" si="9"/>
        <v/>
      </c>
      <c r="Q29" s="777" t="str">
        <f t="shared" ca="1" si="10"/>
        <v/>
      </c>
      <c r="R29" s="777" t="str">
        <f ca="1">IF(OR(+$J29="missing?",+$J29="new category"),"",IF($G29=0,"",IF(SUM($C29:$I29)=0,"",IFERROR((($C29-$G29)/$G29),"N/A"))))</f>
        <v/>
      </c>
      <c r="S29" s="778" t="str">
        <f ca="1">IF(OR(+$J29="missing?",+$J29="new category"),"",IF($I29=0,"",IF(SUM($C29:$I29)=0,"",IFERROR((($C29-$I29)/$I29),"N/A"))))</f>
        <v/>
      </c>
      <c r="T29" s="1280" t="str">
        <f t="shared" ca="1" si="27"/>
        <v/>
      </c>
      <c r="U29" s="1165" t="str">
        <f t="shared" ca="1" si="13"/>
        <v/>
      </c>
      <c r="V29" s="1350">
        <f t="shared" ca="1" si="14"/>
        <v>0</v>
      </c>
      <c r="W29" s="1350">
        <f t="shared" ca="1" si="14"/>
        <v>0</v>
      </c>
      <c r="X29" s="1350">
        <f t="shared" ca="1" si="14"/>
        <v>0</v>
      </c>
      <c r="Y29" s="1067" t="str">
        <f t="shared" ca="1" si="28"/>
        <v/>
      </c>
      <c r="Z29" s="1165" t="str">
        <f t="shared" ca="1" si="15"/>
        <v/>
      </c>
      <c r="AA29" s="772"/>
      <c r="AB29" s="946" t="str">
        <f t="shared" ca="1" si="29"/>
        <v/>
      </c>
      <c r="AC29" s="1269" t="str">
        <f t="shared" ca="1" si="16"/>
        <v/>
      </c>
      <c r="AD29" s="1252">
        <f t="shared" ca="1" si="36"/>
        <v>0</v>
      </c>
      <c r="AE29" s="1258">
        <f t="shared" ca="1" si="36"/>
        <v>0</v>
      </c>
      <c r="AF29" s="1060">
        <f t="shared" ca="1" si="36"/>
        <v>0</v>
      </c>
      <c r="AG29" s="1060">
        <f t="shared" ca="1" si="36"/>
        <v>0</v>
      </c>
      <c r="AH29" s="1060">
        <f t="shared" ca="1" si="36"/>
        <v>0</v>
      </c>
      <c r="AI29" s="1060">
        <f t="shared" ca="1" si="36"/>
        <v>0</v>
      </c>
      <c r="AJ29" s="1266">
        <f t="shared" ca="1" si="18"/>
        <v>0</v>
      </c>
      <c r="AK29" s="771" t="str">
        <f t="shared" ca="1" si="19"/>
        <v/>
      </c>
      <c r="AL29" s="772"/>
      <c r="AM29" s="784" t="str">
        <f ca="1">IF(AD29&gt;0,'Q2'!E33,"")</f>
        <v/>
      </c>
      <c r="AN29" s="785" t="str">
        <f ca="1">IF(AM29="","",IF('Q2'!I33=0,"Fuel type not stated",'Q2'!I33))</f>
        <v/>
      </c>
      <c r="AO29" s="772"/>
      <c r="AP29" s="944" t="str">
        <f t="shared" ca="1" si="20"/>
        <v/>
      </c>
      <c r="AQ29" s="777" t="str">
        <f t="shared" ca="1" si="21"/>
        <v/>
      </c>
      <c r="AR29" s="777" t="str">
        <f t="shared" ca="1" si="22"/>
        <v/>
      </c>
      <c r="AS29" s="777" t="str">
        <f t="shared" ca="1" si="23"/>
        <v/>
      </c>
      <c r="AT29" s="945" t="str">
        <f ca="1">IF(OR(+$AK29="missing?",+$AK29="new category"),"",IF($AJ29=0,"",IF(SUM($AD29:$AJ29)=0,"",IFERROR((($AD29-$AJ29)/$AJ29),"N/A"))))</f>
        <v/>
      </c>
      <c r="AU29" s="776" t="str">
        <f t="shared" ca="1" si="30"/>
        <v/>
      </c>
      <c r="AV29" s="1165" t="str">
        <f t="shared" ca="1" si="24"/>
        <v/>
      </c>
      <c r="AW29" s="1350">
        <f t="shared" ca="1" si="25"/>
        <v>0</v>
      </c>
      <c r="AX29" s="1350">
        <f t="shared" ca="1" si="25"/>
        <v>0</v>
      </c>
      <c r="AY29" s="1350">
        <f t="shared" ca="1" si="25"/>
        <v>0</v>
      </c>
      <c r="AZ29" s="1357" t="str">
        <f t="shared" ca="1" si="31"/>
        <v/>
      </c>
      <c r="BA29" s="1165" t="str">
        <f t="shared" ca="1" si="26"/>
        <v/>
      </c>
      <c r="BB29" s="772"/>
      <c r="BC29" s="946" t="str">
        <f t="shared" ca="1" si="34"/>
        <v/>
      </c>
    </row>
    <row r="30" spans="1:55" ht="12.75" customHeight="1" x14ac:dyDescent="0.3">
      <c r="A30" s="2236"/>
      <c r="B30" s="1246" t="str">
        <f>'Q1'!C34</f>
        <v>Other 2 (enter CO2 factor and specify scope and fuel in "Notes")</v>
      </c>
      <c r="C30" s="1252">
        <f t="shared" ca="1" si="35"/>
        <v>0</v>
      </c>
      <c r="D30" s="1258">
        <f t="shared" ca="1" si="35"/>
        <v>0</v>
      </c>
      <c r="E30" s="1060">
        <f t="shared" ca="1" si="35"/>
        <v>0</v>
      </c>
      <c r="F30" s="1060">
        <f t="shared" ca="1" si="35"/>
        <v>0</v>
      </c>
      <c r="G30" s="1060">
        <f t="shared" ca="1" si="35"/>
        <v>0</v>
      </c>
      <c r="H30" s="1060">
        <f t="shared" ca="1" si="35"/>
        <v>0</v>
      </c>
      <c r="I30" s="1266">
        <f t="shared" ca="1" si="6"/>
        <v>0</v>
      </c>
      <c r="J30" s="771" t="str">
        <f t="shared" ref="J30:J31" ca="1" si="37">IF(AND(C30&gt;0,SUM(D30:I30)&gt;0),"",IF(AND(C30=0,SUM(C30:I30)=0),"",IF(AND(C30=0,D30&gt;0),"Missing value?",IF(AND(C30=0,I30&gt;0),"Missing value?","New category"))))</f>
        <v/>
      </c>
      <c r="K30" s="772"/>
      <c r="L30" s="784" t="str">
        <f ca="1">IF(C30&gt;0,'Q2'!E34,"")</f>
        <v/>
      </c>
      <c r="M30" s="785" t="str">
        <f ca="1">IF(L30="","",IF('Q2'!I34=0,"Fuel type not stated",'Q2'!I34))</f>
        <v/>
      </c>
      <c r="N30" s="772"/>
      <c r="O30" s="776" t="str">
        <f t="shared" ref="O30:O31" ca="1" si="38">IF(OR(+$J30="missing?",+$J30="new category"),"",IF($D30=0,"",IF(SUM($C30:$I30)=0,"",IFERROR((($C30-$D30)/$D30),"N/A"))))</f>
        <v/>
      </c>
      <c r="P30" s="777" t="str">
        <f t="shared" ca="1" si="9"/>
        <v/>
      </c>
      <c r="Q30" s="777" t="str">
        <f t="shared" ca="1" si="10"/>
        <v/>
      </c>
      <c r="R30" s="777" t="str">
        <f t="shared" ref="R30:R31" ca="1" si="39">IF(OR(+$J30="missing?",+$J30="new category"),"",IF($G30=0,"",IF(SUM($C30:$I30)=0,"",IFERROR((($C30-$G30)/$G30),"N/A"))))</f>
        <v/>
      </c>
      <c r="S30" s="778" t="str">
        <f t="shared" ref="S30:S31" ca="1" si="40">IF(OR(+$J30="missing?",+$J30="new category"),"",IF($I30=0,"",IF(SUM($C30:$I30)=0,"",IFERROR((($C30-$I30)/$I30),"N/A"))))</f>
        <v/>
      </c>
      <c r="T30" s="1280" t="str">
        <f t="shared" ref="T30:T31" ca="1" si="41">IF(SUM(C30:I30)=0,"",IF(OR(AND(C30=0,SUM(D30:I30)&gt;0),AND(C30&gt;0,SUM(D30:I30)=0)),1,IF(MAX(IF(O30&lt;0,-O30,O30),IF(P30&lt;0,-P30,P30),IF(Q30&lt;0,-Q30,Q30),IF(R30&lt;0,-R30,R30),IF(S30&lt;0,-S30,S30))=0,"",MAX(IF(O30&lt;0,-O30,O30),IF(P30&lt;0,-P30,P30),IF(Q30&lt;0,-Q30,Q30),IF(R30&lt;0,-R30,R30),IF(S30&lt;0,-S30,S30)))))</f>
        <v/>
      </c>
      <c r="U30" s="1165" t="str">
        <f t="shared" ca="1" si="13"/>
        <v/>
      </c>
      <c r="V30" s="1350">
        <f t="shared" ca="1" si="14"/>
        <v>0</v>
      </c>
      <c r="W30" s="1350">
        <f t="shared" ca="1" si="14"/>
        <v>0</v>
      </c>
      <c r="X30" s="1350">
        <f t="shared" ca="1" si="14"/>
        <v>0</v>
      </c>
      <c r="Y30" s="1067" t="str">
        <f t="shared" ca="1" si="28"/>
        <v/>
      </c>
      <c r="Z30" s="1165" t="str">
        <f t="shared" ca="1" si="15"/>
        <v/>
      </c>
      <c r="AA30" s="772"/>
      <c r="AB30" s="946" t="str">
        <f t="shared" ca="1" si="29"/>
        <v/>
      </c>
      <c r="AC30" s="1269" t="str">
        <f t="shared" ca="1" si="16"/>
        <v/>
      </c>
      <c r="AD30" s="1252">
        <f t="shared" ca="1" si="36"/>
        <v>0</v>
      </c>
      <c r="AE30" s="1258">
        <f t="shared" ca="1" si="36"/>
        <v>0</v>
      </c>
      <c r="AF30" s="1060">
        <f t="shared" ca="1" si="36"/>
        <v>0</v>
      </c>
      <c r="AG30" s="1060">
        <f t="shared" ca="1" si="36"/>
        <v>0</v>
      </c>
      <c r="AH30" s="1060">
        <f t="shared" ca="1" si="36"/>
        <v>0</v>
      </c>
      <c r="AI30" s="1060">
        <f t="shared" ca="1" si="36"/>
        <v>0</v>
      </c>
      <c r="AJ30" s="1266">
        <f t="shared" ca="1" si="18"/>
        <v>0</v>
      </c>
      <c r="AK30" s="771" t="str">
        <f t="shared" ref="AK30:AK31" ca="1" si="42">IF(AND(AD30&gt;0,SUM(AE30:AJ30)&gt;0),"",IF(AND(AD30=0,SUM(AD30:AJ30)=0),"",IF(AND(AD30=0,AE30&gt;0),"Missing value?",IF(AND(AD30=0,AJ30&gt;0),"Missing value?","New category"))))</f>
        <v/>
      </c>
      <c r="AL30" s="772"/>
      <c r="AM30" s="784" t="str">
        <f ca="1">IF(AD30&gt;0,'Q2'!E34,"")</f>
        <v/>
      </c>
      <c r="AN30" s="785" t="str">
        <f ca="1">IF(AM30="","",IF('Q2'!I34=0,"Fuel type not stated",'Q2'!I34))</f>
        <v/>
      </c>
      <c r="AO30" s="772"/>
      <c r="AP30" s="944" t="str">
        <f t="shared" ca="1" si="20"/>
        <v/>
      </c>
      <c r="AQ30" s="777" t="str">
        <f t="shared" ca="1" si="21"/>
        <v/>
      </c>
      <c r="AR30" s="777" t="str">
        <f t="shared" ca="1" si="22"/>
        <v/>
      </c>
      <c r="AS30" s="777" t="str">
        <f t="shared" ca="1" si="23"/>
        <v/>
      </c>
      <c r="AT30" s="945" t="str">
        <f t="shared" ref="AT30:AT31" ca="1" si="43">IF(OR(+$AK30="missing?",+$AK30="new category"),"",IF($AJ30=0,"",IF(SUM($AD30:$AJ30)=0,"",IFERROR((($AD30-$AJ30)/$AJ30),"N/A"))))</f>
        <v/>
      </c>
      <c r="AU30" s="776" t="str">
        <f t="shared" ca="1" si="30"/>
        <v/>
      </c>
      <c r="AV30" s="1165" t="str">
        <f t="shared" ca="1" si="24"/>
        <v/>
      </c>
      <c r="AW30" s="1350">
        <f t="shared" ca="1" si="25"/>
        <v>0</v>
      </c>
      <c r="AX30" s="1350">
        <f t="shared" ca="1" si="25"/>
        <v>0</v>
      </c>
      <c r="AY30" s="1350">
        <f t="shared" ca="1" si="25"/>
        <v>0</v>
      </c>
      <c r="AZ30" s="1357" t="str">
        <f t="shared" ca="1" si="31"/>
        <v/>
      </c>
      <c r="BA30" s="1165" t="str">
        <f t="shared" ca="1" si="26"/>
        <v/>
      </c>
      <c r="BB30" s="772"/>
      <c r="BC30" s="946" t="str">
        <f t="shared" ca="1" si="34"/>
        <v/>
      </c>
    </row>
    <row r="31" spans="1:55" ht="12.75" customHeight="1" thickBot="1" x14ac:dyDescent="0.35">
      <c r="A31" s="2236"/>
      <c r="B31" s="1254" t="str">
        <f>'Q1'!C35</f>
        <v>Other 3 (enter CO2 factor and specify scope and fuel in "Notes")</v>
      </c>
      <c r="C31" s="1255">
        <f t="shared" ca="1" si="35"/>
        <v>8969.77</v>
      </c>
      <c r="D31" s="1259">
        <f t="shared" ca="1" si="35"/>
        <v>7679.0573770491701</v>
      </c>
      <c r="E31" s="1256">
        <f t="shared" ca="1" si="35"/>
        <v>21388.333333333299</v>
      </c>
      <c r="F31" s="1256">
        <f t="shared" ca="1" si="35"/>
        <v>14476.16015625</v>
      </c>
      <c r="G31" s="1256">
        <f t="shared" ca="1" si="35"/>
        <v>8971.1658313367625</v>
      </c>
      <c r="H31" s="1256">
        <f t="shared" ca="1" si="35"/>
        <v>54754.869403927871</v>
      </c>
      <c r="I31" s="1267">
        <f t="shared" ca="1" si="6"/>
        <v>13688.717350981968</v>
      </c>
      <c r="J31" s="812" t="str">
        <f t="shared" ca="1" si="37"/>
        <v/>
      </c>
      <c r="K31" s="790"/>
      <c r="L31" s="791">
        <f ca="1">IF(C31&gt;0,'Q2'!E35,"")</f>
        <v>0.24675</v>
      </c>
      <c r="M31" s="792" t="str">
        <f ca="1">IF(L31="","",IF('Q2'!I35=0,"Fuel type not stated",'Q2'!I35))</f>
        <v>Scope 1</v>
      </c>
      <c r="N31" s="790"/>
      <c r="O31" s="793">
        <f t="shared" ca="1" si="38"/>
        <v>0.16808216940902873</v>
      </c>
      <c r="P31" s="1070">
        <f t="shared" ca="1" si="9"/>
        <v>-0.58062323696719331</v>
      </c>
      <c r="Q31" s="1070">
        <f t="shared" ca="1" si="10"/>
        <v>-0.38037643248044939</v>
      </c>
      <c r="R31" s="1070">
        <f t="shared" ca="1" si="39"/>
        <v>-1.5559085218181388E-4</v>
      </c>
      <c r="S31" s="1071">
        <f t="shared" ca="1" si="40"/>
        <v>-0.34473261664968569</v>
      </c>
      <c r="T31" s="1346">
        <f t="shared" ca="1" si="41"/>
        <v>0.58062323696719331</v>
      </c>
      <c r="U31" s="884" t="str">
        <f t="shared" ca="1" si="13"/>
        <v>H</v>
      </c>
      <c r="V31" s="1350">
        <f t="shared" ca="1" si="14"/>
        <v>2.2132907475000003</v>
      </c>
      <c r="W31" s="1350">
        <f t="shared" ca="1" si="14"/>
        <v>1.8948074077868828</v>
      </c>
      <c r="X31" s="1350">
        <f t="shared" ca="1" si="14"/>
        <v>13.505288538478808</v>
      </c>
      <c r="Y31" s="1347">
        <f t="shared" ca="1" si="28"/>
        <v>2.3968018789209959E-5</v>
      </c>
      <c r="Z31" s="884" t="str">
        <f t="shared" ca="1" si="15"/>
        <v/>
      </c>
      <c r="AA31" s="880"/>
      <c r="AB31" s="954" t="str">
        <f t="shared" ca="1" si="29"/>
        <v xml:space="preserve">    Scope 1 = 0.247kgCO2e/kWh     </v>
      </c>
      <c r="AC31" s="1270" t="str">
        <f t="shared" ca="1" si="16"/>
        <v/>
      </c>
      <c r="AD31" s="1255">
        <f t="shared" ca="1" si="36"/>
        <v>0</v>
      </c>
      <c r="AE31" s="1259">
        <f t="shared" ca="1" si="36"/>
        <v>0</v>
      </c>
      <c r="AF31" s="1256">
        <f t="shared" ca="1" si="36"/>
        <v>0</v>
      </c>
      <c r="AG31" s="1256">
        <f t="shared" ca="1" si="36"/>
        <v>0</v>
      </c>
      <c r="AH31" s="1256">
        <f t="shared" ca="1" si="36"/>
        <v>0</v>
      </c>
      <c r="AI31" s="1256">
        <f t="shared" ca="1" si="36"/>
        <v>0</v>
      </c>
      <c r="AJ31" s="1267">
        <f t="shared" ca="1" si="18"/>
        <v>0</v>
      </c>
      <c r="AK31" s="812" t="str">
        <f t="shared" ca="1" si="42"/>
        <v/>
      </c>
      <c r="AL31" s="790"/>
      <c r="AM31" s="791" t="str">
        <f ca="1">IF(AD31&gt;0,'Q2'!E35,"")</f>
        <v/>
      </c>
      <c r="AN31" s="792" t="str">
        <f ca="1">IF(AM31="","",IF('Q2'!I35=0,"Fuel type not stated",'Q2'!I35))</f>
        <v/>
      </c>
      <c r="AO31" s="790"/>
      <c r="AP31" s="952" t="str">
        <f t="shared" ca="1" si="20"/>
        <v/>
      </c>
      <c r="AQ31" s="1070" t="str">
        <f t="shared" ca="1" si="21"/>
        <v/>
      </c>
      <c r="AR31" s="1070" t="str">
        <f t="shared" ca="1" si="22"/>
        <v/>
      </c>
      <c r="AS31" s="1070" t="str">
        <f t="shared" ca="1" si="23"/>
        <v/>
      </c>
      <c r="AT31" s="953" t="str">
        <f t="shared" ca="1" si="43"/>
        <v/>
      </c>
      <c r="AU31" s="793" t="str">
        <f t="shared" ca="1" si="30"/>
        <v/>
      </c>
      <c r="AV31" s="1163" t="str">
        <f t="shared" ca="1" si="24"/>
        <v/>
      </c>
      <c r="AW31" s="1351">
        <f t="shared" ca="1" si="25"/>
        <v>0</v>
      </c>
      <c r="AX31" s="1351">
        <f t="shared" ca="1" si="25"/>
        <v>0</v>
      </c>
      <c r="AY31" s="1351">
        <f t="shared" ca="1" si="25"/>
        <v>0</v>
      </c>
      <c r="AZ31" s="1073" t="str">
        <f t="shared" ca="1" si="31"/>
        <v/>
      </c>
      <c r="BA31" s="1163" t="str">
        <f t="shared" ca="1" si="26"/>
        <v/>
      </c>
      <c r="BB31" s="790"/>
      <c r="BC31" s="954" t="str">
        <f t="shared" ca="1" si="34"/>
        <v/>
      </c>
    </row>
    <row r="32" spans="1:55" ht="12.75" customHeight="1" x14ac:dyDescent="0.3">
      <c r="A32" s="2228" t="s">
        <v>179</v>
      </c>
      <c r="B32" s="1247" t="str">
        <f>'Q1'!C36</f>
        <v xml:space="preserve">Electricity from renewable sources </v>
      </c>
      <c r="C32" s="1257">
        <f t="shared" ref="C32:H43" ca="1" si="44">INDEX(INDIRECT(CONCATENATE("'",C$14,"'!$D$36:$D$47"),TRUE),MATCH($B32,INDIRECT(CONCATENATE("'",C$14,"'!$C$36:$C$47"),TRUE),0))</f>
        <v>9984</v>
      </c>
      <c r="D32" s="1260">
        <f t="shared" ca="1" si="44"/>
        <v>11206</v>
      </c>
      <c r="E32" s="1058">
        <f t="shared" ca="1" si="44"/>
        <v>3973</v>
      </c>
      <c r="F32" s="1058">
        <f t="shared" ca="1" si="44"/>
        <v>3920</v>
      </c>
      <c r="G32" s="1058">
        <f t="shared" ca="1" si="44"/>
        <v>11047</v>
      </c>
      <c r="H32" s="1058">
        <f t="shared" ca="1" si="44"/>
        <v>30146</v>
      </c>
      <c r="I32" s="1059">
        <f t="shared" ca="1" si="6"/>
        <v>7536.5</v>
      </c>
      <c r="J32" s="868" t="str">
        <f t="shared" ca="1" si="7"/>
        <v/>
      </c>
      <c r="K32" s="751"/>
      <c r="L32" s="891">
        <f ca="1">IF(C32&gt;0,'Q2'!E36,"")</f>
        <v>0</v>
      </c>
      <c r="M32" s="807" t="str">
        <f ca="1">IF(L32="","",IF('Q2'!I36=0,"Fuel type not stated",'Q2'!I36))</f>
        <v>PV @ HMP Brixton. Data for Q1-20 missing so Q1-19 data used as estimate as this is based on actual data and accounts for seasonality</v>
      </c>
      <c r="N32" s="751"/>
      <c r="O32" s="755">
        <f t="shared" ca="1" si="8"/>
        <v>-0.10904872389791183</v>
      </c>
      <c r="P32" s="756">
        <f t="shared" ca="1" si="9"/>
        <v>1.5129624968537629</v>
      </c>
      <c r="Q32" s="756">
        <f t="shared" ca="1" si="10"/>
        <v>1.546938775510204</v>
      </c>
      <c r="R32" s="756">
        <f t="shared" ca="1" si="11"/>
        <v>-9.6225219516610838E-2</v>
      </c>
      <c r="S32" s="757">
        <f t="shared" ca="1" si="12"/>
        <v>0.3247528693690705</v>
      </c>
      <c r="T32" s="1236">
        <f t="shared" ca="1" si="27"/>
        <v>1.546938775510204</v>
      </c>
      <c r="U32" s="766" t="str">
        <f t="shared" ca="1" si="13"/>
        <v>H</v>
      </c>
      <c r="V32" s="1349">
        <f t="shared" ref="V32:X43" ca="1" si="45">INDEX(INDIRECT(CONCATENATE("'",V$14,"'!$F$36:$F$47"),TRUE),MATCH($B32,INDIRECT(CONCATENATE("'",V$14,"'!$C$36:$C$47"),TRUE),0))</f>
        <v>0</v>
      </c>
      <c r="W32" s="1349">
        <f t="shared" ca="1" si="45"/>
        <v>0</v>
      </c>
      <c r="X32" s="1349">
        <f t="shared" ca="1" si="45"/>
        <v>0</v>
      </c>
      <c r="Y32" s="1237" t="str">
        <f ca="1">IF(V32=0,IF(W32&gt;0, W32/L$8, IF(X32&gt;0,X32/L$10, "")), IF(T32="", "", V32/L$7*T32))</f>
        <v/>
      </c>
      <c r="Z32" s="766" t="str">
        <f t="shared" ca="1" si="15"/>
        <v/>
      </c>
      <c r="AA32" s="801"/>
      <c r="AB32" s="804" t="str">
        <f t="shared" ca="1" si="29"/>
        <v xml:space="preserve">    PV @ HMP Brixton. Data for Q1-20 missing so Q1-19 data used as estimate as this is based on actual data and accounts for seasonality = 0kgCO2e/kWh     </v>
      </c>
      <c r="AC32" s="805" t="str">
        <f t="shared" ca="1" si="16"/>
        <v/>
      </c>
      <c r="AD32" s="1257">
        <f t="shared" ref="AD32:AI43" ca="1" si="46">INDEX(INDIRECT(CONCATENATE("'",AD$14,"'!$G$36:$G$47"),TRUE),MATCH($B32,INDIRECT(CONCATENATE("'",AD$14,"'!$C$36:$C$47"),TRUE),0))</f>
        <v>0</v>
      </c>
      <c r="AE32" s="1260">
        <f t="shared" ca="1" si="46"/>
        <v>0</v>
      </c>
      <c r="AF32" s="1058">
        <f t="shared" ca="1" si="46"/>
        <v>0</v>
      </c>
      <c r="AG32" s="1058">
        <f t="shared" ca="1" si="46"/>
        <v>0</v>
      </c>
      <c r="AH32" s="1058">
        <f t="shared" ca="1" si="46"/>
        <v>0</v>
      </c>
      <c r="AI32" s="1058">
        <f t="shared" ca="1" si="46"/>
        <v>0</v>
      </c>
      <c r="AJ32" s="1340">
        <f t="shared" ca="1" si="18"/>
        <v>0</v>
      </c>
      <c r="AK32" s="973" t="str">
        <f t="shared" ca="1" si="19"/>
        <v/>
      </c>
      <c r="AL32" s="751"/>
      <c r="AM32" s="1360" t="str">
        <f ca="1">IF(AD32&gt;0,'Q2'!E36,"")</f>
        <v/>
      </c>
      <c r="AN32" s="807" t="str">
        <f ca="1">IF(AM32="","",IF('Q2'!I36=0,"Fuel type not stated",'Q2'!I36))</f>
        <v/>
      </c>
      <c r="AO32" s="751"/>
      <c r="AP32" s="755" t="str">
        <f t="shared" ca="1" si="20"/>
        <v/>
      </c>
      <c r="AQ32" s="756" t="str">
        <f t="shared" ca="1" si="21"/>
        <v/>
      </c>
      <c r="AR32" s="756" t="str">
        <f t="shared" ca="1" si="22"/>
        <v/>
      </c>
      <c r="AS32" s="756" t="str">
        <f t="shared" ca="1" si="23"/>
        <v/>
      </c>
      <c r="AT32" s="939" t="str">
        <f ca="1">IF(OR(+$AK32="missing?",+$AK32="new category"),"",IF($AJ32=0,"",IF(SUM($AD32:$AJ32)=0,"",IFERROR((($AD32-$AJ32)/$AJ32),"N/A"))))</f>
        <v/>
      </c>
      <c r="AU32" s="1374" t="str">
        <f t="shared" ca="1" si="30"/>
        <v/>
      </c>
      <c r="AV32" s="1166" t="str">
        <f t="shared" ca="1" si="24"/>
        <v/>
      </c>
      <c r="AW32" s="1349">
        <f t="shared" ref="AW32:AY43" ca="1" si="47">INDEX(INDIRECT(CONCATENATE("'",AW$14,"'!$H$36:$H$47"),TRUE),MATCH($B32,INDIRECT(CONCATENATE("'",AW$14,"'!$C$36:$C$47"),TRUE),0))</f>
        <v>0</v>
      </c>
      <c r="AX32" s="1349">
        <f t="shared" ca="1" si="47"/>
        <v>0</v>
      </c>
      <c r="AY32" s="1349">
        <f t="shared" ca="1" si="47"/>
        <v>0</v>
      </c>
      <c r="AZ32" s="1375" t="str">
        <f ca="1">IF(AW32=0,IF(AX32&gt;0, AX32/AM$8, IF(AY32&gt;0,AY32/AM$10, "")), IF(AU32="", "", AW32/AM$7*AU32))</f>
        <v/>
      </c>
      <c r="BA32" s="1166" t="str">
        <f t="shared" ca="1" si="26"/>
        <v/>
      </c>
      <c r="BB32" s="751"/>
      <c r="BC32" s="871" t="str">
        <f t="shared" ca="1" si="34"/>
        <v/>
      </c>
    </row>
    <row r="33" spans="1:55" ht="12.75" customHeight="1" x14ac:dyDescent="0.3">
      <c r="A33" s="2229"/>
      <c r="B33" s="1248" t="str">
        <f>'Q1'!C37</f>
        <v>Heat from renewable sources</v>
      </c>
      <c r="C33" s="1252">
        <f t="shared" ca="1" si="44"/>
        <v>0</v>
      </c>
      <c r="D33" s="1258">
        <f t="shared" ca="1" si="44"/>
        <v>0</v>
      </c>
      <c r="E33" s="1060">
        <f t="shared" ca="1" si="44"/>
        <v>0</v>
      </c>
      <c r="F33" s="1060">
        <f t="shared" ca="1" si="44"/>
        <v>0</v>
      </c>
      <c r="G33" s="1060">
        <f t="shared" ca="1" si="44"/>
        <v>0</v>
      </c>
      <c r="H33" s="1060">
        <f t="shared" ca="1" si="44"/>
        <v>0</v>
      </c>
      <c r="I33" s="1061">
        <f t="shared" ca="1" si="6"/>
        <v>0</v>
      </c>
      <c r="J33" s="872" t="str">
        <f t="shared" ca="1" si="7"/>
        <v/>
      </c>
      <c r="K33" s="772"/>
      <c r="L33" s="784" t="str">
        <f ca="1">IF(C33&gt;0,'Q2'!E37,"")</f>
        <v/>
      </c>
      <c r="M33" s="785" t="str">
        <f ca="1">IF(L33="","",IF('Q2'!I37=0,"Fuel type not stated",'Q2'!I37))</f>
        <v/>
      </c>
      <c r="N33" s="772"/>
      <c r="O33" s="776" t="str">
        <f t="shared" ca="1" si="8"/>
        <v/>
      </c>
      <c r="P33" s="777" t="str">
        <f t="shared" ca="1" si="9"/>
        <v/>
      </c>
      <c r="Q33" s="777" t="str">
        <f t="shared" ca="1" si="10"/>
        <v/>
      </c>
      <c r="R33" s="777" t="str">
        <f t="shared" ca="1" si="11"/>
        <v/>
      </c>
      <c r="S33" s="778" t="str">
        <f t="shared" ca="1" si="12"/>
        <v/>
      </c>
      <c r="T33" s="1066" t="str">
        <f t="shared" ca="1" si="27"/>
        <v/>
      </c>
      <c r="U33" s="1165" t="str">
        <f t="shared" ca="1" si="13"/>
        <v/>
      </c>
      <c r="V33" s="1350">
        <f t="shared" ca="1" si="45"/>
        <v>0</v>
      </c>
      <c r="W33" s="1350">
        <f t="shared" ca="1" si="45"/>
        <v>0</v>
      </c>
      <c r="X33" s="1350">
        <f t="shared" ca="1" si="45"/>
        <v>0</v>
      </c>
      <c r="Y33" s="1067" t="str">
        <f t="shared" ref="Y33:Y43" ca="1" si="48">IF(V33=0,IF(W33&gt;0, W33/L$8, IF(X33&gt;0,X33/L$10, "")), IF(T33="", "", V33/L$7*T33))</f>
        <v/>
      </c>
      <c r="Z33" s="1165" t="str">
        <f t="shared" ca="1" si="15"/>
        <v/>
      </c>
      <c r="AA33" s="772"/>
      <c r="AB33" s="779" t="str">
        <f t="shared" ca="1" si="29"/>
        <v/>
      </c>
      <c r="AC33" s="47" t="str">
        <f ca="1">IF(AD33&gt;C33,"Offices only&gt;Total Estate","")</f>
        <v/>
      </c>
      <c r="AD33" s="1252">
        <f t="shared" ca="1" si="46"/>
        <v>0</v>
      </c>
      <c r="AE33" s="1258">
        <f t="shared" ca="1" si="46"/>
        <v>0</v>
      </c>
      <c r="AF33" s="1060">
        <f t="shared" ca="1" si="46"/>
        <v>0</v>
      </c>
      <c r="AG33" s="1060">
        <f t="shared" ca="1" si="46"/>
        <v>0</v>
      </c>
      <c r="AH33" s="1060">
        <f t="shared" ca="1" si="46"/>
        <v>0</v>
      </c>
      <c r="AI33" s="1060">
        <f t="shared" ca="1" si="46"/>
        <v>0</v>
      </c>
      <c r="AJ33" s="1266">
        <f t="shared" ca="1" si="18"/>
        <v>0</v>
      </c>
      <c r="AK33" s="771" t="str">
        <f t="shared" ca="1" si="19"/>
        <v/>
      </c>
      <c r="AL33" s="772"/>
      <c r="AM33" s="1358" t="str">
        <f ca="1">IF(AD33&gt;0,'Q2'!E37,"")</f>
        <v/>
      </c>
      <c r="AN33" s="785" t="str">
        <f ca="1">IF(AM33="","",IF('Q2'!I37=0,"Fuel type not stated",'Q2'!I37))</f>
        <v/>
      </c>
      <c r="AO33" s="772"/>
      <c r="AP33" s="776" t="str">
        <f t="shared" ca="1" si="20"/>
        <v/>
      </c>
      <c r="AQ33" s="777" t="str">
        <f t="shared" ca="1" si="21"/>
        <v/>
      </c>
      <c r="AR33" s="777" t="str">
        <f t="shared" ca="1" si="22"/>
        <v/>
      </c>
      <c r="AS33" s="777" t="str">
        <f t="shared" ca="1" si="23"/>
        <v/>
      </c>
      <c r="AT33" s="945" t="str">
        <f ca="1">IF(OR(+$AK33="missing?",+$AK33="new category"),"",IF($AJ33=0,"",IF(SUM($AD33:$AJ33)=0,"",IFERROR((($AD33-$AJ33)/$AJ33),"N/A"))))</f>
        <v/>
      </c>
      <c r="AU33" s="1370" t="str">
        <f t="shared" ca="1" si="30"/>
        <v/>
      </c>
      <c r="AV33" s="1165" t="str">
        <f t="shared" ca="1" si="24"/>
        <v/>
      </c>
      <c r="AW33" s="1350">
        <f t="shared" ca="1" si="47"/>
        <v>0</v>
      </c>
      <c r="AX33" s="1350">
        <f t="shared" ca="1" si="47"/>
        <v>0</v>
      </c>
      <c r="AY33" s="1350">
        <f t="shared" ca="1" si="47"/>
        <v>0</v>
      </c>
      <c r="AZ33" s="1357" t="str">
        <f t="shared" ref="AZ33:AZ43" ca="1" si="49">IF(AW33=0,IF(AX33&gt;0, AX33/AM$8, IF(AY33&gt;0,AY33/AM$10, "")), IF(AU33="", "", AW33/AM$7*AU33))</f>
        <v/>
      </c>
      <c r="BA33" s="1165" t="str">
        <f t="shared" ca="1" si="26"/>
        <v/>
      </c>
      <c r="BB33" s="772"/>
      <c r="BC33" s="946" t="str">
        <f t="shared" ca="1" si="34"/>
        <v/>
      </c>
    </row>
    <row r="34" spans="1:55" ht="12.75" customHeight="1" x14ac:dyDescent="0.3">
      <c r="A34" s="2229"/>
      <c r="B34" s="1248" t="str">
        <f>'Q1'!C38</f>
        <v>Solar water heating</v>
      </c>
      <c r="C34" s="1252">
        <f t="shared" ca="1" si="44"/>
        <v>0</v>
      </c>
      <c r="D34" s="1258">
        <f t="shared" ca="1" si="44"/>
        <v>0</v>
      </c>
      <c r="E34" s="1060">
        <f t="shared" ca="1" si="44"/>
        <v>0</v>
      </c>
      <c r="F34" s="1060">
        <f t="shared" ca="1" si="44"/>
        <v>0</v>
      </c>
      <c r="G34" s="1060">
        <f t="shared" ca="1" si="44"/>
        <v>0</v>
      </c>
      <c r="H34" s="1060">
        <f t="shared" ca="1" si="44"/>
        <v>0</v>
      </c>
      <c r="I34" s="1061">
        <f t="shared" ca="1" si="6"/>
        <v>0</v>
      </c>
      <c r="J34" s="872" t="str">
        <f t="shared" ca="1" si="7"/>
        <v/>
      </c>
      <c r="K34" s="772"/>
      <c r="L34" s="784" t="str">
        <f ca="1">IF(C34&gt;0,'Q2'!E38,"")</f>
        <v/>
      </c>
      <c r="M34" s="785" t="str">
        <f ca="1">IF(L34="","",IF('Q2'!I38=0,"Fuel type not stated",'Q2'!I38))</f>
        <v/>
      </c>
      <c r="N34" s="772"/>
      <c r="O34" s="776" t="str">
        <f t="shared" ca="1" si="8"/>
        <v/>
      </c>
      <c r="P34" s="777" t="str">
        <f t="shared" ca="1" si="9"/>
        <v/>
      </c>
      <c r="Q34" s="777" t="str">
        <f t="shared" ca="1" si="10"/>
        <v/>
      </c>
      <c r="R34" s="777" t="str">
        <f t="shared" ca="1" si="11"/>
        <v/>
      </c>
      <c r="S34" s="778" t="str">
        <f t="shared" ca="1" si="12"/>
        <v/>
      </c>
      <c r="T34" s="1066" t="str">
        <f t="shared" ca="1" si="27"/>
        <v/>
      </c>
      <c r="U34" s="1165" t="str">
        <f t="shared" ca="1" si="13"/>
        <v/>
      </c>
      <c r="V34" s="1350">
        <f t="shared" ca="1" si="45"/>
        <v>0</v>
      </c>
      <c r="W34" s="1350">
        <f t="shared" ca="1" si="45"/>
        <v>0</v>
      </c>
      <c r="X34" s="1350">
        <f t="shared" ca="1" si="45"/>
        <v>0</v>
      </c>
      <c r="Y34" s="1067" t="str">
        <f t="shared" ca="1" si="48"/>
        <v/>
      </c>
      <c r="Z34" s="1165" t="str">
        <f t="shared" ca="1" si="15"/>
        <v/>
      </c>
      <c r="AA34" s="772"/>
      <c r="AB34" s="779" t="str">
        <f t="shared" ca="1" si="29"/>
        <v/>
      </c>
      <c r="AC34" s="47" t="str">
        <f t="shared" ca="1" si="16"/>
        <v/>
      </c>
      <c r="AD34" s="1252">
        <f t="shared" ca="1" si="46"/>
        <v>0</v>
      </c>
      <c r="AE34" s="1258">
        <f t="shared" ca="1" si="46"/>
        <v>0</v>
      </c>
      <c r="AF34" s="1060">
        <f t="shared" ca="1" si="46"/>
        <v>0</v>
      </c>
      <c r="AG34" s="1060">
        <f t="shared" ca="1" si="46"/>
        <v>0</v>
      </c>
      <c r="AH34" s="1060">
        <f t="shared" ca="1" si="46"/>
        <v>0</v>
      </c>
      <c r="AI34" s="1060">
        <f t="shared" ca="1" si="46"/>
        <v>0</v>
      </c>
      <c r="AJ34" s="1266">
        <f t="shared" ca="1" si="18"/>
        <v>0</v>
      </c>
      <c r="AK34" s="771" t="str">
        <f t="shared" ca="1" si="19"/>
        <v/>
      </c>
      <c r="AL34" s="772"/>
      <c r="AM34" s="1358" t="str">
        <f ca="1">IF(AD34&gt;0,'Q2'!E38,"")</f>
        <v/>
      </c>
      <c r="AN34" s="785" t="str">
        <f ca="1">IF(AM34="","",IF('Q2'!I38=0,"Fuel type not stated",'Q2'!I38))</f>
        <v/>
      </c>
      <c r="AO34" s="772"/>
      <c r="AP34" s="776" t="str">
        <f t="shared" ca="1" si="20"/>
        <v/>
      </c>
      <c r="AQ34" s="777" t="str">
        <f t="shared" ca="1" si="21"/>
        <v/>
      </c>
      <c r="AR34" s="777" t="str">
        <f t="shared" ca="1" si="22"/>
        <v/>
      </c>
      <c r="AS34" s="777" t="str">
        <f t="shared" ca="1" si="23"/>
        <v/>
      </c>
      <c r="AT34" s="945" t="str">
        <f t="shared" ref="AT34:AT42" ca="1" si="50">IF(OR(+$AK34="missing?",+$AK34="new category"),"",IF($AJ34=0,"",IF(SUM($AD34:$AJ34)=0,"",IFERROR((($AD34-$AJ34)/$AJ34),"N/A"))))</f>
        <v/>
      </c>
      <c r="AU34" s="1370" t="str">
        <f t="shared" ca="1" si="30"/>
        <v/>
      </c>
      <c r="AV34" s="1165" t="str">
        <f t="shared" ca="1" si="24"/>
        <v/>
      </c>
      <c r="AW34" s="1350">
        <f t="shared" ca="1" si="47"/>
        <v>0</v>
      </c>
      <c r="AX34" s="1350">
        <f t="shared" ca="1" si="47"/>
        <v>0</v>
      </c>
      <c r="AY34" s="1350">
        <f t="shared" ca="1" si="47"/>
        <v>0</v>
      </c>
      <c r="AZ34" s="1357" t="str">
        <f t="shared" ca="1" si="49"/>
        <v/>
      </c>
      <c r="BA34" s="1165" t="str">
        <f t="shared" ca="1" si="26"/>
        <v/>
      </c>
      <c r="BB34" s="772"/>
      <c r="BC34" s="946" t="str">
        <f t="shared" ca="1" si="34"/>
        <v/>
      </c>
    </row>
    <row r="35" spans="1:55" ht="12.75" customHeight="1" x14ac:dyDescent="0.3">
      <c r="A35" s="2229"/>
      <c r="B35" s="1248" t="str">
        <f>'Q1'!C39</f>
        <v>Other 1 (enter CO2 factor and specify fuel in "Notes")</v>
      </c>
      <c r="C35" s="1252">
        <f t="shared" ca="1" si="44"/>
        <v>0</v>
      </c>
      <c r="D35" s="1258">
        <f t="shared" ca="1" si="44"/>
        <v>0</v>
      </c>
      <c r="E35" s="1060">
        <f t="shared" ca="1" si="44"/>
        <v>0</v>
      </c>
      <c r="F35" s="1060">
        <f t="shared" ca="1" si="44"/>
        <v>0</v>
      </c>
      <c r="G35" s="1060">
        <f t="shared" ca="1" si="44"/>
        <v>0</v>
      </c>
      <c r="H35" s="1060">
        <f t="shared" ca="1" si="44"/>
        <v>0</v>
      </c>
      <c r="I35" s="1061">
        <f t="shared" ca="1" si="6"/>
        <v>0</v>
      </c>
      <c r="J35" s="872" t="str">
        <f t="shared" ca="1" si="7"/>
        <v/>
      </c>
      <c r="K35" s="772"/>
      <c r="L35" s="784" t="str">
        <f ca="1">IF(C35&gt;0,'Q2'!E39,"")</f>
        <v/>
      </c>
      <c r="M35" s="785" t="str">
        <f ca="1">IF(L35="","",IF('Q2'!I39=0,"Fuel type not stated",'Q2'!I39))</f>
        <v/>
      </c>
      <c r="N35" s="772"/>
      <c r="O35" s="776" t="str">
        <f t="shared" ref="O35:O100" ca="1" si="51">IF(OR(+$J35="missing?",+$J35="new category"),"",IF($D35=0,"",IF(SUM($C35:$I35)=0,"",IFERROR((($C35-$D35)/$D35),"N/A"))))</f>
        <v/>
      </c>
      <c r="P35" s="777" t="str">
        <f t="shared" ca="1" si="9"/>
        <v/>
      </c>
      <c r="Q35" s="777" t="str">
        <f t="shared" ca="1" si="10"/>
        <v/>
      </c>
      <c r="R35" s="777" t="str">
        <f t="shared" ca="1" si="11"/>
        <v/>
      </c>
      <c r="S35" s="778" t="str">
        <f t="shared" ca="1" si="12"/>
        <v/>
      </c>
      <c r="T35" s="1066" t="str">
        <f t="shared" ca="1" si="27"/>
        <v/>
      </c>
      <c r="U35" s="1165" t="str">
        <f t="shared" ca="1" si="13"/>
        <v/>
      </c>
      <c r="V35" s="1350">
        <f t="shared" ca="1" si="45"/>
        <v>0</v>
      </c>
      <c r="W35" s="1350">
        <f t="shared" ca="1" si="45"/>
        <v>0</v>
      </c>
      <c r="X35" s="1350">
        <f t="shared" ca="1" si="45"/>
        <v>0</v>
      </c>
      <c r="Y35" s="1067" t="str">
        <f t="shared" ca="1" si="48"/>
        <v/>
      </c>
      <c r="Z35" s="1165" t="str">
        <f t="shared" ca="1" si="15"/>
        <v/>
      </c>
      <c r="AA35" s="772"/>
      <c r="AB35" s="779" t="str">
        <f t="shared" ca="1" si="29"/>
        <v/>
      </c>
      <c r="AC35" s="47" t="str">
        <f t="shared" ca="1" si="16"/>
        <v/>
      </c>
      <c r="AD35" s="1252">
        <f t="shared" ca="1" si="46"/>
        <v>0</v>
      </c>
      <c r="AE35" s="1258">
        <f t="shared" ca="1" si="46"/>
        <v>0</v>
      </c>
      <c r="AF35" s="1060">
        <f t="shared" ca="1" si="46"/>
        <v>0</v>
      </c>
      <c r="AG35" s="1060">
        <f t="shared" ca="1" si="46"/>
        <v>0</v>
      </c>
      <c r="AH35" s="1060">
        <f t="shared" ca="1" si="46"/>
        <v>0</v>
      </c>
      <c r="AI35" s="1060">
        <f t="shared" ca="1" si="46"/>
        <v>0</v>
      </c>
      <c r="AJ35" s="1266">
        <f t="shared" ca="1" si="18"/>
        <v>0</v>
      </c>
      <c r="AK35" s="771" t="str">
        <f t="shared" ca="1" si="19"/>
        <v/>
      </c>
      <c r="AL35" s="772"/>
      <c r="AM35" s="1358" t="str">
        <f ca="1">IF(AD35&gt;0,'Q2'!E39,"")</f>
        <v/>
      </c>
      <c r="AN35" s="785" t="str">
        <f ca="1">IF(AM35="","",IF('Q2'!I39=0,"Fuel type not stated",'Q2'!I39))</f>
        <v/>
      </c>
      <c r="AO35" s="772"/>
      <c r="AP35" s="776" t="str">
        <f t="shared" ca="1" si="20"/>
        <v/>
      </c>
      <c r="AQ35" s="777" t="str">
        <f t="shared" ca="1" si="21"/>
        <v/>
      </c>
      <c r="AR35" s="777" t="str">
        <f t="shared" ca="1" si="22"/>
        <v/>
      </c>
      <c r="AS35" s="777" t="str">
        <f t="shared" ca="1" si="23"/>
        <v/>
      </c>
      <c r="AT35" s="945" t="str">
        <f t="shared" ca="1" si="50"/>
        <v/>
      </c>
      <c r="AU35" s="1370" t="str">
        <f t="shared" ca="1" si="30"/>
        <v/>
      </c>
      <c r="AV35" s="1165" t="str">
        <f t="shared" ca="1" si="24"/>
        <v/>
      </c>
      <c r="AW35" s="1350">
        <f t="shared" ca="1" si="47"/>
        <v>0</v>
      </c>
      <c r="AX35" s="1350">
        <f t="shared" ca="1" si="47"/>
        <v>0</v>
      </c>
      <c r="AY35" s="1350">
        <f t="shared" ca="1" si="47"/>
        <v>0</v>
      </c>
      <c r="AZ35" s="1357" t="str">
        <f t="shared" ca="1" si="49"/>
        <v/>
      </c>
      <c r="BA35" s="1165" t="str">
        <f t="shared" ca="1" si="26"/>
        <v/>
      </c>
      <c r="BB35" s="772"/>
      <c r="BC35" s="946" t="str">
        <f t="shared" ca="1" si="34"/>
        <v/>
      </c>
    </row>
    <row r="36" spans="1:55" ht="12.75" customHeight="1" x14ac:dyDescent="0.3">
      <c r="A36" s="2229"/>
      <c r="B36" s="1248" t="str">
        <f>'Q1'!C40</f>
        <v>Other 2 (enter CO2 factor and specify fuel in "Notes")</v>
      </c>
      <c r="C36" s="1252">
        <f t="shared" ca="1" si="44"/>
        <v>0</v>
      </c>
      <c r="D36" s="1258">
        <f t="shared" ca="1" si="44"/>
        <v>0</v>
      </c>
      <c r="E36" s="1060">
        <f t="shared" ca="1" si="44"/>
        <v>0</v>
      </c>
      <c r="F36" s="1060">
        <f t="shared" ca="1" si="44"/>
        <v>0</v>
      </c>
      <c r="G36" s="1060">
        <f t="shared" ca="1" si="44"/>
        <v>0</v>
      </c>
      <c r="H36" s="1060">
        <f t="shared" ca="1" si="44"/>
        <v>0</v>
      </c>
      <c r="I36" s="1061">
        <f t="shared" ca="1" si="6"/>
        <v>0</v>
      </c>
      <c r="J36" s="872" t="str">
        <f t="shared" ref="J36:J37" ca="1" si="52">IF(AND(C36&gt;0,SUM(D36:I36)&gt;0),"",IF(AND(C36=0,SUM(C36:I36)=0),"",IF(AND(C36=0,D36&gt;0),"Missing value?",IF(AND(C36=0,I36&gt;0),"Missing value?","New category"))))</f>
        <v/>
      </c>
      <c r="K36" s="772"/>
      <c r="L36" s="784" t="str">
        <f ca="1">IF(C36&gt;0,'Q2'!E40,"")</f>
        <v/>
      </c>
      <c r="M36" s="785" t="str">
        <f ca="1">IF(L36="","",IF('Q2'!I40=0,"Fuel type not stated",'Q2'!I40))</f>
        <v/>
      </c>
      <c r="N36" s="772"/>
      <c r="O36" s="776" t="str">
        <f t="shared" ca="1" si="51"/>
        <v/>
      </c>
      <c r="P36" s="777" t="str">
        <f t="shared" ca="1" si="9"/>
        <v/>
      </c>
      <c r="Q36" s="777" t="str">
        <f t="shared" ca="1" si="10"/>
        <v/>
      </c>
      <c r="R36" s="777" t="str">
        <f t="shared" ca="1" si="11"/>
        <v/>
      </c>
      <c r="S36" s="778" t="str">
        <f t="shared" ca="1" si="12"/>
        <v/>
      </c>
      <c r="T36" s="1066" t="str">
        <f t="shared" ref="T36:T37" ca="1" si="53">IF(SUM(C36:I36)=0,"",IF(OR(AND(C36=0,SUM(D36:I36)&gt;0),AND(C36&gt;0,SUM(D36:I36)=0)),1,IF(MAX(IF(O36&lt;0,-O36,O36),IF(P36&lt;0,-P36,P36),IF(Q36&lt;0,-Q36,Q36),IF(R36&lt;0,-R36,R36),IF(S36&lt;0,-S36,S36))=0,"",MAX(IF(O36&lt;0,-O36,O36),IF(P36&lt;0,-P36,P36),IF(Q36&lt;0,-Q36,Q36),IF(R36&lt;0,-R36,R36),IF(S36&lt;0,-S36,S36)))))</f>
        <v/>
      </c>
      <c r="U36" s="1165" t="str">
        <f t="shared" ca="1" si="13"/>
        <v/>
      </c>
      <c r="V36" s="1350">
        <f t="shared" ca="1" si="45"/>
        <v>0</v>
      </c>
      <c r="W36" s="1350">
        <f t="shared" ca="1" si="45"/>
        <v>0</v>
      </c>
      <c r="X36" s="1350">
        <f t="shared" ca="1" si="45"/>
        <v>0</v>
      </c>
      <c r="Y36" s="1067" t="str">
        <f t="shared" ca="1" si="48"/>
        <v/>
      </c>
      <c r="Z36" s="1165" t="str">
        <f t="shared" ca="1" si="15"/>
        <v/>
      </c>
      <c r="AA36" s="772"/>
      <c r="AB36" s="779" t="str">
        <f t="shared" ca="1" si="29"/>
        <v/>
      </c>
      <c r="AC36" s="47" t="str">
        <f t="shared" ca="1" si="16"/>
        <v/>
      </c>
      <c r="AD36" s="1252">
        <f t="shared" ca="1" si="46"/>
        <v>0</v>
      </c>
      <c r="AE36" s="1258">
        <f t="shared" ca="1" si="46"/>
        <v>0</v>
      </c>
      <c r="AF36" s="1060">
        <f t="shared" ca="1" si="46"/>
        <v>0</v>
      </c>
      <c r="AG36" s="1060">
        <f t="shared" ca="1" si="46"/>
        <v>0</v>
      </c>
      <c r="AH36" s="1060">
        <f t="shared" ca="1" si="46"/>
        <v>0</v>
      </c>
      <c r="AI36" s="1060">
        <f t="shared" ca="1" si="46"/>
        <v>0</v>
      </c>
      <c r="AJ36" s="1266">
        <f t="shared" ca="1" si="18"/>
        <v>0</v>
      </c>
      <c r="AK36" s="771" t="str">
        <f t="shared" ref="AK36:AK37" ca="1" si="54">IF(AND(AD36&gt;0,SUM(AE36:AJ36)&gt;0),"",IF(AND(AD36=0,SUM(AD36:AJ36)=0),"",IF(AND(AD36=0,AE36&gt;0),"Missing value?",IF(AND(AD36=0,AJ36&gt;0),"Missing value?","New category"))))</f>
        <v/>
      </c>
      <c r="AL36" s="772"/>
      <c r="AM36" s="1358" t="str">
        <f ca="1">IF(AD36&gt;0,'Q2'!E40,"")</f>
        <v/>
      </c>
      <c r="AN36" s="785" t="str">
        <f ca="1">IF(AM36="","",IF('Q2'!I40=0,"Fuel type not stated",'Q2'!I40))</f>
        <v/>
      </c>
      <c r="AO36" s="772"/>
      <c r="AP36" s="776" t="str">
        <f t="shared" ca="1" si="20"/>
        <v/>
      </c>
      <c r="AQ36" s="777" t="str">
        <f t="shared" ca="1" si="21"/>
        <v/>
      </c>
      <c r="AR36" s="777" t="str">
        <f t="shared" ca="1" si="22"/>
        <v/>
      </c>
      <c r="AS36" s="777" t="str">
        <f t="shared" ca="1" si="23"/>
        <v/>
      </c>
      <c r="AT36" s="945" t="str">
        <f t="shared" ca="1" si="50"/>
        <v/>
      </c>
      <c r="AU36" s="1370" t="str">
        <f t="shared" ca="1" si="30"/>
        <v/>
      </c>
      <c r="AV36" s="1165" t="str">
        <f t="shared" ca="1" si="24"/>
        <v/>
      </c>
      <c r="AW36" s="1350">
        <f t="shared" ca="1" si="47"/>
        <v>0</v>
      </c>
      <c r="AX36" s="1350">
        <f t="shared" ca="1" si="47"/>
        <v>0</v>
      </c>
      <c r="AY36" s="1350">
        <f t="shared" ca="1" si="47"/>
        <v>0</v>
      </c>
      <c r="AZ36" s="1357" t="str">
        <f t="shared" ca="1" si="49"/>
        <v/>
      </c>
      <c r="BA36" s="1165" t="str">
        <f t="shared" ca="1" si="26"/>
        <v/>
      </c>
      <c r="BB36" s="772"/>
      <c r="BC36" s="946" t="str">
        <f t="shared" ca="1" si="34"/>
        <v/>
      </c>
    </row>
    <row r="37" spans="1:55" ht="12.75" customHeight="1" x14ac:dyDescent="0.3">
      <c r="A37" s="2229"/>
      <c r="B37" s="1248" t="str">
        <f>'Q1'!C41</f>
        <v>Other 3 (enter CO2 factor and specify fuel in "Notes")</v>
      </c>
      <c r="C37" s="1252">
        <f t="shared" ca="1" si="44"/>
        <v>0</v>
      </c>
      <c r="D37" s="1258">
        <f t="shared" ca="1" si="44"/>
        <v>0</v>
      </c>
      <c r="E37" s="1060">
        <f t="shared" ca="1" si="44"/>
        <v>0</v>
      </c>
      <c r="F37" s="1060">
        <f t="shared" ca="1" si="44"/>
        <v>0</v>
      </c>
      <c r="G37" s="1060">
        <f t="shared" ca="1" si="44"/>
        <v>0</v>
      </c>
      <c r="H37" s="1060">
        <f t="shared" ca="1" si="44"/>
        <v>0</v>
      </c>
      <c r="I37" s="1061">
        <f t="shared" ca="1" si="6"/>
        <v>0</v>
      </c>
      <c r="J37" s="872" t="str">
        <f t="shared" ca="1" si="52"/>
        <v/>
      </c>
      <c r="K37" s="772"/>
      <c r="L37" s="784" t="str">
        <f ca="1">IF(C37&gt;0,'Q2'!E41,"")</f>
        <v/>
      </c>
      <c r="M37" s="785" t="str">
        <f ca="1">IF(L37="","",IF('Q2'!I41=0,"Fuel type not stated",'Q2'!I41))</f>
        <v/>
      </c>
      <c r="N37" s="772"/>
      <c r="O37" s="776" t="str">
        <f t="shared" ca="1" si="51"/>
        <v/>
      </c>
      <c r="P37" s="777" t="str">
        <f t="shared" ca="1" si="9"/>
        <v/>
      </c>
      <c r="Q37" s="777" t="str">
        <f t="shared" ca="1" si="10"/>
        <v/>
      </c>
      <c r="R37" s="777" t="str">
        <f t="shared" ca="1" si="11"/>
        <v/>
      </c>
      <c r="S37" s="778" t="str">
        <f t="shared" ca="1" si="12"/>
        <v/>
      </c>
      <c r="T37" s="1066" t="str">
        <f t="shared" ca="1" si="53"/>
        <v/>
      </c>
      <c r="U37" s="1165" t="str">
        <f t="shared" ca="1" si="13"/>
        <v/>
      </c>
      <c r="V37" s="1350">
        <f t="shared" ca="1" si="45"/>
        <v>0</v>
      </c>
      <c r="W37" s="1350">
        <f t="shared" ca="1" si="45"/>
        <v>0</v>
      </c>
      <c r="X37" s="1350">
        <f t="shared" ca="1" si="45"/>
        <v>0</v>
      </c>
      <c r="Y37" s="1067" t="str">
        <f t="shared" ca="1" si="48"/>
        <v/>
      </c>
      <c r="Z37" s="1165" t="str">
        <f t="shared" ca="1" si="15"/>
        <v/>
      </c>
      <c r="AA37" s="772"/>
      <c r="AB37" s="779" t="str">
        <f t="shared" ca="1" si="29"/>
        <v/>
      </c>
      <c r="AC37" s="47" t="str">
        <f t="shared" ca="1" si="16"/>
        <v/>
      </c>
      <c r="AD37" s="1252">
        <f t="shared" ca="1" si="46"/>
        <v>0</v>
      </c>
      <c r="AE37" s="1258">
        <f t="shared" ca="1" si="46"/>
        <v>0</v>
      </c>
      <c r="AF37" s="1060">
        <f t="shared" ca="1" si="46"/>
        <v>0</v>
      </c>
      <c r="AG37" s="1060">
        <f t="shared" ca="1" si="46"/>
        <v>0</v>
      </c>
      <c r="AH37" s="1060">
        <f t="shared" ca="1" si="46"/>
        <v>0</v>
      </c>
      <c r="AI37" s="1060">
        <f t="shared" ca="1" si="46"/>
        <v>0</v>
      </c>
      <c r="AJ37" s="1266">
        <f t="shared" ca="1" si="18"/>
        <v>0</v>
      </c>
      <c r="AK37" s="771" t="str">
        <f t="shared" ca="1" si="54"/>
        <v/>
      </c>
      <c r="AL37" s="772"/>
      <c r="AM37" s="1358" t="str">
        <f ca="1">IF(AD37&gt;0,'Q2'!E41,"")</f>
        <v/>
      </c>
      <c r="AN37" s="785" t="str">
        <f ca="1">IF(AM37="","",IF('Q2'!I41=0,"Fuel type not stated",'Q2'!I41))</f>
        <v/>
      </c>
      <c r="AO37" s="772"/>
      <c r="AP37" s="776" t="str">
        <f t="shared" ca="1" si="20"/>
        <v/>
      </c>
      <c r="AQ37" s="777" t="str">
        <f t="shared" ca="1" si="21"/>
        <v/>
      </c>
      <c r="AR37" s="777" t="str">
        <f t="shared" ca="1" si="22"/>
        <v/>
      </c>
      <c r="AS37" s="777" t="str">
        <f t="shared" ca="1" si="23"/>
        <v/>
      </c>
      <c r="AT37" s="945" t="str">
        <f t="shared" ca="1" si="50"/>
        <v/>
      </c>
      <c r="AU37" s="1370" t="str">
        <f t="shared" ca="1" si="30"/>
        <v/>
      </c>
      <c r="AV37" s="1165" t="str">
        <f t="shared" ca="1" si="24"/>
        <v/>
      </c>
      <c r="AW37" s="1350">
        <f t="shared" ca="1" si="47"/>
        <v>0</v>
      </c>
      <c r="AX37" s="1350">
        <f t="shared" ca="1" si="47"/>
        <v>0</v>
      </c>
      <c r="AY37" s="1350">
        <f t="shared" ca="1" si="47"/>
        <v>0</v>
      </c>
      <c r="AZ37" s="1357" t="str">
        <f t="shared" ca="1" si="49"/>
        <v/>
      </c>
      <c r="BA37" s="1165" t="str">
        <f t="shared" ca="1" si="26"/>
        <v/>
      </c>
      <c r="BB37" s="772"/>
      <c r="BC37" s="946" t="str">
        <f t="shared" ca="1" si="34"/>
        <v/>
      </c>
    </row>
    <row r="38" spans="1:55" ht="12.75" customHeight="1" x14ac:dyDescent="0.3">
      <c r="A38" s="2229"/>
      <c r="B38" s="1248" t="str">
        <f>'Q1'!C42</f>
        <v>CHP1 Electricity</v>
      </c>
      <c r="C38" s="1252">
        <f t="shared" ca="1" si="44"/>
        <v>0</v>
      </c>
      <c r="D38" s="1258">
        <f t="shared" ca="1" si="44"/>
        <v>0</v>
      </c>
      <c r="E38" s="1060">
        <f t="shared" ca="1" si="44"/>
        <v>0</v>
      </c>
      <c r="F38" s="1060">
        <f t="shared" ca="1" si="44"/>
        <v>0</v>
      </c>
      <c r="G38" s="1060">
        <f t="shared" ca="1" si="44"/>
        <v>0</v>
      </c>
      <c r="H38" s="1060">
        <f t="shared" ca="1" si="44"/>
        <v>0</v>
      </c>
      <c r="I38" s="1061">
        <f t="shared" ca="1" si="6"/>
        <v>0</v>
      </c>
      <c r="J38" s="872" t="str">
        <f t="shared" ca="1" si="7"/>
        <v/>
      </c>
      <c r="K38" s="772"/>
      <c r="L38" s="784" t="str">
        <f ca="1">IF(C38&gt;0,'Q2'!E42,"")</f>
        <v/>
      </c>
      <c r="M38" s="785" t="str">
        <f ca="1">IF(L38="","",IF('Q2'!I42=0,"Fuel type not stated",'Q2'!I42))</f>
        <v/>
      </c>
      <c r="N38" s="772"/>
      <c r="O38" s="776" t="str">
        <f t="shared" ca="1" si="51"/>
        <v/>
      </c>
      <c r="P38" s="777" t="str">
        <f t="shared" ca="1" si="9"/>
        <v/>
      </c>
      <c r="Q38" s="777" t="str">
        <f t="shared" ca="1" si="10"/>
        <v/>
      </c>
      <c r="R38" s="777" t="str">
        <f t="shared" ca="1" si="11"/>
        <v/>
      </c>
      <c r="S38" s="778" t="str">
        <f t="shared" ca="1" si="12"/>
        <v/>
      </c>
      <c r="T38" s="1066" t="str">
        <f t="shared" ca="1" si="27"/>
        <v/>
      </c>
      <c r="U38" s="1165" t="str">
        <f t="shared" ca="1" si="13"/>
        <v/>
      </c>
      <c r="V38" s="1350">
        <f t="shared" ca="1" si="45"/>
        <v>0</v>
      </c>
      <c r="W38" s="1350">
        <f t="shared" ca="1" si="45"/>
        <v>0</v>
      </c>
      <c r="X38" s="1350">
        <f t="shared" ca="1" si="45"/>
        <v>0</v>
      </c>
      <c r="Y38" s="1067" t="str">
        <f t="shared" ca="1" si="48"/>
        <v/>
      </c>
      <c r="Z38" s="1165" t="str">
        <f t="shared" ca="1" si="15"/>
        <v/>
      </c>
      <c r="AA38" s="772"/>
      <c r="AB38" s="779" t="str">
        <f t="shared" ca="1" si="29"/>
        <v/>
      </c>
      <c r="AC38" s="47" t="str">
        <f t="shared" ca="1" si="16"/>
        <v/>
      </c>
      <c r="AD38" s="1252">
        <f t="shared" ca="1" si="46"/>
        <v>0</v>
      </c>
      <c r="AE38" s="1258">
        <f t="shared" ca="1" si="46"/>
        <v>0</v>
      </c>
      <c r="AF38" s="1060">
        <f t="shared" ca="1" si="46"/>
        <v>0</v>
      </c>
      <c r="AG38" s="1060">
        <f t="shared" ca="1" si="46"/>
        <v>0</v>
      </c>
      <c r="AH38" s="1060">
        <f t="shared" ca="1" si="46"/>
        <v>0</v>
      </c>
      <c r="AI38" s="1060">
        <f t="shared" ca="1" si="46"/>
        <v>0</v>
      </c>
      <c r="AJ38" s="1266">
        <f t="shared" ca="1" si="18"/>
        <v>0</v>
      </c>
      <c r="AK38" s="771" t="str">
        <f t="shared" ca="1" si="19"/>
        <v/>
      </c>
      <c r="AL38" s="772"/>
      <c r="AM38" s="1358" t="str">
        <f ca="1">IF(AD38&gt;0,'Q2'!E42,"")</f>
        <v/>
      </c>
      <c r="AN38" s="785" t="str">
        <f ca="1">IF(AM38="","",IF('Q2'!I42=0,"Fuel type not stated",'Q2'!I42))</f>
        <v/>
      </c>
      <c r="AO38" s="772"/>
      <c r="AP38" s="776" t="str">
        <f t="shared" ca="1" si="20"/>
        <v/>
      </c>
      <c r="AQ38" s="777" t="str">
        <f t="shared" ca="1" si="21"/>
        <v/>
      </c>
      <c r="AR38" s="777" t="str">
        <f t="shared" ca="1" si="22"/>
        <v/>
      </c>
      <c r="AS38" s="777" t="str">
        <f t="shared" ca="1" si="23"/>
        <v/>
      </c>
      <c r="AT38" s="945" t="str">
        <f t="shared" ca="1" si="50"/>
        <v/>
      </c>
      <c r="AU38" s="1370" t="str">
        <f t="shared" ca="1" si="30"/>
        <v/>
      </c>
      <c r="AV38" s="1165" t="str">
        <f t="shared" ca="1" si="24"/>
        <v/>
      </c>
      <c r="AW38" s="1350">
        <f t="shared" ca="1" si="47"/>
        <v>0</v>
      </c>
      <c r="AX38" s="1350">
        <f t="shared" ca="1" si="47"/>
        <v>0</v>
      </c>
      <c r="AY38" s="1350">
        <f t="shared" ca="1" si="47"/>
        <v>0</v>
      </c>
      <c r="AZ38" s="1357" t="str">
        <f t="shared" ca="1" si="49"/>
        <v/>
      </c>
      <c r="BA38" s="1165" t="str">
        <f t="shared" ca="1" si="26"/>
        <v/>
      </c>
      <c r="BB38" s="772"/>
      <c r="BC38" s="946" t="str">
        <f t="shared" ca="1" si="34"/>
        <v/>
      </c>
    </row>
    <row r="39" spans="1:55" ht="12.75" customHeight="1" x14ac:dyDescent="0.3">
      <c r="A39" s="2229"/>
      <c r="B39" s="1248" t="str">
        <f>'Q1'!C43</f>
        <v>CHP1 Heat</v>
      </c>
      <c r="C39" s="1252">
        <f t="shared" ca="1" si="44"/>
        <v>0</v>
      </c>
      <c r="D39" s="1258">
        <f t="shared" ca="1" si="44"/>
        <v>0</v>
      </c>
      <c r="E39" s="1060">
        <f t="shared" ca="1" si="44"/>
        <v>0</v>
      </c>
      <c r="F39" s="1060">
        <f t="shared" ca="1" si="44"/>
        <v>0</v>
      </c>
      <c r="G39" s="1060">
        <f t="shared" ca="1" si="44"/>
        <v>0</v>
      </c>
      <c r="H39" s="1060">
        <f t="shared" ca="1" si="44"/>
        <v>0</v>
      </c>
      <c r="I39" s="1061">
        <f t="shared" ca="1" si="6"/>
        <v>0</v>
      </c>
      <c r="J39" s="872" t="str">
        <f t="shared" ca="1" si="7"/>
        <v/>
      </c>
      <c r="K39" s="772"/>
      <c r="L39" s="784" t="str">
        <f ca="1">IF(C39&gt;0,'Q2'!E43,"")</f>
        <v/>
      </c>
      <c r="M39" s="785" t="str">
        <f ca="1">IF(L39="","",IF('Q2'!I43=0,"Fuel type not stated",'Q2'!I43))</f>
        <v/>
      </c>
      <c r="N39" s="772"/>
      <c r="O39" s="776" t="str">
        <f t="shared" ca="1" si="51"/>
        <v/>
      </c>
      <c r="P39" s="777" t="str">
        <f t="shared" ca="1" si="9"/>
        <v/>
      </c>
      <c r="Q39" s="777" t="str">
        <f t="shared" ca="1" si="10"/>
        <v/>
      </c>
      <c r="R39" s="777" t="str">
        <f t="shared" ca="1" si="11"/>
        <v/>
      </c>
      <c r="S39" s="778" t="str">
        <f t="shared" ca="1" si="12"/>
        <v/>
      </c>
      <c r="T39" s="1066" t="str">
        <f t="shared" ca="1" si="27"/>
        <v/>
      </c>
      <c r="U39" s="1165" t="str">
        <f t="shared" ca="1" si="13"/>
        <v/>
      </c>
      <c r="V39" s="1350">
        <f t="shared" ca="1" si="45"/>
        <v>0</v>
      </c>
      <c r="W39" s="1350">
        <f t="shared" ca="1" si="45"/>
        <v>0</v>
      </c>
      <c r="X39" s="1350">
        <f t="shared" ca="1" si="45"/>
        <v>0</v>
      </c>
      <c r="Y39" s="1067" t="str">
        <f t="shared" ca="1" si="48"/>
        <v/>
      </c>
      <c r="Z39" s="1165" t="str">
        <f t="shared" ca="1" si="15"/>
        <v/>
      </c>
      <c r="AA39" s="772"/>
      <c r="AB39" s="779" t="str">
        <f t="shared" ca="1" si="29"/>
        <v/>
      </c>
      <c r="AC39" s="47" t="str">
        <f t="shared" ca="1" si="16"/>
        <v/>
      </c>
      <c r="AD39" s="1252">
        <f t="shared" ca="1" si="46"/>
        <v>0</v>
      </c>
      <c r="AE39" s="1258">
        <f t="shared" ca="1" si="46"/>
        <v>0</v>
      </c>
      <c r="AF39" s="1060">
        <f t="shared" ca="1" si="46"/>
        <v>0</v>
      </c>
      <c r="AG39" s="1060">
        <f t="shared" ca="1" si="46"/>
        <v>0</v>
      </c>
      <c r="AH39" s="1060">
        <f t="shared" ca="1" si="46"/>
        <v>0</v>
      </c>
      <c r="AI39" s="1060">
        <f t="shared" ca="1" si="46"/>
        <v>0</v>
      </c>
      <c r="AJ39" s="1266">
        <f t="shared" ca="1" si="18"/>
        <v>0</v>
      </c>
      <c r="AK39" s="771" t="str">
        <f t="shared" ca="1" si="19"/>
        <v/>
      </c>
      <c r="AL39" s="772"/>
      <c r="AM39" s="1358" t="str">
        <f ca="1">IF(AD39&gt;0,'Q2'!E43,"")</f>
        <v/>
      </c>
      <c r="AN39" s="785" t="str">
        <f ca="1">IF(AM39="","",IF('Q2'!I43=0,"Fuel type not stated",'Q2'!I43))</f>
        <v/>
      </c>
      <c r="AO39" s="772"/>
      <c r="AP39" s="776" t="str">
        <f t="shared" ca="1" si="20"/>
        <v/>
      </c>
      <c r="AQ39" s="777" t="str">
        <f t="shared" ca="1" si="21"/>
        <v/>
      </c>
      <c r="AR39" s="777" t="str">
        <f t="shared" ca="1" si="22"/>
        <v/>
      </c>
      <c r="AS39" s="777" t="str">
        <f t="shared" ca="1" si="23"/>
        <v/>
      </c>
      <c r="AT39" s="945" t="str">
        <f t="shared" ca="1" si="50"/>
        <v/>
      </c>
      <c r="AU39" s="1370" t="str">
        <f t="shared" ca="1" si="30"/>
        <v/>
      </c>
      <c r="AV39" s="1165" t="str">
        <f t="shared" ca="1" si="24"/>
        <v/>
      </c>
      <c r="AW39" s="1350">
        <f t="shared" ca="1" si="47"/>
        <v>0</v>
      </c>
      <c r="AX39" s="1350">
        <f t="shared" ca="1" si="47"/>
        <v>0</v>
      </c>
      <c r="AY39" s="1350">
        <f t="shared" ca="1" si="47"/>
        <v>0</v>
      </c>
      <c r="AZ39" s="1357" t="str">
        <f t="shared" ca="1" si="49"/>
        <v/>
      </c>
      <c r="BA39" s="1165" t="str">
        <f t="shared" ca="1" si="26"/>
        <v/>
      </c>
      <c r="BB39" s="772"/>
      <c r="BC39" s="946" t="str">
        <f t="shared" ca="1" si="34"/>
        <v/>
      </c>
    </row>
    <row r="40" spans="1:55" ht="12.75" customHeight="1" x14ac:dyDescent="0.3">
      <c r="A40" s="2229"/>
      <c r="B40" s="1248" t="str">
        <f>'Q1'!C44</f>
        <v>CHP2 Electricity</v>
      </c>
      <c r="C40" s="1252">
        <f t="shared" ca="1" si="44"/>
        <v>0</v>
      </c>
      <c r="D40" s="1258">
        <f t="shared" ca="1" si="44"/>
        <v>0</v>
      </c>
      <c r="E40" s="1060">
        <f t="shared" ca="1" si="44"/>
        <v>0</v>
      </c>
      <c r="F40" s="1060">
        <f t="shared" ca="1" si="44"/>
        <v>0</v>
      </c>
      <c r="G40" s="1060">
        <f t="shared" ca="1" si="44"/>
        <v>0</v>
      </c>
      <c r="H40" s="1060">
        <f t="shared" ca="1" si="44"/>
        <v>0</v>
      </c>
      <c r="I40" s="1061">
        <f t="shared" ca="1" si="6"/>
        <v>0</v>
      </c>
      <c r="J40" s="872" t="str">
        <f t="shared" ca="1" si="7"/>
        <v/>
      </c>
      <c r="K40" s="772"/>
      <c r="L40" s="784" t="str">
        <f ca="1">IF(C40&gt;0,'Q2'!E44,"")</f>
        <v/>
      </c>
      <c r="M40" s="785" t="str">
        <f ca="1">IF(L40="","",IF('Q2'!I44=0,"Fuel type not stated",'Q2'!I44))</f>
        <v/>
      </c>
      <c r="N40" s="772"/>
      <c r="O40" s="810" t="str">
        <f t="shared" ca="1" si="51"/>
        <v/>
      </c>
      <c r="P40" s="783" t="str">
        <f t="shared" ca="1" si="9"/>
        <v/>
      </c>
      <c r="Q40" s="783" t="str">
        <f t="shared" ca="1" si="10"/>
        <v/>
      </c>
      <c r="R40" s="783" t="str">
        <f t="shared" ca="1" si="11"/>
        <v/>
      </c>
      <c r="S40" s="811" t="str">
        <f t="shared" ca="1" si="12"/>
        <v/>
      </c>
      <c r="T40" s="1066" t="str">
        <f t="shared" ca="1" si="27"/>
        <v/>
      </c>
      <c r="U40" s="1165" t="str">
        <f t="shared" ca="1" si="13"/>
        <v/>
      </c>
      <c r="V40" s="1350">
        <f t="shared" ca="1" si="45"/>
        <v>0</v>
      </c>
      <c r="W40" s="1350">
        <f t="shared" ca="1" si="45"/>
        <v>0</v>
      </c>
      <c r="X40" s="1350">
        <f t="shared" ca="1" si="45"/>
        <v>0</v>
      </c>
      <c r="Y40" s="1067" t="str">
        <f t="shared" ca="1" si="48"/>
        <v/>
      </c>
      <c r="Z40" s="1165" t="str">
        <f t="shared" ca="1" si="15"/>
        <v/>
      </c>
      <c r="AA40" s="772"/>
      <c r="AB40" s="779" t="str">
        <f t="shared" ca="1" si="29"/>
        <v/>
      </c>
      <c r="AC40" s="47" t="str">
        <f t="shared" ca="1" si="16"/>
        <v/>
      </c>
      <c r="AD40" s="1252">
        <f t="shared" ca="1" si="46"/>
        <v>0</v>
      </c>
      <c r="AE40" s="1258">
        <f t="shared" ca="1" si="46"/>
        <v>0</v>
      </c>
      <c r="AF40" s="1060">
        <f t="shared" ca="1" si="46"/>
        <v>0</v>
      </c>
      <c r="AG40" s="1060">
        <f t="shared" ca="1" si="46"/>
        <v>0</v>
      </c>
      <c r="AH40" s="1060">
        <f t="shared" ca="1" si="46"/>
        <v>0</v>
      </c>
      <c r="AI40" s="1060">
        <f t="shared" ca="1" si="46"/>
        <v>0</v>
      </c>
      <c r="AJ40" s="1266">
        <f t="shared" ca="1" si="18"/>
        <v>0</v>
      </c>
      <c r="AK40" s="771" t="str">
        <f t="shared" ca="1" si="19"/>
        <v/>
      </c>
      <c r="AL40" s="772"/>
      <c r="AM40" s="1358" t="str">
        <f ca="1">IF(AD40&gt;0,'Q2'!E44,"")</f>
        <v/>
      </c>
      <c r="AN40" s="785" t="str">
        <f ca="1">IF(AM40="","",IF('Q2'!I44=0,"Fuel type not stated",'Q2'!I44))</f>
        <v/>
      </c>
      <c r="AO40" s="772"/>
      <c r="AP40" s="810" t="str">
        <f t="shared" ca="1" si="20"/>
        <v/>
      </c>
      <c r="AQ40" s="783" t="str">
        <f t="shared" ca="1" si="21"/>
        <v/>
      </c>
      <c r="AR40" s="783" t="str">
        <f t="shared" ca="1" si="22"/>
        <v/>
      </c>
      <c r="AS40" s="783" t="str">
        <f t="shared" ca="1" si="23"/>
        <v/>
      </c>
      <c r="AT40" s="1367" t="str">
        <f t="shared" ca="1" si="50"/>
        <v/>
      </c>
      <c r="AU40" s="1370" t="str">
        <f t="shared" ca="1" si="30"/>
        <v/>
      </c>
      <c r="AV40" s="1165" t="str">
        <f t="shared" ca="1" si="24"/>
        <v/>
      </c>
      <c r="AW40" s="1350">
        <f t="shared" ca="1" si="47"/>
        <v>0</v>
      </c>
      <c r="AX40" s="1350">
        <f t="shared" ca="1" si="47"/>
        <v>0</v>
      </c>
      <c r="AY40" s="1350">
        <f t="shared" ca="1" si="47"/>
        <v>0</v>
      </c>
      <c r="AZ40" s="1357" t="str">
        <f t="shared" ca="1" si="49"/>
        <v/>
      </c>
      <c r="BA40" s="1165" t="str">
        <f t="shared" ca="1" si="26"/>
        <v/>
      </c>
      <c r="BB40" s="772"/>
      <c r="BC40" s="946" t="str">
        <f t="shared" ca="1" si="34"/>
        <v/>
      </c>
    </row>
    <row r="41" spans="1:55" ht="12.75" customHeight="1" x14ac:dyDescent="0.3">
      <c r="A41" s="2229"/>
      <c r="B41" s="1248" t="str">
        <f>'Q1'!C45</f>
        <v>CHP2 Heat</v>
      </c>
      <c r="C41" s="1252">
        <f t="shared" ca="1" si="44"/>
        <v>0</v>
      </c>
      <c r="D41" s="1258">
        <f t="shared" ca="1" si="44"/>
        <v>0</v>
      </c>
      <c r="E41" s="1060">
        <f t="shared" ca="1" si="44"/>
        <v>0</v>
      </c>
      <c r="F41" s="1060">
        <f t="shared" ca="1" si="44"/>
        <v>0</v>
      </c>
      <c r="G41" s="1060">
        <f t="shared" ca="1" si="44"/>
        <v>0</v>
      </c>
      <c r="H41" s="1060">
        <f t="shared" ca="1" si="44"/>
        <v>0</v>
      </c>
      <c r="I41" s="1061">
        <f t="shared" ca="1" si="6"/>
        <v>0</v>
      </c>
      <c r="J41" s="872" t="str">
        <f t="shared" ca="1" si="7"/>
        <v/>
      </c>
      <c r="K41" s="772"/>
      <c r="L41" s="784" t="str">
        <f ca="1">IF(C41&gt;0,'Q2'!E45,"")</f>
        <v/>
      </c>
      <c r="M41" s="785" t="str">
        <f ca="1">IF(L41="","",IF('Q2'!I45=0,"Fuel type not stated",'Q2'!I45))</f>
        <v/>
      </c>
      <c r="N41" s="772"/>
      <c r="O41" s="810" t="str">
        <f t="shared" ca="1" si="51"/>
        <v/>
      </c>
      <c r="P41" s="783" t="str">
        <f t="shared" ca="1" si="9"/>
        <v/>
      </c>
      <c r="Q41" s="783" t="str">
        <f t="shared" ca="1" si="10"/>
        <v/>
      </c>
      <c r="R41" s="783" t="str">
        <f t="shared" ca="1" si="11"/>
        <v/>
      </c>
      <c r="S41" s="811" t="str">
        <f t="shared" ca="1" si="12"/>
        <v/>
      </c>
      <c r="T41" s="1066" t="str">
        <f t="shared" ca="1" si="27"/>
        <v/>
      </c>
      <c r="U41" s="1165" t="str">
        <f t="shared" ca="1" si="13"/>
        <v/>
      </c>
      <c r="V41" s="1350">
        <f t="shared" ca="1" si="45"/>
        <v>0</v>
      </c>
      <c r="W41" s="1350">
        <f t="shared" ca="1" si="45"/>
        <v>0</v>
      </c>
      <c r="X41" s="1350">
        <f t="shared" ca="1" si="45"/>
        <v>0</v>
      </c>
      <c r="Y41" s="1067" t="str">
        <f t="shared" ca="1" si="48"/>
        <v/>
      </c>
      <c r="Z41" s="1165" t="str">
        <f t="shared" ca="1" si="15"/>
        <v/>
      </c>
      <c r="AA41" s="772"/>
      <c r="AB41" s="779" t="str">
        <f t="shared" ca="1" si="29"/>
        <v/>
      </c>
      <c r="AC41" s="47" t="str">
        <f t="shared" ca="1" si="16"/>
        <v/>
      </c>
      <c r="AD41" s="1252">
        <f t="shared" ca="1" si="46"/>
        <v>0</v>
      </c>
      <c r="AE41" s="1258">
        <f t="shared" ca="1" si="46"/>
        <v>0</v>
      </c>
      <c r="AF41" s="1060">
        <f t="shared" ca="1" si="46"/>
        <v>0</v>
      </c>
      <c r="AG41" s="1060">
        <f t="shared" ca="1" si="46"/>
        <v>0</v>
      </c>
      <c r="AH41" s="1060">
        <f t="shared" ca="1" si="46"/>
        <v>0</v>
      </c>
      <c r="AI41" s="1060">
        <f t="shared" ca="1" si="46"/>
        <v>0</v>
      </c>
      <c r="AJ41" s="1266">
        <f t="shared" ca="1" si="18"/>
        <v>0</v>
      </c>
      <c r="AK41" s="771" t="str">
        <f t="shared" ca="1" si="19"/>
        <v/>
      </c>
      <c r="AL41" s="772"/>
      <c r="AM41" s="1358" t="str">
        <f ca="1">IF(AD41&gt;0,'Q2'!E45,"")</f>
        <v/>
      </c>
      <c r="AN41" s="785" t="str">
        <f ca="1">IF(AM41="","",IF('Q2'!I45=0,"Fuel type not stated",'Q2'!I45))</f>
        <v/>
      </c>
      <c r="AO41" s="772"/>
      <c r="AP41" s="810" t="str">
        <f t="shared" ca="1" si="20"/>
        <v/>
      </c>
      <c r="AQ41" s="783" t="str">
        <f t="shared" ca="1" si="21"/>
        <v/>
      </c>
      <c r="AR41" s="783" t="str">
        <f t="shared" ca="1" si="22"/>
        <v/>
      </c>
      <c r="AS41" s="783" t="str">
        <f t="shared" ca="1" si="23"/>
        <v/>
      </c>
      <c r="AT41" s="1367" t="str">
        <f t="shared" ca="1" si="50"/>
        <v/>
      </c>
      <c r="AU41" s="1370" t="str">
        <f t="shared" ca="1" si="30"/>
        <v/>
      </c>
      <c r="AV41" s="1165" t="str">
        <f t="shared" ca="1" si="24"/>
        <v/>
      </c>
      <c r="AW41" s="1350">
        <f t="shared" ca="1" si="47"/>
        <v>0</v>
      </c>
      <c r="AX41" s="1350">
        <f t="shared" ca="1" si="47"/>
        <v>0</v>
      </c>
      <c r="AY41" s="1350">
        <f t="shared" ca="1" si="47"/>
        <v>0</v>
      </c>
      <c r="AZ41" s="1357" t="str">
        <f t="shared" ca="1" si="49"/>
        <v/>
      </c>
      <c r="BA41" s="1165" t="str">
        <f t="shared" ca="1" si="26"/>
        <v/>
      </c>
      <c r="BB41" s="772"/>
      <c r="BC41" s="946" t="str">
        <f t="shared" ca="1" si="34"/>
        <v/>
      </c>
    </row>
    <row r="42" spans="1:55" ht="12.75" customHeight="1" x14ac:dyDescent="0.3">
      <c r="A42" s="2229"/>
      <c r="B42" s="1248" t="str">
        <f>'Q1'!C46</f>
        <v>CHP3 Electricity</v>
      </c>
      <c r="C42" s="1252">
        <f t="shared" ca="1" si="44"/>
        <v>0</v>
      </c>
      <c r="D42" s="1258">
        <f t="shared" ca="1" si="44"/>
        <v>0</v>
      </c>
      <c r="E42" s="1060">
        <f t="shared" ca="1" si="44"/>
        <v>0</v>
      </c>
      <c r="F42" s="1060">
        <f t="shared" ca="1" si="44"/>
        <v>0</v>
      </c>
      <c r="G42" s="1060">
        <f t="shared" ca="1" si="44"/>
        <v>0</v>
      </c>
      <c r="H42" s="1060">
        <f t="shared" ca="1" si="44"/>
        <v>0</v>
      </c>
      <c r="I42" s="1061">
        <f t="shared" ca="1" si="6"/>
        <v>0</v>
      </c>
      <c r="J42" s="872" t="str">
        <f t="shared" ca="1" si="7"/>
        <v/>
      </c>
      <c r="K42" s="772"/>
      <c r="L42" s="784" t="str">
        <f ca="1">IF(C42&gt;0,'Q2'!E46,"")</f>
        <v/>
      </c>
      <c r="M42" s="785" t="str">
        <f ca="1">IF(L42="","",IF('Q2'!I46=0,"Fuel type not stated",'Q2'!I46))</f>
        <v/>
      </c>
      <c r="N42" s="772"/>
      <c r="O42" s="810" t="str">
        <f t="shared" ca="1" si="51"/>
        <v/>
      </c>
      <c r="P42" s="783" t="str">
        <f t="shared" ca="1" si="9"/>
        <v/>
      </c>
      <c r="Q42" s="783" t="str">
        <f t="shared" ca="1" si="10"/>
        <v/>
      </c>
      <c r="R42" s="783" t="str">
        <f t="shared" ca="1" si="11"/>
        <v/>
      </c>
      <c r="S42" s="811" t="str">
        <f t="shared" ca="1" si="12"/>
        <v/>
      </c>
      <c r="T42" s="1066" t="str">
        <f t="shared" ca="1" si="27"/>
        <v/>
      </c>
      <c r="U42" s="1165" t="str">
        <f t="shared" ca="1" si="13"/>
        <v/>
      </c>
      <c r="V42" s="1350">
        <f t="shared" ca="1" si="45"/>
        <v>0</v>
      </c>
      <c r="W42" s="1350">
        <f t="shared" ca="1" si="45"/>
        <v>0</v>
      </c>
      <c r="X42" s="1350">
        <f t="shared" ca="1" si="45"/>
        <v>0</v>
      </c>
      <c r="Y42" s="1067" t="str">
        <f t="shared" ca="1" si="48"/>
        <v/>
      </c>
      <c r="Z42" s="1165" t="str">
        <f t="shared" ca="1" si="15"/>
        <v/>
      </c>
      <c r="AA42" s="772"/>
      <c r="AB42" s="779" t="str">
        <f t="shared" ca="1" si="29"/>
        <v/>
      </c>
      <c r="AC42" s="47" t="str">
        <f t="shared" ca="1" si="16"/>
        <v/>
      </c>
      <c r="AD42" s="1252">
        <f t="shared" ca="1" si="46"/>
        <v>0</v>
      </c>
      <c r="AE42" s="1258">
        <f t="shared" ca="1" si="46"/>
        <v>0</v>
      </c>
      <c r="AF42" s="1060">
        <f t="shared" ca="1" si="46"/>
        <v>0</v>
      </c>
      <c r="AG42" s="1060">
        <f t="shared" ca="1" si="46"/>
        <v>0</v>
      </c>
      <c r="AH42" s="1060">
        <f t="shared" ca="1" si="46"/>
        <v>0</v>
      </c>
      <c r="AI42" s="1060">
        <f t="shared" ca="1" si="46"/>
        <v>0</v>
      </c>
      <c r="AJ42" s="1266">
        <f t="shared" ca="1" si="18"/>
        <v>0</v>
      </c>
      <c r="AK42" s="771" t="str">
        <f t="shared" ca="1" si="19"/>
        <v/>
      </c>
      <c r="AL42" s="772"/>
      <c r="AM42" s="1358" t="str">
        <f ca="1">IF(AD42&gt;0,'Q2'!E46,"")</f>
        <v/>
      </c>
      <c r="AN42" s="785" t="str">
        <f ca="1">IF(AM42="","",IF('Q2'!I46=0,"Fuel type not stated",'Q2'!I46))</f>
        <v/>
      </c>
      <c r="AO42" s="772"/>
      <c r="AP42" s="810" t="str">
        <f t="shared" ca="1" si="20"/>
        <v/>
      </c>
      <c r="AQ42" s="783" t="str">
        <f t="shared" ca="1" si="21"/>
        <v/>
      </c>
      <c r="AR42" s="783" t="str">
        <f t="shared" ca="1" si="22"/>
        <v/>
      </c>
      <c r="AS42" s="783" t="str">
        <f t="shared" ca="1" si="23"/>
        <v/>
      </c>
      <c r="AT42" s="1367" t="str">
        <f t="shared" ca="1" si="50"/>
        <v/>
      </c>
      <c r="AU42" s="1370" t="str">
        <f t="shared" ca="1" si="30"/>
        <v/>
      </c>
      <c r="AV42" s="1165" t="str">
        <f t="shared" ca="1" si="24"/>
        <v/>
      </c>
      <c r="AW42" s="1350">
        <f t="shared" ca="1" si="47"/>
        <v>0</v>
      </c>
      <c r="AX42" s="1350">
        <f t="shared" ca="1" si="47"/>
        <v>0</v>
      </c>
      <c r="AY42" s="1350">
        <f t="shared" ca="1" si="47"/>
        <v>0</v>
      </c>
      <c r="AZ42" s="1357" t="str">
        <f t="shared" ca="1" si="49"/>
        <v/>
      </c>
      <c r="BA42" s="1165" t="str">
        <f t="shared" ca="1" si="26"/>
        <v/>
      </c>
      <c r="BB42" s="772"/>
      <c r="BC42" s="946" t="str">
        <f t="shared" ca="1" si="34"/>
        <v/>
      </c>
    </row>
    <row r="43" spans="1:55" ht="12.75" customHeight="1" thickBot="1" x14ac:dyDescent="0.35">
      <c r="A43" s="2230"/>
      <c r="B43" s="1249" t="str">
        <f>'Q1'!C47</f>
        <v>CHP3 Heat</v>
      </c>
      <c r="C43" s="1253">
        <f t="shared" ca="1" si="44"/>
        <v>0</v>
      </c>
      <c r="D43" s="1261">
        <f t="shared" ca="1" si="44"/>
        <v>0</v>
      </c>
      <c r="E43" s="1062">
        <f t="shared" ca="1" si="44"/>
        <v>0</v>
      </c>
      <c r="F43" s="1062">
        <f t="shared" ca="1" si="44"/>
        <v>0</v>
      </c>
      <c r="G43" s="1062">
        <f t="shared" ca="1" si="44"/>
        <v>0</v>
      </c>
      <c r="H43" s="1062">
        <f t="shared" ca="1" si="44"/>
        <v>0</v>
      </c>
      <c r="I43" s="1063">
        <f t="shared" ca="1" si="6"/>
        <v>0</v>
      </c>
      <c r="J43" s="849" t="str">
        <f t="shared" ca="1" si="7"/>
        <v/>
      </c>
      <c r="K43" s="790"/>
      <c r="L43" s="791" t="str">
        <f ca="1">IF(C43&gt;0,'Q2'!E47,"")</f>
        <v/>
      </c>
      <c r="M43" s="792" t="str">
        <f ca="1">IF(L43="","",IF('Q2'!I47=0,"Fuel type not stated",'Q2'!I47))</f>
        <v/>
      </c>
      <c r="N43" s="790"/>
      <c r="O43" s="813" t="str">
        <f t="shared" ca="1" si="51"/>
        <v/>
      </c>
      <c r="P43" s="1072" t="str">
        <f t="shared" ca="1" si="9"/>
        <v/>
      </c>
      <c r="Q43" s="1072" t="str">
        <f t="shared" ca="1" si="10"/>
        <v/>
      </c>
      <c r="R43" s="1072" t="str">
        <f t="shared" ca="1" si="11"/>
        <v/>
      </c>
      <c r="S43" s="1075" t="str">
        <f t="shared" ca="1" si="12"/>
        <v/>
      </c>
      <c r="T43" s="1348" t="str">
        <f t="shared" ca="1" si="27"/>
        <v/>
      </c>
      <c r="U43" s="1163" t="str">
        <f t="shared" ca="1" si="13"/>
        <v/>
      </c>
      <c r="V43" s="1351">
        <f t="shared" ca="1" si="45"/>
        <v>0</v>
      </c>
      <c r="W43" s="1351">
        <f t="shared" ca="1" si="45"/>
        <v>0</v>
      </c>
      <c r="X43" s="1351">
        <f t="shared" ca="1" si="45"/>
        <v>0</v>
      </c>
      <c r="Y43" s="1239" t="str">
        <f t="shared" ca="1" si="48"/>
        <v/>
      </c>
      <c r="Z43" s="1163" t="str">
        <f t="shared" ca="1" si="15"/>
        <v/>
      </c>
      <c r="AA43" s="790"/>
      <c r="AB43" s="794" t="str">
        <f t="shared" ca="1" si="29"/>
        <v/>
      </c>
      <c r="AC43" s="48" t="str">
        <f t="shared" ca="1" si="16"/>
        <v/>
      </c>
      <c r="AD43" s="1253">
        <f t="shared" ca="1" si="46"/>
        <v>0</v>
      </c>
      <c r="AE43" s="1261">
        <f t="shared" ca="1" si="46"/>
        <v>0</v>
      </c>
      <c r="AF43" s="1062">
        <f t="shared" ca="1" si="46"/>
        <v>0</v>
      </c>
      <c r="AG43" s="1062">
        <f t="shared" ca="1" si="46"/>
        <v>0</v>
      </c>
      <c r="AH43" s="1062">
        <f t="shared" ca="1" si="46"/>
        <v>0</v>
      </c>
      <c r="AI43" s="1062">
        <f t="shared" ca="1" si="46"/>
        <v>0</v>
      </c>
      <c r="AJ43" s="1341">
        <f t="shared" ca="1" si="18"/>
        <v>0</v>
      </c>
      <c r="AK43" s="812" t="str">
        <f t="shared" ca="1" si="19"/>
        <v/>
      </c>
      <c r="AL43" s="790"/>
      <c r="AM43" s="1359" t="str">
        <f ca="1">IF(AD43&gt;0,'Q2'!E47,"")</f>
        <v/>
      </c>
      <c r="AN43" s="792" t="str">
        <f ca="1">IF(AM43="","",IF('Q2'!I47=0,"Fuel type not stated",'Q2'!I47))</f>
        <v/>
      </c>
      <c r="AO43" s="790"/>
      <c r="AP43" s="813" t="str">
        <f t="shared" ca="1" si="20"/>
        <v/>
      </c>
      <c r="AQ43" s="1072" t="str">
        <f t="shared" ca="1" si="21"/>
        <v/>
      </c>
      <c r="AR43" s="1072" t="str">
        <f t="shared" ca="1" si="22"/>
        <v/>
      </c>
      <c r="AS43" s="1072" t="str">
        <f t="shared" ca="1" si="23"/>
        <v/>
      </c>
      <c r="AT43" s="1342" t="str">
        <f ca="1">IF(OR(+$AK43="missing?",+$AK43="new category"),"",IF($AJ43=0,"",IF(SUM($AD43:$AJ43)=0,"",IFERROR((($AD43-$AJ43)/$AJ43),"N/A"))))</f>
        <v/>
      </c>
      <c r="AU43" s="813" t="str">
        <f t="shared" ca="1" si="30"/>
        <v/>
      </c>
      <c r="AV43" s="1163" t="str">
        <f t="shared" ca="1" si="24"/>
        <v/>
      </c>
      <c r="AW43" s="1351">
        <f t="shared" ca="1" si="47"/>
        <v>0</v>
      </c>
      <c r="AX43" s="1351">
        <f t="shared" ca="1" si="47"/>
        <v>0</v>
      </c>
      <c r="AY43" s="1351">
        <f t="shared" ca="1" si="47"/>
        <v>0</v>
      </c>
      <c r="AZ43" s="1073" t="str">
        <f t="shared" ca="1" si="49"/>
        <v/>
      </c>
      <c r="BA43" s="1163" t="str">
        <f t="shared" ca="1" si="26"/>
        <v/>
      </c>
      <c r="BB43" s="790"/>
      <c r="BC43" s="954" t="str">
        <f t="shared" ca="1" si="34"/>
        <v/>
      </c>
    </row>
    <row r="44" spans="1:55" ht="14.4" x14ac:dyDescent="0.3">
      <c r="A44" s="673"/>
      <c r="B44" s="90"/>
      <c r="C44" s="814"/>
      <c r="D44" s="814"/>
      <c r="E44" s="814"/>
      <c r="F44" s="814"/>
      <c r="G44" s="814"/>
      <c r="H44" s="814"/>
      <c r="I44" s="814"/>
      <c r="J44" s="90"/>
      <c r="K44" s="90"/>
      <c r="L44" s="90"/>
      <c r="M44" s="815"/>
      <c r="N44" s="90"/>
      <c r="O44" s="90"/>
      <c r="P44" s="90"/>
      <c r="Q44" s="90"/>
      <c r="R44" s="90"/>
      <c r="S44" s="90"/>
      <c r="T44" s="90"/>
      <c r="U44" s="90"/>
      <c r="V44" s="90"/>
      <c r="W44" s="90"/>
      <c r="X44" s="90"/>
      <c r="Y44" s="90"/>
      <c r="Z44" s="90"/>
      <c r="AA44" s="90"/>
      <c r="AB44" s="90"/>
      <c r="AC44" s="50"/>
      <c r="AD44" s="50"/>
      <c r="AE44" s="50"/>
      <c r="AF44" s="50"/>
      <c r="AG44" s="50"/>
      <c r="AH44" s="50"/>
      <c r="AI44" s="50"/>
      <c r="AJ44" s="50"/>
      <c r="AK44" s="50"/>
      <c r="AL44" s="50"/>
      <c r="AM44" s="50"/>
      <c r="AN44" s="50"/>
      <c r="AO44" s="50"/>
      <c r="AP44" s="50"/>
      <c r="AQ44" s="50"/>
      <c r="AR44" s="50"/>
      <c r="AS44" s="50"/>
      <c r="AT44" s="50"/>
      <c r="AU44" s="50"/>
      <c r="AV44" s="50"/>
      <c r="AW44" s="50"/>
      <c r="AX44" s="50"/>
      <c r="AY44" s="50"/>
      <c r="AZ44" s="50"/>
      <c r="BA44" s="50"/>
      <c r="BB44" s="50"/>
      <c r="BC44" s="50"/>
    </row>
    <row r="45" spans="1:55" ht="14.4" x14ac:dyDescent="0.3">
      <c r="A45" s="816" t="s">
        <v>65</v>
      </c>
      <c r="B45" s="817"/>
      <c r="C45" s="818"/>
      <c r="D45" s="818"/>
      <c r="E45" s="818"/>
      <c r="F45" s="818"/>
      <c r="G45" s="818"/>
      <c r="H45" s="818"/>
      <c r="I45" s="819" t="s">
        <v>23</v>
      </c>
      <c r="J45" s="819" t="s">
        <v>23</v>
      </c>
      <c r="K45" s="819" t="s">
        <v>23</v>
      </c>
      <c r="L45" s="819" t="s">
        <v>23</v>
      </c>
      <c r="M45" s="819" t="s">
        <v>23</v>
      </c>
      <c r="N45" s="819" t="s">
        <v>23</v>
      </c>
      <c r="O45" s="819" t="s">
        <v>23</v>
      </c>
      <c r="P45" s="819" t="s">
        <v>23</v>
      </c>
      <c r="Q45" s="819" t="s">
        <v>23</v>
      </c>
      <c r="R45" s="819" t="s">
        <v>23</v>
      </c>
      <c r="S45" s="819" t="s">
        <v>23</v>
      </c>
      <c r="T45" s="819" t="s">
        <v>23</v>
      </c>
      <c r="U45" s="819"/>
      <c r="V45" s="819"/>
      <c r="W45" s="819"/>
      <c r="X45" s="819"/>
      <c r="Y45" s="819" t="s">
        <v>23</v>
      </c>
      <c r="Z45" s="819" t="s">
        <v>23</v>
      </c>
      <c r="AA45" s="819" t="s">
        <v>23</v>
      </c>
      <c r="AB45" s="819" t="s">
        <v>23</v>
      </c>
      <c r="AC45" s="1076" t="s">
        <v>144</v>
      </c>
      <c r="AD45" s="1076" t="s">
        <v>144</v>
      </c>
      <c r="AE45" s="1076" t="s">
        <v>144</v>
      </c>
      <c r="AF45" s="1076" t="s">
        <v>144</v>
      </c>
      <c r="AG45" s="1076" t="s">
        <v>144</v>
      </c>
      <c r="AH45" s="1076" t="s">
        <v>144</v>
      </c>
      <c r="AI45" s="1076"/>
      <c r="AJ45" s="1076" t="s">
        <v>144</v>
      </c>
      <c r="AK45" s="1076" t="s">
        <v>144</v>
      </c>
      <c r="AL45" s="1076" t="s">
        <v>144</v>
      </c>
      <c r="AM45" s="1076" t="s">
        <v>144</v>
      </c>
      <c r="AN45" s="1076" t="s">
        <v>144</v>
      </c>
      <c r="AO45" s="1076" t="s">
        <v>144</v>
      </c>
      <c r="AP45" s="1076" t="s">
        <v>144</v>
      </c>
      <c r="AQ45" s="1076" t="s">
        <v>144</v>
      </c>
      <c r="AR45" s="1076" t="s">
        <v>144</v>
      </c>
      <c r="AS45" s="1076" t="s">
        <v>144</v>
      </c>
      <c r="AT45" s="1076" t="s">
        <v>144</v>
      </c>
      <c r="AU45" s="1076" t="s">
        <v>144</v>
      </c>
      <c r="AV45" s="1076"/>
      <c r="AW45" s="1076"/>
      <c r="AX45" s="1076"/>
      <c r="AY45" s="1076"/>
      <c r="AZ45" s="1076" t="s">
        <v>144</v>
      </c>
      <c r="BA45" s="1076" t="s">
        <v>144</v>
      </c>
      <c r="BB45" s="1076" t="s">
        <v>144</v>
      </c>
      <c r="BC45" s="1076" t="s">
        <v>144</v>
      </c>
    </row>
    <row r="46" spans="1:55" thickBot="1" x14ac:dyDescent="0.35">
      <c r="A46" s="1170"/>
      <c r="B46" s="55"/>
      <c r="C46" s="820"/>
      <c r="D46" s="820"/>
      <c r="E46" s="820"/>
      <c r="F46" s="820"/>
      <c r="G46" s="814"/>
      <c r="H46" s="814"/>
      <c r="I46" s="814"/>
      <c r="J46" s="90"/>
      <c r="K46" s="90"/>
      <c r="L46" s="90"/>
      <c r="M46" s="815"/>
      <c r="N46" s="90"/>
      <c r="O46" s="90"/>
      <c r="P46" s="90"/>
      <c r="Q46" s="90"/>
      <c r="R46" s="90"/>
      <c r="S46" s="90"/>
      <c r="T46" s="90"/>
      <c r="U46" s="90"/>
      <c r="V46" s="90"/>
      <c r="W46" s="90"/>
      <c r="X46" s="90"/>
      <c r="Y46" s="90"/>
      <c r="Z46" s="90"/>
      <c r="AA46" s="90"/>
      <c r="AB46" s="90"/>
      <c r="AC46" s="50"/>
      <c r="AD46" s="50"/>
      <c r="AE46" s="50"/>
      <c r="AF46" s="50"/>
      <c r="AG46" s="50"/>
      <c r="AH46" s="50"/>
      <c r="AI46" s="50"/>
      <c r="AJ46" s="50"/>
      <c r="AK46" s="50"/>
      <c r="AL46" s="50"/>
      <c r="AM46" s="50"/>
      <c r="AN46" s="50"/>
      <c r="AO46" s="50"/>
      <c r="AP46" s="50"/>
      <c r="AQ46" s="50"/>
      <c r="AR46" s="50"/>
      <c r="AS46" s="50"/>
      <c r="AT46" s="50"/>
      <c r="AU46" s="50"/>
      <c r="AV46" s="50"/>
      <c r="AW46" s="50"/>
      <c r="AX46" s="50"/>
      <c r="AY46" s="50"/>
      <c r="AZ46" s="50"/>
      <c r="BA46" s="50"/>
      <c r="BB46" s="50"/>
      <c r="BC46" s="50"/>
    </row>
    <row r="47" spans="1:55" ht="27.6" x14ac:dyDescent="0.3">
      <c r="A47" s="2250"/>
      <c r="B47" s="2251"/>
      <c r="C47" s="1244" t="s">
        <v>176</v>
      </c>
      <c r="D47" s="2254" t="s">
        <v>177</v>
      </c>
      <c r="E47" s="2255"/>
      <c r="F47" s="2255"/>
      <c r="G47" s="2256"/>
      <c r="H47" s="2257"/>
      <c r="I47" s="2258"/>
      <c r="J47" s="2168" t="s">
        <v>428</v>
      </c>
      <c r="K47" s="2169"/>
      <c r="L47" s="2170" t="s">
        <v>429</v>
      </c>
      <c r="M47" s="2171"/>
      <c r="N47" s="2172"/>
      <c r="O47" s="2173" t="s">
        <v>430</v>
      </c>
      <c r="P47" s="2170"/>
      <c r="Q47" s="2170"/>
      <c r="R47" s="2171"/>
      <c r="S47" s="2174"/>
      <c r="T47" s="2173" t="s">
        <v>418</v>
      </c>
      <c r="U47" s="2171"/>
      <c r="V47" s="2171"/>
      <c r="W47" s="2171"/>
      <c r="X47" s="2171"/>
      <c r="Y47" s="2171"/>
      <c r="Z47" s="2171"/>
      <c r="AA47" s="2174"/>
      <c r="AB47" s="2192" t="s">
        <v>433</v>
      </c>
      <c r="AC47" s="2215" t="s">
        <v>432</v>
      </c>
      <c r="AD47" s="1318" t="s">
        <v>176</v>
      </c>
      <c r="AE47" s="2217" t="s">
        <v>177</v>
      </c>
      <c r="AF47" s="2218"/>
      <c r="AG47" s="2218"/>
      <c r="AH47" s="2219"/>
      <c r="AI47" s="2220"/>
      <c r="AJ47" s="2221"/>
      <c r="AK47" s="2209" t="s">
        <v>428</v>
      </c>
      <c r="AL47" s="2210"/>
      <c r="AM47" s="2185" t="s">
        <v>429</v>
      </c>
      <c r="AN47" s="2183"/>
      <c r="AO47" s="2184"/>
      <c r="AP47" s="2185" t="s">
        <v>430</v>
      </c>
      <c r="AQ47" s="2182"/>
      <c r="AR47" s="2182"/>
      <c r="AS47" s="2183"/>
      <c r="AT47" s="2186"/>
      <c r="AU47" s="2194" t="s">
        <v>418</v>
      </c>
      <c r="AV47" s="2194"/>
      <c r="AW47" s="2194"/>
      <c r="AX47" s="2194"/>
      <c r="AY47" s="2194"/>
      <c r="AZ47" s="2194"/>
      <c r="BA47" s="2194"/>
      <c r="BB47" s="2194"/>
      <c r="BC47" s="2215" t="s">
        <v>433</v>
      </c>
    </row>
    <row r="48" spans="1:55" ht="55.8" thickBot="1" x14ac:dyDescent="0.35">
      <c r="A48" s="2252"/>
      <c r="B48" s="2253"/>
      <c r="C48" s="1250" t="str">
        <f>C14</f>
        <v>Q2</v>
      </c>
      <c r="D48" s="821" t="str">
        <f t="shared" ref="D48:I48" si="55">D14</f>
        <v>Q1</v>
      </c>
      <c r="E48" s="925" t="str">
        <f t="shared" si="55"/>
        <v>Q4-19</v>
      </c>
      <c r="F48" s="925" t="str">
        <f t="shared" si="55"/>
        <v>Q3-19</v>
      </c>
      <c r="G48" s="822" t="str">
        <f t="shared" si="55"/>
        <v>Q2-19</v>
      </c>
      <c r="H48" s="822" t="str">
        <f t="shared" si="55"/>
        <v>2018-2019</v>
      </c>
      <c r="I48" s="823" t="str">
        <f t="shared" si="55"/>
        <v>25% of previous year total</v>
      </c>
      <c r="J48" s="824" t="s">
        <v>434</v>
      </c>
      <c r="K48" s="825" t="s">
        <v>435</v>
      </c>
      <c r="L48" s="1050" t="s">
        <v>436</v>
      </c>
      <c r="M48" s="826" t="s">
        <v>437</v>
      </c>
      <c r="N48" s="827" t="s">
        <v>435</v>
      </c>
      <c r="O48" s="828" t="s">
        <v>438</v>
      </c>
      <c r="P48" s="925" t="s">
        <v>470</v>
      </c>
      <c r="Q48" s="925" t="s">
        <v>471</v>
      </c>
      <c r="R48" s="829" t="s">
        <v>439</v>
      </c>
      <c r="S48" s="830" t="s">
        <v>440</v>
      </c>
      <c r="T48" s="2261" t="s">
        <v>441</v>
      </c>
      <c r="U48" s="2262"/>
      <c r="V48" s="1403"/>
      <c r="W48" s="1403"/>
      <c r="X48" s="1403"/>
      <c r="Y48" s="2263" t="s">
        <v>442</v>
      </c>
      <c r="Z48" s="2262"/>
      <c r="AA48" s="830" t="s">
        <v>435</v>
      </c>
      <c r="AB48" s="2249" t="s">
        <v>433</v>
      </c>
      <c r="AC48" s="2216"/>
      <c r="AD48" s="1319" t="str">
        <f>AD14</f>
        <v>Q2</v>
      </c>
      <c r="AE48" s="832" t="str">
        <f t="shared" ref="AE48:AI48" si="56">AE14</f>
        <v>Q1</v>
      </c>
      <c r="AF48" s="730" t="str">
        <f t="shared" si="56"/>
        <v>Q4-19</v>
      </c>
      <c r="AG48" s="730" t="str">
        <f t="shared" si="56"/>
        <v>Q3-19</v>
      </c>
      <c r="AH48" s="833" t="str">
        <f t="shared" si="56"/>
        <v>Q2-19</v>
      </c>
      <c r="AI48" s="833" t="str">
        <f t="shared" si="56"/>
        <v>2018-2019</v>
      </c>
      <c r="AJ48" s="834" t="s">
        <v>178</v>
      </c>
      <c r="AK48" s="835" t="s">
        <v>434</v>
      </c>
      <c r="AL48" s="836" t="s">
        <v>435</v>
      </c>
      <c r="AM48" s="1167" t="s">
        <v>436</v>
      </c>
      <c r="AN48" s="837" t="s">
        <v>437</v>
      </c>
      <c r="AO48" s="838" t="s">
        <v>435</v>
      </c>
      <c r="AP48" s="731" t="s">
        <v>438</v>
      </c>
      <c r="AQ48" s="730" t="s">
        <v>470</v>
      </c>
      <c r="AR48" s="730" t="s">
        <v>471</v>
      </c>
      <c r="AS48" s="1168" t="s">
        <v>439</v>
      </c>
      <c r="AT48" s="732" t="s">
        <v>440</v>
      </c>
      <c r="AU48" s="1378" t="s">
        <v>441</v>
      </c>
      <c r="AV48" s="839" t="s">
        <v>444</v>
      </c>
      <c r="AW48" s="1403"/>
      <c r="AX48" s="1403"/>
      <c r="AY48" s="1403"/>
      <c r="AZ48" s="839" t="s">
        <v>442</v>
      </c>
      <c r="BA48" s="839" t="s">
        <v>443</v>
      </c>
      <c r="BB48" s="1379" t="s">
        <v>435</v>
      </c>
      <c r="BC48" s="2216"/>
    </row>
    <row r="49" spans="1:55" ht="12.75" customHeight="1" thickBot="1" x14ac:dyDescent="0.35">
      <c r="A49" s="2241" t="s">
        <v>69</v>
      </c>
      <c r="B49" s="2242"/>
      <c r="C49" s="1177">
        <f t="shared" ref="C49:H49" ca="1" si="57">INDIRECT(CONCATENATE("'",C$14,"'!$D$53"),TRUE)</f>
        <v>0</v>
      </c>
      <c r="D49" s="840">
        <f t="shared" ca="1" si="57"/>
        <v>0</v>
      </c>
      <c r="E49" s="743">
        <f t="shared" ca="1" si="57"/>
        <v>0</v>
      </c>
      <c r="F49" s="743">
        <f t="shared" ca="1" si="57"/>
        <v>0</v>
      </c>
      <c r="G49" s="743">
        <f t="shared" ca="1" si="57"/>
        <v>0</v>
      </c>
      <c r="H49" s="743">
        <f t="shared" ca="1" si="57"/>
        <v>0</v>
      </c>
      <c r="I49" s="841">
        <f t="shared" ref="I49" ca="1" si="58">H49/4</f>
        <v>0</v>
      </c>
      <c r="J49" s="842" t="str">
        <f ca="1">IF(AND(C49&gt;0,SUM(D49:I49)&gt;0),"",IF(AND(C49=0,SUM(C49:I49)=0),"",IF(AND(C49=0,D49&gt;0),"Missing value?",IF(AND(C49=0,I49&gt;0),"Missing value?","New category"))))</f>
        <v/>
      </c>
      <c r="K49" s="843"/>
      <c r="L49" s="844"/>
      <c r="M49" s="744"/>
      <c r="N49" s="845"/>
      <c r="O49" s="846" t="str">
        <f t="shared" ca="1" si="51"/>
        <v/>
      </c>
      <c r="P49" s="745" t="str">
        <f ca="1">IF(OR(+$J49="missing?",+$J49="new category"),"",IF($E49=0,"",IF(SUM($C49:$I49)=0,"",IFERROR((($C49-$E49)/$E49),"N/A"))))</f>
        <v/>
      </c>
      <c r="Q49" s="745" t="str">
        <f ca="1">IF(OR(+$J49="missing?",+$J49="new category"),"",IF($F49=0,"",IF(SUM($C49:$I49)=0,"",IFERROR((($C49-$F49)/$F49),"N/A"))))</f>
        <v/>
      </c>
      <c r="R49" s="745" t="str">
        <f t="shared" ca="1" si="11"/>
        <v/>
      </c>
      <c r="S49" s="1356" t="str">
        <f t="shared" ca="1" si="12"/>
        <v/>
      </c>
      <c r="T49" s="846" t="str">
        <f t="shared" ref="T49" ca="1" si="59">IF(SUM(C49:I49)=0,"",IF(OR(AND(C49=0,SUM(D49:I49)&gt;0),AND(C49&gt;0,SUM(D49:I49)=0)),1,IF(MAX(IF(O49&lt;0,-O49,O49),IF(P49&lt;0,-P49,P49),IF(Q49&lt;0,-Q49,Q49),IF(R49&lt;0,-R49,R49),IF(S49&lt;0,-S49,S49))=0,"",MAX(IF(O49&lt;0,-O49,O49),IF(P49&lt;0,-P49,P49),IF(Q49&lt;0,-Q49,Q49),IF(R49&lt;0,-R49,R49),IF(S49&lt;0,-S49,S49)))))</f>
        <v/>
      </c>
      <c r="U49" s="847" t="str">
        <f ca="1">IF(+T49="","",IF(T49&gt;L$3,"H",IF(T49&gt;L$4,"M","")))</f>
        <v/>
      </c>
      <c r="V49" s="1404"/>
      <c r="W49" s="1404"/>
      <c r="X49" s="1404"/>
      <c r="Y49" s="1054" t="str">
        <f ca="1">IF(MAX(C49:G49,I49)&gt;0,T49*(MAX(C49:G49,I49)/1000)/L$7,"")</f>
        <v/>
      </c>
      <c r="Z49" s="847" t="str">
        <f ca="1">IF(+Y49="","",IF(Y49&gt;L$3,"H",IF(Y49&gt;L$4,"M","")))</f>
        <v/>
      </c>
      <c r="AA49" s="843"/>
      <c r="AB49" s="954" t="str">
        <f t="shared" ref="AB49" ca="1" si="60">IF(CONCATENATE(IF(K49="OK","",J49),"    ",IF(L49="","",IF(N49="OK","",CONCATENATE(M49," = ",ROUND(L49,3),"kgCO2e/kWh"))),"    ",IF(AND(+AA49="",Z49="M"),"Value change with medium impact",IF(AND(AA49="",Z49="H"),"Value change with high impact",""))," ")="         ","",CONCATENATE(IF(K49="OK","",J49),"    ",IF(L49="","",IF(N49="OK","",CONCATENATE(M49," = ",ROUND(L49,3),"kgCO2e/kWh"))),"    ",IF(AND(+AA49="",Z49="M"),"Value change with medium impact",IF(AND(AA49="",Z49="H"),"Value change with high impact",""))," "))</f>
        <v/>
      </c>
      <c r="AC49" s="48" t="str">
        <f ca="1">IF(AD49&gt;C49,"Offices only&gt;Total Estate","")</f>
        <v/>
      </c>
      <c r="AD49" s="848">
        <f t="shared" ref="AD49:AI49" ca="1" si="61">INDIRECT(CONCATENATE("'",AD$14,"'!$G$53"),TRUE)</f>
        <v>0</v>
      </c>
      <c r="AE49" s="786">
        <f t="shared" ca="1" si="61"/>
        <v>0</v>
      </c>
      <c r="AF49" s="787">
        <f t="shared" ca="1" si="61"/>
        <v>728049.589172362</v>
      </c>
      <c r="AG49" s="787">
        <f t="shared" ca="1" si="61"/>
        <v>0</v>
      </c>
      <c r="AH49" s="787">
        <f t="shared" ca="1" si="61"/>
        <v>0</v>
      </c>
      <c r="AI49" s="787">
        <f t="shared" ca="1" si="61"/>
        <v>728049.589172362</v>
      </c>
      <c r="AJ49" s="788">
        <f ca="1">AI49/4</f>
        <v>182012.3972930905</v>
      </c>
      <c r="AK49" s="849" t="str">
        <f t="shared" ref="AK49" ca="1" si="62">IF(AND(AD49&gt;0,SUM(AE49:AJ49)&gt;0),"",IF(AND(AD49=0,SUM(AD49:AJ49)=0),"",IF(AND(AD49=0,AE49&gt;0),"Missing value?",IF(AND(AD49=0,AJ49&gt;0),"Missing value?","New category"))))</f>
        <v>Missing value?</v>
      </c>
      <c r="AL49" s="796"/>
      <c r="AM49" s="850"/>
      <c r="AN49" s="744"/>
      <c r="AO49" s="851"/>
      <c r="AP49" s="793" t="str">
        <f t="shared" ref="AP49" ca="1" si="63">IF(OR(+$AK49="missing?",+$AK49="new category"),"",IF($AE49=0,"",IF(SUM($AD49:$AJ49)=0,"",IFERROR((($AD49-$AE49)/$AE49),"N/A"))))</f>
        <v/>
      </c>
      <c r="AQ49" s="1070">
        <f t="shared" ref="AQ49" ca="1" si="64">IF(OR(+$AK49="missing?",+$AK49="new category"),"",IF($AF49=0,"",IF(SUM($AD49:$AJ49)=0,"",IFERROR((($AD49-$AF49)/$AF49),"N/A"))))</f>
        <v>-1</v>
      </c>
      <c r="AR49" s="1072" t="str">
        <f t="shared" ref="AR49" ca="1" si="65">IF(OR(+$AK49="missing?",+$AK49="new category"),"",IF($AG49=0,"",IF(SUM($AD49:$AJ49)=0,"",IFERROR((($AD49-$AG49)/$AG49),"N/A"))))</f>
        <v/>
      </c>
      <c r="AS49" s="1072" t="str">
        <f t="shared" ref="AS49" ca="1" si="66">IF(OR(+$AK49="missing?",+$AK49="new category"),"",IF($AH49=0,"",IF(SUM($AD49:$AJ49)=0,"",IFERROR((($AD49-$AH49)/$AH49),"N/A"))))</f>
        <v/>
      </c>
      <c r="AT49" s="1075">
        <f ca="1">IF(OR(+$AK49="missing?",+$AK49="new category"),"",IF($AJ49=0,"",IF(SUM($AD49:$AJ49)=0,"",IFERROR((($AD49-$AJ49)/$AJ49),"N/A"))))</f>
        <v>-1</v>
      </c>
      <c r="AU49" s="1380">
        <f t="shared" ref="AU49" ca="1" si="67">IF(MAX(IF(AP49&lt;0,-AP49,AP49),IF(AS49&lt;0,-AS49,AS49),IF(AT49&lt;0,-AT49,AT49))=0,"",MAX(IF(AP49&lt;0,-AP49,AP49),IF(AQ49&lt;0,-AQ49,AQ49),IF(AR49&lt;0,-AR49,AR49),IF(AS49&lt;0,-AS49,AS49),IF(AT49&lt;0,-AT49,AT49)))</f>
        <v>1</v>
      </c>
      <c r="AV49" s="847" t="str">
        <f ca="1">IF(+AU49="","",IF(AU49&gt;L$3,"H",IF(AU49&gt;L$4,"M","")))</f>
        <v>H</v>
      </c>
      <c r="AW49" s="1404"/>
      <c r="AX49" s="1404"/>
      <c r="AY49" s="1404"/>
      <c r="AZ49" s="1054">
        <f ca="1">IF(MAX(AD49:AH49,AJ49)&gt;0,AU49*(MAX(AD49:AH49,AJ49)/1000)/AM$7,"")</f>
        <v>0.91618930188918957</v>
      </c>
      <c r="BA49" s="847" t="str">
        <f ca="1">IF(+AZ49="","",IF(AZ49&gt;L$3,"H",IF(AZ49&gt;L$4,"M","")))</f>
        <v>H</v>
      </c>
      <c r="BB49" s="843"/>
      <c r="BC49" s="794" t="str">
        <f ca="1">IF(CONCATENATE(AC49, "    ", IF(AL49="OK","",AK49), "    ",IF(AM49="","",IF(AO49="OK","",CONCATENATE(AN49," = ",ROUND(AM49,3),"kgCO2e/kWh"))),"    ",IF(AND(+BB49="",BA49="M"),"Value change with medium impact",IF(AND(BB49="",BA49="H"),"Value change with high impact",""))," ")="             ","",CONCATENATE(AC49, "    ", IF(AL49="OK","",AK49), "    ",IF(AM49="","",IF(AO49="OK","",CONCATENATE(AN49," = ",ROUND(AM49,3),"kgCO2e/kWh"))),"    ",IF(AND(+BB49="",BA49="M"),"Value change with medium impact",IF(AND(BB49="",BA49="H"),"Value change with high impact",""))," "))</f>
        <v xml:space="preserve">    Missing value?        Value change with high impact </v>
      </c>
    </row>
    <row r="50" spans="1:55" ht="14.4" x14ac:dyDescent="0.3">
      <c r="A50" s="90"/>
      <c r="B50" s="90"/>
      <c r="C50" s="814"/>
      <c r="D50" s="814"/>
      <c r="E50" s="814"/>
      <c r="F50" s="814"/>
      <c r="G50" s="814"/>
      <c r="H50" s="814"/>
      <c r="I50" s="814"/>
      <c r="J50" s="852" t="str">
        <f>IF(AND(C50&gt;0,SUM(D50:I50)&gt;0),"",IF(AND(C50=0,SUM(C50:I50)=0),"",IF(AND(C50=0,D50&gt;0),"missing?",IF(AND(C50=0,I50&gt;0),"missing?","new category"))))</f>
        <v/>
      </c>
      <c r="K50" s="852"/>
      <c r="L50" s="852"/>
      <c r="M50" s="853"/>
      <c r="N50" s="852"/>
      <c r="O50" s="854" t="str">
        <f t="shared" si="51"/>
        <v/>
      </c>
      <c r="P50" s="854"/>
      <c r="Q50" s="854"/>
      <c r="R50" s="854" t="str">
        <f t="shared" si="11"/>
        <v/>
      </c>
      <c r="S50" s="854" t="str">
        <f t="shared" si="12"/>
        <v/>
      </c>
      <c r="T50" s="855" t="str">
        <f>IF(MAX(IF(O50&lt;0,-O50,O50),IF(R50&lt;0,-R50,R50),IF(S50&lt;0,-S50,S50))=0,"",MAX(IF(O50&lt;0,-O50,O50),IF(R50&lt;0,-R50,R50),IF(S50&lt;0,-S50,S50)))</f>
        <v/>
      </c>
      <c r="U50" s="855"/>
      <c r="V50" s="855"/>
      <c r="W50" s="855"/>
      <c r="X50" s="855"/>
      <c r="Y50" s="855"/>
      <c r="Z50" s="713" t="str">
        <f>IF(+Y50="","",IF(Y50&gt;L$3,"H",IF(Y50&lt;L$4,"L","M")))</f>
        <v/>
      </c>
      <c r="AA50" s="856"/>
      <c r="AB50" s="854" t="str">
        <f>IF(AND(OR(AA50="OK",Z50="L",Z50=""),OR(J50="",K50="OK"),OR(+L50="",N50="OK")),"","Unresolved issue")</f>
        <v/>
      </c>
      <c r="AC50" s="50"/>
      <c r="AD50" s="50"/>
      <c r="AE50" s="50"/>
      <c r="AF50" s="50"/>
      <c r="AG50" s="50"/>
      <c r="AH50" s="50"/>
      <c r="AI50" s="50"/>
      <c r="AJ50" s="50"/>
      <c r="AK50" s="50"/>
      <c r="AL50" s="50"/>
      <c r="AM50" s="50"/>
      <c r="AN50" s="50"/>
      <c r="AO50" s="50"/>
      <c r="AP50" s="50"/>
      <c r="AQ50" s="50"/>
      <c r="AR50" s="50"/>
      <c r="AS50" s="50"/>
      <c r="AT50" s="50"/>
      <c r="AU50" s="50"/>
      <c r="AV50" s="50"/>
      <c r="AW50" s="50"/>
      <c r="AX50" s="50"/>
      <c r="AY50" s="50"/>
      <c r="AZ50" s="50"/>
      <c r="BA50" s="50"/>
      <c r="BB50" s="50"/>
      <c r="BC50" s="50"/>
    </row>
    <row r="51" spans="1:55" ht="14.4" x14ac:dyDescent="0.3">
      <c r="A51" s="90"/>
      <c r="B51" s="90"/>
      <c r="C51" s="814"/>
      <c r="D51" s="814"/>
      <c r="E51" s="814"/>
      <c r="F51" s="814"/>
      <c r="G51" s="814"/>
      <c r="H51" s="814"/>
      <c r="I51" s="814"/>
      <c r="J51" s="852"/>
      <c r="K51" s="852"/>
      <c r="L51" s="852"/>
      <c r="M51" s="853"/>
      <c r="N51" s="852"/>
      <c r="O51" s="854"/>
      <c r="P51" s="854"/>
      <c r="Q51" s="854"/>
      <c r="R51" s="854"/>
      <c r="S51" s="854"/>
      <c r="T51" s="855"/>
      <c r="U51" s="855"/>
      <c r="V51" s="855"/>
      <c r="W51" s="855"/>
      <c r="X51" s="855"/>
      <c r="Y51" s="855"/>
      <c r="Z51" s="713"/>
      <c r="AA51" s="856"/>
      <c r="AB51" s="854"/>
      <c r="AC51" s="50"/>
      <c r="AD51" s="50"/>
      <c r="AE51" s="50"/>
      <c r="AF51" s="50"/>
      <c r="AG51" s="50"/>
      <c r="AH51" s="50"/>
      <c r="AI51" s="50"/>
      <c r="AJ51" s="50"/>
      <c r="AK51" s="50"/>
      <c r="AL51" s="50"/>
      <c r="AM51" s="50"/>
      <c r="AN51" s="50"/>
      <c r="AO51" s="50"/>
      <c r="AP51" s="50"/>
      <c r="AQ51" s="50"/>
      <c r="AR51" s="50"/>
      <c r="AS51" s="50"/>
      <c r="AT51" s="50"/>
      <c r="AU51" s="50"/>
      <c r="AV51" s="50"/>
      <c r="AW51" s="50"/>
      <c r="AX51" s="50"/>
      <c r="AY51" s="50"/>
      <c r="AZ51" s="50"/>
      <c r="BA51" s="50"/>
      <c r="BB51" s="50"/>
      <c r="BC51" s="50"/>
    </row>
    <row r="52" spans="1:55" ht="14.4" x14ac:dyDescent="0.3">
      <c r="A52" s="816" t="s">
        <v>71</v>
      </c>
      <c r="B52" s="817"/>
      <c r="C52" s="857"/>
      <c r="D52" s="857"/>
      <c r="E52" s="857"/>
      <c r="F52" s="857"/>
      <c r="G52" s="857"/>
      <c r="H52" s="857"/>
      <c r="I52" s="819" t="s">
        <v>23</v>
      </c>
      <c r="J52" s="819" t="s">
        <v>23</v>
      </c>
      <c r="K52" s="819" t="s">
        <v>23</v>
      </c>
      <c r="L52" s="819" t="s">
        <v>23</v>
      </c>
      <c r="M52" s="819" t="s">
        <v>23</v>
      </c>
      <c r="N52" s="819" t="s">
        <v>23</v>
      </c>
      <c r="O52" s="819" t="s">
        <v>23</v>
      </c>
      <c r="P52" s="819" t="s">
        <v>23</v>
      </c>
      <c r="Q52" s="819" t="s">
        <v>23</v>
      </c>
      <c r="R52" s="819" t="s">
        <v>23</v>
      </c>
      <c r="S52" s="819" t="s">
        <v>23</v>
      </c>
      <c r="T52" s="819" t="s">
        <v>23</v>
      </c>
      <c r="U52" s="819"/>
      <c r="V52" s="819"/>
      <c r="W52" s="819"/>
      <c r="X52" s="819"/>
      <c r="Y52" s="819" t="s">
        <v>23</v>
      </c>
      <c r="Z52" s="819" t="s">
        <v>23</v>
      </c>
      <c r="AA52" s="819" t="s">
        <v>23</v>
      </c>
      <c r="AB52" s="819" t="s">
        <v>23</v>
      </c>
      <c r="AC52" s="50"/>
      <c r="AD52" s="50"/>
      <c r="AE52" s="50"/>
      <c r="AF52" s="50"/>
      <c r="AG52" s="50"/>
      <c r="AH52" s="50"/>
      <c r="AI52" s="50"/>
      <c r="AJ52" s="50"/>
      <c r="AK52" s="50"/>
      <c r="AL52" s="50"/>
      <c r="AM52" s="50"/>
      <c r="AN52" s="50"/>
      <c r="AO52" s="50"/>
      <c r="AP52" s="50"/>
      <c r="AQ52" s="50"/>
      <c r="AR52" s="50"/>
      <c r="AS52" s="50"/>
      <c r="AT52" s="50"/>
      <c r="AU52" s="50"/>
      <c r="AV52" s="50"/>
      <c r="AW52" s="50"/>
      <c r="AX52" s="50"/>
      <c r="AY52" s="50"/>
      <c r="AZ52" s="50"/>
      <c r="BA52" s="50"/>
      <c r="BB52" s="50"/>
      <c r="BC52" s="50"/>
    </row>
    <row r="53" spans="1:55" ht="13.5" customHeight="1" thickBot="1" x14ac:dyDescent="0.35">
      <c r="A53" s="1170"/>
      <c r="B53" s="55"/>
      <c r="C53" s="820"/>
      <c r="D53" s="820"/>
      <c r="E53" s="820"/>
      <c r="F53" s="820"/>
      <c r="G53" s="820"/>
      <c r="H53" s="820"/>
      <c r="I53" s="820"/>
      <c r="J53" s="852"/>
      <c r="K53" s="852"/>
      <c r="L53" s="852"/>
      <c r="M53" s="853"/>
      <c r="N53" s="852"/>
      <c r="O53" s="854"/>
      <c r="P53" s="854"/>
      <c r="Q53" s="854"/>
      <c r="R53" s="854"/>
      <c r="S53" s="854"/>
      <c r="T53" s="855"/>
      <c r="U53" s="855"/>
      <c r="V53" s="855"/>
      <c r="W53" s="855"/>
      <c r="X53" s="855"/>
      <c r="Y53" s="855"/>
      <c r="Z53" s="713"/>
      <c r="AA53" s="856"/>
      <c r="AB53" s="854"/>
      <c r="AC53" s="50"/>
      <c r="AD53" s="50"/>
      <c r="AE53" s="50"/>
      <c r="AF53" s="50"/>
      <c r="AG53" s="50"/>
      <c r="AH53" s="50"/>
      <c r="AI53" s="50"/>
      <c r="AJ53" s="50"/>
      <c r="AK53" s="50"/>
      <c r="AL53" s="50"/>
      <c r="AM53" s="50"/>
      <c r="AN53" s="50"/>
      <c r="AO53" s="50"/>
      <c r="AP53" s="50"/>
      <c r="AQ53" s="50"/>
      <c r="AR53" s="50"/>
      <c r="AS53" s="50"/>
      <c r="AT53" s="50"/>
      <c r="AU53" s="50"/>
      <c r="AV53" s="50"/>
      <c r="AW53" s="50"/>
      <c r="AX53" s="50"/>
      <c r="AY53" s="50"/>
      <c r="AZ53" s="50"/>
      <c r="BA53" s="50"/>
      <c r="BB53" s="50"/>
      <c r="BC53" s="50"/>
    </row>
    <row r="54" spans="1:55" ht="27.6" x14ac:dyDescent="0.3">
      <c r="A54" s="2243" t="s">
        <v>180</v>
      </c>
      <c r="B54" s="2244"/>
      <c r="C54" s="1244" t="s">
        <v>176</v>
      </c>
      <c r="D54" s="2164" t="s">
        <v>177</v>
      </c>
      <c r="E54" s="2165"/>
      <c r="F54" s="2165"/>
      <c r="G54" s="2166"/>
      <c r="H54" s="2167"/>
      <c r="I54" s="2231"/>
      <c r="J54" s="2247" t="s">
        <v>428</v>
      </c>
      <c r="K54" s="2248"/>
      <c r="L54" s="2173" t="s">
        <v>429</v>
      </c>
      <c r="M54" s="2171"/>
      <c r="N54" s="2174"/>
      <c r="O54" s="2173" t="s">
        <v>430</v>
      </c>
      <c r="P54" s="2170"/>
      <c r="Q54" s="2170"/>
      <c r="R54" s="2171"/>
      <c r="S54" s="2174"/>
      <c r="T54" s="2173" t="s">
        <v>418</v>
      </c>
      <c r="U54" s="2171"/>
      <c r="V54" s="2171"/>
      <c r="W54" s="2171"/>
      <c r="X54" s="2171"/>
      <c r="Y54" s="2171"/>
      <c r="Z54" s="2171"/>
      <c r="AA54" s="2174"/>
      <c r="AB54" s="2259" t="s">
        <v>433</v>
      </c>
      <c r="AC54" s="50"/>
      <c r="AD54" s="50"/>
      <c r="AE54" s="50"/>
      <c r="AF54" s="50"/>
      <c r="AG54" s="50"/>
      <c r="AH54" s="50"/>
      <c r="AI54" s="50"/>
      <c r="AJ54" s="50"/>
      <c r="AK54" s="50"/>
      <c r="AL54" s="50"/>
      <c r="AM54" s="50"/>
      <c r="AN54" s="50"/>
      <c r="AO54" s="50"/>
      <c r="AP54" s="50"/>
      <c r="AQ54" s="50"/>
      <c r="AR54" s="50"/>
      <c r="AS54" s="50"/>
      <c r="AT54" s="50"/>
      <c r="AU54" s="50"/>
      <c r="AV54" s="50"/>
      <c r="AW54" s="50"/>
      <c r="AX54" s="50"/>
      <c r="AY54" s="50"/>
      <c r="AZ54" s="50"/>
      <c r="BA54" s="50"/>
      <c r="BB54" s="50"/>
      <c r="BC54" s="50"/>
    </row>
    <row r="55" spans="1:55" ht="44.25" customHeight="1" thickBot="1" x14ac:dyDescent="0.35">
      <c r="A55" s="2245"/>
      <c r="B55" s="2246"/>
      <c r="C55" s="1250" t="str">
        <f>C14</f>
        <v>Q2</v>
      </c>
      <c r="D55" s="821" t="str">
        <f t="shared" ref="D55:I55" si="68">D14</f>
        <v>Q1</v>
      </c>
      <c r="E55" s="925" t="str">
        <f t="shared" si="68"/>
        <v>Q4-19</v>
      </c>
      <c r="F55" s="925" t="str">
        <f t="shared" si="68"/>
        <v>Q3-19</v>
      </c>
      <c r="G55" s="822" t="str">
        <f t="shared" si="68"/>
        <v>Q2-19</v>
      </c>
      <c r="H55" s="822" t="str">
        <f t="shared" si="68"/>
        <v>2018-2019</v>
      </c>
      <c r="I55" s="823" t="str">
        <f t="shared" si="68"/>
        <v>25% of previous year total</v>
      </c>
      <c r="J55" s="858" t="s">
        <v>434</v>
      </c>
      <c r="K55" s="859" t="s">
        <v>435</v>
      </c>
      <c r="L55" s="831" t="s">
        <v>436</v>
      </c>
      <c r="M55" s="826" t="s">
        <v>437</v>
      </c>
      <c r="N55" s="860" t="s">
        <v>435</v>
      </c>
      <c r="O55" s="828" t="s">
        <v>438</v>
      </c>
      <c r="P55" s="925" t="s">
        <v>470</v>
      </c>
      <c r="Q55" s="925" t="s">
        <v>471</v>
      </c>
      <c r="R55" s="829" t="s">
        <v>439</v>
      </c>
      <c r="S55" s="830" t="s">
        <v>440</v>
      </c>
      <c r="T55" s="2156" t="s">
        <v>441</v>
      </c>
      <c r="U55" s="2155"/>
      <c r="V55" s="829" t="str">
        <f>V14</f>
        <v>Q2</v>
      </c>
      <c r="W55" s="829" t="str">
        <f t="shared" ref="W55:X55" si="69">W14</f>
        <v>Q1</v>
      </c>
      <c r="X55" s="829" t="str">
        <f t="shared" si="69"/>
        <v>2018-2019</v>
      </c>
      <c r="Y55" s="2157" t="s">
        <v>442</v>
      </c>
      <c r="Z55" s="2155"/>
      <c r="AA55" s="830" t="s">
        <v>445</v>
      </c>
      <c r="AB55" s="2260" t="s">
        <v>433</v>
      </c>
      <c r="AC55" s="50"/>
      <c r="AD55" s="50"/>
      <c r="AE55" s="50"/>
      <c r="AF55" s="50"/>
      <c r="AG55" s="50"/>
      <c r="AH55" s="50"/>
      <c r="AI55" s="50"/>
      <c r="AJ55" s="50"/>
      <c r="AK55" s="50"/>
      <c r="AL55" s="50"/>
      <c r="AM55" s="50"/>
      <c r="AN55" s="50"/>
      <c r="AO55" s="50"/>
      <c r="AP55" s="50"/>
      <c r="AQ55" s="50"/>
      <c r="AR55" s="50"/>
      <c r="AS55" s="50"/>
      <c r="AT55" s="50"/>
      <c r="AU55" s="50"/>
      <c r="AV55" s="50"/>
      <c r="AW55" s="50"/>
      <c r="AX55" s="50"/>
      <c r="AY55" s="50"/>
      <c r="AZ55" s="50"/>
      <c r="BA55" s="50"/>
      <c r="BB55" s="50"/>
      <c r="BC55" s="50"/>
    </row>
    <row r="56" spans="1:55" ht="12.75" customHeight="1" thickBot="1" x14ac:dyDescent="0.35">
      <c r="A56" s="2225" t="s">
        <v>77</v>
      </c>
      <c r="B56" s="2226"/>
      <c r="C56" s="1177">
        <f t="shared" ref="C56:H56" ca="1" si="70">INDIRECT(CONCATENATE("'",C$14,"'!$D$64"),TRUE)</f>
        <v>4686290.49</v>
      </c>
      <c r="D56" s="733">
        <f t="shared" ca="1" si="70"/>
        <v>5025581</v>
      </c>
      <c r="E56" s="734">
        <f t="shared" ca="1" si="70"/>
        <v>4632492.45567476</v>
      </c>
      <c r="F56" s="734">
        <f t="shared" ca="1" si="70"/>
        <v>4558988</v>
      </c>
      <c r="G56" s="734">
        <f t="shared" ca="1" si="70"/>
        <v>4734057</v>
      </c>
      <c r="H56" s="734">
        <f t="shared" ca="1" si="70"/>
        <v>18302892.45567476</v>
      </c>
      <c r="I56" s="735">
        <f t="shared" ref="I56:I113" ca="1" si="71">H56/4</f>
        <v>4575723.11391869</v>
      </c>
      <c r="J56" s="844"/>
      <c r="K56" s="845"/>
      <c r="L56" s="861"/>
      <c r="M56" s="862"/>
      <c r="N56" s="863"/>
      <c r="O56" s="738">
        <f t="shared" ca="1" si="51"/>
        <v>-6.7512693557222489E-2</v>
      </c>
      <c r="P56" s="739">
        <f ca="1">IF(OR(+$J56="missing?",+$J56="new category"),"",IF($E56=0,"",IF(SUM($C56:$I56)=0,"",IFERROR((($C56-$E56)/$E56),"N/A"))))</f>
        <v>1.1613194158435831E-2</v>
      </c>
      <c r="Q56" s="739">
        <f ca="1">IF(OR(+$J56="missing?",+$J56="new category"),"",IF($F56=0,"",IF(SUM($C56:$I56)=0,"",IFERROR((($C56-$F56)/$F56),"N/A"))))</f>
        <v>2.7923409756726761E-2</v>
      </c>
      <c r="R56" s="739">
        <f t="shared" ca="1" si="11"/>
        <v>-1.0089973568125559E-2</v>
      </c>
      <c r="S56" s="740">
        <f t="shared" ca="1" si="12"/>
        <v>2.4163913184558784E-2</v>
      </c>
      <c r="T56" s="864"/>
      <c r="U56" s="746"/>
      <c r="V56" s="746"/>
      <c r="W56" s="746"/>
      <c r="X56" s="746"/>
      <c r="Y56" s="746"/>
      <c r="Z56" s="865"/>
      <c r="AA56" s="866"/>
      <c r="AB56" s="867" t="str">
        <f>IF(AND(OR(AA56="OK",Z56="L",Z56=""),OR(J56="",K56="OK"),OR(+L56="",N56="OK")),"","Unresolved issue")</f>
        <v/>
      </c>
      <c r="AC56" s="50"/>
      <c r="AD56" s="50"/>
      <c r="AE56" s="50"/>
      <c r="AF56" s="50"/>
      <c r="AG56" s="50"/>
      <c r="AH56" s="50"/>
      <c r="AI56" s="50"/>
      <c r="AJ56" s="50"/>
      <c r="AK56" s="50"/>
      <c r="AL56" s="50"/>
      <c r="AM56" s="50"/>
      <c r="AN56" s="50"/>
      <c r="AO56" s="50"/>
      <c r="AP56" s="50"/>
      <c r="AQ56" s="50"/>
      <c r="AR56" s="50"/>
      <c r="AS56" s="50"/>
      <c r="AT56" s="50"/>
      <c r="AU56" s="50"/>
      <c r="AV56" s="50"/>
      <c r="AW56" s="50"/>
      <c r="AX56" s="50"/>
      <c r="AY56" s="50"/>
      <c r="AZ56" s="50"/>
      <c r="BA56" s="50"/>
      <c r="BB56" s="50"/>
      <c r="BC56" s="50"/>
    </row>
    <row r="57" spans="1:55" ht="12.75" customHeight="1" x14ac:dyDescent="0.3">
      <c r="A57" s="2235" t="s">
        <v>84</v>
      </c>
      <c r="B57" s="747" t="str">
        <f>'Q1'!C65</f>
        <v>Small petrol car, up to 1.4 l</v>
      </c>
      <c r="C57" s="1262">
        <f t="shared" ref="C57:H66" ca="1" si="72">INDEX(INDIRECT(CONCATENATE("'",C$14,"'!$D$65:$D$85"),TRUE),MATCH($B57,INDIRECT(CONCATENATE("'",C$14,"'!$C$65:$C$85"),TRUE),0))</f>
        <v>16424</v>
      </c>
      <c r="D57" s="748">
        <f t="shared" ca="1" si="72"/>
        <v>18959</v>
      </c>
      <c r="E57" s="749">
        <f t="shared" ca="1" si="72"/>
        <v>16704</v>
      </c>
      <c r="F57" s="749">
        <f t="shared" ca="1" si="72"/>
        <v>10764</v>
      </c>
      <c r="G57" s="749">
        <f t="shared" ca="1" si="72"/>
        <v>8312</v>
      </c>
      <c r="H57" s="749">
        <f t="shared" ca="1" si="72"/>
        <v>44753</v>
      </c>
      <c r="I57" s="750">
        <f t="shared" ca="1" si="71"/>
        <v>11188.25</v>
      </c>
      <c r="J57" s="868" t="str">
        <f t="shared" ref="J57:J113" ca="1" si="73">IF(AND(C57&gt;0,SUM(D57:I57)&gt;0),"",IF(AND(C57=0,SUM(C57:I57)=0),"",IF(AND(C57=0,D57&gt;0),"Missing value?",IF(AND(C57=0,I57&gt;0),"Missing value?","New category"))))</f>
        <v/>
      </c>
      <c r="K57" s="809"/>
      <c r="L57" s="869"/>
      <c r="M57" s="870"/>
      <c r="N57" s="754"/>
      <c r="O57" s="755">
        <f t="shared" ca="1" si="51"/>
        <v>-0.13370958383881007</v>
      </c>
      <c r="P57" s="756">
        <f t="shared" ref="P57:P113" ca="1" si="74">IF(OR(+$J57="missing?",+$J57="new category"),"",IF($E57=0,"",IF(SUM($C57:$I57)=0,"",IFERROR((($C57-$E57)/$E57),"N/A"))))</f>
        <v>-1.6762452107279693E-2</v>
      </c>
      <c r="Q57" s="756">
        <f t="shared" ref="Q57:Q113" ca="1" si="75">IF(OR(+$J57="missing?",+$J57="new category"),"",IF($F57=0,"",IF(SUM($C57:$I57)=0,"",IFERROR((($C57-$F57)/$F57),"N/A"))))</f>
        <v>0.52582683017465626</v>
      </c>
      <c r="R57" s="756">
        <f t="shared" ca="1" si="11"/>
        <v>0.97593840230991336</v>
      </c>
      <c r="S57" s="757">
        <f t="shared" ca="1" si="12"/>
        <v>0.46796862780148818</v>
      </c>
      <c r="T57" s="1066">
        <f t="shared" ref="T57:T113" ca="1" si="76">IF(SUM(C57:I57)=0,"",IF(OR(AND(C57=0,SUM(D57:I57)&gt;0),AND(C57&gt;0,SUM(D57:I57)=0)),1,IF(MAX(IF(O57&lt;0,-O57,O57),IF(P57&lt;0,-P57,P57),IF(Q57&lt;0,-Q57,Q57),IF(R57&lt;0,-R57,R57),IF(S57&lt;0,-S57,S57))=0,"",MAX(IF(O57&lt;0,-O57,O57),IF(P57&lt;0,-P57,P57),IF(Q57&lt;0,-Q57,Q57),IF(R57&lt;0,-R57,R57),IF(S57&lt;0,-S57,S57)))))</f>
        <v>0.97593840230991336</v>
      </c>
      <c r="U57" s="1166" t="str">
        <f t="shared" ref="U57:U77" ca="1" si="77">IF(+T57="","",IF(T57&gt;L$3,"H",IF(T57&gt;L$4,"M","")))</f>
        <v>H</v>
      </c>
      <c r="V57" s="1350">
        <f t="shared" ref="V57:X77" ca="1" si="78">INDEX(INDIRECT(CONCATENATE("'",V$14,"'!$F$65:$F$85"),TRUE),MATCH($B57,INDIRECT(CONCATENATE("'",V$14,"'!$C$65:$C$85"),TRUE),0))</f>
        <v>2.5245330400000001</v>
      </c>
      <c r="W57" s="1350">
        <f t="shared" ca="1" si="78"/>
        <v>2.91418789</v>
      </c>
      <c r="X57" s="1350">
        <f t="shared" ca="1" si="78"/>
        <v>6.9658044500000003</v>
      </c>
      <c r="Y57" s="1067">
        <f ca="1">IF(V57=0,IF(W57&gt;0, W57/L$8, IF(X57&gt;0,X57/L$10, "")), IF(T57="", "", V57/L$7*T57))</f>
        <v>4.5951820496745214E-5</v>
      </c>
      <c r="Z57" s="1166" t="str">
        <f t="shared" ref="Z57:Z77" ca="1" si="79">IF(+Y57="","",IF(Y57&gt;L$3,"H",IF(Y57&gt;L$4,"M","")))</f>
        <v/>
      </c>
      <c r="AA57" s="751"/>
      <c r="AB57" s="871" t="str">
        <f ca="1">IF((CONCATENATE(IF(K57="OK","",J57), "    ",IF(L57="","",IF(N57="OK","",CONCATENATE(M57," = ",ROUND(L57,3),"kgCO2e/kWh"))),"    ",IF(AND(+AA57="",Z57="M"),"Value change with medium impact",IF(AND(AA57="",Z57="H"),"Value change with high impact",""))," "))="         ","",(CONCATENATE(IF(K57="OK","",J57), "    ",IF(L57="","",IF(N57="OK","",CONCATENATE(M57," = ",ROUND(L57,3),"kgCO2e/kWh"))),"    ",IF(AND(+AA57="",Z57="M"),"Value change with medium impact",IF(AND(AA57="",Z57="H"),"Value change with high impact",""))," ")))</f>
        <v/>
      </c>
      <c r="AC57" s="50"/>
      <c r="AD57" s="50"/>
      <c r="AE57" s="50"/>
      <c r="AF57" s="50"/>
      <c r="AG57" s="50"/>
      <c r="AH57" s="50"/>
      <c r="AI57" s="50"/>
      <c r="AJ57" s="50"/>
      <c r="AK57" s="50"/>
      <c r="AL57" s="50"/>
      <c r="AM57" s="50"/>
      <c r="AN57" s="50"/>
      <c r="AO57" s="50"/>
      <c r="AP57" s="50"/>
      <c r="AQ57" s="50"/>
      <c r="AR57" s="50"/>
      <c r="AS57" s="50"/>
      <c r="AT57" s="50"/>
      <c r="AU57" s="50"/>
      <c r="AV57" s="50"/>
      <c r="AW57" s="50"/>
      <c r="AX57" s="50"/>
      <c r="AY57" s="50"/>
      <c r="AZ57" s="50"/>
      <c r="BA57" s="50"/>
      <c r="BB57" s="50"/>
      <c r="BC57" s="50"/>
    </row>
    <row r="58" spans="1:55" ht="12.75" customHeight="1" x14ac:dyDescent="0.3">
      <c r="A58" s="2236"/>
      <c r="B58" s="747" t="str">
        <f>'Q1'!C66</f>
        <v>Medium petrol car, 1.4 - 2.0 l</v>
      </c>
      <c r="C58" s="1262">
        <f t="shared" ca="1" si="72"/>
        <v>0</v>
      </c>
      <c r="D58" s="768">
        <f t="shared" ca="1" si="72"/>
        <v>0</v>
      </c>
      <c r="E58" s="769">
        <f t="shared" ca="1" si="72"/>
        <v>0</v>
      </c>
      <c r="F58" s="769">
        <f t="shared" ca="1" si="72"/>
        <v>0</v>
      </c>
      <c r="G58" s="769">
        <f t="shared" ca="1" si="72"/>
        <v>0</v>
      </c>
      <c r="H58" s="769">
        <f t="shared" ca="1" si="72"/>
        <v>0</v>
      </c>
      <c r="I58" s="770">
        <f t="shared" ca="1" si="71"/>
        <v>0</v>
      </c>
      <c r="J58" s="872" t="str">
        <f t="shared" ca="1" si="73"/>
        <v/>
      </c>
      <c r="K58" s="782"/>
      <c r="L58" s="873"/>
      <c r="M58" s="874"/>
      <c r="N58" s="775"/>
      <c r="O58" s="776" t="str">
        <f t="shared" ca="1" si="51"/>
        <v/>
      </c>
      <c r="P58" s="777" t="str">
        <f t="shared" ca="1" si="74"/>
        <v/>
      </c>
      <c r="Q58" s="777" t="str">
        <f t="shared" ca="1" si="75"/>
        <v/>
      </c>
      <c r="R58" s="777" t="str">
        <f t="shared" ca="1" si="11"/>
        <v/>
      </c>
      <c r="S58" s="778" t="str">
        <f t="shared" ca="1" si="12"/>
        <v/>
      </c>
      <c r="T58" s="1066" t="str">
        <f t="shared" ca="1" si="76"/>
        <v/>
      </c>
      <c r="U58" s="1165" t="str">
        <f t="shared" ca="1" si="77"/>
        <v/>
      </c>
      <c r="V58" s="1350">
        <f t="shared" ca="1" si="78"/>
        <v>0</v>
      </c>
      <c r="W58" s="1350">
        <f t="shared" ca="1" si="78"/>
        <v>0</v>
      </c>
      <c r="X58" s="1350">
        <f t="shared" ca="1" si="78"/>
        <v>0</v>
      </c>
      <c r="Y58" s="1067" t="str">
        <f t="shared" ref="Y58:Y77" ca="1" si="80">IF(V58=0,IF(W58&gt;0, W58/L$8, IF(X58&gt;0,X58/L$10, "")), IF(T58="", "", V58/L$7*T58))</f>
        <v/>
      </c>
      <c r="Z58" s="1165" t="str">
        <f t="shared" ca="1" si="79"/>
        <v/>
      </c>
      <c r="AA58" s="772"/>
      <c r="AB58" s="871" t="str">
        <f t="shared" ref="AB58:AB77" ca="1" si="81">IF((CONCATENATE(IF(K58="OK","",J58), "    ",IF(L58="","",IF(N58="OK","",CONCATENATE(M58," = ",ROUND(L58,3),"kgCO2e/kWh"))),"    ",IF(AND(+AA58="",Z58="M"),"Value change with medium impact",IF(AND(AA58="",Z58="H"),"Value change with high impact",""))," "))="         ","",(CONCATENATE(IF(K58="OK","",J58), "    ",IF(L58="","",IF(N58="OK","",CONCATENATE(M58," = ",ROUND(L58,3),"kgCO2e/kWh"))),"    ",IF(AND(+AA58="",Z58="M"),"Value change with medium impact",IF(AND(AA58="",Z58="H"),"Value change with high impact",""))," ")))</f>
        <v/>
      </c>
      <c r="AC58" s="50"/>
      <c r="AD58" s="50"/>
      <c r="AE58" s="50"/>
      <c r="AF58" s="50"/>
      <c r="AG58" s="50"/>
      <c r="AH58" s="50"/>
      <c r="AI58" s="50"/>
      <c r="AJ58" s="50"/>
      <c r="AK58" s="50"/>
      <c r="AL58" s="50"/>
      <c r="AM58" s="50"/>
      <c r="AN58" s="50"/>
      <c r="AO58" s="50"/>
      <c r="AP58" s="50"/>
      <c r="AQ58" s="50"/>
      <c r="AR58" s="50"/>
      <c r="AS58" s="50"/>
      <c r="AT58" s="50"/>
      <c r="AU58" s="50"/>
      <c r="AV58" s="50"/>
      <c r="AW58" s="50"/>
      <c r="AX58" s="50"/>
      <c r="AY58" s="50"/>
      <c r="AZ58" s="50"/>
      <c r="BA58" s="50"/>
      <c r="BB58" s="50"/>
      <c r="BC58" s="50"/>
    </row>
    <row r="59" spans="1:55" ht="12.75" customHeight="1" x14ac:dyDescent="0.3">
      <c r="A59" s="2236"/>
      <c r="B59" s="747" t="str">
        <f>'Q1'!C67</f>
        <v>Large petrol car, &gt;2.0 l</v>
      </c>
      <c r="C59" s="1262">
        <f t="shared" ca="1" si="72"/>
        <v>0</v>
      </c>
      <c r="D59" s="768">
        <f t="shared" ca="1" si="72"/>
        <v>0</v>
      </c>
      <c r="E59" s="769">
        <f t="shared" ca="1" si="72"/>
        <v>0</v>
      </c>
      <c r="F59" s="769">
        <f t="shared" ca="1" si="72"/>
        <v>0</v>
      </c>
      <c r="G59" s="769">
        <f t="shared" ca="1" si="72"/>
        <v>0</v>
      </c>
      <c r="H59" s="769">
        <f t="shared" ca="1" si="72"/>
        <v>0</v>
      </c>
      <c r="I59" s="770">
        <f t="shared" ca="1" si="71"/>
        <v>0</v>
      </c>
      <c r="J59" s="872" t="str">
        <f t="shared" ca="1" si="73"/>
        <v/>
      </c>
      <c r="K59" s="782"/>
      <c r="L59" s="873"/>
      <c r="M59" s="874"/>
      <c r="N59" s="775"/>
      <c r="O59" s="776" t="str">
        <f t="shared" ca="1" si="51"/>
        <v/>
      </c>
      <c r="P59" s="777" t="str">
        <f t="shared" ca="1" si="74"/>
        <v/>
      </c>
      <c r="Q59" s="777" t="str">
        <f t="shared" ca="1" si="75"/>
        <v/>
      </c>
      <c r="R59" s="777" t="str">
        <f t="shared" ca="1" si="11"/>
        <v/>
      </c>
      <c r="S59" s="778" t="str">
        <f t="shared" ca="1" si="12"/>
        <v/>
      </c>
      <c r="T59" s="1066" t="str">
        <f t="shared" ca="1" si="76"/>
        <v/>
      </c>
      <c r="U59" s="1165" t="str">
        <f t="shared" ca="1" si="77"/>
        <v/>
      </c>
      <c r="V59" s="1350">
        <f t="shared" ca="1" si="78"/>
        <v>0</v>
      </c>
      <c r="W59" s="1350">
        <f t="shared" ca="1" si="78"/>
        <v>0</v>
      </c>
      <c r="X59" s="1350">
        <f t="shared" ca="1" si="78"/>
        <v>0</v>
      </c>
      <c r="Y59" s="1067" t="str">
        <f t="shared" ca="1" si="80"/>
        <v/>
      </c>
      <c r="Z59" s="1165" t="str">
        <f t="shared" ca="1" si="79"/>
        <v/>
      </c>
      <c r="AA59" s="772"/>
      <c r="AB59" s="871" t="str">
        <f t="shared" ca="1" si="81"/>
        <v/>
      </c>
      <c r="AC59" s="50"/>
      <c r="AD59" s="50"/>
      <c r="AE59" s="50"/>
      <c r="AF59" s="50"/>
      <c r="AG59" s="50"/>
      <c r="AH59" s="50"/>
      <c r="AI59" s="50"/>
      <c r="AJ59" s="50"/>
      <c r="AK59" s="50"/>
      <c r="AL59" s="50"/>
      <c r="AM59" s="50"/>
      <c r="AN59" s="50"/>
      <c r="AO59" s="50"/>
      <c r="AP59" s="50"/>
      <c r="AQ59" s="50"/>
      <c r="AR59" s="50"/>
      <c r="AS59" s="50"/>
      <c r="AT59" s="50"/>
      <c r="AU59" s="50"/>
      <c r="AV59" s="50"/>
      <c r="AW59" s="50"/>
      <c r="AX59" s="50"/>
      <c r="AY59" s="50"/>
      <c r="AZ59" s="50"/>
      <c r="BA59" s="50"/>
      <c r="BB59" s="50"/>
      <c r="BC59" s="50"/>
    </row>
    <row r="60" spans="1:55" ht="12.75" customHeight="1" x14ac:dyDescent="0.3">
      <c r="A60" s="2236"/>
      <c r="B60" s="747" t="str">
        <f>'Q1'!C68</f>
        <v>Average petrol car</v>
      </c>
      <c r="C60" s="1262">
        <f t="shared" ca="1" si="72"/>
        <v>0</v>
      </c>
      <c r="D60" s="768">
        <f t="shared" ca="1" si="72"/>
        <v>0</v>
      </c>
      <c r="E60" s="769">
        <f t="shared" ca="1" si="72"/>
        <v>0</v>
      </c>
      <c r="F60" s="769">
        <f t="shared" ca="1" si="72"/>
        <v>0</v>
      </c>
      <c r="G60" s="769">
        <f t="shared" ca="1" si="72"/>
        <v>0</v>
      </c>
      <c r="H60" s="769">
        <f t="shared" ca="1" si="72"/>
        <v>0</v>
      </c>
      <c r="I60" s="770">
        <f t="shared" ca="1" si="71"/>
        <v>0</v>
      </c>
      <c r="J60" s="872" t="str">
        <f t="shared" ca="1" si="73"/>
        <v/>
      </c>
      <c r="K60" s="782"/>
      <c r="L60" s="873"/>
      <c r="M60" s="874"/>
      <c r="N60" s="775"/>
      <c r="O60" s="776" t="str">
        <f t="shared" ca="1" si="51"/>
        <v/>
      </c>
      <c r="P60" s="777" t="str">
        <f t="shared" ca="1" si="74"/>
        <v/>
      </c>
      <c r="Q60" s="777" t="str">
        <f t="shared" ca="1" si="75"/>
        <v/>
      </c>
      <c r="R60" s="777" t="str">
        <f t="shared" ca="1" si="11"/>
        <v/>
      </c>
      <c r="S60" s="778" t="str">
        <f t="shared" ca="1" si="12"/>
        <v/>
      </c>
      <c r="T60" s="1066" t="str">
        <f t="shared" ca="1" si="76"/>
        <v/>
      </c>
      <c r="U60" s="1165" t="str">
        <f t="shared" ca="1" si="77"/>
        <v/>
      </c>
      <c r="V60" s="1350">
        <f t="shared" ca="1" si="78"/>
        <v>0</v>
      </c>
      <c r="W60" s="1350">
        <f t="shared" ca="1" si="78"/>
        <v>0</v>
      </c>
      <c r="X60" s="1350">
        <f t="shared" ca="1" si="78"/>
        <v>0</v>
      </c>
      <c r="Y60" s="1067" t="str">
        <f t="shared" ca="1" si="80"/>
        <v/>
      </c>
      <c r="Z60" s="1165" t="str">
        <f t="shared" ca="1" si="79"/>
        <v/>
      </c>
      <c r="AA60" s="772"/>
      <c r="AB60" s="871" t="str">
        <f t="shared" ca="1" si="81"/>
        <v/>
      </c>
      <c r="AC60" s="50"/>
      <c r="AD60" s="50"/>
      <c r="AE60" s="50"/>
      <c r="AF60" s="50"/>
      <c r="AG60" s="50"/>
      <c r="AH60" s="50"/>
      <c r="AI60" s="50"/>
      <c r="AJ60" s="50"/>
      <c r="AK60" s="50"/>
      <c r="AL60" s="50"/>
      <c r="AM60" s="50"/>
      <c r="AN60" s="50"/>
      <c r="AO60" s="50"/>
      <c r="AP60" s="50"/>
      <c r="AQ60" s="50"/>
      <c r="AR60" s="50"/>
      <c r="AS60" s="50"/>
      <c r="AT60" s="50"/>
      <c r="AU60" s="50"/>
      <c r="AV60" s="50"/>
      <c r="AW60" s="50"/>
      <c r="AX60" s="50"/>
      <c r="AY60" s="50"/>
      <c r="AZ60" s="50"/>
      <c r="BA60" s="50"/>
      <c r="BB60" s="50"/>
      <c r="BC60" s="50"/>
    </row>
    <row r="61" spans="1:55" ht="12.75" customHeight="1" x14ac:dyDescent="0.3">
      <c r="A61" s="2236"/>
      <c r="B61" s="747" t="str">
        <f>'Q1'!C69</f>
        <v>Small diesel car, up to 1.7 l</v>
      </c>
      <c r="C61" s="1262">
        <f t="shared" ca="1" si="72"/>
        <v>929097</v>
      </c>
      <c r="D61" s="768">
        <f t="shared" ca="1" si="72"/>
        <v>995648</v>
      </c>
      <c r="E61" s="769">
        <f t="shared" ca="1" si="72"/>
        <v>1115679</v>
      </c>
      <c r="F61" s="769">
        <f t="shared" ca="1" si="72"/>
        <v>1172655</v>
      </c>
      <c r="G61" s="769">
        <f t="shared" ca="1" si="72"/>
        <v>1235894</v>
      </c>
      <c r="H61" s="769">
        <f t="shared" ca="1" si="72"/>
        <v>4785429</v>
      </c>
      <c r="I61" s="770">
        <f t="shared" ca="1" si="71"/>
        <v>1196357.25</v>
      </c>
      <c r="J61" s="872" t="str">
        <f t="shared" ca="1" si="73"/>
        <v/>
      </c>
      <c r="K61" s="782"/>
      <c r="L61" s="873"/>
      <c r="M61" s="874"/>
      <c r="N61" s="775"/>
      <c r="O61" s="776">
        <f t="shared" ca="1" si="51"/>
        <v>-6.6841895931092118E-2</v>
      </c>
      <c r="P61" s="777">
        <f t="shared" ca="1" si="74"/>
        <v>-0.16723627495005283</v>
      </c>
      <c r="Q61" s="777">
        <f t="shared" ca="1" si="75"/>
        <v>-0.20769791626693274</v>
      </c>
      <c r="R61" s="777">
        <f t="shared" ca="1" si="11"/>
        <v>-0.24823892663933961</v>
      </c>
      <c r="S61" s="778">
        <f t="shared" ca="1" si="12"/>
        <v>-0.2233950185030433</v>
      </c>
      <c r="T61" s="1066">
        <f t="shared" ca="1" si="76"/>
        <v>0.24823892663933961</v>
      </c>
      <c r="U61" s="1165" t="str">
        <f t="shared" ca="1" si="77"/>
        <v>H</v>
      </c>
      <c r="V61" s="1350">
        <f t="shared" ca="1" si="78"/>
        <v>132.00610176000001</v>
      </c>
      <c r="W61" s="1350">
        <f t="shared" ca="1" si="78"/>
        <v>141.46166784000002</v>
      </c>
      <c r="X61" s="1350">
        <f t="shared" ca="1" si="78"/>
        <v>695.46639657000003</v>
      </c>
      <c r="Y61" s="1067">
        <f t="shared" ca="1" si="80"/>
        <v>6.1117157341912727E-4</v>
      </c>
      <c r="Z61" s="1165" t="str">
        <f t="shared" ca="1" si="79"/>
        <v/>
      </c>
      <c r="AA61" s="772"/>
      <c r="AB61" s="871" t="str">
        <f t="shared" ca="1" si="81"/>
        <v/>
      </c>
      <c r="AC61" s="50"/>
      <c r="AD61" s="50"/>
      <c r="AE61" s="50"/>
      <c r="AF61" s="50"/>
      <c r="AG61" s="50"/>
      <c r="AH61" s="50"/>
      <c r="AI61" s="50"/>
      <c r="AJ61" s="50"/>
      <c r="AK61" s="50"/>
      <c r="AL61" s="50"/>
      <c r="AM61" s="50"/>
      <c r="AN61" s="50"/>
      <c r="AO61" s="50"/>
      <c r="AP61" s="50"/>
      <c r="AQ61" s="50"/>
      <c r="AR61" s="50"/>
      <c r="AS61" s="50"/>
      <c r="AT61" s="50"/>
      <c r="AU61" s="50"/>
      <c r="AV61" s="50"/>
      <c r="AW61" s="50"/>
      <c r="AX61" s="50"/>
      <c r="AY61" s="50"/>
      <c r="AZ61" s="50"/>
      <c r="BA61" s="50"/>
      <c r="BB61" s="50"/>
      <c r="BC61" s="50"/>
    </row>
    <row r="62" spans="1:55" ht="12.75" customHeight="1" x14ac:dyDescent="0.3">
      <c r="A62" s="2236"/>
      <c r="B62" s="747" t="str">
        <f>'Q1'!C70</f>
        <v>Medium diesel car, 1.7 - 2.0 l</v>
      </c>
      <c r="C62" s="1262">
        <f t="shared" ca="1" si="72"/>
        <v>280987</v>
      </c>
      <c r="D62" s="768">
        <f t="shared" ca="1" si="72"/>
        <v>338654</v>
      </c>
      <c r="E62" s="769">
        <f t="shared" ca="1" si="72"/>
        <v>364905</v>
      </c>
      <c r="F62" s="769">
        <f t="shared" ca="1" si="72"/>
        <v>341109</v>
      </c>
      <c r="G62" s="769">
        <f t="shared" ca="1" si="72"/>
        <v>267216</v>
      </c>
      <c r="H62" s="769">
        <f t="shared" ca="1" si="72"/>
        <v>1234277</v>
      </c>
      <c r="I62" s="770">
        <f t="shared" ca="1" si="71"/>
        <v>308569.25</v>
      </c>
      <c r="J62" s="872" t="str">
        <f t="shared" ca="1" si="73"/>
        <v/>
      </c>
      <c r="K62" s="782"/>
      <c r="L62" s="873"/>
      <c r="M62" s="874"/>
      <c r="N62" s="775"/>
      <c r="O62" s="776">
        <f t="shared" ca="1" si="51"/>
        <v>-0.17028294365340435</v>
      </c>
      <c r="P62" s="777">
        <f t="shared" ca="1" si="74"/>
        <v>-0.22997218454118196</v>
      </c>
      <c r="Q62" s="777">
        <f t="shared" ca="1" si="75"/>
        <v>-0.17625451102140371</v>
      </c>
      <c r="R62" s="777">
        <f t="shared" ca="1" si="11"/>
        <v>5.1535087719298246E-2</v>
      </c>
      <c r="S62" s="778">
        <f t="shared" ca="1" si="12"/>
        <v>-8.9387552388969407E-2</v>
      </c>
      <c r="T62" s="1066">
        <f t="shared" ca="1" si="76"/>
        <v>0.22997218454118196</v>
      </c>
      <c r="U62" s="1165" t="str">
        <f t="shared" ca="1" si="77"/>
        <v>H</v>
      </c>
      <c r="V62" s="1350">
        <f t="shared" ca="1" si="78"/>
        <v>47.939192070000004</v>
      </c>
      <c r="W62" s="1350">
        <f t="shared" ca="1" si="78"/>
        <v>57.777758940000005</v>
      </c>
      <c r="X62" s="1350">
        <f t="shared" ca="1" si="78"/>
        <v>214.18408780999999</v>
      </c>
      <c r="Y62" s="1067">
        <f t="shared" ca="1" si="80"/>
        <v>2.0561996293343816E-4</v>
      </c>
      <c r="Z62" s="1165" t="str">
        <f t="shared" ca="1" si="79"/>
        <v/>
      </c>
      <c r="AA62" s="772"/>
      <c r="AB62" s="871" t="str">
        <f t="shared" ca="1" si="81"/>
        <v/>
      </c>
      <c r="AC62" s="50"/>
      <c r="AD62" s="50"/>
      <c r="AE62" s="50"/>
      <c r="AF62" s="50"/>
      <c r="AG62" s="50"/>
      <c r="AH62" s="50"/>
      <c r="AI62" s="50"/>
      <c r="AJ62" s="50"/>
      <c r="AK62" s="50"/>
      <c r="AL62" s="50"/>
      <c r="AM62" s="50"/>
      <c r="AN62" s="50"/>
      <c r="AO62" s="50"/>
      <c r="AP62" s="50"/>
      <c r="AQ62" s="50"/>
      <c r="AR62" s="50"/>
      <c r="AS62" s="50"/>
      <c r="AT62" s="50"/>
      <c r="AU62" s="50"/>
      <c r="AV62" s="50"/>
      <c r="AW62" s="50"/>
      <c r="AX62" s="50"/>
      <c r="AY62" s="50"/>
      <c r="AZ62" s="50"/>
      <c r="BA62" s="50"/>
      <c r="BB62" s="50"/>
      <c r="BC62" s="50"/>
    </row>
    <row r="63" spans="1:55" ht="12.75" customHeight="1" x14ac:dyDescent="0.3">
      <c r="A63" s="2236"/>
      <c r="B63" s="747" t="str">
        <f>'Q1'!C71</f>
        <v>Large diesel car, &gt;2.0 l</v>
      </c>
      <c r="C63" s="1262">
        <f t="shared" ca="1" si="72"/>
        <v>4704.49</v>
      </c>
      <c r="D63" s="768">
        <f t="shared" ca="1" si="72"/>
        <v>4775</v>
      </c>
      <c r="E63" s="769">
        <f t="shared" ca="1" si="72"/>
        <v>9625</v>
      </c>
      <c r="F63" s="769">
        <f t="shared" ca="1" si="72"/>
        <v>8992</v>
      </c>
      <c r="G63" s="769">
        <f t="shared" ca="1" si="72"/>
        <v>8029</v>
      </c>
      <c r="H63" s="769">
        <f t="shared" ca="1" si="72"/>
        <v>40471</v>
      </c>
      <c r="I63" s="770">
        <f t="shared" ca="1" si="71"/>
        <v>10117.75</v>
      </c>
      <c r="J63" s="872" t="str">
        <f t="shared" ca="1" si="73"/>
        <v/>
      </c>
      <c r="K63" s="782"/>
      <c r="L63" s="873"/>
      <c r="M63" s="874"/>
      <c r="N63" s="775"/>
      <c r="O63" s="776">
        <f t="shared" ca="1" si="51"/>
        <v>-1.4766492146596904E-2</v>
      </c>
      <c r="P63" s="777">
        <f t="shared" ca="1" si="74"/>
        <v>-0.51122181818181822</v>
      </c>
      <c r="Q63" s="777">
        <f t="shared" ca="1" si="75"/>
        <v>-0.47681383451957299</v>
      </c>
      <c r="R63" s="777">
        <f t="shared" ca="1" si="11"/>
        <v>-0.41406277244986928</v>
      </c>
      <c r="S63" s="778">
        <f t="shared" ca="1" si="12"/>
        <v>-0.53502606804872632</v>
      </c>
      <c r="T63" s="1066">
        <f t="shared" ca="1" si="76"/>
        <v>0.53502606804872632</v>
      </c>
      <c r="U63" s="1165" t="str">
        <f t="shared" ca="1" si="77"/>
        <v>H</v>
      </c>
      <c r="V63" s="1350">
        <f t="shared" ca="1" si="78"/>
        <v>0.98544952029999988</v>
      </c>
      <c r="W63" s="1350">
        <f t="shared" ca="1" si="78"/>
        <v>1.00021925</v>
      </c>
      <c r="X63" s="1350">
        <f t="shared" ca="1" si="78"/>
        <v>8.7093592000000015</v>
      </c>
      <c r="Y63" s="1067">
        <f t="shared" ca="1" si="80"/>
        <v>9.8335103774219425E-6</v>
      </c>
      <c r="Z63" s="1165" t="str">
        <f t="shared" ca="1" si="79"/>
        <v/>
      </c>
      <c r="AA63" s="772"/>
      <c r="AB63" s="871" t="str">
        <f t="shared" ca="1" si="81"/>
        <v/>
      </c>
      <c r="AC63" s="50"/>
      <c r="AD63" s="50"/>
      <c r="AE63" s="50"/>
      <c r="AF63" s="50"/>
      <c r="AG63" s="50"/>
      <c r="AH63" s="50"/>
      <c r="AI63" s="50"/>
      <c r="AJ63" s="50"/>
      <c r="AK63" s="50"/>
      <c r="AL63" s="50"/>
      <c r="AM63" s="50"/>
      <c r="AN63" s="50"/>
      <c r="AO63" s="50"/>
      <c r="AP63" s="50"/>
      <c r="AQ63" s="50"/>
      <c r="AR63" s="50"/>
      <c r="AS63" s="50"/>
      <c r="AT63" s="50"/>
      <c r="AU63" s="50"/>
      <c r="AV63" s="50"/>
      <c r="AW63" s="50"/>
      <c r="AX63" s="50"/>
      <c r="AY63" s="50"/>
      <c r="AZ63" s="50"/>
      <c r="BA63" s="50"/>
      <c r="BB63" s="50"/>
      <c r="BC63" s="50"/>
    </row>
    <row r="64" spans="1:55" ht="12.75" customHeight="1" x14ac:dyDescent="0.3">
      <c r="A64" s="2236"/>
      <c r="B64" s="747" t="str">
        <f>'Q1'!C72</f>
        <v>Average diesel car</v>
      </c>
      <c r="C64" s="1262">
        <f t="shared" ca="1" si="72"/>
        <v>0</v>
      </c>
      <c r="D64" s="768">
        <f t="shared" ca="1" si="72"/>
        <v>0</v>
      </c>
      <c r="E64" s="769">
        <f t="shared" ca="1" si="72"/>
        <v>0</v>
      </c>
      <c r="F64" s="769">
        <f t="shared" ca="1" si="72"/>
        <v>0</v>
      </c>
      <c r="G64" s="769">
        <f t="shared" ca="1" si="72"/>
        <v>0</v>
      </c>
      <c r="H64" s="769">
        <f t="shared" ca="1" si="72"/>
        <v>0</v>
      </c>
      <c r="I64" s="770">
        <f t="shared" ca="1" si="71"/>
        <v>0</v>
      </c>
      <c r="J64" s="872" t="str">
        <f t="shared" ca="1" si="73"/>
        <v/>
      </c>
      <c r="K64" s="782"/>
      <c r="L64" s="873"/>
      <c r="M64" s="874"/>
      <c r="N64" s="775"/>
      <c r="O64" s="776" t="str">
        <f t="shared" ca="1" si="51"/>
        <v/>
      </c>
      <c r="P64" s="777" t="str">
        <f t="shared" ca="1" si="74"/>
        <v/>
      </c>
      <c r="Q64" s="777" t="str">
        <f t="shared" ca="1" si="75"/>
        <v/>
      </c>
      <c r="R64" s="777" t="str">
        <f t="shared" ca="1" si="11"/>
        <v/>
      </c>
      <c r="S64" s="778" t="str">
        <f t="shared" ca="1" si="12"/>
        <v/>
      </c>
      <c r="T64" s="1066" t="str">
        <f t="shared" ca="1" si="76"/>
        <v/>
      </c>
      <c r="U64" s="1165" t="str">
        <f t="shared" ca="1" si="77"/>
        <v/>
      </c>
      <c r="V64" s="1350">
        <f t="shared" ca="1" si="78"/>
        <v>0</v>
      </c>
      <c r="W64" s="1350">
        <f t="shared" ca="1" si="78"/>
        <v>0</v>
      </c>
      <c r="X64" s="1350">
        <f t="shared" ca="1" si="78"/>
        <v>0</v>
      </c>
      <c r="Y64" s="1067" t="str">
        <f t="shared" ca="1" si="80"/>
        <v/>
      </c>
      <c r="Z64" s="1165" t="str">
        <f t="shared" ca="1" si="79"/>
        <v/>
      </c>
      <c r="AA64" s="772"/>
      <c r="AB64" s="871" t="str">
        <f t="shared" ca="1" si="81"/>
        <v/>
      </c>
      <c r="AC64" s="50"/>
      <c r="AD64" s="50"/>
      <c r="AE64" s="50"/>
      <c r="AF64" s="50"/>
      <c r="AG64" s="50"/>
      <c r="AH64" s="50"/>
      <c r="AI64" s="50"/>
      <c r="AJ64" s="50"/>
      <c r="AK64" s="50"/>
      <c r="AL64" s="50"/>
      <c r="AM64" s="50"/>
      <c r="AN64" s="50"/>
      <c r="AO64" s="50"/>
      <c r="AP64" s="50"/>
      <c r="AQ64" s="50"/>
      <c r="AR64" s="50"/>
      <c r="AS64" s="50"/>
      <c r="AT64" s="50"/>
      <c r="AU64" s="50"/>
      <c r="AV64" s="50"/>
      <c r="AW64" s="50"/>
      <c r="AX64" s="50"/>
      <c r="AY64" s="50"/>
      <c r="AZ64" s="50"/>
      <c r="BA64" s="50"/>
      <c r="BB64" s="50"/>
      <c r="BC64" s="50"/>
    </row>
    <row r="65" spans="1:55" ht="12.75" customHeight="1" x14ac:dyDescent="0.3">
      <c r="A65" s="2236"/>
      <c r="B65" s="747" t="str">
        <f>'Q1'!C73</f>
        <v>Hybrid - Medium</v>
      </c>
      <c r="C65" s="1262">
        <f t="shared" ca="1" si="72"/>
        <v>362219</v>
      </c>
      <c r="D65" s="768">
        <f t="shared" ca="1" si="72"/>
        <v>310267</v>
      </c>
      <c r="E65" s="769">
        <f t="shared" ca="1" si="72"/>
        <v>211836</v>
      </c>
      <c r="F65" s="769">
        <f t="shared" ca="1" si="72"/>
        <v>152153</v>
      </c>
      <c r="G65" s="769">
        <f t="shared" ca="1" si="72"/>
        <v>52212</v>
      </c>
      <c r="H65" s="769">
        <f t="shared" ca="1" si="72"/>
        <v>468413</v>
      </c>
      <c r="I65" s="770">
        <f t="shared" ca="1" si="71"/>
        <v>117103.25</v>
      </c>
      <c r="J65" s="872" t="str">
        <f t="shared" ca="1" si="73"/>
        <v/>
      </c>
      <c r="K65" s="782"/>
      <c r="L65" s="873"/>
      <c r="M65" s="874"/>
      <c r="N65" s="775"/>
      <c r="O65" s="776">
        <f t="shared" ca="1" si="51"/>
        <v>0.16744287984220044</v>
      </c>
      <c r="P65" s="777">
        <f t="shared" ca="1" si="74"/>
        <v>0.70990294378670293</v>
      </c>
      <c r="Q65" s="777">
        <f t="shared" ca="1" si="75"/>
        <v>1.3806234513943203</v>
      </c>
      <c r="R65" s="777">
        <f t="shared" ca="1" si="11"/>
        <v>5.9374664828008887</v>
      </c>
      <c r="S65" s="778">
        <f t="shared" ca="1" si="12"/>
        <v>2.0931592419510134</v>
      </c>
      <c r="T65" s="1066">
        <f t="shared" ca="1" si="76"/>
        <v>5.9374664828008887</v>
      </c>
      <c r="U65" s="1165" t="str">
        <f t="shared" ca="1" si="77"/>
        <v>H</v>
      </c>
      <c r="V65" s="1350">
        <f t="shared" ca="1" si="78"/>
        <v>39.463760050000005</v>
      </c>
      <c r="W65" s="1350">
        <f t="shared" ca="1" si="78"/>
        <v>33.803589649999999</v>
      </c>
      <c r="X65" s="1350">
        <f t="shared" ca="1" si="78"/>
        <v>54.045491940000005</v>
      </c>
      <c r="Y65" s="1067">
        <f t="shared" ca="1" si="80"/>
        <v>4.3701756033046853E-3</v>
      </c>
      <c r="Z65" s="1165" t="str">
        <f t="shared" ca="1" si="79"/>
        <v>M</v>
      </c>
      <c r="AA65" s="772"/>
      <c r="AB65" s="871" t="str">
        <f t="shared" ca="1" si="81"/>
        <v xml:space="preserve">        Value change with medium impact </v>
      </c>
      <c r="AC65" s="50"/>
      <c r="AD65" s="50"/>
      <c r="AE65" s="50"/>
      <c r="AF65" s="50"/>
      <c r="AG65" s="50"/>
      <c r="AH65" s="50"/>
      <c r="AI65" s="50"/>
      <c r="AJ65" s="50"/>
      <c r="AK65" s="50"/>
      <c r="AL65" s="50"/>
      <c r="AM65" s="50"/>
      <c r="AN65" s="50"/>
      <c r="AO65" s="50"/>
      <c r="AP65" s="50"/>
      <c r="AQ65" s="50"/>
      <c r="AR65" s="50"/>
      <c r="AS65" s="50"/>
      <c r="AT65" s="50"/>
      <c r="AU65" s="50"/>
      <c r="AV65" s="50"/>
      <c r="AW65" s="50"/>
      <c r="AX65" s="50"/>
      <c r="AY65" s="50"/>
      <c r="AZ65" s="50"/>
      <c r="BA65" s="50"/>
      <c r="BB65" s="50"/>
      <c r="BC65" s="50"/>
    </row>
    <row r="66" spans="1:55" ht="12.75" customHeight="1" x14ac:dyDescent="0.3">
      <c r="A66" s="2236"/>
      <c r="B66" s="747" t="str">
        <f>'Q1'!C74</f>
        <v>Hybrid - Large</v>
      </c>
      <c r="C66" s="1262">
        <f t="shared" ca="1" si="72"/>
        <v>0</v>
      </c>
      <c r="D66" s="768">
        <f t="shared" ca="1" si="72"/>
        <v>0</v>
      </c>
      <c r="E66" s="769">
        <f t="shared" ca="1" si="72"/>
        <v>0</v>
      </c>
      <c r="F66" s="769">
        <f t="shared" ca="1" si="72"/>
        <v>0</v>
      </c>
      <c r="G66" s="769">
        <f t="shared" ca="1" si="72"/>
        <v>0</v>
      </c>
      <c r="H66" s="769">
        <f t="shared" ca="1" si="72"/>
        <v>0</v>
      </c>
      <c r="I66" s="770">
        <f t="shared" ca="1" si="71"/>
        <v>0</v>
      </c>
      <c r="J66" s="872" t="str">
        <f t="shared" ca="1" si="73"/>
        <v/>
      </c>
      <c r="K66" s="782"/>
      <c r="L66" s="873"/>
      <c r="M66" s="874"/>
      <c r="N66" s="775"/>
      <c r="O66" s="776" t="str">
        <f t="shared" ca="1" si="51"/>
        <v/>
      </c>
      <c r="P66" s="777" t="str">
        <f t="shared" ca="1" si="74"/>
        <v/>
      </c>
      <c r="Q66" s="777" t="str">
        <f t="shared" ca="1" si="75"/>
        <v/>
      </c>
      <c r="R66" s="777" t="str">
        <f t="shared" ca="1" si="11"/>
        <v/>
      </c>
      <c r="S66" s="778" t="str">
        <f t="shared" ca="1" si="12"/>
        <v/>
      </c>
      <c r="T66" s="1066" t="str">
        <f t="shared" ca="1" si="76"/>
        <v/>
      </c>
      <c r="U66" s="1165" t="str">
        <f t="shared" ca="1" si="77"/>
        <v/>
      </c>
      <c r="V66" s="1350">
        <f t="shared" ca="1" si="78"/>
        <v>0</v>
      </c>
      <c r="W66" s="1350">
        <f t="shared" ca="1" si="78"/>
        <v>0</v>
      </c>
      <c r="X66" s="1350">
        <f t="shared" ca="1" si="78"/>
        <v>0</v>
      </c>
      <c r="Y66" s="1067" t="str">
        <f t="shared" ca="1" si="80"/>
        <v/>
      </c>
      <c r="Z66" s="1165" t="str">
        <f t="shared" ca="1" si="79"/>
        <v/>
      </c>
      <c r="AA66" s="772"/>
      <c r="AB66" s="871" t="str">
        <f t="shared" ca="1" si="81"/>
        <v/>
      </c>
      <c r="AC66" s="50"/>
      <c r="AD66" s="50"/>
      <c r="AE66" s="50"/>
      <c r="AF66" s="50"/>
      <c r="AG66" s="50"/>
      <c r="AH66" s="50"/>
      <c r="AI66" s="50"/>
      <c r="AJ66" s="50"/>
      <c r="AK66" s="50"/>
      <c r="AL66" s="50"/>
      <c r="AM66" s="50"/>
      <c r="AN66" s="50"/>
      <c r="AO66" s="50"/>
      <c r="AP66" s="50"/>
      <c r="AQ66" s="50"/>
      <c r="AR66" s="50"/>
      <c r="AS66" s="50"/>
      <c r="AT66" s="50"/>
      <c r="AU66" s="50"/>
      <c r="AV66" s="50"/>
      <c r="AW66" s="50"/>
      <c r="AX66" s="50"/>
      <c r="AY66" s="50"/>
      <c r="AZ66" s="50"/>
      <c r="BA66" s="50"/>
      <c r="BB66" s="50"/>
      <c r="BC66" s="50"/>
    </row>
    <row r="67" spans="1:55" ht="12.75" customHeight="1" x14ac:dyDescent="0.3">
      <c r="A67" s="2236"/>
      <c r="B67" s="747" t="str">
        <f>'Q1'!C75</f>
        <v>LPG - Average</v>
      </c>
      <c r="C67" s="1262">
        <f t="shared" ref="C67:H77" ca="1" si="82">INDEX(INDIRECT(CONCATENATE("'",C$14,"'!$D$65:$D$85"),TRUE),MATCH($B67,INDIRECT(CONCATENATE("'",C$14,"'!$C$65:$C$85"),TRUE),0))</f>
        <v>0</v>
      </c>
      <c r="D67" s="768">
        <f t="shared" ca="1" si="82"/>
        <v>0</v>
      </c>
      <c r="E67" s="769">
        <f t="shared" ca="1" si="82"/>
        <v>0</v>
      </c>
      <c r="F67" s="769">
        <f t="shared" ca="1" si="82"/>
        <v>0</v>
      </c>
      <c r="G67" s="769">
        <f t="shared" ca="1" si="82"/>
        <v>0</v>
      </c>
      <c r="H67" s="769">
        <f t="shared" ca="1" si="82"/>
        <v>0</v>
      </c>
      <c r="I67" s="770">
        <f t="shared" ca="1" si="71"/>
        <v>0</v>
      </c>
      <c r="J67" s="872" t="str">
        <f t="shared" ca="1" si="73"/>
        <v/>
      </c>
      <c r="K67" s="782"/>
      <c r="L67" s="873"/>
      <c r="M67" s="874"/>
      <c r="N67" s="775"/>
      <c r="O67" s="776" t="str">
        <f t="shared" ca="1" si="51"/>
        <v/>
      </c>
      <c r="P67" s="777" t="str">
        <f t="shared" ca="1" si="74"/>
        <v/>
      </c>
      <c r="Q67" s="777" t="str">
        <f t="shared" ca="1" si="75"/>
        <v/>
      </c>
      <c r="R67" s="777" t="str">
        <f t="shared" ca="1" si="11"/>
        <v/>
      </c>
      <c r="S67" s="778" t="str">
        <f t="shared" ca="1" si="12"/>
        <v/>
      </c>
      <c r="T67" s="1066" t="str">
        <f t="shared" ca="1" si="76"/>
        <v/>
      </c>
      <c r="U67" s="1165" t="str">
        <f t="shared" ca="1" si="77"/>
        <v/>
      </c>
      <c r="V67" s="1350">
        <f t="shared" ca="1" si="78"/>
        <v>0</v>
      </c>
      <c r="W67" s="1350">
        <f t="shared" ca="1" si="78"/>
        <v>0</v>
      </c>
      <c r="X67" s="1350">
        <f t="shared" ca="1" si="78"/>
        <v>0</v>
      </c>
      <c r="Y67" s="1067" t="str">
        <f t="shared" ca="1" si="80"/>
        <v/>
      </c>
      <c r="Z67" s="1165" t="str">
        <f t="shared" ca="1" si="79"/>
        <v/>
      </c>
      <c r="AA67" s="772"/>
      <c r="AB67" s="871" t="str">
        <f t="shared" ca="1" si="81"/>
        <v/>
      </c>
      <c r="AC67" s="50"/>
      <c r="AD67" s="50"/>
      <c r="AE67" s="50"/>
      <c r="AF67" s="50"/>
      <c r="AG67" s="50"/>
      <c r="AH67" s="50"/>
      <c r="AI67" s="50"/>
      <c r="AJ67" s="50"/>
      <c r="AK67" s="50"/>
      <c r="AL67" s="50"/>
      <c r="AM67" s="50"/>
      <c r="AN67" s="50"/>
      <c r="AO67" s="50"/>
      <c r="AP67" s="50"/>
      <c r="AQ67" s="50"/>
      <c r="AR67" s="50"/>
      <c r="AS67" s="50"/>
      <c r="AT67" s="50"/>
      <c r="AU67" s="50"/>
      <c r="AV67" s="50"/>
      <c r="AW67" s="50"/>
      <c r="AX67" s="50"/>
      <c r="AY67" s="50"/>
      <c r="AZ67" s="50"/>
      <c r="BA67" s="50"/>
      <c r="BB67" s="50"/>
      <c r="BC67" s="50"/>
    </row>
    <row r="68" spans="1:55" ht="12.75" customHeight="1" x14ac:dyDescent="0.3">
      <c r="A68" s="2236"/>
      <c r="B68" s="747" t="str">
        <f>'Q1'!C76</f>
        <v>Unknown - Average</v>
      </c>
      <c r="C68" s="1262">
        <f t="shared" ca="1" si="82"/>
        <v>47830</v>
      </c>
      <c r="D68" s="768">
        <f t="shared" ca="1" si="82"/>
        <v>60542</v>
      </c>
      <c r="E68" s="769">
        <f t="shared" ca="1" si="82"/>
        <v>50707</v>
      </c>
      <c r="F68" s="769">
        <f t="shared" ca="1" si="82"/>
        <v>76334</v>
      </c>
      <c r="G68" s="769">
        <f t="shared" ca="1" si="82"/>
        <v>67282</v>
      </c>
      <c r="H68" s="769">
        <f t="shared" ca="1" si="82"/>
        <v>264337</v>
      </c>
      <c r="I68" s="770">
        <f t="shared" ca="1" si="71"/>
        <v>66084.25</v>
      </c>
      <c r="J68" s="872" t="str">
        <f t="shared" ca="1" si="73"/>
        <v/>
      </c>
      <c r="K68" s="782"/>
      <c r="L68" s="873"/>
      <c r="M68" s="874"/>
      <c r="N68" s="775"/>
      <c r="O68" s="776">
        <f t="shared" ca="1" si="51"/>
        <v>-0.2099699382247035</v>
      </c>
      <c r="P68" s="777">
        <f t="shared" ca="1" si="74"/>
        <v>-5.6737728518744944E-2</v>
      </c>
      <c r="Q68" s="777">
        <f t="shared" ca="1" si="75"/>
        <v>-0.37341158592501378</v>
      </c>
      <c r="R68" s="777">
        <f t="shared" ca="1" si="11"/>
        <v>-0.28911150084718051</v>
      </c>
      <c r="S68" s="778">
        <f t="shared" ca="1" si="12"/>
        <v>-0.27622693758346356</v>
      </c>
      <c r="T68" s="1066">
        <f t="shared" ca="1" si="76"/>
        <v>0.37341158592501378</v>
      </c>
      <c r="U68" s="1165" t="str">
        <f t="shared" ca="1" si="77"/>
        <v>H</v>
      </c>
      <c r="V68" s="1350">
        <f t="shared" ca="1" si="78"/>
        <v>8.4706930000000007</v>
      </c>
      <c r="W68" s="1350">
        <f t="shared" ca="1" si="78"/>
        <v>10.7219882</v>
      </c>
      <c r="X68" s="1350">
        <f t="shared" ca="1" si="78"/>
        <v>47.749835679999997</v>
      </c>
      <c r="Y68" s="1067">
        <f t="shared" ca="1" si="80"/>
        <v>5.8993747658708567E-5</v>
      </c>
      <c r="Z68" s="1165" t="str">
        <f t="shared" ca="1" si="79"/>
        <v/>
      </c>
      <c r="AA68" s="772"/>
      <c r="AB68" s="871" t="str">
        <f t="shared" ca="1" si="81"/>
        <v/>
      </c>
      <c r="AC68" s="50"/>
      <c r="AD68" s="50"/>
      <c r="AE68" s="50"/>
      <c r="AF68" s="50"/>
      <c r="AG68" s="50"/>
      <c r="AH68" s="50"/>
      <c r="AI68" s="50"/>
      <c r="AJ68" s="50"/>
      <c r="AK68" s="50"/>
      <c r="AL68" s="50"/>
      <c r="AM68" s="50"/>
      <c r="AN68" s="50"/>
      <c r="AO68" s="50"/>
      <c r="AP68" s="50"/>
      <c r="AQ68" s="50"/>
      <c r="AR68" s="50"/>
      <c r="AS68" s="50"/>
      <c r="AT68" s="50"/>
      <c r="AU68" s="50"/>
      <c r="AV68" s="50"/>
      <c r="AW68" s="50"/>
      <c r="AX68" s="50"/>
      <c r="AY68" s="50"/>
      <c r="AZ68" s="50"/>
      <c r="BA68" s="50"/>
      <c r="BB68" s="50"/>
      <c r="BC68" s="50"/>
    </row>
    <row r="69" spans="1:55" ht="12.75" customHeight="1" x14ac:dyDescent="0.3">
      <c r="A69" s="2236"/>
      <c r="B69" s="747" t="str">
        <f>'Q1'!C77</f>
        <v>Small petrol motorbike (mopeds/scooters up to 125cc)</v>
      </c>
      <c r="C69" s="1262">
        <f t="shared" ca="1" si="82"/>
        <v>0</v>
      </c>
      <c r="D69" s="768">
        <f t="shared" ca="1" si="82"/>
        <v>0</v>
      </c>
      <c r="E69" s="769">
        <f t="shared" ca="1" si="82"/>
        <v>0</v>
      </c>
      <c r="F69" s="769">
        <f t="shared" ca="1" si="82"/>
        <v>0</v>
      </c>
      <c r="G69" s="769">
        <f t="shared" ca="1" si="82"/>
        <v>0</v>
      </c>
      <c r="H69" s="769">
        <f t="shared" ca="1" si="82"/>
        <v>0</v>
      </c>
      <c r="I69" s="770">
        <f t="shared" ca="1" si="71"/>
        <v>0</v>
      </c>
      <c r="J69" s="872" t="str">
        <f t="shared" ca="1" si="73"/>
        <v/>
      </c>
      <c r="K69" s="782"/>
      <c r="L69" s="873"/>
      <c r="M69" s="874"/>
      <c r="N69" s="775"/>
      <c r="O69" s="776" t="str">
        <f t="shared" ca="1" si="51"/>
        <v/>
      </c>
      <c r="P69" s="777" t="str">
        <f t="shared" ca="1" si="74"/>
        <v/>
      </c>
      <c r="Q69" s="777" t="str">
        <f t="shared" ca="1" si="75"/>
        <v/>
      </c>
      <c r="R69" s="777" t="str">
        <f t="shared" ca="1" si="11"/>
        <v/>
      </c>
      <c r="S69" s="778" t="str">
        <f t="shared" ca="1" si="12"/>
        <v/>
      </c>
      <c r="T69" s="1066" t="str">
        <f t="shared" ca="1" si="76"/>
        <v/>
      </c>
      <c r="U69" s="1165" t="str">
        <f t="shared" ca="1" si="77"/>
        <v/>
      </c>
      <c r="V69" s="1350">
        <f t="shared" ca="1" si="78"/>
        <v>0</v>
      </c>
      <c r="W69" s="1350">
        <f t="shared" ca="1" si="78"/>
        <v>0</v>
      </c>
      <c r="X69" s="1350">
        <f t="shared" ca="1" si="78"/>
        <v>0</v>
      </c>
      <c r="Y69" s="1067" t="str">
        <f t="shared" ca="1" si="80"/>
        <v/>
      </c>
      <c r="Z69" s="1165" t="str">
        <f t="shared" ca="1" si="79"/>
        <v/>
      </c>
      <c r="AA69" s="772"/>
      <c r="AB69" s="871" t="str">
        <f t="shared" ca="1" si="81"/>
        <v/>
      </c>
      <c r="AC69" s="50"/>
      <c r="AD69" s="50"/>
      <c r="AE69" s="50"/>
      <c r="AF69" s="50"/>
      <c r="AG69" s="50"/>
      <c r="AH69" s="50"/>
      <c r="AI69" s="50"/>
      <c r="AJ69" s="50"/>
      <c r="AK69" s="50"/>
      <c r="AL69" s="50"/>
      <c r="AM69" s="50"/>
      <c r="AN69" s="50"/>
      <c r="AO69" s="50"/>
      <c r="AP69" s="50"/>
      <c r="AQ69" s="50"/>
      <c r="AR69" s="50"/>
      <c r="AS69" s="50"/>
      <c r="AT69" s="50"/>
      <c r="AU69" s="50"/>
      <c r="AV69" s="50"/>
      <c r="AW69" s="50"/>
      <c r="AX69" s="50"/>
      <c r="AY69" s="50"/>
      <c r="AZ69" s="50"/>
      <c r="BA69" s="50"/>
      <c r="BB69" s="50"/>
      <c r="BC69" s="50"/>
    </row>
    <row r="70" spans="1:55" ht="12.75" customHeight="1" x14ac:dyDescent="0.3">
      <c r="A70" s="2236"/>
      <c r="B70" s="747" t="str">
        <f>'Q1'!C78</f>
        <v>Medium petrol motorbike (125-500cc)</v>
      </c>
      <c r="C70" s="1262">
        <f t="shared" ca="1" si="82"/>
        <v>0</v>
      </c>
      <c r="D70" s="768">
        <f t="shared" ca="1" si="82"/>
        <v>0</v>
      </c>
      <c r="E70" s="769">
        <f t="shared" ca="1" si="82"/>
        <v>0</v>
      </c>
      <c r="F70" s="769">
        <f t="shared" ca="1" si="82"/>
        <v>0</v>
      </c>
      <c r="G70" s="769">
        <f t="shared" ca="1" si="82"/>
        <v>0</v>
      </c>
      <c r="H70" s="769">
        <f t="shared" ca="1" si="82"/>
        <v>0</v>
      </c>
      <c r="I70" s="770">
        <f t="shared" ca="1" si="71"/>
        <v>0</v>
      </c>
      <c r="J70" s="872" t="str">
        <f t="shared" ca="1" si="73"/>
        <v/>
      </c>
      <c r="K70" s="782"/>
      <c r="L70" s="873"/>
      <c r="M70" s="874"/>
      <c r="N70" s="775"/>
      <c r="O70" s="776" t="str">
        <f t="shared" ca="1" si="51"/>
        <v/>
      </c>
      <c r="P70" s="777" t="str">
        <f t="shared" ca="1" si="74"/>
        <v/>
      </c>
      <c r="Q70" s="777" t="str">
        <f t="shared" ca="1" si="75"/>
        <v/>
      </c>
      <c r="R70" s="777" t="str">
        <f t="shared" ca="1" si="11"/>
        <v/>
      </c>
      <c r="S70" s="778" t="str">
        <f t="shared" ca="1" si="12"/>
        <v/>
      </c>
      <c r="T70" s="1066" t="str">
        <f t="shared" ca="1" si="76"/>
        <v/>
      </c>
      <c r="U70" s="1165" t="str">
        <f t="shared" ca="1" si="77"/>
        <v/>
      </c>
      <c r="V70" s="1350">
        <f t="shared" ca="1" si="78"/>
        <v>0</v>
      </c>
      <c r="W70" s="1350">
        <f t="shared" ca="1" si="78"/>
        <v>0</v>
      </c>
      <c r="X70" s="1350">
        <f t="shared" ca="1" si="78"/>
        <v>0</v>
      </c>
      <c r="Y70" s="1067" t="str">
        <f t="shared" ca="1" si="80"/>
        <v/>
      </c>
      <c r="Z70" s="1165" t="str">
        <f t="shared" ca="1" si="79"/>
        <v/>
      </c>
      <c r="AA70" s="772"/>
      <c r="AB70" s="871" t="str">
        <f t="shared" ca="1" si="81"/>
        <v/>
      </c>
      <c r="AC70" s="50"/>
      <c r="AD70" s="50"/>
      <c r="AE70" s="50"/>
      <c r="AF70" s="50"/>
      <c r="AG70" s="50"/>
      <c r="AH70" s="50"/>
      <c r="AI70" s="50"/>
      <c r="AJ70" s="50"/>
      <c r="AK70" s="50"/>
      <c r="AL70" s="50"/>
      <c r="AM70" s="50"/>
      <c r="AN70" s="50"/>
      <c r="AO70" s="50"/>
      <c r="AP70" s="50"/>
      <c r="AQ70" s="50"/>
      <c r="AR70" s="50"/>
      <c r="AS70" s="50"/>
      <c r="AT70" s="50"/>
      <c r="AU70" s="50"/>
      <c r="AV70" s="50"/>
      <c r="AW70" s="50"/>
      <c r="AX70" s="50"/>
      <c r="AY70" s="50"/>
      <c r="AZ70" s="50"/>
      <c r="BA70" s="50"/>
      <c r="BB70" s="50"/>
      <c r="BC70" s="50"/>
    </row>
    <row r="71" spans="1:55" ht="12.75" customHeight="1" x14ac:dyDescent="0.3">
      <c r="A71" s="2236"/>
      <c r="B71" s="747" t="str">
        <f>'Q1'!C79</f>
        <v>Large petrol motorbike (over 500cc)</v>
      </c>
      <c r="C71" s="1262">
        <f t="shared" ca="1" si="82"/>
        <v>0</v>
      </c>
      <c r="D71" s="768">
        <f t="shared" ca="1" si="82"/>
        <v>0</v>
      </c>
      <c r="E71" s="769">
        <f t="shared" ca="1" si="82"/>
        <v>0</v>
      </c>
      <c r="F71" s="769">
        <f t="shared" ca="1" si="82"/>
        <v>0</v>
      </c>
      <c r="G71" s="769">
        <f t="shared" ca="1" si="82"/>
        <v>0</v>
      </c>
      <c r="H71" s="769">
        <f t="shared" ca="1" si="82"/>
        <v>0</v>
      </c>
      <c r="I71" s="770">
        <f t="shared" ca="1" si="71"/>
        <v>0</v>
      </c>
      <c r="J71" s="872" t="str">
        <f t="shared" ca="1" si="73"/>
        <v/>
      </c>
      <c r="K71" s="782"/>
      <c r="L71" s="873"/>
      <c r="M71" s="874"/>
      <c r="N71" s="775"/>
      <c r="O71" s="776" t="str">
        <f t="shared" ca="1" si="51"/>
        <v/>
      </c>
      <c r="P71" s="777" t="str">
        <f t="shared" ca="1" si="74"/>
        <v/>
      </c>
      <c r="Q71" s="777" t="str">
        <f t="shared" ca="1" si="75"/>
        <v/>
      </c>
      <c r="R71" s="777" t="str">
        <f t="shared" ca="1" si="11"/>
        <v/>
      </c>
      <c r="S71" s="778" t="str">
        <f t="shared" ca="1" si="12"/>
        <v/>
      </c>
      <c r="T71" s="1066" t="str">
        <f t="shared" ca="1" si="76"/>
        <v/>
      </c>
      <c r="U71" s="1165" t="str">
        <f t="shared" ca="1" si="77"/>
        <v/>
      </c>
      <c r="V71" s="1350">
        <f t="shared" ca="1" si="78"/>
        <v>0</v>
      </c>
      <c r="W71" s="1350">
        <f t="shared" ca="1" si="78"/>
        <v>0</v>
      </c>
      <c r="X71" s="1350">
        <f t="shared" ca="1" si="78"/>
        <v>0</v>
      </c>
      <c r="Y71" s="1067" t="str">
        <f t="shared" ca="1" si="80"/>
        <v/>
      </c>
      <c r="Z71" s="1165" t="str">
        <f t="shared" ca="1" si="79"/>
        <v/>
      </c>
      <c r="AA71" s="772"/>
      <c r="AB71" s="871" t="str">
        <f ca="1">IF((CONCATENATE(IF(K71="OK","",J71), "    ",IF(L71="","",IF(N71="OK","",CONCATENATE(M71," = ",ROUND(L71,3),"kgCO2e/kWh"))),"    ",IF(AND(+AA71="",Z71="M"),"Value change with medium impact",IF(AND(AA71="",Z71="H"),"Value change with high impact",""))," "))="         ","",(CONCATENATE(IF(K71="OK","",J71), "    ",IF(L71="","",IF(N71="OK","",CONCATENATE(M71," = ",ROUND(L71,3),"kgCO2e/kWh"))),"    ",IF(AND(+AA71="",Z71="M"),"Value change with medium impact",IF(AND(AA71="",Z71="H"),"Value change with high impact",""))," ")))</f>
        <v/>
      </c>
      <c r="AC71" s="50"/>
      <c r="AD71" s="50"/>
      <c r="AE71" s="50"/>
      <c r="AF71" s="50"/>
      <c r="AG71" s="50"/>
      <c r="AH71" s="50"/>
      <c r="AI71" s="50"/>
      <c r="AJ71" s="50"/>
      <c r="AK71" s="50"/>
      <c r="AL71" s="50"/>
      <c r="AM71" s="50"/>
      <c r="AN71" s="50"/>
      <c r="AO71" s="50"/>
      <c r="AP71" s="50"/>
      <c r="AQ71" s="50"/>
      <c r="AR71" s="50"/>
      <c r="AS71" s="50"/>
      <c r="AT71" s="50"/>
      <c r="AU71" s="50"/>
      <c r="AV71" s="50"/>
      <c r="AW71" s="50"/>
      <c r="AX71" s="50"/>
      <c r="AY71" s="50"/>
      <c r="AZ71" s="50"/>
      <c r="BA71" s="50"/>
      <c r="BB71" s="50"/>
      <c r="BC71" s="50"/>
    </row>
    <row r="72" spans="1:55" ht="12.75" customHeight="1" x14ac:dyDescent="0.3">
      <c r="A72" s="2236"/>
      <c r="B72" s="747" t="str">
        <f>'Q1'!C80</f>
        <v>Average petrol motorbike (unknown engine size)</v>
      </c>
      <c r="C72" s="1262">
        <f t="shared" ca="1" si="82"/>
        <v>0</v>
      </c>
      <c r="D72" s="768">
        <f t="shared" ca="1" si="82"/>
        <v>0</v>
      </c>
      <c r="E72" s="769">
        <f t="shared" ca="1" si="82"/>
        <v>0</v>
      </c>
      <c r="F72" s="769">
        <f t="shared" ca="1" si="82"/>
        <v>0</v>
      </c>
      <c r="G72" s="769">
        <f t="shared" ca="1" si="82"/>
        <v>0</v>
      </c>
      <c r="H72" s="769">
        <f t="shared" ca="1" si="82"/>
        <v>0</v>
      </c>
      <c r="I72" s="770">
        <f t="shared" ca="1" si="71"/>
        <v>0</v>
      </c>
      <c r="J72" s="872" t="str">
        <f t="shared" ca="1" si="73"/>
        <v/>
      </c>
      <c r="K72" s="782"/>
      <c r="L72" s="873"/>
      <c r="M72" s="874"/>
      <c r="N72" s="775"/>
      <c r="O72" s="776" t="str">
        <f t="shared" ca="1" si="51"/>
        <v/>
      </c>
      <c r="P72" s="777" t="str">
        <f t="shared" ca="1" si="74"/>
        <v/>
      </c>
      <c r="Q72" s="777" t="str">
        <f t="shared" ca="1" si="75"/>
        <v/>
      </c>
      <c r="R72" s="777" t="str">
        <f t="shared" ca="1" si="11"/>
        <v/>
      </c>
      <c r="S72" s="778" t="str">
        <f t="shared" ca="1" si="12"/>
        <v/>
      </c>
      <c r="T72" s="1066" t="str">
        <f t="shared" ca="1" si="76"/>
        <v/>
      </c>
      <c r="U72" s="1165" t="str">
        <f t="shared" ca="1" si="77"/>
        <v/>
      </c>
      <c r="V72" s="1350">
        <f t="shared" ca="1" si="78"/>
        <v>0</v>
      </c>
      <c r="W72" s="1350">
        <f t="shared" ca="1" si="78"/>
        <v>0</v>
      </c>
      <c r="X72" s="1350">
        <f t="shared" ca="1" si="78"/>
        <v>0</v>
      </c>
      <c r="Y72" s="1067" t="str">
        <f t="shared" ca="1" si="80"/>
        <v/>
      </c>
      <c r="Z72" s="1165" t="str">
        <f t="shared" ca="1" si="79"/>
        <v/>
      </c>
      <c r="AA72" s="772"/>
      <c r="AB72" s="871" t="str">
        <f t="shared" ca="1" si="81"/>
        <v/>
      </c>
      <c r="AC72" s="55"/>
      <c r="AD72" s="96"/>
      <c r="AE72" s="96"/>
      <c r="AF72" s="96"/>
      <c r="AG72" s="96"/>
      <c r="AH72" s="96"/>
      <c r="AI72" s="96"/>
      <c r="AJ72" s="96"/>
      <c r="AK72" s="192"/>
      <c r="AL72" s="875"/>
      <c r="AM72" s="875"/>
      <c r="AN72" s="875"/>
      <c r="AO72" s="50"/>
      <c r="AP72" s="97"/>
      <c r="AQ72" s="97"/>
      <c r="AR72" s="97"/>
      <c r="AS72" s="97"/>
      <c r="AT72" s="97"/>
      <c r="AU72" s="97"/>
      <c r="AV72" s="97"/>
      <c r="AW72" s="97"/>
      <c r="AX72" s="97"/>
      <c r="AY72" s="97"/>
      <c r="AZ72" s="97"/>
      <c r="BA72" s="97"/>
      <c r="BB72" s="97"/>
      <c r="BC72" s="97"/>
    </row>
    <row r="73" spans="1:55" ht="12.75" customHeight="1" x14ac:dyDescent="0.3">
      <c r="A73" s="2236"/>
      <c r="B73" s="747" t="str">
        <f>'Q1'!C81</f>
        <v>Other 1 (enter CO2 factor and specify fuel in "Notes")</v>
      </c>
      <c r="C73" s="1262">
        <f t="shared" ca="1" si="82"/>
        <v>2646552</v>
      </c>
      <c r="D73" s="768">
        <f t="shared" ca="1" si="82"/>
        <v>2898749</v>
      </c>
      <c r="E73" s="769">
        <f t="shared" ca="1" si="82"/>
        <v>2443325.45567476</v>
      </c>
      <c r="F73" s="769">
        <f t="shared" ca="1" si="82"/>
        <v>2418935</v>
      </c>
      <c r="G73" s="769">
        <f t="shared" ca="1" si="82"/>
        <v>2703211</v>
      </c>
      <c r="H73" s="769">
        <f t="shared" ca="1" si="82"/>
        <v>9902330.45567476</v>
      </c>
      <c r="I73" s="770">
        <f t="shared" ca="1" si="71"/>
        <v>2475582.61391869</v>
      </c>
      <c r="J73" s="872" t="str">
        <f t="shared" ca="1" si="73"/>
        <v/>
      </c>
      <c r="K73" s="782"/>
      <c r="L73" s="784">
        <f ca="1">IF(C73&gt;0,'Q2'!E81,"")</f>
        <v>0.80745999999999996</v>
      </c>
      <c r="M73" s="785" t="str">
        <f ca="1">IF(L73="","",IF('Q2'!I81=0,"Fuel type not stated",'Q2'!I81))</f>
        <v>Rigid Commercials: &lt;3000CC</v>
      </c>
      <c r="N73" s="772"/>
      <c r="O73" s="776">
        <f t="shared" ca="1" si="51"/>
        <v>-8.7002013627257832E-2</v>
      </c>
      <c r="P73" s="777">
        <f t="shared" ca="1" si="74"/>
        <v>8.3176207186494516E-2</v>
      </c>
      <c r="Q73" s="777">
        <f t="shared" ca="1" si="75"/>
        <v>9.4098022476833812E-2</v>
      </c>
      <c r="R73" s="777">
        <f t="shared" ca="1" si="11"/>
        <v>-2.095988807384995E-2</v>
      </c>
      <c r="S73" s="778">
        <f t="shared" ca="1" si="12"/>
        <v>6.9062282599681182E-2</v>
      </c>
      <c r="T73" s="1066">
        <f t="shared" ca="1" si="76"/>
        <v>9.4098022476833812E-2</v>
      </c>
      <c r="U73" s="1165" t="str">
        <f t="shared" ca="1" si="77"/>
        <v>H</v>
      </c>
      <c r="V73" s="1350">
        <f t="shared" ca="1" si="78"/>
        <v>2136.9848779199997</v>
      </c>
      <c r="W73" s="1350">
        <f t="shared" ca="1" si="78"/>
        <v>2340.62386754</v>
      </c>
      <c r="X73" s="1350">
        <f t="shared" ca="1" si="78"/>
        <v>7995.7357497391422</v>
      </c>
      <c r="Y73" s="1067">
        <f t="shared" ca="1" si="80"/>
        <v>3.7504311823704259E-3</v>
      </c>
      <c r="Z73" s="1165" t="str">
        <f t="shared" ca="1" si="79"/>
        <v>M</v>
      </c>
      <c r="AA73" s="772"/>
      <c r="AB73" s="871" t="str">
        <f t="shared" ca="1" si="81"/>
        <v xml:space="preserve">    Rigid Commercials: &lt;3000CC = 0.807kgCO2e/kWh    Value change with medium impact </v>
      </c>
      <c r="AC73" s="55"/>
      <c r="AD73" s="96"/>
      <c r="AE73" s="96"/>
      <c r="AF73" s="96"/>
      <c r="AG73" s="96"/>
      <c r="AH73" s="96"/>
      <c r="AI73" s="96"/>
      <c r="AJ73" s="96"/>
      <c r="AK73" s="192"/>
      <c r="AL73" s="875"/>
      <c r="AM73" s="875"/>
      <c r="AN73" s="875"/>
      <c r="AO73" s="50"/>
      <c r="AP73" s="97"/>
      <c r="AQ73" s="97"/>
      <c r="AR73" s="97"/>
      <c r="AS73" s="97"/>
      <c r="AT73" s="97"/>
      <c r="AU73" s="97"/>
      <c r="AV73" s="97"/>
      <c r="AW73" s="97"/>
      <c r="AX73" s="97"/>
      <c r="AY73" s="97"/>
      <c r="AZ73" s="97"/>
      <c r="BA73" s="97"/>
      <c r="BB73" s="97"/>
      <c r="BC73" s="97"/>
    </row>
    <row r="74" spans="1:55" ht="12.75" customHeight="1" x14ac:dyDescent="0.3">
      <c r="A74" s="2236"/>
      <c r="B74" s="747" t="str">
        <f>'Q1'!C82</f>
        <v>Other 2 (enter CO2 factor and specify fuel in "Notes")</v>
      </c>
      <c r="C74" s="1262">
        <f t="shared" ca="1" si="82"/>
        <v>398477</v>
      </c>
      <c r="D74" s="768">
        <f t="shared" ca="1" si="82"/>
        <v>397987</v>
      </c>
      <c r="E74" s="769">
        <f t="shared" ca="1" si="82"/>
        <v>419711</v>
      </c>
      <c r="F74" s="769">
        <f t="shared" ca="1" si="82"/>
        <v>378046</v>
      </c>
      <c r="G74" s="769">
        <f t="shared" ca="1" si="82"/>
        <v>391901</v>
      </c>
      <c r="H74" s="769">
        <f t="shared" ca="1" si="82"/>
        <v>1562882</v>
      </c>
      <c r="I74" s="770">
        <f t="shared" ca="1" si="71"/>
        <v>390720.5</v>
      </c>
      <c r="J74" s="872" t="str">
        <f t="shared" ca="1" si="73"/>
        <v/>
      </c>
      <c r="K74" s="782"/>
      <c r="L74" s="784">
        <f ca="1">IF(C74&gt;0,'Q2'!E82,"")</f>
        <v>0.80745999999999996</v>
      </c>
      <c r="M74" s="785" t="str">
        <f ca="1">IF(L74="","",IF('Q2'!I82=0,"Fuel type not stated",'Q2'!I82))</f>
        <v>Rigid Commercials: &gt;3000CC</v>
      </c>
      <c r="N74" s="772"/>
      <c r="O74" s="776">
        <f t="shared" ca="1" si="51"/>
        <v>1.2311959938389946E-3</v>
      </c>
      <c r="P74" s="777">
        <f t="shared" ca="1" si="74"/>
        <v>-5.0591954940423289E-2</v>
      </c>
      <c r="Q74" s="777">
        <f t="shared" ca="1" si="75"/>
        <v>5.4043687805187729E-2</v>
      </c>
      <c r="R74" s="777">
        <f t="shared" ca="1" si="11"/>
        <v>1.6779747946547727E-2</v>
      </c>
      <c r="S74" s="778">
        <f t="shared" ca="1" si="12"/>
        <v>1.9851786635203424E-2</v>
      </c>
      <c r="T74" s="1066">
        <f t="shared" ca="1" si="76"/>
        <v>5.4043687805187729E-2</v>
      </c>
      <c r="U74" s="1165" t="str">
        <f t="shared" ca="1" si="77"/>
        <v>H</v>
      </c>
      <c r="V74" s="1350">
        <f t="shared" ca="1" si="78"/>
        <v>321.75423842000004</v>
      </c>
      <c r="W74" s="1350">
        <f t="shared" ca="1" si="78"/>
        <v>321.35858301999997</v>
      </c>
      <c r="X74" s="1350">
        <f t="shared" ca="1" si="78"/>
        <v>1261.9646997199998</v>
      </c>
      <c r="Y74" s="1067">
        <f t="shared" ca="1" si="80"/>
        <v>3.2431609965473862E-4</v>
      </c>
      <c r="Z74" s="1165" t="str">
        <f t="shared" ca="1" si="79"/>
        <v/>
      </c>
      <c r="AA74" s="772"/>
      <c r="AB74" s="871" t="str">
        <f t="shared" ca="1" si="81"/>
        <v xml:space="preserve">    Rigid Commercials: &gt;3000CC = 0.807kgCO2e/kWh     </v>
      </c>
      <c r="AC74" s="55"/>
      <c r="AD74" s="96"/>
      <c r="AE74" s="96"/>
      <c r="AF74" s="96"/>
      <c r="AG74" s="96"/>
      <c r="AH74" s="96"/>
      <c r="AI74" s="96"/>
      <c r="AJ74" s="96"/>
      <c r="AK74" s="192"/>
      <c r="AL74" s="875"/>
      <c r="AM74" s="875"/>
      <c r="AN74" s="875"/>
      <c r="AO74" s="50"/>
      <c r="AP74" s="97"/>
      <c r="AQ74" s="97"/>
      <c r="AR74" s="97"/>
      <c r="AS74" s="97"/>
      <c r="AT74" s="97"/>
      <c r="AU74" s="97"/>
      <c r="AV74" s="97"/>
      <c r="AW74" s="97"/>
      <c r="AX74" s="97"/>
      <c r="AY74" s="97"/>
      <c r="AZ74" s="97"/>
      <c r="BA74" s="97"/>
      <c r="BB74" s="97"/>
      <c r="BC74" s="97"/>
    </row>
    <row r="75" spans="1:55" ht="12.75" customHeight="1" x14ac:dyDescent="0.3">
      <c r="A75" s="2236"/>
      <c r="B75" s="747" t="str">
        <f>'Q1'!C83</f>
        <v>Other 3 (enter CO2 factor and specify fuel in "Notes")</v>
      </c>
      <c r="C75" s="1262">
        <f t="shared" ca="1" si="82"/>
        <v>0</v>
      </c>
      <c r="D75" s="768">
        <f t="shared" ca="1" si="82"/>
        <v>0</v>
      </c>
      <c r="E75" s="769">
        <f t="shared" ca="1" si="82"/>
        <v>0</v>
      </c>
      <c r="F75" s="769">
        <f t="shared" ca="1" si="82"/>
        <v>0</v>
      </c>
      <c r="G75" s="769">
        <f t="shared" ca="1" si="82"/>
        <v>0</v>
      </c>
      <c r="H75" s="769">
        <f t="shared" ca="1" si="82"/>
        <v>0</v>
      </c>
      <c r="I75" s="770">
        <f t="shared" ca="1" si="71"/>
        <v>0</v>
      </c>
      <c r="J75" s="876" t="str">
        <f t="shared" ca="1" si="73"/>
        <v/>
      </c>
      <c r="K75" s="877"/>
      <c r="L75" s="878" t="str">
        <f ca="1">IF(C75&gt;0,'Q2'!E83,"")</f>
        <v/>
      </c>
      <c r="M75" s="879" t="str">
        <f ca="1">IF(L75="","",IF('Q2'!I83=0,"Fuel type not stated",'Q2'!I83))</f>
        <v/>
      </c>
      <c r="N75" s="880"/>
      <c r="O75" s="881" t="str">
        <f t="shared" ca="1" si="51"/>
        <v/>
      </c>
      <c r="P75" s="882" t="str">
        <f t="shared" ca="1" si="74"/>
        <v/>
      </c>
      <c r="Q75" s="882" t="str">
        <f t="shared" ca="1" si="75"/>
        <v/>
      </c>
      <c r="R75" s="882" t="str">
        <f t="shared" ca="1" si="11"/>
        <v/>
      </c>
      <c r="S75" s="883" t="str">
        <f t="shared" ca="1" si="12"/>
        <v/>
      </c>
      <c r="T75" s="1066" t="str">
        <f t="shared" ca="1" si="76"/>
        <v/>
      </c>
      <c r="U75" s="1165" t="str">
        <f t="shared" ca="1" si="77"/>
        <v/>
      </c>
      <c r="V75" s="1350">
        <f t="shared" ca="1" si="78"/>
        <v>0</v>
      </c>
      <c r="W75" s="1350">
        <f t="shared" ca="1" si="78"/>
        <v>0</v>
      </c>
      <c r="X75" s="1350">
        <f t="shared" ca="1" si="78"/>
        <v>0</v>
      </c>
      <c r="Y75" s="1067" t="str">
        <f t="shared" ca="1" si="80"/>
        <v/>
      </c>
      <c r="Z75" s="884" t="str">
        <f t="shared" ca="1" si="79"/>
        <v/>
      </c>
      <c r="AA75" s="880"/>
      <c r="AB75" s="871" t="str">
        <f t="shared" ca="1" si="81"/>
        <v/>
      </c>
      <c r="AC75" s="55"/>
      <c r="AD75" s="96"/>
      <c r="AE75" s="96"/>
      <c r="AF75" s="96"/>
      <c r="AG75" s="96"/>
      <c r="AH75" s="96"/>
      <c r="AI75" s="96"/>
      <c r="AJ75" s="96"/>
      <c r="AK75" s="192"/>
      <c r="AL75" s="875"/>
      <c r="AM75" s="875"/>
      <c r="AN75" s="875"/>
      <c r="AO75" s="50"/>
      <c r="AP75" s="97"/>
      <c r="AQ75" s="97"/>
      <c r="AR75" s="97"/>
      <c r="AS75" s="97"/>
      <c r="AT75" s="97"/>
      <c r="AU75" s="97"/>
      <c r="AV75" s="97"/>
      <c r="AW75" s="97"/>
      <c r="AX75" s="97"/>
      <c r="AY75" s="97"/>
      <c r="AZ75" s="97"/>
      <c r="BA75" s="97"/>
      <c r="BB75" s="97"/>
      <c r="BC75" s="97"/>
    </row>
    <row r="76" spans="1:55" ht="12.75" customHeight="1" x14ac:dyDescent="0.3">
      <c r="A76" s="2236"/>
      <c r="B76" s="747" t="str">
        <f>'Q1'!C84</f>
        <v>Other 4 (enter CO2 factor and specify fuel in "Notes")</v>
      </c>
      <c r="C76" s="1262">
        <f t="shared" ca="1" si="82"/>
        <v>0</v>
      </c>
      <c r="D76" s="768">
        <f t="shared" ca="1" si="82"/>
        <v>0</v>
      </c>
      <c r="E76" s="769">
        <f t="shared" ca="1" si="82"/>
        <v>0</v>
      </c>
      <c r="F76" s="769">
        <f t="shared" ca="1" si="82"/>
        <v>0</v>
      </c>
      <c r="G76" s="769">
        <f t="shared" ca="1" si="82"/>
        <v>0</v>
      </c>
      <c r="H76" s="769">
        <f t="shared" ca="1" si="82"/>
        <v>0</v>
      </c>
      <c r="I76" s="770">
        <f t="shared" ca="1" si="71"/>
        <v>0</v>
      </c>
      <c r="J76" s="876" t="str">
        <f t="shared" ref="J76:J77" ca="1" si="83">IF(AND(C76&gt;0,SUM(D76:I76)&gt;0),"",IF(AND(C76=0,SUM(C76:I76)=0),"",IF(AND(C76=0,D76&gt;0),"Missing value?",IF(AND(C76=0,I76&gt;0),"Missing value?","New category"))))</f>
        <v/>
      </c>
      <c r="K76" s="877"/>
      <c r="L76" s="878" t="str">
        <f ca="1">IF(C76&gt;0,'Q2'!E84,"")</f>
        <v/>
      </c>
      <c r="M76" s="879" t="str">
        <f ca="1">IF(L76="","",IF('Q2'!I84=0,"Fuel type not stated",'Q2'!I84))</f>
        <v/>
      </c>
      <c r="N76" s="880"/>
      <c r="O76" s="881" t="str">
        <f t="shared" ca="1" si="51"/>
        <v/>
      </c>
      <c r="P76" s="882" t="str">
        <f t="shared" ca="1" si="74"/>
        <v/>
      </c>
      <c r="Q76" s="882" t="str">
        <f t="shared" ca="1" si="75"/>
        <v/>
      </c>
      <c r="R76" s="882" t="str">
        <f t="shared" ca="1" si="11"/>
        <v/>
      </c>
      <c r="S76" s="883" t="str">
        <f t="shared" ca="1" si="12"/>
        <v/>
      </c>
      <c r="T76" s="1066" t="str">
        <f t="shared" ref="T76:T77" ca="1" si="84">IF(SUM(C76:I76)=0,"",IF(OR(AND(C76=0,SUM(D76:I76)&gt;0),AND(C76&gt;0,SUM(D76:I76)=0)),1,IF(MAX(IF(O76&lt;0,-O76,O76),IF(P76&lt;0,-P76,P76),IF(Q76&lt;0,-Q76,Q76),IF(R76&lt;0,-R76,R76),IF(S76&lt;0,-S76,S76))=0,"",MAX(IF(O76&lt;0,-O76,O76),IF(P76&lt;0,-P76,P76),IF(Q76&lt;0,-Q76,Q76),IF(R76&lt;0,-R76,R76),IF(S76&lt;0,-S76,S76)))))</f>
        <v/>
      </c>
      <c r="U76" s="1165" t="str">
        <f t="shared" ca="1" si="77"/>
        <v/>
      </c>
      <c r="V76" s="1350">
        <f t="shared" ca="1" si="78"/>
        <v>0</v>
      </c>
      <c r="W76" s="1350">
        <f t="shared" ca="1" si="78"/>
        <v>0</v>
      </c>
      <c r="X76" s="1350">
        <f t="shared" ca="1" si="78"/>
        <v>0</v>
      </c>
      <c r="Y76" s="1067" t="str">
        <f t="shared" ca="1" si="80"/>
        <v/>
      </c>
      <c r="Z76" s="884" t="str">
        <f t="shared" ca="1" si="79"/>
        <v/>
      </c>
      <c r="AA76" s="880"/>
      <c r="AB76" s="871" t="str">
        <f t="shared" ca="1" si="81"/>
        <v/>
      </c>
      <c r="AC76" s="55"/>
      <c r="AD76" s="96"/>
      <c r="AE76" s="96"/>
      <c r="AF76" s="96"/>
      <c r="AG76" s="96"/>
      <c r="AH76" s="96"/>
      <c r="AI76" s="96"/>
      <c r="AJ76" s="96"/>
      <c r="AK76" s="192"/>
      <c r="AL76" s="875"/>
      <c r="AM76" s="875"/>
      <c r="AN76" s="875"/>
      <c r="AO76" s="50"/>
      <c r="AP76" s="97"/>
      <c r="AQ76" s="97"/>
      <c r="AR76" s="97"/>
      <c r="AS76" s="97"/>
      <c r="AT76" s="97"/>
      <c r="AU76" s="97"/>
      <c r="AV76" s="97"/>
      <c r="AW76" s="97"/>
      <c r="AX76" s="97"/>
      <c r="AY76" s="97"/>
      <c r="AZ76" s="97"/>
      <c r="BA76" s="97"/>
      <c r="BB76" s="97"/>
      <c r="BC76" s="97"/>
    </row>
    <row r="77" spans="1:55" ht="12.75" customHeight="1" thickBot="1" x14ac:dyDescent="0.35">
      <c r="A77" s="2237"/>
      <c r="B77" s="747" t="str">
        <f>'Q1'!C85</f>
        <v>Other 5 (enter CO2 factor and specify fuel in "Notes")</v>
      </c>
      <c r="C77" s="1262">
        <f t="shared" ca="1" si="82"/>
        <v>0</v>
      </c>
      <c r="D77" s="768">
        <f t="shared" ca="1" si="82"/>
        <v>0</v>
      </c>
      <c r="E77" s="769">
        <f t="shared" ca="1" si="82"/>
        <v>0</v>
      </c>
      <c r="F77" s="769">
        <f t="shared" ca="1" si="82"/>
        <v>0</v>
      </c>
      <c r="G77" s="769">
        <f t="shared" ca="1" si="82"/>
        <v>0</v>
      </c>
      <c r="H77" s="769">
        <f t="shared" ca="1" si="82"/>
        <v>0</v>
      </c>
      <c r="I77" s="770">
        <f t="shared" ca="1" si="71"/>
        <v>0</v>
      </c>
      <c r="J77" s="876" t="str">
        <f t="shared" ca="1" si="83"/>
        <v/>
      </c>
      <c r="K77" s="877"/>
      <c r="L77" s="878" t="str">
        <f ca="1">IF(C77&gt;0,'Q2'!E85,"")</f>
        <v/>
      </c>
      <c r="M77" s="879" t="str">
        <f ca="1">IF(L77="","",IF('Q2'!I85=0,"Fuel type not stated",'Q2'!I85))</f>
        <v/>
      </c>
      <c r="N77" s="880"/>
      <c r="O77" s="881" t="str">
        <f t="shared" ca="1" si="51"/>
        <v/>
      </c>
      <c r="P77" s="882" t="str">
        <f t="shared" ca="1" si="74"/>
        <v/>
      </c>
      <c r="Q77" s="882" t="str">
        <f t="shared" ca="1" si="75"/>
        <v/>
      </c>
      <c r="R77" s="882" t="str">
        <f t="shared" ca="1" si="11"/>
        <v/>
      </c>
      <c r="S77" s="883" t="str">
        <f t="shared" ca="1" si="12"/>
        <v/>
      </c>
      <c r="T77" s="1066" t="str">
        <f t="shared" ca="1" si="84"/>
        <v/>
      </c>
      <c r="U77" s="1165" t="str">
        <f t="shared" ca="1" si="77"/>
        <v/>
      </c>
      <c r="V77" s="1350">
        <f t="shared" ca="1" si="78"/>
        <v>0</v>
      </c>
      <c r="W77" s="1350">
        <f t="shared" ca="1" si="78"/>
        <v>0</v>
      </c>
      <c r="X77" s="1350">
        <f t="shared" ca="1" si="78"/>
        <v>0</v>
      </c>
      <c r="Y77" s="1067" t="str">
        <f t="shared" ca="1" si="80"/>
        <v/>
      </c>
      <c r="Z77" s="884" t="str">
        <f t="shared" ca="1" si="79"/>
        <v/>
      </c>
      <c r="AA77" s="880"/>
      <c r="AB77" s="871" t="str">
        <f t="shared" ca="1" si="81"/>
        <v/>
      </c>
      <c r="AC77" s="55"/>
      <c r="AD77" s="96"/>
      <c r="AE77" s="96"/>
      <c r="AF77" s="96"/>
      <c r="AG77" s="96"/>
      <c r="AH77" s="96"/>
      <c r="AI77" s="96"/>
      <c r="AJ77" s="96"/>
      <c r="AK77" s="192"/>
      <c r="AL77" s="875"/>
      <c r="AM77" s="875"/>
      <c r="AN77" s="875"/>
      <c r="AO77" s="50"/>
      <c r="AP77" s="97"/>
      <c r="AQ77" s="97"/>
      <c r="AR77" s="97"/>
      <c r="AS77" s="97"/>
      <c r="AT77" s="97"/>
      <c r="AU77" s="97"/>
      <c r="AV77" s="97"/>
      <c r="AW77" s="97"/>
      <c r="AX77" s="97"/>
      <c r="AY77" s="97"/>
      <c r="AZ77" s="97"/>
      <c r="BA77" s="97"/>
      <c r="BB77" s="97"/>
      <c r="BC77" s="97"/>
    </row>
    <row r="78" spans="1:55" ht="12.75" customHeight="1" thickBot="1" x14ac:dyDescent="0.35">
      <c r="A78" s="2225" t="s">
        <v>110</v>
      </c>
      <c r="B78" s="2226"/>
      <c r="C78" s="1177">
        <f t="shared" ref="C78:H78" ca="1" si="85">INDIRECT(CONCATENATE("'",C$14,"'!$D$86"),TRUE)</f>
        <v>14756354</v>
      </c>
      <c r="D78" s="733">
        <f t="shared" ca="1" si="85"/>
        <v>12714336.17</v>
      </c>
      <c r="E78" s="734">
        <f t="shared" ca="1" si="85"/>
        <v>12365451.85</v>
      </c>
      <c r="F78" s="734">
        <f t="shared" ca="1" si="85"/>
        <v>13042866</v>
      </c>
      <c r="G78" s="734">
        <f t="shared" ca="1" si="85"/>
        <v>9681339</v>
      </c>
      <c r="H78" s="734">
        <f t="shared" ca="1" si="85"/>
        <v>50490770.850000001</v>
      </c>
      <c r="I78" s="735">
        <f t="shared" ca="1" si="71"/>
        <v>12622692.7125</v>
      </c>
      <c r="J78" s="885"/>
      <c r="K78" s="851"/>
      <c r="L78" s="850"/>
      <c r="M78" s="744"/>
      <c r="N78" s="863"/>
      <c r="O78" s="738">
        <f t="shared" ca="1" si="51"/>
        <v>0.16060750657342421</v>
      </c>
      <c r="P78" s="739">
        <f t="shared" ca="1" si="74"/>
        <v>0.19335339937456475</v>
      </c>
      <c r="Q78" s="739">
        <f t="shared" ca="1" si="75"/>
        <v>0.13137358000917895</v>
      </c>
      <c r="R78" s="739">
        <f t="shared" ca="1" si="11"/>
        <v>0.52420589755198121</v>
      </c>
      <c r="S78" s="740">
        <f t="shared" ca="1" si="12"/>
        <v>0.16903376609866114</v>
      </c>
      <c r="T78" s="886"/>
      <c r="U78" s="887"/>
      <c r="V78" s="887"/>
      <c r="W78" s="887"/>
      <c r="X78" s="887"/>
      <c r="Y78" s="887"/>
      <c r="Z78" s="888"/>
      <c r="AA78" s="741"/>
      <c r="AB78" s="889"/>
      <c r="AC78" s="95"/>
      <c r="AD78" s="666"/>
      <c r="AE78" s="666"/>
      <c r="AF78" s="666"/>
      <c r="AG78" s="666"/>
      <c r="AH78" s="666"/>
      <c r="AI78" s="666"/>
      <c r="AJ78" s="666"/>
      <c r="AK78" s="192"/>
      <c r="AL78" s="875"/>
      <c r="AM78" s="875"/>
      <c r="AN78" s="875"/>
      <c r="AO78" s="50"/>
      <c r="AP78" s="890"/>
      <c r="AQ78" s="890"/>
      <c r="AR78" s="890"/>
      <c r="AS78" s="890"/>
      <c r="AT78" s="890"/>
      <c r="AU78" s="890"/>
      <c r="AV78" s="890"/>
      <c r="AW78" s="890"/>
      <c r="AX78" s="890"/>
      <c r="AY78" s="890"/>
      <c r="AZ78" s="890"/>
      <c r="BA78" s="890"/>
      <c r="BB78" s="890"/>
      <c r="BC78" s="890"/>
    </row>
    <row r="79" spans="1:55" ht="12.75" customHeight="1" x14ac:dyDescent="0.3">
      <c r="A79" s="2238" t="s">
        <v>111</v>
      </c>
      <c r="B79" s="747" t="str">
        <f>'Q1'!C87</f>
        <v>Small petrol car, up to 1.4 l</v>
      </c>
      <c r="C79" s="1262">
        <f t="shared" ref="C79:H88" ca="1" si="86">INDEX(INDIRECT(CONCATENATE("'",C$14,"'!$D$87:$D$107"),TRUE),MATCH($B79,INDIRECT(CONCATENATE("'",C$14,"'!$C$87:$C$107"),TRUE),0))</f>
        <v>0</v>
      </c>
      <c r="D79" s="748">
        <f t="shared" ca="1" si="86"/>
        <v>0</v>
      </c>
      <c r="E79" s="749">
        <f t="shared" ca="1" si="86"/>
        <v>0</v>
      </c>
      <c r="F79" s="749">
        <f t="shared" ca="1" si="86"/>
        <v>0</v>
      </c>
      <c r="G79" s="749">
        <f t="shared" ca="1" si="86"/>
        <v>0</v>
      </c>
      <c r="H79" s="749">
        <f t="shared" ca="1" si="86"/>
        <v>0</v>
      </c>
      <c r="I79" s="750">
        <f t="shared" ca="1" si="71"/>
        <v>0</v>
      </c>
      <c r="J79" s="868" t="str">
        <f t="shared" ca="1" si="73"/>
        <v/>
      </c>
      <c r="K79" s="809"/>
      <c r="L79" s="752"/>
      <c r="M79" s="753"/>
      <c r="N79" s="754"/>
      <c r="O79" s="755" t="str">
        <f t="shared" ca="1" si="51"/>
        <v/>
      </c>
      <c r="P79" s="756" t="str">
        <f t="shared" ca="1" si="74"/>
        <v/>
      </c>
      <c r="Q79" s="756" t="str">
        <f t="shared" ca="1" si="75"/>
        <v/>
      </c>
      <c r="R79" s="756" t="str">
        <f t="shared" ca="1" si="11"/>
        <v/>
      </c>
      <c r="S79" s="757" t="str">
        <f t="shared" ca="1" si="12"/>
        <v/>
      </c>
      <c r="T79" s="1066" t="str">
        <f t="shared" ca="1" si="76"/>
        <v/>
      </c>
      <c r="U79" s="1166" t="str">
        <f t="shared" ref="U79:U99" ca="1" si="87">IF(+T79="","",IF(T79&gt;L$3,"H",IF(T79&gt;L$4,"M","")))</f>
        <v/>
      </c>
      <c r="V79" s="1350">
        <f t="shared" ref="V79:X99" ca="1" si="88">INDEX(INDIRECT(CONCATENATE("'",V$14,"'!$F$87:$F$107"),TRUE),MATCH($B79,INDIRECT(CONCATENATE("'",V$14,"'!$C$87:$C$107"),TRUE),0))</f>
        <v>0</v>
      </c>
      <c r="W79" s="1350">
        <f t="shared" ca="1" si="88"/>
        <v>0</v>
      </c>
      <c r="X79" s="1350">
        <f t="shared" ca="1" si="88"/>
        <v>0</v>
      </c>
      <c r="Y79" s="1067" t="str">
        <f t="shared" ref="Y79:Y99" ca="1" si="89">IF(V79=0,IF(W79&gt;0, W79/L$8, IF(X79&gt;0,X79/L$10, "")), IF(T79="", "", V79/L$7*T79))</f>
        <v/>
      </c>
      <c r="Z79" s="1166" t="str">
        <f t="shared" ref="Z79:Z99" ca="1" si="90">IF(+Y79="","",IF(Y79&gt;L$3,"H",IF(Y79&gt;L$4,"M","")))</f>
        <v/>
      </c>
      <c r="AA79" s="751"/>
      <c r="AB79" s="871" t="str">
        <f t="shared" ref="AB79:AB113" ca="1" si="91">IF((CONCATENATE(IF(K79="OK","",J79), "    ",IF(L79="","",IF(N79="OK","",CONCATENATE(M79," = ",ROUND(L79,3),"kgCO2e/kWh"))),"    ",IF(AND(+AA79="",Z79="M"),"Value change with medium impact",IF(AND(AA79="",Z79="H"),"Value change with high impact",""))," "))="         ","",(CONCATENATE(IF(K79="OK","",J79), "    ",IF(L79="","",IF(N79="OK","",CONCATENATE(M79," = ",ROUND(L79,3),"kgCO2e/kWh"))),"    ",IF(AND(+AA79="",Z79="M"),"Value change with medium impact",IF(AND(AA79="",Z79="H"),"Value change with high impact",""))," ")))</f>
        <v/>
      </c>
      <c r="AC79" s="55"/>
      <c r="AD79" s="96"/>
      <c r="AE79" s="96"/>
      <c r="AF79" s="96"/>
      <c r="AG79" s="96"/>
      <c r="AH79" s="96"/>
      <c r="AI79" s="96"/>
      <c r="AJ79" s="96"/>
      <c r="AK79" s="192"/>
      <c r="AL79" s="875"/>
      <c r="AM79" s="875"/>
      <c r="AN79" s="875"/>
      <c r="AO79" s="50"/>
      <c r="AP79" s="97"/>
      <c r="AQ79" s="97"/>
      <c r="AR79" s="97"/>
      <c r="AS79" s="97"/>
      <c r="AT79" s="97"/>
      <c r="AU79" s="97"/>
      <c r="AV79" s="97"/>
      <c r="AW79" s="97"/>
      <c r="AX79" s="97"/>
      <c r="AY79" s="97"/>
      <c r="AZ79" s="97"/>
      <c r="BA79" s="97"/>
      <c r="BB79" s="97"/>
      <c r="BC79" s="97"/>
    </row>
    <row r="80" spans="1:55" ht="12.75" customHeight="1" x14ac:dyDescent="0.3">
      <c r="A80" s="2239"/>
      <c r="B80" s="747" t="str">
        <f>'Q1'!C88</f>
        <v>Medium petrol car, 1.4 - 2.0 l</v>
      </c>
      <c r="C80" s="1262">
        <f t="shared" ca="1" si="86"/>
        <v>0</v>
      </c>
      <c r="D80" s="768">
        <f t="shared" ca="1" si="86"/>
        <v>0</v>
      </c>
      <c r="E80" s="769">
        <f t="shared" ca="1" si="86"/>
        <v>0</v>
      </c>
      <c r="F80" s="769">
        <f t="shared" ca="1" si="86"/>
        <v>0</v>
      </c>
      <c r="G80" s="769">
        <f t="shared" ca="1" si="86"/>
        <v>0</v>
      </c>
      <c r="H80" s="769">
        <f t="shared" ca="1" si="86"/>
        <v>0</v>
      </c>
      <c r="I80" s="770">
        <f t="shared" ca="1" si="71"/>
        <v>0</v>
      </c>
      <c r="J80" s="872" t="str">
        <f t="shared" ca="1" si="73"/>
        <v/>
      </c>
      <c r="K80" s="782"/>
      <c r="L80" s="773"/>
      <c r="M80" s="774"/>
      <c r="N80" s="775"/>
      <c r="O80" s="776" t="str">
        <f t="shared" ca="1" si="51"/>
        <v/>
      </c>
      <c r="P80" s="777" t="str">
        <f t="shared" ca="1" si="74"/>
        <v/>
      </c>
      <c r="Q80" s="777" t="str">
        <f t="shared" ca="1" si="75"/>
        <v/>
      </c>
      <c r="R80" s="777" t="str">
        <f t="shared" ca="1" si="11"/>
        <v/>
      </c>
      <c r="S80" s="778" t="str">
        <f t="shared" ca="1" si="12"/>
        <v/>
      </c>
      <c r="T80" s="1066" t="str">
        <f t="shared" ca="1" si="76"/>
        <v/>
      </c>
      <c r="U80" s="1165" t="str">
        <f t="shared" ca="1" si="87"/>
        <v/>
      </c>
      <c r="V80" s="1350">
        <f t="shared" ca="1" si="88"/>
        <v>0</v>
      </c>
      <c r="W80" s="1350">
        <f t="shared" ca="1" si="88"/>
        <v>0</v>
      </c>
      <c r="X80" s="1350">
        <f t="shared" ca="1" si="88"/>
        <v>0</v>
      </c>
      <c r="Y80" s="1067" t="str">
        <f t="shared" ca="1" si="89"/>
        <v/>
      </c>
      <c r="Z80" s="1165" t="str">
        <f t="shared" ca="1" si="90"/>
        <v/>
      </c>
      <c r="AA80" s="772"/>
      <c r="AB80" s="871" t="str">
        <f t="shared" ca="1" si="91"/>
        <v/>
      </c>
      <c r="AC80" s="55"/>
      <c r="AD80" s="96"/>
      <c r="AE80" s="96"/>
      <c r="AF80" s="96"/>
      <c r="AG80" s="96"/>
      <c r="AH80" s="96"/>
      <c r="AI80" s="96"/>
      <c r="AJ80" s="96"/>
      <c r="AK80" s="192"/>
      <c r="AL80" s="875"/>
      <c r="AM80" s="875"/>
      <c r="AN80" s="875"/>
      <c r="AO80" s="50"/>
      <c r="AP80" s="97"/>
      <c r="AQ80" s="97"/>
      <c r="AR80" s="97"/>
      <c r="AS80" s="97"/>
      <c r="AT80" s="97"/>
      <c r="AU80" s="97"/>
      <c r="AV80" s="97"/>
      <c r="AW80" s="97"/>
      <c r="AX80" s="97"/>
      <c r="AY80" s="97"/>
      <c r="AZ80" s="97"/>
      <c r="BA80" s="97"/>
      <c r="BB80" s="97"/>
      <c r="BC80" s="97"/>
    </row>
    <row r="81" spans="1:55" ht="12.75" customHeight="1" x14ac:dyDescent="0.3">
      <c r="A81" s="2239"/>
      <c r="B81" s="747" t="str">
        <f>'Q1'!C89</f>
        <v>Large petrol car, &gt;2.0 l</v>
      </c>
      <c r="C81" s="1262">
        <f t="shared" ca="1" si="86"/>
        <v>0</v>
      </c>
      <c r="D81" s="768">
        <f t="shared" ca="1" si="86"/>
        <v>0</v>
      </c>
      <c r="E81" s="769">
        <f t="shared" ca="1" si="86"/>
        <v>0</v>
      </c>
      <c r="F81" s="769">
        <f t="shared" ca="1" si="86"/>
        <v>0</v>
      </c>
      <c r="G81" s="769">
        <f t="shared" ca="1" si="86"/>
        <v>0</v>
      </c>
      <c r="H81" s="769">
        <f t="shared" ca="1" si="86"/>
        <v>0</v>
      </c>
      <c r="I81" s="770">
        <f t="shared" ca="1" si="71"/>
        <v>0</v>
      </c>
      <c r="J81" s="872" t="str">
        <f t="shared" ca="1" si="73"/>
        <v/>
      </c>
      <c r="K81" s="782"/>
      <c r="L81" s="773"/>
      <c r="M81" s="774"/>
      <c r="N81" s="775"/>
      <c r="O81" s="776" t="str">
        <f t="shared" ca="1" si="51"/>
        <v/>
      </c>
      <c r="P81" s="777" t="str">
        <f t="shared" ca="1" si="74"/>
        <v/>
      </c>
      <c r="Q81" s="777" t="str">
        <f t="shared" ca="1" si="75"/>
        <v/>
      </c>
      <c r="R81" s="777" t="str">
        <f t="shared" ca="1" si="11"/>
        <v/>
      </c>
      <c r="S81" s="778" t="str">
        <f t="shared" ca="1" si="12"/>
        <v/>
      </c>
      <c r="T81" s="1066" t="str">
        <f t="shared" ca="1" si="76"/>
        <v/>
      </c>
      <c r="U81" s="1165" t="str">
        <f t="shared" ca="1" si="87"/>
        <v/>
      </c>
      <c r="V81" s="1350">
        <f t="shared" ca="1" si="88"/>
        <v>0</v>
      </c>
      <c r="W81" s="1350">
        <f t="shared" ca="1" si="88"/>
        <v>0</v>
      </c>
      <c r="X81" s="1350">
        <f t="shared" ca="1" si="88"/>
        <v>0</v>
      </c>
      <c r="Y81" s="1067" t="str">
        <f t="shared" ca="1" si="89"/>
        <v/>
      </c>
      <c r="Z81" s="1165" t="str">
        <f t="shared" ca="1" si="90"/>
        <v/>
      </c>
      <c r="AA81" s="772"/>
      <c r="AB81" s="871" t="str">
        <f t="shared" ca="1" si="91"/>
        <v/>
      </c>
      <c r="AC81" s="55"/>
      <c r="AD81" s="96"/>
      <c r="AE81" s="96"/>
      <c r="AF81" s="96"/>
      <c r="AG81" s="96"/>
      <c r="AH81" s="96"/>
      <c r="AI81" s="96"/>
      <c r="AJ81" s="96"/>
      <c r="AK81" s="192"/>
      <c r="AL81" s="875"/>
      <c r="AM81" s="875"/>
      <c r="AN81" s="875"/>
      <c r="AO81" s="50"/>
      <c r="AP81" s="97"/>
      <c r="AQ81" s="97"/>
      <c r="AR81" s="97"/>
      <c r="AS81" s="97"/>
      <c r="AT81" s="97"/>
      <c r="AU81" s="97"/>
      <c r="AV81" s="97"/>
      <c r="AW81" s="97"/>
      <c r="AX81" s="97"/>
      <c r="AY81" s="97"/>
      <c r="AZ81" s="97"/>
      <c r="BA81" s="97"/>
      <c r="BB81" s="97"/>
      <c r="BC81" s="97"/>
    </row>
    <row r="82" spans="1:55" ht="12.75" customHeight="1" x14ac:dyDescent="0.3">
      <c r="A82" s="2239"/>
      <c r="B82" s="747" t="str">
        <f>'Q1'!C90</f>
        <v>Average petrol car</v>
      </c>
      <c r="C82" s="1262">
        <f t="shared" ca="1" si="86"/>
        <v>0</v>
      </c>
      <c r="D82" s="768">
        <f t="shared" ca="1" si="86"/>
        <v>0</v>
      </c>
      <c r="E82" s="769">
        <f t="shared" ca="1" si="86"/>
        <v>0</v>
      </c>
      <c r="F82" s="769">
        <f t="shared" ca="1" si="86"/>
        <v>0</v>
      </c>
      <c r="G82" s="769">
        <f t="shared" ca="1" si="86"/>
        <v>0</v>
      </c>
      <c r="H82" s="769">
        <f t="shared" ca="1" si="86"/>
        <v>0</v>
      </c>
      <c r="I82" s="770">
        <f t="shared" ca="1" si="71"/>
        <v>0</v>
      </c>
      <c r="J82" s="872" t="str">
        <f t="shared" ca="1" si="73"/>
        <v/>
      </c>
      <c r="K82" s="782"/>
      <c r="L82" s="773"/>
      <c r="M82" s="774"/>
      <c r="N82" s="775"/>
      <c r="O82" s="776" t="str">
        <f t="shared" ca="1" si="51"/>
        <v/>
      </c>
      <c r="P82" s="777" t="str">
        <f t="shared" ca="1" si="74"/>
        <v/>
      </c>
      <c r="Q82" s="777" t="str">
        <f t="shared" ca="1" si="75"/>
        <v/>
      </c>
      <c r="R82" s="777" t="str">
        <f t="shared" ref="R82:R113" ca="1" si="92">IF(OR(+$J82="missing?",+$J82="new category"),"",IF($G82=0,"",IF(SUM($C82:$I82)=0,"",IFERROR((($C82-$G82)/$G82),"N/A"))))</f>
        <v/>
      </c>
      <c r="S82" s="778" t="str">
        <f t="shared" ref="S82:S113" ca="1" si="93">IF(OR(+$J82="missing?",+$J82="new category"),"",IF($I82=0,"",IF(SUM($C82:$I82)=0,"",IFERROR((($C82-$I82)/$I82),"N/A"))))</f>
        <v/>
      </c>
      <c r="T82" s="1066" t="str">
        <f t="shared" ca="1" si="76"/>
        <v/>
      </c>
      <c r="U82" s="1165" t="str">
        <f t="shared" ca="1" si="87"/>
        <v/>
      </c>
      <c r="V82" s="1350">
        <f t="shared" ca="1" si="88"/>
        <v>0</v>
      </c>
      <c r="W82" s="1350">
        <f t="shared" ca="1" si="88"/>
        <v>0</v>
      </c>
      <c r="X82" s="1350">
        <f t="shared" ca="1" si="88"/>
        <v>0</v>
      </c>
      <c r="Y82" s="1067" t="str">
        <f t="shared" ca="1" si="89"/>
        <v/>
      </c>
      <c r="Z82" s="1165" t="str">
        <f t="shared" ca="1" si="90"/>
        <v/>
      </c>
      <c r="AA82" s="772"/>
      <c r="AB82" s="871" t="str">
        <f t="shared" ca="1" si="91"/>
        <v/>
      </c>
      <c r="AC82" s="55"/>
      <c r="AD82" s="96"/>
      <c r="AE82" s="96"/>
      <c r="AF82" s="96"/>
      <c r="AG82" s="96"/>
      <c r="AH82" s="96"/>
      <c r="AI82" s="96"/>
      <c r="AJ82" s="96"/>
      <c r="AK82" s="192"/>
      <c r="AL82" s="875"/>
      <c r="AM82" s="875"/>
      <c r="AN82" s="875"/>
      <c r="AO82" s="50"/>
      <c r="AP82" s="97"/>
      <c r="AQ82" s="97"/>
      <c r="AR82" s="97"/>
      <c r="AS82" s="97"/>
      <c r="AT82" s="97"/>
      <c r="AU82" s="97"/>
      <c r="AV82" s="97"/>
      <c r="AW82" s="97"/>
      <c r="AX82" s="97"/>
      <c r="AY82" s="97"/>
      <c r="AZ82" s="97"/>
      <c r="BA82" s="97"/>
      <c r="BB82" s="97"/>
      <c r="BC82" s="97"/>
    </row>
    <row r="83" spans="1:55" ht="12.75" customHeight="1" x14ac:dyDescent="0.3">
      <c r="A83" s="2239"/>
      <c r="B83" s="747" t="str">
        <f>'Q1'!C91</f>
        <v>Small diesel car, up to 1.7 l</v>
      </c>
      <c r="C83" s="1262">
        <f t="shared" ca="1" si="86"/>
        <v>0</v>
      </c>
      <c r="D83" s="768">
        <f t="shared" ca="1" si="86"/>
        <v>0</v>
      </c>
      <c r="E83" s="769">
        <f t="shared" ca="1" si="86"/>
        <v>0</v>
      </c>
      <c r="F83" s="769">
        <f t="shared" ca="1" si="86"/>
        <v>0</v>
      </c>
      <c r="G83" s="769">
        <f t="shared" ca="1" si="86"/>
        <v>0</v>
      </c>
      <c r="H83" s="769">
        <f t="shared" ca="1" si="86"/>
        <v>0</v>
      </c>
      <c r="I83" s="770">
        <f t="shared" ca="1" si="71"/>
        <v>0</v>
      </c>
      <c r="J83" s="872" t="str">
        <f t="shared" ca="1" si="73"/>
        <v/>
      </c>
      <c r="K83" s="782"/>
      <c r="L83" s="773"/>
      <c r="M83" s="774"/>
      <c r="N83" s="775"/>
      <c r="O83" s="776" t="str">
        <f t="shared" ca="1" si="51"/>
        <v/>
      </c>
      <c r="P83" s="777" t="str">
        <f t="shared" ca="1" si="74"/>
        <v/>
      </c>
      <c r="Q83" s="777" t="str">
        <f t="shared" ca="1" si="75"/>
        <v/>
      </c>
      <c r="R83" s="777" t="str">
        <f t="shared" ca="1" si="92"/>
        <v/>
      </c>
      <c r="S83" s="778" t="str">
        <f t="shared" ca="1" si="93"/>
        <v/>
      </c>
      <c r="T83" s="1066" t="str">
        <f t="shared" ca="1" si="76"/>
        <v/>
      </c>
      <c r="U83" s="1165" t="str">
        <f t="shared" ca="1" si="87"/>
        <v/>
      </c>
      <c r="V83" s="1350">
        <f t="shared" ca="1" si="88"/>
        <v>0</v>
      </c>
      <c r="W83" s="1350">
        <f t="shared" ca="1" si="88"/>
        <v>0</v>
      </c>
      <c r="X83" s="1350">
        <f t="shared" ca="1" si="88"/>
        <v>0</v>
      </c>
      <c r="Y83" s="1067" t="str">
        <f t="shared" ca="1" si="89"/>
        <v/>
      </c>
      <c r="Z83" s="1165" t="str">
        <f t="shared" ca="1" si="90"/>
        <v/>
      </c>
      <c r="AA83" s="772"/>
      <c r="AB83" s="871" t="str">
        <f t="shared" ca="1" si="91"/>
        <v/>
      </c>
      <c r="AC83" s="55"/>
      <c r="AD83" s="96"/>
      <c r="AE83" s="96"/>
      <c r="AF83" s="96"/>
      <c r="AG83" s="96"/>
      <c r="AH83" s="96"/>
      <c r="AI83" s="96"/>
      <c r="AJ83" s="96"/>
      <c r="AK83" s="192"/>
      <c r="AL83" s="875"/>
      <c r="AM83" s="875"/>
      <c r="AN83" s="875"/>
      <c r="AO83" s="50"/>
      <c r="AP83" s="97"/>
      <c r="AQ83" s="97"/>
      <c r="AR83" s="97"/>
      <c r="AS83" s="97"/>
      <c r="AT83" s="97"/>
      <c r="AU83" s="97"/>
      <c r="AV83" s="97"/>
      <c r="AW83" s="97"/>
      <c r="AX83" s="97"/>
      <c r="AY83" s="97"/>
      <c r="AZ83" s="97"/>
      <c r="BA83" s="97"/>
      <c r="BB83" s="97"/>
      <c r="BC83" s="97"/>
    </row>
    <row r="84" spans="1:55" ht="12.75" customHeight="1" x14ac:dyDescent="0.3">
      <c r="A84" s="2239"/>
      <c r="B84" s="747" t="str">
        <f>'Q1'!C92</f>
        <v>Medium diesel car, 1.7 - 2.0 l</v>
      </c>
      <c r="C84" s="1262">
        <f t="shared" ca="1" si="86"/>
        <v>0</v>
      </c>
      <c r="D84" s="768">
        <f t="shared" ca="1" si="86"/>
        <v>0</v>
      </c>
      <c r="E84" s="769">
        <f t="shared" ca="1" si="86"/>
        <v>0</v>
      </c>
      <c r="F84" s="769">
        <f t="shared" ca="1" si="86"/>
        <v>0</v>
      </c>
      <c r="G84" s="769">
        <f t="shared" ca="1" si="86"/>
        <v>0</v>
      </c>
      <c r="H84" s="769">
        <f t="shared" ca="1" si="86"/>
        <v>0</v>
      </c>
      <c r="I84" s="770">
        <f t="shared" ca="1" si="71"/>
        <v>0</v>
      </c>
      <c r="J84" s="872" t="str">
        <f t="shared" ca="1" si="73"/>
        <v/>
      </c>
      <c r="K84" s="782"/>
      <c r="L84" s="773"/>
      <c r="M84" s="774"/>
      <c r="N84" s="775"/>
      <c r="O84" s="776" t="str">
        <f t="shared" ca="1" si="51"/>
        <v/>
      </c>
      <c r="P84" s="777" t="str">
        <f t="shared" ca="1" si="74"/>
        <v/>
      </c>
      <c r="Q84" s="777" t="str">
        <f t="shared" ca="1" si="75"/>
        <v/>
      </c>
      <c r="R84" s="777" t="str">
        <f t="shared" ca="1" si="92"/>
        <v/>
      </c>
      <c r="S84" s="778" t="str">
        <f t="shared" ca="1" si="93"/>
        <v/>
      </c>
      <c r="T84" s="1066" t="str">
        <f t="shared" ca="1" si="76"/>
        <v/>
      </c>
      <c r="U84" s="1165" t="str">
        <f t="shared" ca="1" si="87"/>
        <v/>
      </c>
      <c r="V84" s="1350">
        <f t="shared" ca="1" si="88"/>
        <v>0</v>
      </c>
      <c r="W84" s="1350">
        <f t="shared" ca="1" si="88"/>
        <v>0</v>
      </c>
      <c r="X84" s="1350">
        <f t="shared" ca="1" si="88"/>
        <v>0</v>
      </c>
      <c r="Y84" s="1067" t="str">
        <f t="shared" ca="1" si="89"/>
        <v/>
      </c>
      <c r="Z84" s="1165" t="str">
        <f t="shared" ca="1" si="90"/>
        <v/>
      </c>
      <c r="AA84" s="772"/>
      <c r="AB84" s="871" t="str">
        <f t="shared" ca="1" si="91"/>
        <v/>
      </c>
      <c r="AC84" s="55"/>
      <c r="AD84" s="96"/>
      <c r="AE84" s="96"/>
      <c r="AF84" s="96"/>
      <c r="AG84" s="96"/>
      <c r="AH84" s="96"/>
      <c r="AI84" s="96"/>
      <c r="AJ84" s="96"/>
      <c r="AK84" s="192"/>
      <c r="AL84" s="875"/>
      <c r="AM84" s="875"/>
      <c r="AN84" s="875"/>
      <c r="AO84" s="50"/>
      <c r="AP84" s="97"/>
      <c r="AQ84" s="97"/>
      <c r="AR84" s="97"/>
      <c r="AS84" s="97"/>
      <c r="AT84" s="97"/>
      <c r="AU84" s="97"/>
      <c r="AV84" s="97"/>
      <c r="AW84" s="97"/>
      <c r="AX84" s="97"/>
      <c r="AY84" s="97"/>
      <c r="AZ84" s="97"/>
      <c r="BA84" s="97"/>
      <c r="BB84" s="97"/>
      <c r="BC84" s="97"/>
    </row>
    <row r="85" spans="1:55" ht="12.75" customHeight="1" x14ac:dyDescent="0.3">
      <c r="A85" s="2239"/>
      <c r="B85" s="747" t="str">
        <f>'Q1'!C93</f>
        <v>Large diesel car, &gt;2.0 l</v>
      </c>
      <c r="C85" s="1262">
        <f t="shared" ca="1" si="86"/>
        <v>0</v>
      </c>
      <c r="D85" s="768">
        <f t="shared" ca="1" si="86"/>
        <v>0</v>
      </c>
      <c r="E85" s="769">
        <f t="shared" ca="1" si="86"/>
        <v>0</v>
      </c>
      <c r="F85" s="769">
        <f t="shared" ca="1" si="86"/>
        <v>0</v>
      </c>
      <c r="G85" s="769">
        <f t="shared" ca="1" si="86"/>
        <v>0</v>
      </c>
      <c r="H85" s="769">
        <f t="shared" ca="1" si="86"/>
        <v>0</v>
      </c>
      <c r="I85" s="770">
        <f t="shared" ca="1" si="71"/>
        <v>0</v>
      </c>
      <c r="J85" s="872" t="str">
        <f t="shared" ca="1" si="73"/>
        <v/>
      </c>
      <c r="K85" s="782"/>
      <c r="L85" s="773"/>
      <c r="M85" s="774"/>
      <c r="N85" s="775"/>
      <c r="O85" s="776" t="str">
        <f t="shared" ca="1" si="51"/>
        <v/>
      </c>
      <c r="P85" s="777" t="str">
        <f t="shared" ca="1" si="74"/>
        <v/>
      </c>
      <c r="Q85" s="777" t="str">
        <f t="shared" ca="1" si="75"/>
        <v/>
      </c>
      <c r="R85" s="777" t="str">
        <f t="shared" ca="1" si="92"/>
        <v/>
      </c>
      <c r="S85" s="778" t="str">
        <f t="shared" ca="1" si="93"/>
        <v/>
      </c>
      <c r="T85" s="1066" t="str">
        <f t="shared" ca="1" si="76"/>
        <v/>
      </c>
      <c r="U85" s="1165" t="str">
        <f t="shared" ca="1" si="87"/>
        <v/>
      </c>
      <c r="V85" s="1350">
        <f t="shared" ca="1" si="88"/>
        <v>0</v>
      </c>
      <c r="W85" s="1350">
        <f t="shared" ca="1" si="88"/>
        <v>0</v>
      </c>
      <c r="X85" s="1350">
        <f t="shared" ca="1" si="88"/>
        <v>0</v>
      </c>
      <c r="Y85" s="1067" t="str">
        <f t="shared" ca="1" si="89"/>
        <v/>
      </c>
      <c r="Z85" s="1165" t="str">
        <f t="shared" ca="1" si="90"/>
        <v/>
      </c>
      <c r="AA85" s="772"/>
      <c r="AB85" s="871" t="str">
        <f t="shared" ca="1" si="91"/>
        <v/>
      </c>
      <c r="AC85" s="55"/>
      <c r="AD85" s="96"/>
      <c r="AE85" s="96"/>
      <c r="AF85" s="96"/>
      <c r="AG85" s="96"/>
      <c r="AH85" s="96"/>
      <c r="AI85" s="96"/>
      <c r="AJ85" s="96"/>
      <c r="AK85" s="192"/>
      <c r="AL85" s="875"/>
      <c r="AM85" s="875"/>
      <c r="AN85" s="875"/>
      <c r="AO85" s="50"/>
      <c r="AP85" s="97"/>
      <c r="AQ85" s="97"/>
      <c r="AR85" s="97"/>
      <c r="AS85" s="97"/>
      <c r="AT85" s="97"/>
      <c r="AU85" s="97"/>
      <c r="AV85" s="97"/>
      <c r="AW85" s="97"/>
      <c r="AX85" s="97"/>
      <c r="AY85" s="97"/>
      <c r="AZ85" s="97"/>
      <c r="BA85" s="97"/>
      <c r="BB85" s="97"/>
      <c r="BC85" s="97"/>
    </row>
    <row r="86" spans="1:55" ht="12.75" customHeight="1" x14ac:dyDescent="0.3">
      <c r="A86" s="2239"/>
      <c r="B86" s="747" t="str">
        <f>'Q1'!C94</f>
        <v>Average diesel car</v>
      </c>
      <c r="C86" s="1262">
        <f t="shared" ca="1" si="86"/>
        <v>0</v>
      </c>
      <c r="D86" s="768">
        <f t="shared" ca="1" si="86"/>
        <v>0</v>
      </c>
      <c r="E86" s="769">
        <f t="shared" ca="1" si="86"/>
        <v>0</v>
      </c>
      <c r="F86" s="769">
        <f t="shared" ca="1" si="86"/>
        <v>0</v>
      </c>
      <c r="G86" s="769">
        <f t="shared" ca="1" si="86"/>
        <v>0</v>
      </c>
      <c r="H86" s="769">
        <f t="shared" ca="1" si="86"/>
        <v>0</v>
      </c>
      <c r="I86" s="770">
        <f t="shared" ca="1" si="71"/>
        <v>0</v>
      </c>
      <c r="J86" s="872" t="str">
        <f t="shared" ca="1" si="73"/>
        <v/>
      </c>
      <c r="K86" s="782"/>
      <c r="L86" s="773"/>
      <c r="M86" s="774"/>
      <c r="N86" s="775"/>
      <c r="O86" s="776" t="str">
        <f t="shared" ca="1" si="51"/>
        <v/>
      </c>
      <c r="P86" s="777" t="str">
        <f t="shared" ca="1" si="74"/>
        <v/>
      </c>
      <c r="Q86" s="777" t="str">
        <f t="shared" ca="1" si="75"/>
        <v/>
      </c>
      <c r="R86" s="777" t="str">
        <f t="shared" ca="1" si="92"/>
        <v/>
      </c>
      <c r="S86" s="778" t="str">
        <f t="shared" ca="1" si="93"/>
        <v/>
      </c>
      <c r="T86" s="1066" t="str">
        <f t="shared" ca="1" si="76"/>
        <v/>
      </c>
      <c r="U86" s="1165" t="str">
        <f t="shared" ca="1" si="87"/>
        <v/>
      </c>
      <c r="V86" s="1350">
        <f t="shared" ca="1" si="88"/>
        <v>0</v>
      </c>
      <c r="W86" s="1350">
        <f t="shared" ca="1" si="88"/>
        <v>0</v>
      </c>
      <c r="X86" s="1350">
        <f t="shared" ca="1" si="88"/>
        <v>0</v>
      </c>
      <c r="Y86" s="1067" t="str">
        <f t="shared" ca="1" si="89"/>
        <v/>
      </c>
      <c r="Z86" s="1165" t="str">
        <f t="shared" ca="1" si="90"/>
        <v/>
      </c>
      <c r="AA86" s="772"/>
      <c r="AB86" s="871" t="str">
        <f t="shared" ca="1" si="91"/>
        <v/>
      </c>
      <c r="AC86" s="55"/>
      <c r="AD86" s="96"/>
      <c r="AE86" s="96"/>
      <c r="AF86" s="96"/>
      <c r="AG86" s="96"/>
      <c r="AH86" s="96"/>
      <c r="AI86" s="96"/>
      <c r="AJ86" s="96"/>
      <c r="AK86" s="192"/>
      <c r="AL86" s="875"/>
      <c r="AM86" s="875"/>
      <c r="AN86" s="875"/>
      <c r="AO86" s="50"/>
      <c r="AP86" s="97"/>
      <c r="AQ86" s="97"/>
      <c r="AR86" s="97"/>
      <c r="AS86" s="97"/>
      <c r="AT86" s="97"/>
      <c r="AU86" s="97"/>
      <c r="AV86" s="97"/>
      <c r="AW86" s="97"/>
      <c r="AX86" s="97"/>
      <c r="AY86" s="97"/>
      <c r="AZ86" s="97"/>
      <c r="BA86" s="97"/>
      <c r="BB86" s="97"/>
      <c r="BC86" s="97"/>
    </row>
    <row r="87" spans="1:55" ht="12.75" customHeight="1" x14ac:dyDescent="0.3">
      <c r="A87" s="2239"/>
      <c r="B87" s="747" t="str">
        <f>'Q1'!C95</f>
        <v>Hybrid - Medium</v>
      </c>
      <c r="C87" s="1262">
        <f t="shared" ca="1" si="86"/>
        <v>0</v>
      </c>
      <c r="D87" s="768">
        <f t="shared" ca="1" si="86"/>
        <v>0</v>
      </c>
      <c r="E87" s="769">
        <f t="shared" ca="1" si="86"/>
        <v>0</v>
      </c>
      <c r="F87" s="769">
        <f t="shared" ca="1" si="86"/>
        <v>0</v>
      </c>
      <c r="G87" s="769">
        <f t="shared" ca="1" si="86"/>
        <v>0</v>
      </c>
      <c r="H87" s="769">
        <f t="shared" ca="1" si="86"/>
        <v>0</v>
      </c>
      <c r="I87" s="770">
        <f t="shared" ca="1" si="71"/>
        <v>0</v>
      </c>
      <c r="J87" s="872" t="str">
        <f t="shared" ca="1" si="73"/>
        <v/>
      </c>
      <c r="K87" s="782"/>
      <c r="L87" s="773"/>
      <c r="M87" s="774"/>
      <c r="N87" s="775"/>
      <c r="O87" s="776" t="str">
        <f t="shared" ca="1" si="51"/>
        <v/>
      </c>
      <c r="P87" s="777" t="str">
        <f t="shared" ca="1" si="74"/>
        <v/>
      </c>
      <c r="Q87" s="777" t="str">
        <f t="shared" ca="1" si="75"/>
        <v/>
      </c>
      <c r="R87" s="777" t="str">
        <f t="shared" ca="1" si="92"/>
        <v/>
      </c>
      <c r="S87" s="778" t="str">
        <f t="shared" ca="1" si="93"/>
        <v/>
      </c>
      <c r="T87" s="1066" t="str">
        <f t="shared" ca="1" si="76"/>
        <v/>
      </c>
      <c r="U87" s="1165" t="str">
        <f t="shared" ca="1" si="87"/>
        <v/>
      </c>
      <c r="V87" s="1350">
        <f t="shared" ca="1" si="88"/>
        <v>0</v>
      </c>
      <c r="W87" s="1350">
        <f t="shared" ca="1" si="88"/>
        <v>0</v>
      </c>
      <c r="X87" s="1350">
        <f t="shared" ca="1" si="88"/>
        <v>0</v>
      </c>
      <c r="Y87" s="1067" t="str">
        <f t="shared" ca="1" si="89"/>
        <v/>
      </c>
      <c r="Z87" s="1165" t="str">
        <f t="shared" ca="1" si="90"/>
        <v/>
      </c>
      <c r="AA87" s="772"/>
      <c r="AB87" s="871" t="str">
        <f t="shared" ca="1" si="91"/>
        <v/>
      </c>
      <c r="AC87" s="55"/>
      <c r="AD87" s="96"/>
      <c r="AE87" s="96"/>
      <c r="AF87" s="96"/>
      <c r="AG87" s="96"/>
      <c r="AH87" s="96"/>
      <c r="AI87" s="96"/>
      <c r="AJ87" s="96"/>
      <c r="AK87" s="192"/>
      <c r="AL87" s="875"/>
      <c r="AM87" s="875"/>
      <c r="AN87" s="875"/>
      <c r="AO87" s="50"/>
      <c r="AP87" s="97"/>
      <c r="AQ87" s="97"/>
      <c r="AR87" s="97"/>
      <c r="AS87" s="97"/>
      <c r="AT87" s="97"/>
      <c r="AU87" s="97"/>
      <c r="AV87" s="97"/>
      <c r="AW87" s="97"/>
      <c r="AX87" s="97"/>
      <c r="AY87" s="97"/>
      <c r="AZ87" s="97"/>
      <c r="BA87" s="97"/>
      <c r="BB87" s="97"/>
      <c r="BC87" s="97"/>
    </row>
    <row r="88" spans="1:55" ht="12.75" customHeight="1" x14ac:dyDescent="0.3">
      <c r="A88" s="2239"/>
      <c r="B88" s="747" t="str">
        <f>'Q1'!C96</f>
        <v>Hybrid - Large</v>
      </c>
      <c r="C88" s="1262">
        <f t="shared" ca="1" si="86"/>
        <v>0</v>
      </c>
      <c r="D88" s="768">
        <f t="shared" ca="1" si="86"/>
        <v>0</v>
      </c>
      <c r="E88" s="769">
        <f t="shared" ca="1" si="86"/>
        <v>0</v>
      </c>
      <c r="F88" s="769">
        <f t="shared" ca="1" si="86"/>
        <v>0</v>
      </c>
      <c r="G88" s="769">
        <f t="shared" ca="1" si="86"/>
        <v>0</v>
      </c>
      <c r="H88" s="769">
        <f t="shared" ca="1" si="86"/>
        <v>0</v>
      </c>
      <c r="I88" s="770">
        <f t="shared" ca="1" si="71"/>
        <v>0</v>
      </c>
      <c r="J88" s="872" t="str">
        <f t="shared" ca="1" si="73"/>
        <v/>
      </c>
      <c r="K88" s="782"/>
      <c r="L88" s="773"/>
      <c r="M88" s="774"/>
      <c r="N88" s="775"/>
      <c r="O88" s="776" t="str">
        <f t="shared" ca="1" si="51"/>
        <v/>
      </c>
      <c r="P88" s="777" t="str">
        <f t="shared" ca="1" si="74"/>
        <v/>
      </c>
      <c r="Q88" s="777" t="str">
        <f t="shared" ca="1" si="75"/>
        <v/>
      </c>
      <c r="R88" s="777" t="str">
        <f t="shared" ca="1" si="92"/>
        <v/>
      </c>
      <c r="S88" s="778" t="str">
        <f t="shared" ca="1" si="93"/>
        <v/>
      </c>
      <c r="T88" s="1066" t="str">
        <f t="shared" ca="1" si="76"/>
        <v/>
      </c>
      <c r="U88" s="1165" t="str">
        <f t="shared" ca="1" si="87"/>
        <v/>
      </c>
      <c r="V88" s="1350">
        <f t="shared" ca="1" si="88"/>
        <v>0</v>
      </c>
      <c r="W88" s="1350">
        <f t="shared" ca="1" si="88"/>
        <v>0</v>
      </c>
      <c r="X88" s="1350">
        <f t="shared" ca="1" si="88"/>
        <v>0</v>
      </c>
      <c r="Y88" s="1067" t="str">
        <f t="shared" ca="1" si="89"/>
        <v/>
      </c>
      <c r="Z88" s="1165" t="str">
        <f t="shared" ca="1" si="90"/>
        <v/>
      </c>
      <c r="AA88" s="772"/>
      <c r="AB88" s="871" t="str">
        <f t="shared" ca="1" si="91"/>
        <v/>
      </c>
      <c r="AC88" s="55"/>
      <c r="AD88" s="96"/>
      <c r="AE88" s="96"/>
      <c r="AF88" s="96"/>
      <c r="AG88" s="96"/>
      <c r="AH88" s="96"/>
      <c r="AI88" s="96"/>
      <c r="AJ88" s="96"/>
      <c r="AK88" s="192"/>
      <c r="AL88" s="875"/>
      <c r="AM88" s="875"/>
      <c r="AN88" s="875"/>
      <c r="AO88" s="50"/>
      <c r="AP88" s="97"/>
      <c r="AQ88" s="97"/>
      <c r="AR88" s="97"/>
      <c r="AS88" s="97"/>
      <c r="AT88" s="97"/>
      <c r="AU88" s="97"/>
      <c r="AV88" s="97"/>
      <c r="AW88" s="97"/>
      <c r="AX88" s="97"/>
      <c r="AY88" s="97"/>
      <c r="AZ88" s="97"/>
      <c r="BA88" s="97"/>
      <c r="BB88" s="97"/>
      <c r="BC88" s="97"/>
    </row>
    <row r="89" spans="1:55" ht="12.75" customHeight="1" x14ac:dyDescent="0.3">
      <c r="A89" s="2239"/>
      <c r="B89" s="747" t="str">
        <f>'Q1'!C97</f>
        <v>LPG - Average</v>
      </c>
      <c r="C89" s="1262">
        <f t="shared" ref="C89:H99" ca="1" si="94">INDEX(INDIRECT(CONCATENATE("'",C$14,"'!$D$87:$D$107"),TRUE),MATCH($B89,INDIRECT(CONCATENATE("'",C$14,"'!$C$87:$C$107"),TRUE),0))</f>
        <v>0</v>
      </c>
      <c r="D89" s="768">
        <f t="shared" ca="1" si="94"/>
        <v>0</v>
      </c>
      <c r="E89" s="769">
        <f t="shared" ca="1" si="94"/>
        <v>0</v>
      </c>
      <c r="F89" s="769">
        <f t="shared" ca="1" si="94"/>
        <v>0</v>
      </c>
      <c r="G89" s="769">
        <f t="shared" ca="1" si="94"/>
        <v>0</v>
      </c>
      <c r="H89" s="769">
        <f t="shared" ca="1" si="94"/>
        <v>0</v>
      </c>
      <c r="I89" s="770">
        <f t="shared" ca="1" si="71"/>
        <v>0</v>
      </c>
      <c r="J89" s="872" t="str">
        <f t="shared" ca="1" si="73"/>
        <v/>
      </c>
      <c r="K89" s="782"/>
      <c r="L89" s="773"/>
      <c r="M89" s="774"/>
      <c r="N89" s="775"/>
      <c r="O89" s="776" t="str">
        <f t="shared" ca="1" si="51"/>
        <v/>
      </c>
      <c r="P89" s="777" t="str">
        <f t="shared" ca="1" si="74"/>
        <v/>
      </c>
      <c r="Q89" s="777" t="str">
        <f t="shared" ca="1" si="75"/>
        <v/>
      </c>
      <c r="R89" s="777" t="str">
        <f t="shared" ca="1" si="92"/>
        <v/>
      </c>
      <c r="S89" s="778" t="str">
        <f t="shared" ca="1" si="93"/>
        <v/>
      </c>
      <c r="T89" s="1066" t="str">
        <f t="shared" ca="1" si="76"/>
        <v/>
      </c>
      <c r="U89" s="1165" t="str">
        <f t="shared" ca="1" si="87"/>
        <v/>
      </c>
      <c r="V89" s="1350">
        <f t="shared" ca="1" si="88"/>
        <v>0</v>
      </c>
      <c r="W89" s="1350">
        <f t="shared" ca="1" si="88"/>
        <v>0</v>
      </c>
      <c r="X89" s="1350">
        <f t="shared" ca="1" si="88"/>
        <v>0</v>
      </c>
      <c r="Y89" s="1067" t="str">
        <f t="shared" ca="1" si="89"/>
        <v/>
      </c>
      <c r="Z89" s="1165" t="str">
        <f t="shared" ca="1" si="90"/>
        <v/>
      </c>
      <c r="AA89" s="772"/>
      <c r="AB89" s="871" t="str">
        <f t="shared" ca="1" si="91"/>
        <v/>
      </c>
      <c r="AC89" s="55"/>
      <c r="AD89" s="96"/>
      <c r="AE89" s="96"/>
      <c r="AF89" s="96"/>
      <c r="AG89" s="96"/>
      <c r="AH89" s="96"/>
      <c r="AI89" s="96"/>
      <c r="AJ89" s="96"/>
      <c r="AK89" s="192"/>
      <c r="AL89" s="875"/>
      <c r="AM89" s="875"/>
      <c r="AN89" s="875"/>
      <c r="AO89" s="50"/>
      <c r="AP89" s="97"/>
      <c r="AQ89" s="97"/>
      <c r="AR89" s="97"/>
      <c r="AS89" s="97"/>
      <c r="AT89" s="97"/>
      <c r="AU89" s="97"/>
      <c r="AV89" s="97"/>
      <c r="AW89" s="97"/>
      <c r="AX89" s="97"/>
      <c r="AY89" s="97"/>
      <c r="AZ89" s="97"/>
      <c r="BA89" s="97"/>
      <c r="BB89" s="97"/>
      <c r="BC89" s="97"/>
    </row>
    <row r="90" spans="1:55" ht="12.75" customHeight="1" x14ac:dyDescent="0.3">
      <c r="A90" s="2239"/>
      <c r="B90" s="747" t="str">
        <f>'Q1'!C98</f>
        <v>Unknown - Average</v>
      </c>
      <c r="C90" s="1262">
        <f t="shared" ca="1" si="94"/>
        <v>14756354</v>
      </c>
      <c r="D90" s="768">
        <f t="shared" ca="1" si="94"/>
        <v>12714336.17</v>
      </c>
      <c r="E90" s="769">
        <f t="shared" ca="1" si="94"/>
        <v>12365451.85</v>
      </c>
      <c r="F90" s="769">
        <f t="shared" ca="1" si="94"/>
        <v>13042866</v>
      </c>
      <c r="G90" s="769">
        <f t="shared" ca="1" si="94"/>
        <v>9681339</v>
      </c>
      <c r="H90" s="769">
        <f t="shared" ca="1" si="94"/>
        <v>50490770.850000001</v>
      </c>
      <c r="I90" s="770">
        <f t="shared" ca="1" si="71"/>
        <v>12622692.7125</v>
      </c>
      <c r="J90" s="872" t="str">
        <f t="shared" ca="1" si="73"/>
        <v/>
      </c>
      <c r="K90" s="782"/>
      <c r="L90" s="773"/>
      <c r="M90" s="774"/>
      <c r="N90" s="775"/>
      <c r="O90" s="776">
        <f t="shared" ca="1" si="51"/>
        <v>0.16060750657342421</v>
      </c>
      <c r="P90" s="777">
        <f t="shared" ca="1" si="74"/>
        <v>0.19335339937456475</v>
      </c>
      <c r="Q90" s="777">
        <f t="shared" ca="1" si="75"/>
        <v>0.13137358000917895</v>
      </c>
      <c r="R90" s="777">
        <f t="shared" ca="1" si="92"/>
        <v>0.52420589755198121</v>
      </c>
      <c r="S90" s="778">
        <f t="shared" ca="1" si="93"/>
        <v>0.16903376609866114</v>
      </c>
      <c r="T90" s="1066">
        <f t="shared" ca="1" si="76"/>
        <v>0.52420589755198121</v>
      </c>
      <c r="U90" s="1165" t="str">
        <f t="shared" ca="1" si="87"/>
        <v>H</v>
      </c>
      <c r="V90" s="1350">
        <f t="shared" ca="1" si="88"/>
        <v>2613.3502934000003</v>
      </c>
      <c r="W90" s="1350">
        <f t="shared" ca="1" si="88"/>
        <v>2251.7089357069999</v>
      </c>
      <c r="X90" s="1350">
        <f t="shared" ca="1" si="88"/>
        <v>9120.652846343999</v>
      </c>
      <c r="Y90" s="1067">
        <f t="shared" ca="1" si="89"/>
        <v>2.5550463592064334E-2</v>
      </c>
      <c r="Z90" s="1165" t="str">
        <f t="shared" ca="1" si="90"/>
        <v>M</v>
      </c>
      <c r="AA90" s="772"/>
      <c r="AB90" s="871" t="str">
        <f t="shared" ca="1" si="91"/>
        <v xml:space="preserve">        Value change with medium impact </v>
      </c>
      <c r="AC90" s="55"/>
      <c r="AD90" s="96"/>
      <c r="AE90" s="96"/>
      <c r="AF90" s="96"/>
      <c r="AG90" s="96"/>
      <c r="AH90" s="96"/>
      <c r="AI90" s="96"/>
      <c r="AJ90" s="96"/>
      <c r="AK90" s="192"/>
      <c r="AL90" s="875"/>
      <c r="AM90" s="875"/>
      <c r="AN90" s="875"/>
      <c r="AO90" s="50"/>
      <c r="AP90" s="97"/>
      <c r="AQ90" s="97"/>
      <c r="AR90" s="97"/>
      <c r="AS90" s="97"/>
      <c r="AT90" s="97"/>
      <c r="AU90" s="97"/>
      <c r="AV90" s="97"/>
      <c r="AW90" s="97"/>
      <c r="AX90" s="97"/>
      <c r="AY90" s="97"/>
      <c r="AZ90" s="97"/>
      <c r="BA90" s="97"/>
      <c r="BB90" s="97"/>
      <c r="BC90" s="97"/>
    </row>
    <row r="91" spans="1:55" ht="12.75" customHeight="1" x14ac:dyDescent="0.3">
      <c r="A91" s="2239"/>
      <c r="B91" s="747" t="str">
        <f>'Q1'!C99</f>
        <v>Small petrol motorbike (mopeds/scooters up to 125cc)</v>
      </c>
      <c r="C91" s="1262">
        <f t="shared" ca="1" si="94"/>
        <v>0</v>
      </c>
      <c r="D91" s="768">
        <f t="shared" ca="1" si="94"/>
        <v>0</v>
      </c>
      <c r="E91" s="769">
        <f t="shared" ca="1" si="94"/>
        <v>0</v>
      </c>
      <c r="F91" s="769">
        <f t="shared" ca="1" si="94"/>
        <v>0</v>
      </c>
      <c r="G91" s="769">
        <f t="shared" ca="1" si="94"/>
        <v>0</v>
      </c>
      <c r="H91" s="769">
        <f t="shared" ca="1" si="94"/>
        <v>0</v>
      </c>
      <c r="I91" s="770">
        <f t="shared" ca="1" si="71"/>
        <v>0</v>
      </c>
      <c r="J91" s="872" t="str">
        <f t="shared" ca="1" si="73"/>
        <v/>
      </c>
      <c r="K91" s="782"/>
      <c r="L91" s="773"/>
      <c r="M91" s="774"/>
      <c r="N91" s="775"/>
      <c r="O91" s="776" t="str">
        <f t="shared" ca="1" si="51"/>
        <v/>
      </c>
      <c r="P91" s="777" t="str">
        <f t="shared" ca="1" si="74"/>
        <v/>
      </c>
      <c r="Q91" s="777" t="str">
        <f t="shared" ca="1" si="75"/>
        <v/>
      </c>
      <c r="R91" s="777" t="str">
        <f t="shared" ca="1" si="92"/>
        <v/>
      </c>
      <c r="S91" s="778" t="str">
        <f t="shared" ca="1" si="93"/>
        <v/>
      </c>
      <c r="T91" s="1066" t="str">
        <f t="shared" ca="1" si="76"/>
        <v/>
      </c>
      <c r="U91" s="1165" t="str">
        <f t="shared" ca="1" si="87"/>
        <v/>
      </c>
      <c r="V91" s="1350">
        <f t="shared" ca="1" si="88"/>
        <v>0</v>
      </c>
      <c r="W91" s="1350">
        <f t="shared" ca="1" si="88"/>
        <v>0</v>
      </c>
      <c r="X91" s="1350">
        <f t="shared" ca="1" si="88"/>
        <v>0</v>
      </c>
      <c r="Y91" s="1067" t="str">
        <f t="shared" ca="1" si="89"/>
        <v/>
      </c>
      <c r="Z91" s="1165" t="str">
        <f t="shared" ca="1" si="90"/>
        <v/>
      </c>
      <c r="AA91" s="772"/>
      <c r="AB91" s="871" t="str">
        <f t="shared" ca="1" si="91"/>
        <v/>
      </c>
      <c r="AC91" s="55"/>
      <c r="AD91" s="96"/>
      <c r="AE91" s="96"/>
      <c r="AF91" s="96"/>
      <c r="AG91" s="96"/>
      <c r="AH91" s="96"/>
      <c r="AI91" s="96"/>
      <c r="AJ91" s="96"/>
      <c r="AK91" s="192"/>
      <c r="AL91" s="875"/>
      <c r="AM91" s="875"/>
      <c r="AN91" s="875"/>
      <c r="AO91" s="50"/>
      <c r="AP91" s="97"/>
      <c r="AQ91" s="97"/>
      <c r="AR91" s="97"/>
      <c r="AS91" s="97"/>
      <c r="AT91" s="97"/>
      <c r="AU91" s="97"/>
      <c r="AV91" s="97"/>
      <c r="AW91" s="97"/>
      <c r="AX91" s="97"/>
      <c r="AY91" s="97"/>
      <c r="AZ91" s="97"/>
      <c r="BA91" s="97"/>
      <c r="BB91" s="97"/>
      <c r="BC91" s="97"/>
    </row>
    <row r="92" spans="1:55" ht="12.75" customHeight="1" x14ac:dyDescent="0.3">
      <c r="A92" s="2239"/>
      <c r="B92" s="747" t="str">
        <f>'Q1'!C100</f>
        <v>Medium petrol motorbike (125-500cc)</v>
      </c>
      <c r="C92" s="1262">
        <f t="shared" ca="1" si="94"/>
        <v>0</v>
      </c>
      <c r="D92" s="768">
        <f t="shared" ca="1" si="94"/>
        <v>0</v>
      </c>
      <c r="E92" s="769">
        <f t="shared" ca="1" si="94"/>
        <v>0</v>
      </c>
      <c r="F92" s="769">
        <f t="shared" ca="1" si="94"/>
        <v>0</v>
      </c>
      <c r="G92" s="769">
        <f t="shared" ca="1" si="94"/>
        <v>0</v>
      </c>
      <c r="H92" s="769">
        <f t="shared" ca="1" si="94"/>
        <v>0</v>
      </c>
      <c r="I92" s="770">
        <f t="shared" ca="1" si="71"/>
        <v>0</v>
      </c>
      <c r="J92" s="872" t="str">
        <f t="shared" ca="1" si="73"/>
        <v/>
      </c>
      <c r="K92" s="782"/>
      <c r="L92" s="773"/>
      <c r="M92" s="774"/>
      <c r="N92" s="775"/>
      <c r="O92" s="776" t="str">
        <f t="shared" ca="1" si="51"/>
        <v/>
      </c>
      <c r="P92" s="777" t="str">
        <f t="shared" ca="1" si="74"/>
        <v/>
      </c>
      <c r="Q92" s="777" t="str">
        <f t="shared" ca="1" si="75"/>
        <v/>
      </c>
      <c r="R92" s="777" t="str">
        <f t="shared" ca="1" si="92"/>
        <v/>
      </c>
      <c r="S92" s="778" t="str">
        <f t="shared" ca="1" si="93"/>
        <v/>
      </c>
      <c r="T92" s="1066" t="str">
        <f t="shared" ca="1" si="76"/>
        <v/>
      </c>
      <c r="U92" s="1165" t="str">
        <f t="shared" ca="1" si="87"/>
        <v/>
      </c>
      <c r="V92" s="1350">
        <f t="shared" ca="1" si="88"/>
        <v>0</v>
      </c>
      <c r="W92" s="1350">
        <f t="shared" ca="1" si="88"/>
        <v>0</v>
      </c>
      <c r="X92" s="1350">
        <f t="shared" ca="1" si="88"/>
        <v>0</v>
      </c>
      <c r="Y92" s="1067" t="str">
        <f t="shared" ca="1" si="89"/>
        <v/>
      </c>
      <c r="Z92" s="1165" t="str">
        <f t="shared" ca="1" si="90"/>
        <v/>
      </c>
      <c r="AA92" s="772"/>
      <c r="AB92" s="871" t="str">
        <f t="shared" ca="1" si="91"/>
        <v/>
      </c>
      <c r="AC92" s="55"/>
      <c r="AD92" s="96"/>
      <c r="AE92" s="96"/>
      <c r="AF92" s="96"/>
      <c r="AG92" s="96"/>
      <c r="AH92" s="96"/>
      <c r="AI92" s="96"/>
      <c r="AJ92" s="96"/>
      <c r="AK92" s="192"/>
      <c r="AL92" s="875"/>
      <c r="AM92" s="875"/>
      <c r="AN92" s="875"/>
      <c r="AO92" s="50"/>
      <c r="AP92" s="97"/>
      <c r="AQ92" s="97"/>
      <c r="AR92" s="97"/>
      <c r="AS92" s="97"/>
      <c r="AT92" s="97"/>
      <c r="AU92" s="97"/>
      <c r="AV92" s="97"/>
      <c r="AW92" s="97"/>
      <c r="AX92" s="97"/>
      <c r="AY92" s="97"/>
      <c r="AZ92" s="97"/>
      <c r="BA92" s="97"/>
      <c r="BB92" s="97"/>
      <c r="BC92" s="97"/>
    </row>
    <row r="93" spans="1:55" ht="12.75" customHeight="1" x14ac:dyDescent="0.3">
      <c r="A93" s="2239"/>
      <c r="B93" s="747" t="str">
        <f>'Q1'!C101</f>
        <v>Large petrol motorbike (over 500cc)</v>
      </c>
      <c r="C93" s="1262">
        <f t="shared" ca="1" si="94"/>
        <v>0</v>
      </c>
      <c r="D93" s="768">
        <f t="shared" ca="1" si="94"/>
        <v>0</v>
      </c>
      <c r="E93" s="769">
        <f t="shared" ca="1" si="94"/>
        <v>0</v>
      </c>
      <c r="F93" s="769">
        <f t="shared" ca="1" si="94"/>
        <v>0</v>
      </c>
      <c r="G93" s="769">
        <f t="shared" ca="1" si="94"/>
        <v>0</v>
      </c>
      <c r="H93" s="769">
        <f t="shared" ca="1" si="94"/>
        <v>0</v>
      </c>
      <c r="I93" s="770">
        <f t="shared" ca="1" si="71"/>
        <v>0</v>
      </c>
      <c r="J93" s="872" t="str">
        <f t="shared" ca="1" si="73"/>
        <v/>
      </c>
      <c r="K93" s="782"/>
      <c r="L93" s="773"/>
      <c r="M93" s="774"/>
      <c r="N93" s="775"/>
      <c r="O93" s="776" t="str">
        <f t="shared" ca="1" si="51"/>
        <v/>
      </c>
      <c r="P93" s="777" t="str">
        <f t="shared" ca="1" si="74"/>
        <v/>
      </c>
      <c r="Q93" s="777" t="str">
        <f t="shared" ca="1" si="75"/>
        <v/>
      </c>
      <c r="R93" s="777" t="str">
        <f t="shared" ca="1" si="92"/>
        <v/>
      </c>
      <c r="S93" s="778" t="str">
        <f t="shared" ca="1" si="93"/>
        <v/>
      </c>
      <c r="T93" s="1066" t="str">
        <f t="shared" ca="1" si="76"/>
        <v/>
      </c>
      <c r="U93" s="1165" t="str">
        <f t="shared" ca="1" si="87"/>
        <v/>
      </c>
      <c r="V93" s="1350">
        <f t="shared" ca="1" si="88"/>
        <v>0</v>
      </c>
      <c r="W93" s="1350">
        <f t="shared" ca="1" si="88"/>
        <v>0</v>
      </c>
      <c r="X93" s="1350">
        <f t="shared" ca="1" si="88"/>
        <v>0</v>
      </c>
      <c r="Y93" s="1067" t="str">
        <f t="shared" ca="1" si="89"/>
        <v/>
      </c>
      <c r="Z93" s="1165" t="str">
        <f t="shared" ca="1" si="90"/>
        <v/>
      </c>
      <c r="AA93" s="772"/>
      <c r="AB93" s="871" t="str">
        <f t="shared" ca="1" si="91"/>
        <v/>
      </c>
      <c r="AC93" s="55"/>
      <c r="AD93" s="96"/>
      <c r="AE93" s="96"/>
      <c r="AF93" s="96"/>
      <c r="AG93" s="96"/>
      <c r="AH93" s="96"/>
      <c r="AI93" s="96"/>
      <c r="AJ93" s="96"/>
      <c r="AK93" s="192"/>
      <c r="AL93" s="875"/>
      <c r="AM93" s="875"/>
      <c r="AN93" s="875"/>
      <c r="AO93" s="50"/>
      <c r="AP93" s="97"/>
      <c r="AQ93" s="97"/>
      <c r="AR93" s="97"/>
      <c r="AS93" s="97"/>
      <c r="AT93" s="97"/>
      <c r="AU93" s="97"/>
      <c r="AV93" s="97"/>
      <c r="AW93" s="97"/>
      <c r="AX93" s="97"/>
      <c r="AY93" s="97"/>
      <c r="AZ93" s="97"/>
      <c r="BA93" s="97"/>
      <c r="BB93" s="97"/>
      <c r="BC93" s="97"/>
    </row>
    <row r="94" spans="1:55" ht="12.75" customHeight="1" x14ac:dyDescent="0.3">
      <c r="A94" s="2239"/>
      <c r="B94" s="747" t="str">
        <f>'Q1'!C102</f>
        <v>Average petrol motorbike (unknown engine size)</v>
      </c>
      <c r="C94" s="1262">
        <f t="shared" ca="1" si="94"/>
        <v>0</v>
      </c>
      <c r="D94" s="768">
        <f t="shared" ca="1" si="94"/>
        <v>0</v>
      </c>
      <c r="E94" s="769">
        <f t="shared" ca="1" si="94"/>
        <v>0</v>
      </c>
      <c r="F94" s="769">
        <f t="shared" ca="1" si="94"/>
        <v>0</v>
      </c>
      <c r="G94" s="769">
        <f t="shared" ca="1" si="94"/>
        <v>0</v>
      </c>
      <c r="H94" s="769">
        <f t="shared" ca="1" si="94"/>
        <v>0</v>
      </c>
      <c r="I94" s="770">
        <f t="shared" ca="1" si="71"/>
        <v>0</v>
      </c>
      <c r="J94" s="872" t="str">
        <f t="shared" ca="1" si="73"/>
        <v/>
      </c>
      <c r="K94" s="782"/>
      <c r="L94" s="773"/>
      <c r="M94" s="774"/>
      <c r="N94" s="775"/>
      <c r="O94" s="776" t="str">
        <f t="shared" ca="1" si="51"/>
        <v/>
      </c>
      <c r="P94" s="777" t="str">
        <f t="shared" ca="1" si="74"/>
        <v/>
      </c>
      <c r="Q94" s="777" t="str">
        <f t="shared" ca="1" si="75"/>
        <v/>
      </c>
      <c r="R94" s="777" t="str">
        <f t="shared" ca="1" si="92"/>
        <v/>
      </c>
      <c r="S94" s="778" t="str">
        <f t="shared" ca="1" si="93"/>
        <v/>
      </c>
      <c r="T94" s="1066" t="str">
        <f t="shared" ca="1" si="76"/>
        <v/>
      </c>
      <c r="U94" s="1165" t="str">
        <f t="shared" ca="1" si="87"/>
        <v/>
      </c>
      <c r="V94" s="1350">
        <f t="shared" ca="1" si="88"/>
        <v>0</v>
      </c>
      <c r="W94" s="1350">
        <f t="shared" ca="1" si="88"/>
        <v>0</v>
      </c>
      <c r="X94" s="1350">
        <f t="shared" ca="1" si="88"/>
        <v>0</v>
      </c>
      <c r="Y94" s="1067" t="str">
        <f t="shared" ca="1" si="89"/>
        <v/>
      </c>
      <c r="Z94" s="1165" t="str">
        <f t="shared" ca="1" si="90"/>
        <v/>
      </c>
      <c r="AA94" s="772"/>
      <c r="AB94" s="871" t="str">
        <f t="shared" ca="1" si="91"/>
        <v/>
      </c>
      <c r="AC94" s="55"/>
      <c r="AD94" s="96"/>
      <c r="AE94" s="96"/>
      <c r="AF94" s="96"/>
      <c r="AG94" s="96"/>
      <c r="AH94" s="96"/>
      <c r="AI94" s="96"/>
      <c r="AJ94" s="96"/>
      <c r="AK94" s="192"/>
      <c r="AL94" s="875"/>
      <c r="AM94" s="875"/>
      <c r="AN94" s="875"/>
      <c r="AO94" s="50"/>
      <c r="AP94" s="97"/>
      <c r="AQ94" s="97"/>
      <c r="AR94" s="97"/>
      <c r="AS94" s="97"/>
      <c r="AT94" s="97"/>
      <c r="AU94" s="97"/>
      <c r="AV94" s="97"/>
      <c r="AW94" s="97"/>
      <c r="AX94" s="97"/>
      <c r="AY94" s="97"/>
      <c r="AZ94" s="97"/>
      <c r="BA94" s="97"/>
      <c r="BB94" s="97"/>
      <c r="BC94" s="97"/>
    </row>
    <row r="95" spans="1:55" ht="12.75" customHeight="1" x14ac:dyDescent="0.3">
      <c r="A95" s="2239"/>
      <c r="B95" s="747" t="str">
        <f>'Q1'!C103</f>
        <v>Other 1 (enter CO2 factor and specify fuel in "Notes")</v>
      </c>
      <c r="C95" s="1262">
        <f t="shared" ca="1" si="94"/>
        <v>0</v>
      </c>
      <c r="D95" s="768">
        <f t="shared" ca="1" si="94"/>
        <v>0</v>
      </c>
      <c r="E95" s="769">
        <f t="shared" ca="1" si="94"/>
        <v>0</v>
      </c>
      <c r="F95" s="769">
        <f t="shared" ca="1" si="94"/>
        <v>0</v>
      </c>
      <c r="G95" s="769">
        <f t="shared" ca="1" si="94"/>
        <v>0</v>
      </c>
      <c r="H95" s="769">
        <f t="shared" ca="1" si="94"/>
        <v>0</v>
      </c>
      <c r="I95" s="770">
        <f t="shared" ca="1" si="71"/>
        <v>0</v>
      </c>
      <c r="J95" s="872" t="str">
        <f t="shared" ca="1" si="73"/>
        <v/>
      </c>
      <c r="K95" s="782"/>
      <c r="L95" s="891" t="str">
        <f ca="1">IF(C95&gt;0,'Q2'!E103,"")</f>
        <v/>
      </c>
      <c r="M95" s="785" t="str">
        <f ca="1">IF(L95="","",IF('Q2'!I103=0,"Fuel type not stated",'Q2'!I103))</f>
        <v/>
      </c>
      <c r="N95" s="772"/>
      <c r="O95" s="776" t="str">
        <f t="shared" ca="1" si="51"/>
        <v/>
      </c>
      <c r="P95" s="777" t="str">
        <f t="shared" ca="1" si="74"/>
        <v/>
      </c>
      <c r="Q95" s="777" t="str">
        <f t="shared" ca="1" si="75"/>
        <v/>
      </c>
      <c r="R95" s="777" t="str">
        <f t="shared" ca="1" si="92"/>
        <v/>
      </c>
      <c r="S95" s="778" t="str">
        <f t="shared" ca="1" si="93"/>
        <v/>
      </c>
      <c r="T95" s="1066" t="str">
        <f t="shared" ca="1" si="76"/>
        <v/>
      </c>
      <c r="U95" s="1165" t="str">
        <f t="shared" ca="1" si="87"/>
        <v/>
      </c>
      <c r="V95" s="1350">
        <f t="shared" ca="1" si="88"/>
        <v>0</v>
      </c>
      <c r="W95" s="1350">
        <f t="shared" ca="1" si="88"/>
        <v>0</v>
      </c>
      <c r="X95" s="1350">
        <f t="shared" ca="1" si="88"/>
        <v>0</v>
      </c>
      <c r="Y95" s="1067" t="str">
        <f t="shared" ca="1" si="89"/>
        <v/>
      </c>
      <c r="Z95" s="1165" t="str">
        <f t="shared" ca="1" si="90"/>
        <v/>
      </c>
      <c r="AA95" s="772"/>
      <c r="AB95" s="871" t="str">
        <f t="shared" ca="1" si="91"/>
        <v/>
      </c>
      <c r="AC95" s="55"/>
      <c r="AD95" s="96"/>
      <c r="AE95" s="96"/>
      <c r="AF95" s="96"/>
      <c r="AG95" s="96"/>
      <c r="AH95" s="96"/>
      <c r="AI95" s="96"/>
      <c r="AJ95" s="96"/>
      <c r="AK95" s="192"/>
      <c r="AL95" s="875"/>
      <c r="AM95" s="875"/>
      <c r="AN95" s="875"/>
      <c r="AO95" s="50"/>
      <c r="AP95" s="97"/>
      <c r="AQ95" s="97"/>
      <c r="AR95" s="97"/>
      <c r="AS95" s="97"/>
      <c r="AT95" s="97"/>
      <c r="AU95" s="97"/>
      <c r="AV95" s="97"/>
      <c r="AW95" s="97"/>
      <c r="AX95" s="97"/>
      <c r="AY95" s="97"/>
      <c r="AZ95" s="97"/>
      <c r="BA95" s="97"/>
      <c r="BB95" s="97"/>
      <c r="BC95" s="97"/>
    </row>
    <row r="96" spans="1:55" ht="12.75" customHeight="1" x14ac:dyDescent="0.3">
      <c r="A96" s="2239"/>
      <c r="B96" s="747" t="str">
        <f>'Q1'!C104</f>
        <v>Other 2 (enter CO2 factor and specify fuel in "Notes")</v>
      </c>
      <c r="C96" s="1262">
        <f t="shared" ca="1" si="94"/>
        <v>0</v>
      </c>
      <c r="D96" s="768">
        <f t="shared" ca="1" si="94"/>
        <v>0</v>
      </c>
      <c r="E96" s="769">
        <f t="shared" ca="1" si="94"/>
        <v>0</v>
      </c>
      <c r="F96" s="769">
        <f t="shared" ca="1" si="94"/>
        <v>0</v>
      </c>
      <c r="G96" s="769">
        <f t="shared" ca="1" si="94"/>
        <v>0</v>
      </c>
      <c r="H96" s="769">
        <f t="shared" ca="1" si="94"/>
        <v>0</v>
      </c>
      <c r="I96" s="770">
        <f t="shared" ca="1" si="71"/>
        <v>0</v>
      </c>
      <c r="J96" s="872" t="str">
        <f t="shared" ca="1" si="73"/>
        <v/>
      </c>
      <c r="K96" s="782"/>
      <c r="L96" s="784" t="str">
        <f ca="1">IF(C96&gt;0,'Q2'!E104,"")</f>
        <v/>
      </c>
      <c r="M96" s="785" t="str">
        <f ca="1">IF(L96="","",IF('Q2'!I104=0,"Fuel type not stated",'Q2'!I104))</f>
        <v/>
      </c>
      <c r="N96" s="772"/>
      <c r="O96" s="776" t="str">
        <f t="shared" ca="1" si="51"/>
        <v/>
      </c>
      <c r="P96" s="777" t="str">
        <f t="shared" ca="1" si="74"/>
        <v/>
      </c>
      <c r="Q96" s="777" t="str">
        <f t="shared" ca="1" si="75"/>
        <v/>
      </c>
      <c r="R96" s="777" t="str">
        <f t="shared" ca="1" si="92"/>
        <v/>
      </c>
      <c r="S96" s="778" t="str">
        <f t="shared" ca="1" si="93"/>
        <v/>
      </c>
      <c r="T96" s="1066" t="str">
        <f t="shared" ca="1" si="76"/>
        <v/>
      </c>
      <c r="U96" s="1165" t="str">
        <f t="shared" ca="1" si="87"/>
        <v/>
      </c>
      <c r="V96" s="1350">
        <f t="shared" ca="1" si="88"/>
        <v>0</v>
      </c>
      <c r="W96" s="1350">
        <f t="shared" ca="1" si="88"/>
        <v>0</v>
      </c>
      <c r="X96" s="1350">
        <f t="shared" ca="1" si="88"/>
        <v>0</v>
      </c>
      <c r="Y96" s="1067" t="str">
        <f t="shared" ca="1" si="89"/>
        <v/>
      </c>
      <c r="Z96" s="1165" t="str">
        <f t="shared" ca="1" si="90"/>
        <v/>
      </c>
      <c r="AA96" s="772"/>
      <c r="AB96" s="871" t="str">
        <f t="shared" ca="1" si="91"/>
        <v/>
      </c>
      <c r="AC96" s="55"/>
      <c r="AD96" s="96"/>
      <c r="AE96" s="96"/>
      <c r="AF96" s="96"/>
      <c r="AG96" s="96"/>
      <c r="AH96" s="96"/>
      <c r="AI96" s="96"/>
      <c r="AJ96" s="96"/>
      <c r="AK96" s="192"/>
      <c r="AL96" s="875"/>
      <c r="AM96" s="875"/>
      <c r="AN96" s="875"/>
      <c r="AO96" s="50"/>
      <c r="AP96" s="97"/>
      <c r="AQ96" s="97"/>
      <c r="AR96" s="97"/>
      <c r="AS96" s="97"/>
      <c r="AT96" s="97"/>
      <c r="AU96" s="97"/>
      <c r="AV96" s="97"/>
      <c r="AW96" s="97"/>
      <c r="AX96" s="97"/>
      <c r="AY96" s="97"/>
      <c r="AZ96" s="97"/>
      <c r="BA96" s="97"/>
      <c r="BB96" s="97"/>
      <c r="BC96" s="97"/>
    </row>
    <row r="97" spans="1:55" ht="12.75" customHeight="1" x14ac:dyDescent="0.3">
      <c r="A97" s="2239"/>
      <c r="B97" s="747" t="str">
        <f>'Q1'!C105</f>
        <v>Other 3 (enter CO2 factor and specify fuel in "Notes")</v>
      </c>
      <c r="C97" s="1262">
        <f t="shared" ca="1" si="94"/>
        <v>0</v>
      </c>
      <c r="D97" s="768">
        <f t="shared" ca="1" si="94"/>
        <v>0</v>
      </c>
      <c r="E97" s="769">
        <f t="shared" ca="1" si="94"/>
        <v>0</v>
      </c>
      <c r="F97" s="769">
        <f t="shared" ca="1" si="94"/>
        <v>0</v>
      </c>
      <c r="G97" s="769">
        <f t="shared" ca="1" si="94"/>
        <v>0</v>
      </c>
      <c r="H97" s="769">
        <f t="shared" ca="1" si="94"/>
        <v>0</v>
      </c>
      <c r="I97" s="770">
        <f t="shared" ca="1" si="71"/>
        <v>0</v>
      </c>
      <c r="J97" s="872" t="str">
        <f t="shared" ref="J97:J99" ca="1" si="95">IF(AND(C97&gt;0,SUM(D97:I97)&gt;0),"",IF(AND(C97=0,SUM(C97:I97)=0),"",IF(AND(C97=0,D97&gt;0),"Missing value?",IF(AND(C97=0,I97&gt;0),"Missing value?","New category"))))</f>
        <v/>
      </c>
      <c r="K97" s="782"/>
      <c r="L97" s="784" t="str">
        <f ca="1">IF(C97&gt;0,'Q2'!E105,"")</f>
        <v/>
      </c>
      <c r="M97" s="785" t="str">
        <f ca="1">IF(L97="","",IF('Q2'!I105=0,"Fuel type not stated",'Q2'!I105))</f>
        <v/>
      </c>
      <c r="N97" s="772"/>
      <c r="O97" s="776" t="str">
        <f t="shared" ca="1" si="51"/>
        <v/>
      </c>
      <c r="P97" s="777" t="str">
        <f t="shared" ca="1" si="74"/>
        <v/>
      </c>
      <c r="Q97" s="777" t="str">
        <f t="shared" ca="1" si="75"/>
        <v/>
      </c>
      <c r="R97" s="777" t="str">
        <f t="shared" ca="1" si="92"/>
        <v/>
      </c>
      <c r="S97" s="778" t="str">
        <f t="shared" ca="1" si="93"/>
        <v/>
      </c>
      <c r="T97" s="1066" t="str">
        <f t="shared" ref="T97:T99" ca="1" si="96">IF(SUM(C97:I97)=0,"",IF(OR(AND(C97=0,SUM(D97:I97)&gt;0),AND(C97&gt;0,SUM(D97:I97)=0)),1,IF(MAX(IF(O97&lt;0,-O97,O97),IF(P97&lt;0,-P97,P97),IF(Q97&lt;0,-Q97,Q97),IF(R97&lt;0,-R97,R97),IF(S97&lt;0,-S97,S97))=0,"",MAX(IF(O97&lt;0,-O97,O97),IF(P97&lt;0,-P97,P97),IF(Q97&lt;0,-Q97,Q97),IF(R97&lt;0,-R97,R97),IF(S97&lt;0,-S97,S97)))))</f>
        <v/>
      </c>
      <c r="U97" s="1165" t="str">
        <f t="shared" ca="1" si="87"/>
        <v/>
      </c>
      <c r="V97" s="1350">
        <f t="shared" ca="1" si="88"/>
        <v>0</v>
      </c>
      <c r="W97" s="1350">
        <f t="shared" ca="1" si="88"/>
        <v>0</v>
      </c>
      <c r="X97" s="1350">
        <f t="shared" ca="1" si="88"/>
        <v>0</v>
      </c>
      <c r="Y97" s="1067" t="str">
        <f t="shared" ca="1" si="89"/>
        <v/>
      </c>
      <c r="Z97" s="1165" t="str">
        <f t="shared" ca="1" si="90"/>
        <v/>
      </c>
      <c r="AA97" s="772"/>
      <c r="AB97" s="871" t="str">
        <f t="shared" ca="1" si="91"/>
        <v/>
      </c>
      <c r="AC97" s="55"/>
      <c r="AD97" s="96"/>
      <c r="AE97" s="96"/>
      <c r="AF97" s="96"/>
      <c r="AG97" s="96"/>
      <c r="AH97" s="96"/>
      <c r="AI97" s="96"/>
      <c r="AJ97" s="96"/>
      <c r="AK97" s="192"/>
      <c r="AL97" s="875"/>
      <c r="AM97" s="875"/>
      <c r="AN97" s="875"/>
      <c r="AO97" s="50"/>
      <c r="AP97" s="97"/>
      <c r="AQ97" s="97"/>
      <c r="AR97" s="97"/>
      <c r="AS97" s="97"/>
      <c r="AT97" s="97"/>
      <c r="AU97" s="97"/>
      <c r="AV97" s="97"/>
      <c r="AW97" s="97"/>
      <c r="AX97" s="97"/>
      <c r="AY97" s="97"/>
      <c r="AZ97" s="97"/>
      <c r="BA97" s="97"/>
      <c r="BB97" s="97"/>
      <c r="BC97" s="97"/>
    </row>
    <row r="98" spans="1:55" ht="12.75" customHeight="1" x14ac:dyDescent="0.3">
      <c r="A98" s="2239"/>
      <c r="B98" s="747" t="str">
        <f>'Q1'!C106</f>
        <v>Other 4 (enter CO2 factor and specify fuel in "Notes")</v>
      </c>
      <c r="C98" s="1262">
        <f t="shared" ca="1" si="94"/>
        <v>0</v>
      </c>
      <c r="D98" s="768">
        <f t="shared" ca="1" si="94"/>
        <v>0</v>
      </c>
      <c r="E98" s="769">
        <f t="shared" ca="1" si="94"/>
        <v>0</v>
      </c>
      <c r="F98" s="769">
        <f t="shared" ca="1" si="94"/>
        <v>0</v>
      </c>
      <c r="G98" s="769">
        <f t="shared" ca="1" si="94"/>
        <v>0</v>
      </c>
      <c r="H98" s="769">
        <f t="shared" ca="1" si="94"/>
        <v>0</v>
      </c>
      <c r="I98" s="770">
        <f t="shared" ca="1" si="71"/>
        <v>0</v>
      </c>
      <c r="J98" s="872" t="str">
        <f t="shared" ca="1" si="95"/>
        <v/>
      </c>
      <c r="K98" s="782"/>
      <c r="L98" s="784" t="str">
        <f ca="1">IF(C98&gt;0,'Q2'!E106,"")</f>
        <v/>
      </c>
      <c r="M98" s="785" t="str">
        <f ca="1">IF(L98="","",IF('Q2'!I106=0,"Fuel type not stated",'Q2'!I106))</f>
        <v/>
      </c>
      <c r="N98" s="772"/>
      <c r="O98" s="776" t="str">
        <f t="shared" ca="1" si="51"/>
        <v/>
      </c>
      <c r="P98" s="777" t="str">
        <f t="shared" ca="1" si="74"/>
        <v/>
      </c>
      <c r="Q98" s="777" t="str">
        <f t="shared" ca="1" si="75"/>
        <v/>
      </c>
      <c r="R98" s="777" t="str">
        <f t="shared" ca="1" si="92"/>
        <v/>
      </c>
      <c r="S98" s="778" t="str">
        <f t="shared" ca="1" si="93"/>
        <v/>
      </c>
      <c r="T98" s="1066" t="str">
        <f t="shared" ca="1" si="96"/>
        <v/>
      </c>
      <c r="U98" s="1165" t="str">
        <f t="shared" ca="1" si="87"/>
        <v/>
      </c>
      <c r="V98" s="1350">
        <f t="shared" ca="1" si="88"/>
        <v>0</v>
      </c>
      <c r="W98" s="1350">
        <f t="shared" ca="1" si="88"/>
        <v>0</v>
      </c>
      <c r="X98" s="1350">
        <f t="shared" ca="1" si="88"/>
        <v>0</v>
      </c>
      <c r="Y98" s="1067" t="str">
        <f t="shared" ca="1" si="89"/>
        <v/>
      </c>
      <c r="Z98" s="1165" t="str">
        <f t="shared" ca="1" si="90"/>
        <v/>
      </c>
      <c r="AA98" s="772"/>
      <c r="AB98" s="871" t="str">
        <f t="shared" ca="1" si="91"/>
        <v/>
      </c>
      <c r="AC98" s="55"/>
      <c r="AD98" s="96"/>
      <c r="AE98" s="96"/>
      <c r="AF98" s="96"/>
      <c r="AG98" s="96"/>
      <c r="AH98" s="96"/>
      <c r="AI98" s="96"/>
      <c r="AJ98" s="96"/>
      <c r="AK98" s="192"/>
      <c r="AL98" s="875"/>
      <c r="AM98" s="875"/>
      <c r="AN98" s="875"/>
      <c r="AO98" s="50"/>
      <c r="AP98" s="97"/>
      <c r="AQ98" s="97"/>
      <c r="AR98" s="97"/>
      <c r="AS98" s="97"/>
      <c r="AT98" s="97"/>
      <c r="AU98" s="97"/>
      <c r="AV98" s="97"/>
      <c r="AW98" s="97"/>
      <c r="AX98" s="97"/>
      <c r="AY98" s="97"/>
      <c r="AZ98" s="97"/>
      <c r="BA98" s="97"/>
      <c r="BB98" s="97"/>
      <c r="BC98" s="97"/>
    </row>
    <row r="99" spans="1:55" ht="12.75" customHeight="1" thickBot="1" x14ac:dyDescent="0.35">
      <c r="A99" s="2240"/>
      <c r="B99" s="747" t="str">
        <f>'Q1'!C107</f>
        <v>Other 5 (enter CO2 factor and specify fuel in "Notes")</v>
      </c>
      <c r="C99" s="1262">
        <f t="shared" ca="1" si="94"/>
        <v>0</v>
      </c>
      <c r="D99" s="768">
        <f t="shared" ca="1" si="94"/>
        <v>0</v>
      </c>
      <c r="E99" s="769">
        <f t="shared" ca="1" si="94"/>
        <v>0</v>
      </c>
      <c r="F99" s="769">
        <f t="shared" ca="1" si="94"/>
        <v>0</v>
      </c>
      <c r="G99" s="769">
        <f t="shared" ca="1" si="94"/>
        <v>0</v>
      </c>
      <c r="H99" s="769">
        <f t="shared" ca="1" si="94"/>
        <v>0</v>
      </c>
      <c r="I99" s="770">
        <f t="shared" ca="1" si="71"/>
        <v>0</v>
      </c>
      <c r="J99" s="872" t="str">
        <f t="shared" ca="1" si="95"/>
        <v/>
      </c>
      <c r="K99" s="782"/>
      <c r="L99" s="784" t="str">
        <f ca="1">IF(C99&gt;0,'Q2'!E107,"")</f>
        <v/>
      </c>
      <c r="M99" s="785" t="str">
        <f ca="1">IF(L99="","",IF('Q2'!I107=0,"Fuel type not stated",'Q2'!I107))</f>
        <v/>
      </c>
      <c r="N99" s="772"/>
      <c r="O99" s="776" t="str">
        <f t="shared" ca="1" si="51"/>
        <v/>
      </c>
      <c r="P99" s="777" t="str">
        <f t="shared" ca="1" si="74"/>
        <v/>
      </c>
      <c r="Q99" s="777" t="str">
        <f t="shared" ca="1" si="75"/>
        <v/>
      </c>
      <c r="R99" s="777" t="str">
        <f t="shared" ca="1" si="92"/>
        <v/>
      </c>
      <c r="S99" s="778" t="str">
        <f t="shared" ca="1" si="93"/>
        <v/>
      </c>
      <c r="T99" s="1066" t="str">
        <f t="shared" ca="1" si="96"/>
        <v/>
      </c>
      <c r="U99" s="1165" t="str">
        <f t="shared" ca="1" si="87"/>
        <v/>
      </c>
      <c r="V99" s="1350">
        <f t="shared" ca="1" si="88"/>
        <v>0</v>
      </c>
      <c r="W99" s="1350">
        <f t="shared" ca="1" si="88"/>
        <v>0</v>
      </c>
      <c r="X99" s="1350">
        <f t="shared" ca="1" si="88"/>
        <v>0</v>
      </c>
      <c r="Y99" s="1067" t="str">
        <f t="shared" ca="1" si="89"/>
        <v/>
      </c>
      <c r="Z99" s="1165" t="str">
        <f t="shared" ca="1" si="90"/>
        <v/>
      </c>
      <c r="AA99" s="772"/>
      <c r="AB99" s="871" t="str">
        <f t="shared" ca="1" si="91"/>
        <v/>
      </c>
      <c r="AC99" s="55"/>
      <c r="AD99" s="96"/>
      <c r="AE99" s="96"/>
      <c r="AF99" s="96"/>
      <c r="AG99" s="96"/>
      <c r="AH99" s="96"/>
      <c r="AI99" s="96"/>
      <c r="AJ99" s="96"/>
      <c r="AK99" s="192"/>
      <c r="AL99" s="875"/>
      <c r="AM99" s="875"/>
      <c r="AN99" s="875"/>
      <c r="AO99" s="50"/>
      <c r="AP99" s="97"/>
      <c r="AQ99" s="97"/>
      <c r="AR99" s="97"/>
      <c r="AS99" s="97"/>
      <c r="AT99" s="97"/>
      <c r="AU99" s="97"/>
      <c r="AV99" s="97"/>
      <c r="AW99" s="97"/>
      <c r="AX99" s="97"/>
      <c r="AY99" s="97"/>
      <c r="AZ99" s="97"/>
      <c r="BA99" s="97"/>
      <c r="BB99" s="97"/>
      <c r="BC99" s="97"/>
    </row>
    <row r="100" spans="1:55" ht="12.75" customHeight="1" thickBot="1" x14ac:dyDescent="0.35">
      <c r="A100" s="2225" t="s">
        <v>181</v>
      </c>
      <c r="B100" s="2226"/>
      <c r="C100" s="1177">
        <f t="shared" ref="C100:H100" ca="1" si="97">INDIRECT(CONCATENATE("'",C$14,"'!$D$108"),TRUE)</f>
        <v>16594546.340000002</v>
      </c>
      <c r="D100" s="840">
        <f t="shared" ca="1" si="97"/>
        <v>16674515.7476753</v>
      </c>
      <c r="E100" s="743">
        <f t="shared" ca="1" si="97"/>
        <v>15021573.755060541</v>
      </c>
      <c r="F100" s="743">
        <f t="shared" ca="1" si="97"/>
        <v>20791048.699523926</v>
      </c>
      <c r="G100" s="743">
        <f t="shared" ca="1" si="97"/>
        <v>12963126.112548828</v>
      </c>
      <c r="H100" s="743">
        <f t="shared" ca="1" si="97"/>
        <v>63452158.791455805</v>
      </c>
      <c r="I100" s="841">
        <f t="shared" ca="1" si="71"/>
        <v>15863039.697863951</v>
      </c>
      <c r="J100" s="736"/>
      <c r="K100" s="737"/>
      <c r="L100" s="850"/>
      <c r="M100" s="744"/>
      <c r="N100" s="863"/>
      <c r="O100" s="738">
        <f t="shared" ca="1" si="51"/>
        <v>-4.7959058533047338E-3</v>
      </c>
      <c r="P100" s="739">
        <f t="shared" ca="1" si="74"/>
        <v>0.10471423371399755</v>
      </c>
      <c r="Q100" s="739">
        <f t="shared" ca="1" si="75"/>
        <v>-0.2018417839413755</v>
      </c>
      <c r="R100" s="739">
        <f t="shared" ca="1" si="92"/>
        <v>0.28013460610676405</v>
      </c>
      <c r="S100" s="740">
        <f t="shared" ca="1" si="93"/>
        <v>4.6113900996827988E-2</v>
      </c>
      <c r="T100" s="886"/>
      <c r="U100" s="887"/>
      <c r="V100" s="887"/>
      <c r="W100" s="887"/>
      <c r="X100" s="887"/>
      <c r="Y100" s="887"/>
      <c r="Z100" s="888"/>
      <c r="AA100" s="741"/>
      <c r="AB100" s="892"/>
      <c r="AC100" s="95"/>
      <c r="AD100" s="96"/>
      <c r="AE100" s="96"/>
      <c r="AF100" s="96"/>
      <c r="AG100" s="96"/>
      <c r="AH100" s="96"/>
      <c r="AI100" s="96"/>
      <c r="AJ100" s="96"/>
      <c r="AK100" s="192"/>
      <c r="AL100" s="875"/>
      <c r="AM100" s="875"/>
      <c r="AN100" s="875"/>
      <c r="AO100" s="50"/>
      <c r="AP100" s="97"/>
      <c r="AQ100" s="97"/>
      <c r="AR100" s="97"/>
      <c r="AS100" s="97"/>
      <c r="AT100" s="97"/>
      <c r="AU100" s="97"/>
      <c r="AV100" s="97"/>
      <c r="AW100" s="97"/>
      <c r="AX100" s="97"/>
      <c r="AY100" s="97"/>
      <c r="AZ100" s="97"/>
      <c r="BA100" s="97"/>
      <c r="BB100" s="97"/>
      <c r="BC100" s="97"/>
    </row>
    <row r="101" spans="1:55" ht="12.75" customHeight="1" x14ac:dyDescent="0.3">
      <c r="A101" s="2228" t="s">
        <v>113</v>
      </c>
      <c r="B101" s="893" t="str">
        <f>'Q1'!C109</f>
        <v>Domestic Flight</v>
      </c>
      <c r="C101" s="1262">
        <f t="shared" ref="C101:H113" ca="1" si="98">INDEX(INDIRECT(CONCATENATE("'",C$14,"'!$D$109:$D$121"),TRUE),MATCH($B101,INDIRECT(CONCATENATE("'",C$14,"'!$C$109:$C$121"),TRUE),0))</f>
        <v>355715.16</v>
      </c>
      <c r="D101" s="798">
        <f t="shared" ca="1" si="98"/>
        <v>435237.56767529901</v>
      </c>
      <c r="E101" s="761">
        <f t="shared" ca="1" si="98"/>
        <v>465520.31636884098</v>
      </c>
      <c r="F101" s="761">
        <f t="shared" ca="1" si="98"/>
        <v>466893.88702392502</v>
      </c>
      <c r="G101" s="761">
        <f t="shared" ca="1" si="98"/>
        <v>436211.67211914063</v>
      </c>
      <c r="H101" s="761">
        <f t="shared" ca="1" si="98"/>
        <v>1838086.5939750415</v>
      </c>
      <c r="I101" s="799">
        <f t="shared" ca="1" si="71"/>
        <v>459521.64849376038</v>
      </c>
      <c r="J101" s="894" t="str">
        <f t="shared" ca="1" si="73"/>
        <v/>
      </c>
      <c r="K101" s="762"/>
      <c r="L101" s="895"/>
      <c r="M101" s="763"/>
      <c r="N101" s="896"/>
      <c r="O101" s="802">
        <f t="shared" ref="O101:O113" ca="1" si="99">IF(OR(+$J101="missing?",+$J101="new category"),"",IF($D101=0,"",IF(SUM($C101:$I101)=0,"",IFERROR((($C101-$D101)/$D101),"N/A"))))</f>
        <v>-0.18271034851160933</v>
      </c>
      <c r="P101" s="764">
        <f t="shared" ca="1" si="74"/>
        <v>-0.23587618522290271</v>
      </c>
      <c r="Q101" s="764">
        <f t="shared" ca="1" si="75"/>
        <v>-0.23812418648828426</v>
      </c>
      <c r="R101" s="764">
        <f t="shared" ca="1" si="92"/>
        <v>-0.18453543832993763</v>
      </c>
      <c r="S101" s="803">
        <f t="shared" ca="1" si="93"/>
        <v>-0.22590119275995316</v>
      </c>
      <c r="T101" s="1236">
        <f t="shared" ca="1" si="76"/>
        <v>0.23812418648828426</v>
      </c>
      <c r="U101" s="766" t="str">
        <f t="shared" ref="U101:U113" ca="1" si="100">IF(+T101="","",IF(T101&gt;L$3,"H",IF(T101&gt;L$4,"M","")))</f>
        <v>H</v>
      </c>
      <c r="V101" s="1349">
        <f t="shared" ref="V101:X113" ca="1" si="101">INDEX(INDIRECT(CONCATENATE("'",V$14,"'!$F$109:$F$121"),TRUE),MATCH($B101,INDIRECT(CONCATENATE("'",V$14,"'!$C$109:$C$121"),TRUE),0))</f>
        <v>47.961075022799996</v>
      </c>
      <c r="W101" s="1349">
        <f t="shared" ca="1" si="101"/>
        <v>58.683081249660567</v>
      </c>
      <c r="X101" s="1349">
        <f t="shared" ca="1" si="101"/>
        <v>289.99492193144232</v>
      </c>
      <c r="Y101" s="1067">
        <f t="shared" ref="Y101:Y113" ca="1" si="102">IF(V101=0,IF(W101&gt;0, W101/L$8, IF(X101&gt;0,X101/L$10, "")), IF(T101="", "", V101/L$7*T101))</f>
        <v>2.1300591995528038E-4</v>
      </c>
      <c r="Z101" s="766" t="str">
        <f t="shared" ref="Z101:Z113" ca="1" si="103">IF(+Y101="","",IF(Y101&gt;L$3,"H",IF(Y101&gt;L$4,"M","")))</f>
        <v/>
      </c>
      <c r="AA101" s="801"/>
      <c r="AB101" s="871" t="str">
        <f t="shared" ca="1" si="91"/>
        <v/>
      </c>
      <c r="AC101" s="55"/>
      <c r="AD101" s="96"/>
      <c r="AE101" s="96"/>
      <c r="AF101" s="96"/>
      <c r="AG101" s="96"/>
      <c r="AH101" s="96"/>
      <c r="AI101" s="96"/>
      <c r="AJ101" s="96"/>
      <c r="AK101" s="192"/>
      <c r="AL101" s="875"/>
      <c r="AM101" s="875"/>
      <c r="AN101" s="875"/>
      <c r="AO101" s="50"/>
      <c r="AP101" s="97"/>
      <c r="AQ101" s="97"/>
      <c r="AR101" s="97"/>
      <c r="AS101" s="97"/>
      <c r="AT101" s="97"/>
      <c r="AU101" s="97"/>
      <c r="AV101" s="97"/>
      <c r="AW101" s="97"/>
      <c r="AX101" s="97"/>
      <c r="AY101" s="97"/>
      <c r="AZ101" s="97"/>
      <c r="BA101" s="97"/>
      <c r="BB101" s="97"/>
      <c r="BC101" s="97"/>
    </row>
    <row r="102" spans="1:55" ht="12.75" customHeight="1" x14ac:dyDescent="0.3">
      <c r="A102" s="2229"/>
      <c r="B102" s="767" t="str">
        <f>'Q1'!C110</f>
        <v>Rail - National /Average</v>
      </c>
      <c r="C102" s="1179">
        <f t="shared" ca="1" si="98"/>
        <v>16196591.720000001</v>
      </c>
      <c r="D102" s="768">
        <f t="shared" ca="1" si="98"/>
        <v>16196591.720000001</v>
      </c>
      <c r="E102" s="769">
        <f t="shared" ca="1" si="98"/>
        <v>14549585.4386917</v>
      </c>
      <c r="F102" s="769">
        <f t="shared" ca="1" si="98"/>
        <v>20318532.8125</v>
      </c>
      <c r="G102" s="769">
        <f t="shared" ca="1" si="98"/>
        <v>12521236.440429688</v>
      </c>
      <c r="H102" s="769">
        <f t="shared" ca="1" si="98"/>
        <v>61591100.197480761</v>
      </c>
      <c r="I102" s="770">
        <f t="shared" ca="1" si="71"/>
        <v>15397775.04937019</v>
      </c>
      <c r="J102" s="872" t="str">
        <f t="shared" ca="1" si="73"/>
        <v/>
      </c>
      <c r="K102" s="782"/>
      <c r="L102" s="773"/>
      <c r="M102" s="774"/>
      <c r="N102" s="775"/>
      <c r="O102" s="776">
        <f t="shared" ca="1" si="99"/>
        <v>0</v>
      </c>
      <c r="P102" s="777">
        <f t="shared" ca="1" si="74"/>
        <v>0.11319953329587099</v>
      </c>
      <c r="Q102" s="777">
        <f t="shared" ca="1" si="75"/>
        <v>-0.2028660794820861</v>
      </c>
      <c r="R102" s="777">
        <f t="shared" ca="1" si="92"/>
        <v>0.2935297402182262</v>
      </c>
      <c r="S102" s="778">
        <f t="shared" ca="1" si="93"/>
        <v>5.1878707674878281E-2</v>
      </c>
      <c r="T102" s="1066">
        <f t="shared" ca="1" si="76"/>
        <v>0.2935297402182262</v>
      </c>
      <c r="U102" s="1165" t="str">
        <f t="shared" ca="1" si="100"/>
        <v>H</v>
      </c>
      <c r="V102" s="1350">
        <f t="shared" ca="1" si="101"/>
        <v>666.48974927799998</v>
      </c>
      <c r="W102" s="1350">
        <f t="shared" ca="1" si="101"/>
        <v>666.48974927799998</v>
      </c>
      <c r="X102" s="1350">
        <f t="shared" ca="1" si="101"/>
        <v>2724.7902727365486</v>
      </c>
      <c r="Y102" s="1067">
        <f t="shared" ca="1" si="102"/>
        <v>3.6487561487501003E-3</v>
      </c>
      <c r="Z102" s="1165" t="str">
        <f t="shared" ca="1" si="103"/>
        <v>M</v>
      </c>
      <c r="AA102" s="772"/>
      <c r="AB102" s="871" t="str">
        <f t="shared" ca="1" si="91"/>
        <v xml:space="preserve">        Value change with medium impact </v>
      </c>
      <c r="AC102" s="55"/>
      <c r="AD102" s="96"/>
      <c r="AE102" s="96"/>
      <c r="AF102" s="96"/>
      <c r="AG102" s="96"/>
      <c r="AH102" s="96"/>
      <c r="AI102" s="96"/>
      <c r="AJ102" s="96"/>
      <c r="AK102" s="192"/>
      <c r="AL102" s="875"/>
      <c r="AM102" s="875"/>
      <c r="AN102" s="875"/>
      <c r="AO102" s="50"/>
      <c r="AP102" s="97"/>
      <c r="AQ102" s="97"/>
      <c r="AR102" s="97"/>
      <c r="AS102" s="97"/>
      <c r="AT102" s="97"/>
      <c r="AU102" s="97"/>
      <c r="AV102" s="97"/>
      <c r="AW102" s="97"/>
      <c r="AX102" s="97"/>
      <c r="AY102" s="97"/>
      <c r="AZ102" s="97"/>
      <c r="BA102" s="97"/>
      <c r="BB102" s="97"/>
      <c r="BC102" s="97"/>
    </row>
    <row r="103" spans="1:55" ht="12.75" customHeight="1" x14ac:dyDescent="0.3">
      <c r="A103" s="2229"/>
      <c r="B103" s="767" t="str">
        <f>'Q1'!C111</f>
        <v>Light Railway / Tram</v>
      </c>
      <c r="C103" s="1179">
        <f t="shared" ca="1" si="98"/>
        <v>0</v>
      </c>
      <c r="D103" s="768">
        <f t="shared" ca="1" si="98"/>
        <v>0</v>
      </c>
      <c r="E103" s="769">
        <f t="shared" ca="1" si="98"/>
        <v>0</v>
      </c>
      <c r="F103" s="769">
        <f t="shared" ca="1" si="98"/>
        <v>0</v>
      </c>
      <c r="G103" s="769">
        <f t="shared" ca="1" si="98"/>
        <v>0</v>
      </c>
      <c r="H103" s="769">
        <f t="shared" ca="1" si="98"/>
        <v>0</v>
      </c>
      <c r="I103" s="770">
        <f t="shared" ca="1" si="71"/>
        <v>0</v>
      </c>
      <c r="J103" s="872" t="str">
        <f t="shared" ca="1" si="73"/>
        <v/>
      </c>
      <c r="K103" s="782"/>
      <c r="L103" s="773"/>
      <c r="M103" s="774"/>
      <c r="N103" s="775"/>
      <c r="O103" s="776" t="str">
        <f t="shared" ca="1" si="99"/>
        <v/>
      </c>
      <c r="P103" s="777" t="str">
        <f t="shared" ca="1" si="74"/>
        <v/>
      </c>
      <c r="Q103" s="777" t="str">
        <f t="shared" ca="1" si="75"/>
        <v/>
      </c>
      <c r="R103" s="777" t="str">
        <f t="shared" ca="1" si="92"/>
        <v/>
      </c>
      <c r="S103" s="778" t="str">
        <f t="shared" ca="1" si="93"/>
        <v/>
      </c>
      <c r="T103" s="1066" t="str">
        <f t="shared" ca="1" si="76"/>
        <v/>
      </c>
      <c r="U103" s="1165" t="str">
        <f t="shared" ca="1" si="100"/>
        <v/>
      </c>
      <c r="V103" s="1350">
        <f t="shared" ca="1" si="101"/>
        <v>0</v>
      </c>
      <c r="W103" s="1350">
        <f t="shared" ca="1" si="101"/>
        <v>0</v>
      </c>
      <c r="X103" s="1350">
        <f t="shared" ca="1" si="101"/>
        <v>0</v>
      </c>
      <c r="Y103" s="1067" t="str">
        <f t="shared" ca="1" si="102"/>
        <v/>
      </c>
      <c r="Z103" s="1165" t="str">
        <f t="shared" ca="1" si="103"/>
        <v/>
      </c>
      <c r="AA103" s="772"/>
      <c r="AB103" s="871" t="str">
        <f t="shared" ca="1" si="91"/>
        <v/>
      </c>
      <c r="AC103" s="55"/>
      <c r="AD103" s="96"/>
      <c r="AE103" s="96"/>
      <c r="AF103" s="96"/>
      <c r="AG103" s="96"/>
      <c r="AH103" s="96"/>
      <c r="AI103" s="96"/>
      <c r="AJ103" s="96"/>
      <c r="AK103" s="192"/>
      <c r="AL103" s="875"/>
      <c r="AM103" s="875"/>
      <c r="AN103" s="875"/>
      <c r="AO103" s="50"/>
      <c r="AP103" s="97"/>
      <c r="AQ103" s="97"/>
      <c r="AR103" s="97"/>
      <c r="AS103" s="97"/>
      <c r="AT103" s="97"/>
      <c r="AU103" s="97"/>
      <c r="AV103" s="97"/>
      <c r="AW103" s="97"/>
      <c r="AX103" s="97"/>
      <c r="AY103" s="97"/>
      <c r="AZ103" s="97"/>
      <c r="BA103" s="97"/>
      <c r="BB103" s="97"/>
      <c r="BC103" s="97"/>
    </row>
    <row r="104" spans="1:55" ht="12.75" customHeight="1" x14ac:dyDescent="0.3">
      <c r="A104" s="2229"/>
      <c r="B104" s="767" t="str">
        <f>'Q1'!C112</f>
        <v>London Underground</v>
      </c>
      <c r="C104" s="1179">
        <f t="shared" ca="1" si="98"/>
        <v>41369.46</v>
      </c>
      <c r="D104" s="768">
        <f t="shared" ca="1" si="98"/>
        <v>41369.46</v>
      </c>
      <c r="E104" s="769">
        <f t="shared" ca="1" si="98"/>
        <v>5420</v>
      </c>
      <c r="F104" s="769">
        <f t="shared" ca="1" si="98"/>
        <v>4710</v>
      </c>
      <c r="G104" s="769">
        <f t="shared" ca="1" si="98"/>
        <v>4190</v>
      </c>
      <c r="H104" s="769">
        <f t="shared" ca="1" si="98"/>
        <v>18120</v>
      </c>
      <c r="I104" s="770">
        <f t="shared" ca="1" si="71"/>
        <v>4530</v>
      </c>
      <c r="J104" s="872" t="str">
        <f t="shared" ca="1" si="73"/>
        <v/>
      </c>
      <c r="K104" s="782"/>
      <c r="L104" s="773"/>
      <c r="M104" s="774"/>
      <c r="N104" s="775"/>
      <c r="O104" s="776">
        <f t="shared" ca="1" si="99"/>
        <v>0</v>
      </c>
      <c r="P104" s="777">
        <f t="shared" ca="1" si="74"/>
        <v>6.6327416974169742</v>
      </c>
      <c r="Q104" s="777">
        <f t="shared" ca="1" si="75"/>
        <v>7.7833248407643314</v>
      </c>
      <c r="R104" s="777">
        <f t="shared" ca="1" si="92"/>
        <v>8.8733794749403341</v>
      </c>
      <c r="S104" s="778">
        <f t="shared" ca="1" si="93"/>
        <v>8.1323311258278146</v>
      </c>
      <c r="T104" s="1066">
        <f t="shared" ca="1" si="76"/>
        <v>8.8733794749403341</v>
      </c>
      <c r="U104" s="1165" t="str">
        <f t="shared" ca="1" si="100"/>
        <v>H</v>
      </c>
      <c r="V104" s="1350">
        <f t="shared" ca="1" si="101"/>
        <v>1.2758341464</v>
      </c>
      <c r="W104" s="1350">
        <f t="shared" ca="1" si="101"/>
        <v>1.2758341464</v>
      </c>
      <c r="X104" s="1350">
        <f t="shared" ca="1" si="101"/>
        <v>0.68131200000000003</v>
      </c>
      <c r="Y104" s="1067">
        <f t="shared" ca="1" si="102"/>
        <v>2.1114584105625422E-4</v>
      </c>
      <c r="Z104" s="1165" t="str">
        <f t="shared" ca="1" si="103"/>
        <v/>
      </c>
      <c r="AA104" s="772"/>
      <c r="AB104" s="871" t="str">
        <f t="shared" ca="1" si="91"/>
        <v/>
      </c>
      <c r="AC104" s="55"/>
      <c r="AD104" s="96"/>
      <c r="AE104" s="96"/>
      <c r="AF104" s="96"/>
      <c r="AG104" s="96"/>
      <c r="AH104" s="96"/>
      <c r="AI104" s="96"/>
      <c r="AJ104" s="96"/>
      <c r="AK104" s="192"/>
      <c r="AL104" s="875"/>
      <c r="AM104" s="875"/>
      <c r="AN104" s="875"/>
      <c r="AO104" s="50"/>
      <c r="AP104" s="97"/>
      <c r="AQ104" s="97"/>
      <c r="AR104" s="97"/>
      <c r="AS104" s="97"/>
      <c r="AT104" s="97"/>
      <c r="AU104" s="97"/>
      <c r="AV104" s="97"/>
      <c r="AW104" s="97"/>
      <c r="AX104" s="97"/>
      <c r="AY104" s="97"/>
      <c r="AZ104" s="97"/>
      <c r="BA104" s="97"/>
      <c r="BB104" s="97"/>
      <c r="BC104" s="97"/>
    </row>
    <row r="105" spans="1:55" ht="12.75" customHeight="1" x14ac:dyDescent="0.3">
      <c r="A105" s="2229"/>
      <c r="B105" s="767" t="str">
        <f>'Q1'!C113</f>
        <v>Taxi - Regular</v>
      </c>
      <c r="C105" s="1179">
        <f t="shared" ca="1" si="98"/>
        <v>870</v>
      </c>
      <c r="D105" s="768">
        <f t="shared" ca="1" si="98"/>
        <v>1317</v>
      </c>
      <c r="E105" s="769">
        <f t="shared" ca="1" si="98"/>
        <v>1048</v>
      </c>
      <c r="F105" s="769">
        <f t="shared" ca="1" si="98"/>
        <v>912</v>
      </c>
      <c r="G105" s="769">
        <f t="shared" ca="1" si="98"/>
        <v>1488</v>
      </c>
      <c r="H105" s="769">
        <f t="shared" ca="1" si="98"/>
        <v>4852</v>
      </c>
      <c r="I105" s="770">
        <f t="shared" ca="1" si="71"/>
        <v>1213</v>
      </c>
      <c r="J105" s="872" t="str">
        <f t="shared" ca="1" si="73"/>
        <v/>
      </c>
      <c r="K105" s="782"/>
      <c r="L105" s="773"/>
      <c r="M105" s="774"/>
      <c r="N105" s="775"/>
      <c r="O105" s="776">
        <f t="shared" ca="1" si="99"/>
        <v>-0.33940774487471526</v>
      </c>
      <c r="P105" s="777">
        <f t="shared" ca="1" si="74"/>
        <v>-0.16984732824427481</v>
      </c>
      <c r="Q105" s="777">
        <f t="shared" ca="1" si="75"/>
        <v>-4.6052631578947366E-2</v>
      </c>
      <c r="R105" s="777">
        <f t="shared" ca="1" si="92"/>
        <v>-0.41532258064516131</v>
      </c>
      <c r="S105" s="778">
        <f t="shared" ca="1" si="93"/>
        <v>-0.28276999175597689</v>
      </c>
      <c r="T105" s="1066">
        <f t="shared" ca="1" si="76"/>
        <v>0.41532258064516131</v>
      </c>
      <c r="U105" s="1165" t="str">
        <f t="shared" ca="1" si="100"/>
        <v>H</v>
      </c>
      <c r="V105" s="1350">
        <f t="shared" ca="1" si="101"/>
        <v>0.13065659999999998</v>
      </c>
      <c r="W105" s="1350">
        <f t="shared" ca="1" si="101"/>
        <v>0.19778705999999999</v>
      </c>
      <c r="X105" s="1350">
        <f t="shared" ca="1" si="101"/>
        <v>0.74449087999999997</v>
      </c>
      <c r="Y105" s="1067">
        <f t="shared" ca="1" si="102"/>
        <v>1.0120830507887255E-6</v>
      </c>
      <c r="Z105" s="1165" t="str">
        <f t="shared" ca="1" si="103"/>
        <v/>
      </c>
      <c r="AA105" s="772"/>
      <c r="AB105" s="871" t="str">
        <f t="shared" ca="1" si="91"/>
        <v/>
      </c>
      <c r="AC105" s="55"/>
      <c r="AD105" s="96"/>
      <c r="AE105" s="96"/>
      <c r="AF105" s="96"/>
      <c r="AG105" s="96"/>
      <c r="AH105" s="96"/>
      <c r="AI105" s="96"/>
      <c r="AJ105" s="96"/>
      <c r="AK105" s="192"/>
      <c r="AL105" s="875"/>
      <c r="AM105" s="875"/>
      <c r="AN105" s="875"/>
      <c r="AO105" s="50"/>
      <c r="AP105" s="97"/>
      <c r="AQ105" s="97"/>
      <c r="AR105" s="97"/>
      <c r="AS105" s="97"/>
      <c r="AT105" s="97"/>
      <c r="AU105" s="97"/>
      <c r="AV105" s="97"/>
      <c r="AW105" s="97"/>
      <c r="AX105" s="97"/>
      <c r="AY105" s="97"/>
      <c r="AZ105" s="97"/>
      <c r="BA105" s="97"/>
      <c r="BB105" s="97"/>
      <c r="BC105" s="97"/>
    </row>
    <row r="106" spans="1:55" ht="12.75" customHeight="1" x14ac:dyDescent="0.3">
      <c r="A106" s="2229"/>
      <c r="B106" s="767" t="str">
        <f>'Q1'!C114</f>
        <v>Taxi - Black cab</v>
      </c>
      <c r="C106" s="1179">
        <f t="shared" ca="1" si="98"/>
        <v>0</v>
      </c>
      <c r="D106" s="768">
        <f t="shared" ca="1" si="98"/>
        <v>0</v>
      </c>
      <c r="E106" s="769">
        <f t="shared" ca="1" si="98"/>
        <v>0</v>
      </c>
      <c r="F106" s="769">
        <f t="shared" ca="1" si="98"/>
        <v>0</v>
      </c>
      <c r="G106" s="769">
        <f t="shared" ca="1" si="98"/>
        <v>0</v>
      </c>
      <c r="H106" s="769">
        <f t="shared" ca="1" si="98"/>
        <v>0</v>
      </c>
      <c r="I106" s="770">
        <f t="shared" ca="1" si="71"/>
        <v>0</v>
      </c>
      <c r="J106" s="872" t="str">
        <f t="shared" ca="1" si="73"/>
        <v/>
      </c>
      <c r="K106" s="782"/>
      <c r="L106" s="773"/>
      <c r="M106" s="774"/>
      <c r="N106" s="775"/>
      <c r="O106" s="776" t="str">
        <f t="shared" ca="1" si="99"/>
        <v/>
      </c>
      <c r="P106" s="777" t="str">
        <f t="shared" ca="1" si="74"/>
        <v/>
      </c>
      <c r="Q106" s="777" t="str">
        <f t="shared" ca="1" si="75"/>
        <v/>
      </c>
      <c r="R106" s="777" t="str">
        <f t="shared" ca="1" si="92"/>
        <v/>
      </c>
      <c r="S106" s="778" t="str">
        <f t="shared" ca="1" si="93"/>
        <v/>
      </c>
      <c r="T106" s="1066" t="str">
        <f t="shared" ca="1" si="76"/>
        <v/>
      </c>
      <c r="U106" s="1165" t="str">
        <f t="shared" ca="1" si="100"/>
        <v/>
      </c>
      <c r="V106" s="1350">
        <f t="shared" ca="1" si="101"/>
        <v>0</v>
      </c>
      <c r="W106" s="1350">
        <f t="shared" ca="1" si="101"/>
        <v>0</v>
      </c>
      <c r="X106" s="1350">
        <f t="shared" ca="1" si="101"/>
        <v>0</v>
      </c>
      <c r="Y106" s="1067" t="str">
        <f t="shared" ca="1" si="102"/>
        <v/>
      </c>
      <c r="Z106" s="1165" t="str">
        <f t="shared" ca="1" si="103"/>
        <v/>
      </c>
      <c r="AA106" s="772"/>
      <c r="AB106" s="871" t="str">
        <f t="shared" ca="1" si="91"/>
        <v/>
      </c>
      <c r="AC106" s="55"/>
      <c r="AD106" s="96"/>
      <c r="AE106" s="96"/>
      <c r="AF106" s="96"/>
      <c r="AG106" s="96"/>
      <c r="AH106" s="96"/>
      <c r="AI106" s="96"/>
      <c r="AJ106" s="96"/>
      <c r="AK106" s="192"/>
      <c r="AL106" s="875"/>
      <c r="AM106" s="875"/>
      <c r="AN106" s="875"/>
      <c r="AO106" s="50"/>
      <c r="AP106" s="97"/>
      <c r="AQ106" s="97"/>
      <c r="AR106" s="97"/>
      <c r="AS106" s="97"/>
      <c r="AT106" s="97"/>
      <c r="AU106" s="97"/>
      <c r="AV106" s="97"/>
      <c r="AW106" s="97"/>
      <c r="AX106" s="97"/>
      <c r="AY106" s="97"/>
      <c r="AZ106" s="97"/>
      <c r="BA106" s="97"/>
      <c r="BB106" s="97"/>
      <c r="BC106" s="97"/>
    </row>
    <row r="107" spans="1:55" ht="12.75" customHeight="1" x14ac:dyDescent="0.3">
      <c r="A107" s="2229"/>
      <c r="B107" s="767" t="str">
        <f>'Q1'!C115</f>
        <v>Bus - Local</v>
      </c>
      <c r="C107" s="1179">
        <f t="shared" ca="1" si="98"/>
        <v>0</v>
      </c>
      <c r="D107" s="768">
        <f t="shared" ca="1" si="98"/>
        <v>0</v>
      </c>
      <c r="E107" s="769">
        <f t="shared" ca="1" si="98"/>
        <v>0</v>
      </c>
      <c r="F107" s="769">
        <f t="shared" ca="1" si="98"/>
        <v>0</v>
      </c>
      <c r="G107" s="769">
        <f t="shared" ca="1" si="98"/>
        <v>0</v>
      </c>
      <c r="H107" s="769">
        <f t="shared" ca="1" si="98"/>
        <v>0</v>
      </c>
      <c r="I107" s="770">
        <f t="shared" ca="1" si="71"/>
        <v>0</v>
      </c>
      <c r="J107" s="872" t="str">
        <f t="shared" ca="1" si="73"/>
        <v/>
      </c>
      <c r="K107" s="782"/>
      <c r="L107" s="773"/>
      <c r="M107" s="774"/>
      <c r="N107" s="775"/>
      <c r="O107" s="776" t="str">
        <f t="shared" ca="1" si="99"/>
        <v/>
      </c>
      <c r="P107" s="777" t="str">
        <f t="shared" ca="1" si="74"/>
        <v/>
      </c>
      <c r="Q107" s="777" t="str">
        <f t="shared" ca="1" si="75"/>
        <v/>
      </c>
      <c r="R107" s="777" t="str">
        <f t="shared" ca="1" si="92"/>
        <v/>
      </c>
      <c r="S107" s="778" t="str">
        <f t="shared" ca="1" si="93"/>
        <v/>
      </c>
      <c r="T107" s="1066" t="str">
        <f t="shared" ca="1" si="76"/>
        <v/>
      </c>
      <c r="U107" s="1165" t="str">
        <f t="shared" ca="1" si="100"/>
        <v/>
      </c>
      <c r="V107" s="1350">
        <f t="shared" ca="1" si="101"/>
        <v>0</v>
      </c>
      <c r="W107" s="1350">
        <f t="shared" ca="1" si="101"/>
        <v>0</v>
      </c>
      <c r="X107" s="1350">
        <f t="shared" ca="1" si="101"/>
        <v>0</v>
      </c>
      <c r="Y107" s="1067" t="str">
        <f t="shared" ca="1" si="102"/>
        <v/>
      </c>
      <c r="Z107" s="1165" t="str">
        <f t="shared" ca="1" si="103"/>
        <v/>
      </c>
      <c r="AA107" s="772"/>
      <c r="AB107" s="871" t="str">
        <f t="shared" ca="1" si="91"/>
        <v/>
      </c>
      <c r="AC107" s="55"/>
      <c r="AD107" s="96"/>
      <c r="AE107" s="96"/>
      <c r="AF107" s="96"/>
      <c r="AG107" s="96"/>
      <c r="AH107" s="96"/>
      <c r="AI107" s="96"/>
      <c r="AJ107" s="96"/>
      <c r="AK107" s="192"/>
      <c r="AL107" s="875"/>
      <c r="AM107" s="875"/>
      <c r="AN107" s="875"/>
      <c r="AO107" s="50"/>
      <c r="AP107" s="97"/>
      <c r="AQ107" s="97"/>
      <c r="AR107" s="97"/>
      <c r="AS107" s="97"/>
      <c r="AT107" s="97"/>
      <c r="AU107" s="97"/>
      <c r="AV107" s="97"/>
      <c r="AW107" s="97"/>
      <c r="AX107" s="97"/>
      <c r="AY107" s="97"/>
      <c r="AZ107" s="97"/>
      <c r="BA107" s="97"/>
      <c r="BB107" s="97"/>
      <c r="BC107" s="97"/>
    </row>
    <row r="108" spans="1:55" ht="12.75" customHeight="1" x14ac:dyDescent="0.3">
      <c r="A108" s="2229"/>
      <c r="B108" s="767" t="str">
        <f>'Q1'!C116</f>
        <v>Bus - Transport for London</v>
      </c>
      <c r="C108" s="1179">
        <f t="shared" ca="1" si="98"/>
        <v>0</v>
      </c>
      <c r="D108" s="768">
        <f t="shared" ca="1" si="98"/>
        <v>0</v>
      </c>
      <c r="E108" s="769">
        <f t="shared" ca="1" si="98"/>
        <v>0</v>
      </c>
      <c r="F108" s="769">
        <f t="shared" ca="1" si="98"/>
        <v>0</v>
      </c>
      <c r="G108" s="769">
        <f t="shared" ca="1" si="98"/>
        <v>0</v>
      </c>
      <c r="H108" s="769">
        <f t="shared" ca="1" si="98"/>
        <v>0</v>
      </c>
      <c r="I108" s="770">
        <f t="shared" ca="1" si="71"/>
        <v>0</v>
      </c>
      <c r="J108" s="872" t="str">
        <f t="shared" ca="1" si="73"/>
        <v/>
      </c>
      <c r="K108" s="782"/>
      <c r="L108" s="773"/>
      <c r="M108" s="774"/>
      <c r="N108" s="775"/>
      <c r="O108" s="776" t="str">
        <f t="shared" ca="1" si="99"/>
        <v/>
      </c>
      <c r="P108" s="777" t="str">
        <f t="shared" ca="1" si="74"/>
        <v/>
      </c>
      <c r="Q108" s="777" t="str">
        <f t="shared" ca="1" si="75"/>
        <v/>
      </c>
      <c r="R108" s="777" t="str">
        <f t="shared" ca="1" si="92"/>
        <v/>
      </c>
      <c r="S108" s="778" t="str">
        <f t="shared" ca="1" si="93"/>
        <v/>
      </c>
      <c r="T108" s="1066" t="str">
        <f t="shared" ca="1" si="76"/>
        <v/>
      </c>
      <c r="U108" s="1165" t="str">
        <f t="shared" ca="1" si="100"/>
        <v/>
      </c>
      <c r="V108" s="1350">
        <f t="shared" ca="1" si="101"/>
        <v>0</v>
      </c>
      <c r="W108" s="1350">
        <f t="shared" ca="1" si="101"/>
        <v>0</v>
      </c>
      <c r="X108" s="1350">
        <f t="shared" ca="1" si="101"/>
        <v>0</v>
      </c>
      <c r="Y108" s="1067" t="str">
        <f t="shared" ca="1" si="102"/>
        <v/>
      </c>
      <c r="Z108" s="1165" t="str">
        <f t="shared" ca="1" si="103"/>
        <v/>
      </c>
      <c r="AA108" s="772"/>
      <c r="AB108" s="871" t="str">
        <f t="shared" ca="1" si="91"/>
        <v/>
      </c>
      <c r="AC108" s="55"/>
      <c r="AD108" s="96"/>
      <c r="AE108" s="96"/>
      <c r="AF108" s="96"/>
      <c r="AG108" s="96"/>
      <c r="AH108" s="96"/>
      <c r="AI108" s="96"/>
      <c r="AJ108" s="96"/>
      <c r="AK108" s="192"/>
      <c r="AL108" s="875"/>
      <c r="AM108" s="875"/>
      <c r="AN108" s="875"/>
      <c r="AO108" s="50"/>
      <c r="AP108" s="97"/>
      <c r="AQ108" s="97"/>
      <c r="AR108" s="97"/>
      <c r="AS108" s="97"/>
      <c r="AT108" s="97"/>
      <c r="AU108" s="97"/>
      <c r="AV108" s="97"/>
      <c r="AW108" s="97"/>
      <c r="AX108" s="97"/>
      <c r="AY108" s="97"/>
      <c r="AZ108" s="97"/>
      <c r="BA108" s="97"/>
      <c r="BB108" s="97"/>
      <c r="BC108" s="97"/>
    </row>
    <row r="109" spans="1:55" ht="12.75" customHeight="1" x14ac:dyDescent="0.3">
      <c r="A109" s="2229"/>
      <c r="B109" s="767" t="str">
        <f>'Q1'!C117</f>
        <v>Bus - Average</v>
      </c>
      <c r="C109" s="1179">
        <f t="shared" ca="1" si="98"/>
        <v>0</v>
      </c>
      <c r="D109" s="768">
        <f t="shared" ca="1" si="98"/>
        <v>0</v>
      </c>
      <c r="E109" s="769">
        <f t="shared" ca="1" si="98"/>
        <v>0</v>
      </c>
      <c r="F109" s="769">
        <f t="shared" ca="1" si="98"/>
        <v>0</v>
      </c>
      <c r="G109" s="769">
        <f t="shared" ca="1" si="98"/>
        <v>0</v>
      </c>
      <c r="H109" s="769">
        <f t="shared" ca="1" si="98"/>
        <v>0</v>
      </c>
      <c r="I109" s="770">
        <f t="shared" ca="1" si="71"/>
        <v>0</v>
      </c>
      <c r="J109" s="872" t="str">
        <f t="shared" ca="1" si="73"/>
        <v/>
      </c>
      <c r="K109" s="782"/>
      <c r="L109" s="773"/>
      <c r="M109" s="774"/>
      <c r="N109" s="775"/>
      <c r="O109" s="776" t="str">
        <f t="shared" ca="1" si="99"/>
        <v/>
      </c>
      <c r="P109" s="777" t="str">
        <f t="shared" ca="1" si="74"/>
        <v/>
      </c>
      <c r="Q109" s="777" t="str">
        <f t="shared" ca="1" si="75"/>
        <v/>
      </c>
      <c r="R109" s="777" t="str">
        <f t="shared" ca="1" si="92"/>
        <v/>
      </c>
      <c r="S109" s="778" t="str">
        <f t="shared" ca="1" si="93"/>
        <v/>
      </c>
      <c r="T109" s="1066" t="str">
        <f t="shared" ca="1" si="76"/>
        <v/>
      </c>
      <c r="U109" s="1165" t="str">
        <f t="shared" ca="1" si="100"/>
        <v/>
      </c>
      <c r="V109" s="1350">
        <f t="shared" ca="1" si="101"/>
        <v>0</v>
      </c>
      <c r="W109" s="1350">
        <f t="shared" ca="1" si="101"/>
        <v>0</v>
      </c>
      <c r="X109" s="1350">
        <f t="shared" ca="1" si="101"/>
        <v>0</v>
      </c>
      <c r="Y109" s="1067" t="str">
        <f t="shared" ca="1" si="102"/>
        <v/>
      </c>
      <c r="Z109" s="1165" t="str">
        <f t="shared" ca="1" si="103"/>
        <v/>
      </c>
      <c r="AA109" s="772"/>
      <c r="AB109" s="871" t="str">
        <f t="shared" ca="1" si="91"/>
        <v/>
      </c>
      <c r="AC109" s="55"/>
      <c r="AD109" s="96"/>
      <c r="AE109" s="96"/>
      <c r="AF109" s="96"/>
      <c r="AG109" s="96"/>
      <c r="AH109" s="96"/>
      <c r="AI109" s="96"/>
      <c r="AJ109" s="96"/>
      <c r="AK109" s="192"/>
      <c r="AL109" s="875"/>
      <c r="AM109" s="875"/>
      <c r="AN109" s="875"/>
      <c r="AO109" s="50"/>
      <c r="AP109" s="97"/>
      <c r="AQ109" s="97"/>
      <c r="AR109" s="97"/>
      <c r="AS109" s="97"/>
      <c r="AT109" s="97"/>
      <c r="AU109" s="97"/>
      <c r="AV109" s="97"/>
      <c r="AW109" s="97"/>
      <c r="AX109" s="97"/>
      <c r="AY109" s="97"/>
      <c r="AZ109" s="97"/>
      <c r="BA109" s="97"/>
      <c r="BB109" s="97"/>
      <c r="BC109" s="97"/>
    </row>
    <row r="110" spans="1:55" ht="12.75" customHeight="1" x14ac:dyDescent="0.3">
      <c r="A110" s="2229"/>
      <c r="B110" s="767" t="str">
        <f>'Q1'!C118</f>
        <v>Coach</v>
      </c>
      <c r="C110" s="1179">
        <f t="shared" ca="1" si="98"/>
        <v>0</v>
      </c>
      <c r="D110" s="768">
        <f t="shared" ca="1" si="98"/>
        <v>0</v>
      </c>
      <c r="E110" s="769">
        <f t="shared" ca="1" si="98"/>
        <v>0</v>
      </c>
      <c r="F110" s="769">
        <f t="shared" ca="1" si="98"/>
        <v>0</v>
      </c>
      <c r="G110" s="769">
        <f t="shared" ca="1" si="98"/>
        <v>0</v>
      </c>
      <c r="H110" s="769">
        <f t="shared" ca="1" si="98"/>
        <v>0</v>
      </c>
      <c r="I110" s="770">
        <f t="shared" ca="1" si="71"/>
        <v>0</v>
      </c>
      <c r="J110" s="872" t="str">
        <f t="shared" ca="1" si="73"/>
        <v/>
      </c>
      <c r="K110" s="782"/>
      <c r="L110" s="773"/>
      <c r="M110" s="774"/>
      <c r="N110" s="775"/>
      <c r="O110" s="776" t="str">
        <f t="shared" ca="1" si="99"/>
        <v/>
      </c>
      <c r="P110" s="777" t="str">
        <f t="shared" ca="1" si="74"/>
        <v/>
      </c>
      <c r="Q110" s="777" t="str">
        <f t="shared" ca="1" si="75"/>
        <v/>
      </c>
      <c r="R110" s="777" t="str">
        <f t="shared" ca="1" si="92"/>
        <v/>
      </c>
      <c r="S110" s="778" t="str">
        <f t="shared" ca="1" si="93"/>
        <v/>
      </c>
      <c r="T110" s="1066" t="str">
        <f t="shared" ca="1" si="76"/>
        <v/>
      </c>
      <c r="U110" s="1165" t="str">
        <f t="shared" ca="1" si="100"/>
        <v/>
      </c>
      <c r="V110" s="1350">
        <f t="shared" ca="1" si="101"/>
        <v>0</v>
      </c>
      <c r="W110" s="1350">
        <f t="shared" ca="1" si="101"/>
        <v>0</v>
      </c>
      <c r="X110" s="1350">
        <f t="shared" ca="1" si="101"/>
        <v>0</v>
      </c>
      <c r="Y110" s="1067" t="str">
        <f t="shared" ca="1" si="102"/>
        <v/>
      </c>
      <c r="Z110" s="1165" t="str">
        <f t="shared" ca="1" si="103"/>
        <v/>
      </c>
      <c r="AA110" s="772"/>
      <c r="AB110" s="871" t="str">
        <f t="shared" ca="1" si="91"/>
        <v/>
      </c>
      <c r="AC110" s="55"/>
      <c r="AD110" s="96"/>
      <c r="AE110" s="96"/>
      <c r="AF110" s="96"/>
      <c r="AG110" s="96"/>
      <c r="AH110" s="96"/>
      <c r="AI110" s="96"/>
      <c r="AJ110" s="96"/>
      <c r="AK110" s="192"/>
      <c r="AL110" s="875"/>
      <c r="AM110" s="875"/>
      <c r="AN110" s="875"/>
      <c r="AO110" s="50"/>
      <c r="AP110" s="97"/>
      <c r="AQ110" s="97"/>
      <c r="AR110" s="97"/>
      <c r="AS110" s="97"/>
      <c r="AT110" s="97"/>
      <c r="AU110" s="97"/>
      <c r="AV110" s="97"/>
      <c r="AW110" s="97"/>
      <c r="AX110" s="97"/>
      <c r="AY110" s="97"/>
      <c r="AZ110" s="97"/>
      <c r="BA110" s="97"/>
      <c r="BB110" s="97"/>
      <c r="BC110" s="97"/>
    </row>
    <row r="111" spans="1:55" ht="12.75" customHeight="1" x14ac:dyDescent="0.3">
      <c r="A111" s="2229"/>
      <c r="B111" s="767" t="str">
        <f>'Q1'!C119</f>
        <v>Other 1 (enter CO2 factor and specify fuel in "Notes")</v>
      </c>
      <c r="C111" s="1179">
        <f t="shared" ca="1" si="98"/>
        <v>0</v>
      </c>
      <c r="D111" s="768">
        <f t="shared" ca="1" si="98"/>
        <v>0</v>
      </c>
      <c r="E111" s="769">
        <f t="shared" ca="1" si="98"/>
        <v>0</v>
      </c>
      <c r="F111" s="769">
        <f t="shared" ca="1" si="98"/>
        <v>0</v>
      </c>
      <c r="G111" s="769">
        <f t="shared" ca="1" si="98"/>
        <v>0</v>
      </c>
      <c r="H111" s="769">
        <f t="shared" ca="1" si="98"/>
        <v>0</v>
      </c>
      <c r="I111" s="770">
        <f t="shared" ca="1" si="71"/>
        <v>0</v>
      </c>
      <c r="J111" s="872" t="str">
        <f t="shared" ca="1" si="73"/>
        <v/>
      </c>
      <c r="K111" s="782"/>
      <c r="L111" s="784" t="str">
        <f ca="1">IF(C111&gt;0,'Q2'!E119,"")</f>
        <v/>
      </c>
      <c r="M111" s="785" t="str">
        <f ca="1">IF(L111="","",IF('Q2'!I119=0,"Fuel type not stated",'Q2'!I119))</f>
        <v/>
      </c>
      <c r="N111" s="772"/>
      <c r="O111" s="776" t="str">
        <f t="shared" ca="1" si="99"/>
        <v/>
      </c>
      <c r="P111" s="777" t="str">
        <f t="shared" ca="1" si="74"/>
        <v/>
      </c>
      <c r="Q111" s="777" t="str">
        <f t="shared" ca="1" si="75"/>
        <v/>
      </c>
      <c r="R111" s="777" t="str">
        <f t="shared" ca="1" si="92"/>
        <v/>
      </c>
      <c r="S111" s="778" t="str">
        <f t="shared" ca="1" si="93"/>
        <v/>
      </c>
      <c r="T111" s="1066" t="str">
        <f t="shared" ca="1" si="76"/>
        <v/>
      </c>
      <c r="U111" s="1165" t="str">
        <f t="shared" ca="1" si="100"/>
        <v/>
      </c>
      <c r="V111" s="1350">
        <f t="shared" ca="1" si="101"/>
        <v>0</v>
      </c>
      <c r="W111" s="1350">
        <f t="shared" ca="1" si="101"/>
        <v>0</v>
      </c>
      <c r="X111" s="1350">
        <f t="shared" ca="1" si="101"/>
        <v>0</v>
      </c>
      <c r="Y111" s="1067" t="str">
        <f t="shared" ca="1" si="102"/>
        <v/>
      </c>
      <c r="Z111" s="1165" t="str">
        <f t="shared" ca="1" si="103"/>
        <v/>
      </c>
      <c r="AA111" s="772"/>
      <c r="AB111" s="871" t="str">
        <f ca="1">IF((CONCATENATE(IF(K111="OK","",J111), "    ",IF(L111="","",IF(N111="OK","",CONCATENATE(M111," = ",ROUND(L111,3),"kgCO2e/kWh"))),"    ",IF(AND(+AA111="",Z111="M"),"Value change with medium impact",IF(AND(AA111="",Z111="H"),"Value change with high impact",""))," "))="         ","",(CONCATENATE(IF(K111="OK","",J111), "    ",IF(L111="","",IF(N111="OK","",CONCATENATE(M111," = ",ROUND(L111,3),"kgCO2e/kWh"))),"    ",IF(AND(+AA111="",Z111="M"),"Value change with medium impact",IF(AND(AA111="",Z111="H"),"Value change with high impact",""))," ")))</f>
        <v/>
      </c>
      <c r="AC111" s="55"/>
      <c r="AD111" s="96"/>
      <c r="AE111" s="96"/>
      <c r="AF111" s="96"/>
      <c r="AG111" s="96"/>
      <c r="AH111" s="96"/>
      <c r="AI111" s="96"/>
      <c r="AJ111" s="96"/>
      <c r="AK111" s="192"/>
      <c r="AL111" s="875"/>
      <c r="AM111" s="875"/>
      <c r="AN111" s="875"/>
      <c r="AO111" s="50"/>
      <c r="AP111" s="97"/>
      <c r="AQ111" s="97"/>
      <c r="AR111" s="97"/>
      <c r="AS111" s="97"/>
      <c r="AT111" s="97"/>
      <c r="AU111" s="97"/>
      <c r="AV111" s="97"/>
      <c r="AW111" s="97"/>
      <c r="AX111" s="97"/>
      <c r="AY111" s="97"/>
      <c r="AZ111" s="97"/>
      <c r="BA111" s="97"/>
      <c r="BB111" s="97"/>
      <c r="BC111" s="97"/>
    </row>
    <row r="112" spans="1:55" ht="12.75" customHeight="1" x14ac:dyDescent="0.3">
      <c r="A112" s="2229"/>
      <c r="B112" s="767" t="str">
        <f>'Q1'!C120</f>
        <v>Other 2 (enter CO2 factor and specify fuel in "Notes")</v>
      </c>
      <c r="C112" s="1179">
        <f t="shared" ca="1" si="98"/>
        <v>0</v>
      </c>
      <c r="D112" s="768">
        <f t="shared" ca="1" si="98"/>
        <v>0</v>
      </c>
      <c r="E112" s="769">
        <f t="shared" ca="1" si="98"/>
        <v>0</v>
      </c>
      <c r="F112" s="769">
        <f t="shared" ca="1" si="98"/>
        <v>0</v>
      </c>
      <c r="G112" s="769">
        <f t="shared" ca="1" si="98"/>
        <v>0</v>
      </c>
      <c r="H112" s="769">
        <f t="shared" ca="1" si="98"/>
        <v>0</v>
      </c>
      <c r="I112" s="770">
        <f t="shared" ca="1" si="71"/>
        <v>0</v>
      </c>
      <c r="J112" s="872" t="str">
        <f t="shared" ca="1" si="73"/>
        <v/>
      </c>
      <c r="K112" s="782"/>
      <c r="L112" s="784" t="str">
        <f ca="1">IF(C112&gt;0,'Q2'!E120,"")</f>
        <v/>
      </c>
      <c r="M112" s="785" t="str">
        <f ca="1">IF(L112="","",IF('Q2'!I120=0,"Fuel type not stated",'Q2'!I120))</f>
        <v/>
      </c>
      <c r="N112" s="772"/>
      <c r="O112" s="810" t="str">
        <f t="shared" ca="1" si="99"/>
        <v/>
      </c>
      <c r="P112" s="783" t="str">
        <f t="shared" ca="1" si="74"/>
        <v/>
      </c>
      <c r="Q112" s="783" t="str">
        <f t="shared" ca="1" si="75"/>
        <v/>
      </c>
      <c r="R112" s="783" t="str">
        <f t="shared" ca="1" si="92"/>
        <v/>
      </c>
      <c r="S112" s="811" t="str">
        <f t="shared" ca="1" si="93"/>
        <v/>
      </c>
      <c r="T112" s="1066" t="str">
        <f t="shared" ca="1" si="76"/>
        <v/>
      </c>
      <c r="U112" s="1165" t="str">
        <f t="shared" ca="1" si="100"/>
        <v/>
      </c>
      <c r="V112" s="1350">
        <f t="shared" ca="1" si="101"/>
        <v>0</v>
      </c>
      <c r="W112" s="1350">
        <f t="shared" ca="1" si="101"/>
        <v>0</v>
      </c>
      <c r="X112" s="1350">
        <f t="shared" ca="1" si="101"/>
        <v>0</v>
      </c>
      <c r="Y112" s="1067" t="str">
        <f t="shared" ca="1" si="102"/>
        <v/>
      </c>
      <c r="Z112" s="1165" t="str">
        <f t="shared" ca="1" si="103"/>
        <v/>
      </c>
      <c r="AA112" s="772"/>
      <c r="AB112" s="871" t="str">
        <f t="shared" ca="1" si="91"/>
        <v/>
      </c>
      <c r="AC112" s="55"/>
      <c r="AD112" s="96"/>
      <c r="AE112" s="96"/>
      <c r="AF112" s="96"/>
      <c r="AG112" s="96"/>
      <c r="AH112" s="96"/>
      <c r="AI112" s="96"/>
      <c r="AJ112" s="96"/>
      <c r="AK112" s="192"/>
      <c r="AL112" s="875"/>
      <c r="AM112" s="875"/>
      <c r="AN112" s="875"/>
      <c r="AO112" s="50"/>
      <c r="AP112" s="97"/>
      <c r="AQ112" s="97"/>
      <c r="AR112" s="97"/>
      <c r="AS112" s="97"/>
      <c r="AT112" s="97"/>
      <c r="AU112" s="97"/>
      <c r="AV112" s="97"/>
      <c r="AW112" s="97"/>
      <c r="AX112" s="97"/>
      <c r="AY112" s="97"/>
      <c r="AZ112" s="97"/>
      <c r="BA112" s="97"/>
      <c r="BB112" s="97"/>
      <c r="BC112" s="97"/>
    </row>
    <row r="113" spans="1:55" ht="12.75" customHeight="1" thickBot="1" x14ac:dyDescent="0.35">
      <c r="A113" s="2230"/>
      <c r="B113" s="1178" t="str">
        <f>'Q1'!C121</f>
        <v>Other 3 (enter CO2 factor and specify fuel in "Notes")</v>
      </c>
      <c r="C113" s="1181">
        <f t="shared" ca="1" si="98"/>
        <v>0</v>
      </c>
      <c r="D113" s="786">
        <f t="shared" ca="1" si="98"/>
        <v>0</v>
      </c>
      <c r="E113" s="787">
        <f t="shared" ca="1" si="98"/>
        <v>0</v>
      </c>
      <c r="F113" s="787">
        <f t="shared" ca="1" si="98"/>
        <v>0</v>
      </c>
      <c r="G113" s="787">
        <f t="shared" ca="1" si="98"/>
        <v>0</v>
      </c>
      <c r="H113" s="787">
        <f t="shared" ca="1" si="98"/>
        <v>0</v>
      </c>
      <c r="I113" s="788">
        <f t="shared" ca="1" si="71"/>
        <v>0</v>
      </c>
      <c r="J113" s="849" t="str">
        <f t="shared" ca="1" si="73"/>
        <v/>
      </c>
      <c r="K113" s="796"/>
      <c r="L113" s="791" t="str">
        <f ca="1">IF(C113&gt;0,'Q2'!E121,"")</f>
        <v/>
      </c>
      <c r="M113" s="792" t="str">
        <f ca="1">IF(L113="","",IF('Q2'!I121=0,"Fuel type not stated",'Q2'!I121))</f>
        <v/>
      </c>
      <c r="N113" s="790"/>
      <c r="O113" s="813" t="str">
        <f t="shared" ca="1" si="99"/>
        <v/>
      </c>
      <c r="P113" s="1072" t="str">
        <f t="shared" ca="1" si="74"/>
        <v/>
      </c>
      <c r="Q113" s="1072" t="str">
        <f t="shared" ca="1" si="75"/>
        <v/>
      </c>
      <c r="R113" s="1072" t="str">
        <f t="shared" ca="1" si="92"/>
        <v/>
      </c>
      <c r="S113" s="1075" t="str">
        <f t="shared" ca="1" si="93"/>
        <v/>
      </c>
      <c r="T113" s="813" t="str">
        <f t="shared" ca="1" si="76"/>
        <v/>
      </c>
      <c r="U113" s="1163" t="str">
        <f t="shared" ca="1" si="100"/>
        <v/>
      </c>
      <c r="V113" s="1351">
        <f t="shared" ca="1" si="101"/>
        <v>0</v>
      </c>
      <c r="W113" s="1351">
        <f t="shared" ca="1" si="101"/>
        <v>0</v>
      </c>
      <c r="X113" s="1351">
        <f t="shared" ca="1" si="101"/>
        <v>0</v>
      </c>
      <c r="Y113" s="1073" t="str">
        <f t="shared" ca="1" si="102"/>
        <v/>
      </c>
      <c r="Z113" s="1163" t="str">
        <f t="shared" ca="1" si="103"/>
        <v/>
      </c>
      <c r="AA113" s="790"/>
      <c r="AB113" s="897" t="str">
        <f t="shared" ca="1" si="91"/>
        <v/>
      </c>
      <c r="AC113" s="55"/>
      <c r="AD113" s="96"/>
      <c r="AE113" s="96"/>
      <c r="AF113" s="96"/>
      <c r="AG113" s="96"/>
      <c r="AH113" s="96"/>
      <c r="AI113" s="96"/>
      <c r="AJ113" s="96"/>
      <c r="AK113" s="192"/>
      <c r="AL113" s="875"/>
      <c r="AM113" s="875"/>
      <c r="AN113" s="875"/>
      <c r="AO113" s="50"/>
      <c r="AP113" s="97"/>
      <c r="AQ113" s="97"/>
      <c r="AR113" s="97"/>
      <c r="AS113" s="97"/>
      <c r="AT113" s="97"/>
      <c r="AU113" s="97"/>
      <c r="AV113" s="97"/>
      <c r="AW113" s="97"/>
      <c r="AX113" s="97"/>
      <c r="AY113" s="97"/>
      <c r="AZ113" s="97"/>
      <c r="BA113" s="97"/>
      <c r="BB113" s="97"/>
      <c r="BC113" s="97"/>
    </row>
    <row r="114" spans="1:55" ht="12" customHeight="1" x14ac:dyDescent="0.3">
      <c r="A114" s="898"/>
      <c r="B114" s="898"/>
      <c r="C114" s="898"/>
      <c r="D114" s="898"/>
      <c r="E114" s="898"/>
      <c r="F114" s="898"/>
      <c r="G114" s="898"/>
      <c r="H114" s="898"/>
      <c r="I114" s="898"/>
      <c r="J114" s="852" t="str">
        <f>IF(AND(C114&gt;0,SUM(D114:I114)&gt;0),"",IF(AND(C114=0,SUM(C114:I114)=0),"",IF(AND(C114=0,D114&gt;0),"missing?",IF(AND(C114=0,I114&gt;0),"missing?","new category"))))</f>
        <v/>
      </c>
      <c r="K114" s="852"/>
      <c r="L114" s="852"/>
      <c r="M114" s="853"/>
      <c r="N114" s="852"/>
      <c r="O114" s="854" t="str">
        <f>IF(OR(+$J114="missing?",+$J114="new category"),"",IF($D114=0,"",IF(SUM($C114:$I114)=0,"",IFERROR((($C114-$D114)/$D114),"N/A"))))</f>
        <v/>
      </c>
      <c r="P114" s="854"/>
      <c r="Q114" s="854"/>
      <c r="R114" s="854" t="str">
        <f>IF(OR(+$J114="missing?",+$J114="new category"),"",IF($G114=0,"",IF(SUM($C114:$I114)=0,"",IFERROR((($C114-$G114)/$G114),"N/A"))))</f>
        <v/>
      </c>
      <c r="S114" s="854" t="str">
        <f>IF(OR(+$J114="missing?",+$J114="new category"),"",IF($I114=0,"",IF(SUM($C114:$I114)=0,"",IFERROR((($C114-$I114)/$I114),"N/A"))))</f>
        <v/>
      </c>
      <c r="T114" s="855" t="str">
        <f>IF(MAX(IF(O114&lt;0,-O114,O114),IF(R114&lt;0,-R114,R114),IF(S114&lt;0,-S114,S114))=0,"",MAX(IF(O114&lt;0,-O114,O114),IF(R114&lt;0,-R114,R114),IF(S114&lt;0,-S114,S114)))</f>
        <v/>
      </c>
      <c r="U114" s="855"/>
      <c r="V114" s="855"/>
      <c r="W114" s="855"/>
      <c r="X114" s="855"/>
      <c r="Y114" s="855" t="str">
        <f>IF('Q1'!F122=0,"",'Q1'!F122/L$7*MAX(T114:T114))</f>
        <v/>
      </c>
      <c r="Z114" s="713" t="str">
        <f>IF(+Y114="","",IF(Y114&gt;L$3,"H",IF(Y114&lt;L$4,"L","M")))</f>
        <v/>
      </c>
      <c r="AA114" s="856"/>
      <c r="AB114" s="854" t="str">
        <f>IF(AND(OR(AA114="OK",Z114="L",Z114=""),OR(J114="",K114="OK"),OR(+L114="",N114="OK")),"","Unresolved issue")</f>
        <v/>
      </c>
      <c r="AC114" s="55"/>
      <c r="AD114" s="875"/>
      <c r="AE114" s="875"/>
      <c r="AF114" s="875"/>
      <c r="AG114" s="875"/>
      <c r="AH114" s="875"/>
      <c r="AI114" s="875"/>
      <c r="AJ114" s="875"/>
      <c r="AK114" s="875"/>
      <c r="AL114" s="875"/>
      <c r="AM114" s="875"/>
      <c r="AN114" s="875"/>
      <c r="AO114" s="50"/>
      <c r="AP114" s="194"/>
      <c r="AQ114" s="194"/>
      <c r="AR114" s="194"/>
      <c r="AS114" s="194"/>
      <c r="AT114" s="194"/>
      <c r="AU114" s="194"/>
      <c r="AV114" s="194"/>
      <c r="AW114" s="194"/>
      <c r="AX114" s="194"/>
      <c r="AY114" s="194"/>
      <c r="AZ114" s="194"/>
      <c r="BA114" s="194"/>
      <c r="BB114" s="194"/>
      <c r="BC114" s="194"/>
    </row>
    <row r="115" spans="1:55" ht="12.75" customHeight="1" x14ac:dyDescent="0.3">
      <c r="A115" s="898"/>
      <c r="B115" s="898"/>
      <c r="C115" s="898"/>
      <c r="D115" s="898"/>
      <c r="E115" s="898"/>
      <c r="F115" s="898"/>
      <c r="G115" s="898"/>
      <c r="H115" s="898"/>
      <c r="I115" s="814"/>
      <c r="J115" s="852"/>
      <c r="K115" s="852"/>
      <c r="L115" s="852"/>
      <c r="M115" s="853"/>
      <c r="N115" s="852"/>
      <c r="O115" s="854"/>
      <c r="P115" s="854"/>
      <c r="Q115" s="854"/>
      <c r="R115" s="854"/>
      <c r="S115" s="854"/>
      <c r="T115" s="855"/>
      <c r="U115" s="855"/>
      <c r="V115" s="855"/>
      <c r="W115" s="855"/>
      <c r="X115" s="855"/>
      <c r="Y115" s="855"/>
      <c r="Z115" s="713"/>
      <c r="AA115" s="856"/>
      <c r="AB115" s="854"/>
      <c r="AC115" s="191"/>
      <c r="AD115" s="96"/>
      <c r="AE115" s="96"/>
      <c r="AF115" s="96"/>
      <c r="AG115" s="96"/>
      <c r="AH115" s="96"/>
      <c r="AI115" s="96"/>
      <c r="AJ115" s="96"/>
      <c r="AK115" s="192"/>
      <c r="AL115" s="875"/>
      <c r="AM115" s="875"/>
      <c r="AN115" s="875"/>
      <c r="AO115" s="50"/>
      <c r="AP115" s="97"/>
      <c r="AQ115" s="97"/>
      <c r="AR115" s="97"/>
      <c r="AS115" s="97"/>
      <c r="AT115" s="97"/>
      <c r="AU115" s="97"/>
      <c r="AV115" s="97"/>
      <c r="AW115" s="97"/>
      <c r="AX115" s="97"/>
      <c r="AY115" s="97"/>
      <c r="AZ115" s="97"/>
      <c r="BA115" s="97"/>
      <c r="BB115" s="97"/>
      <c r="BC115" s="97"/>
    </row>
    <row r="116" spans="1:55" ht="14.4" x14ac:dyDescent="0.3">
      <c r="A116" s="90"/>
      <c r="B116" s="90"/>
      <c r="C116" s="814"/>
      <c r="D116" s="814"/>
      <c r="E116" s="814"/>
      <c r="F116" s="814"/>
      <c r="G116" s="814"/>
      <c r="H116" s="814"/>
      <c r="I116" s="814"/>
      <c r="J116" s="852" t="str">
        <f>IF(AND(C116&gt;0,SUM(D116:I116)&gt;0),"",IF(AND(C116=0,SUM(C116:I116)=0),"",IF(AND(C116=0,D116&gt;0),"missing?",IF(AND(C116=0,I116&gt;0),"missing?","new category"))))</f>
        <v/>
      </c>
      <c r="K116" s="852"/>
      <c r="L116" s="854"/>
      <c r="M116" s="899"/>
      <c r="N116" s="55"/>
      <c r="O116" s="854" t="str">
        <f>IF(OR(+$J116="missing?",+$J116="new category"),"",IF($D116=0,"",IF(SUM($C116:$I116)=0,"",IFERROR((($C116-$D116)/$D116),"N/A"))))</f>
        <v/>
      </c>
      <c r="P116" s="854"/>
      <c r="Q116" s="854"/>
      <c r="R116" s="854" t="str">
        <f>IF(OR(+$J116="missing?",+$J116="new category"),"",IF($G116=0,"",IF(SUM($C116:$I116)=0,"",IFERROR((($C116-$G116)/$G116),"N/A"))))</f>
        <v/>
      </c>
      <c r="S116" s="854" t="str">
        <f>IF(OR(+$J116="missing?",+$J116="new category"),"",IF($I116=0,"",IF(SUM($C116:$I116)=0,"",IFERROR((($C116-$I116)/$I116),"N/A"))))</f>
        <v/>
      </c>
      <c r="T116" s="855" t="str">
        <f>IF(MAX(IF(O116&lt;0,-O116,O116),IF(R116&lt;0,-R116,R116),IF(S116&lt;0,-S116,S116))=0,"",MAX(IF(O116&lt;0,-O116,O116),IF(R116&lt;0,-R116,R116),IF(S116&lt;0,-S116,S116)))</f>
        <v/>
      </c>
      <c r="U116" s="855"/>
      <c r="V116" s="855"/>
      <c r="W116" s="855"/>
      <c r="X116" s="855"/>
      <c r="Y116" s="855"/>
      <c r="Z116" s="713" t="str">
        <f>IF(+Y116="","",IF(Y116&gt;L$3,"H",IF(Y116&lt;L$4,"L","M")))</f>
        <v/>
      </c>
      <c r="AA116" s="854"/>
      <c r="AB116" s="854"/>
      <c r="AC116" s="55"/>
      <c r="AD116" s="55"/>
      <c r="AE116" s="55"/>
      <c r="AF116" s="55"/>
      <c r="AG116" s="55"/>
      <c r="AH116" s="55"/>
      <c r="AI116" s="55"/>
      <c r="AJ116" s="98"/>
      <c r="AK116" s="55"/>
      <c r="AL116" s="99"/>
      <c r="AM116" s="110"/>
      <c r="AN116" s="1182"/>
      <c r="AO116" s="50"/>
      <c r="AP116" s="55"/>
      <c r="AQ116" s="55"/>
      <c r="AR116" s="55"/>
      <c r="AS116" s="55"/>
      <c r="AT116" s="55"/>
      <c r="AU116" s="55"/>
      <c r="AV116" s="55"/>
      <c r="AW116" s="55"/>
      <c r="AX116" s="55"/>
      <c r="AY116" s="55"/>
      <c r="AZ116" s="55"/>
      <c r="BA116" s="55"/>
      <c r="BB116" s="55"/>
      <c r="BC116" s="55"/>
    </row>
    <row r="117" spans="1:55" thickBot="1" x14ac:dyDescent="0.35">
      <c r="A117" s="673"/>
      <c r="B117" s="673"/>
      <c r="C117" s="671"/>
      <c r="D117" s="671"/>
      <c r="E117" s="671"/>
      <c r="F117" s="671"/>
      <c r="G117" s="671"/>
      <c r="H117" s="671"/>
      <c r="I117" s="671"/>
      <c r="J117" s="852" t="str">
        <f>IF(AND(C117&gt;0,SUM(D117:I117)&gt;0),"",IF(AND(C117=0,SUM(C117:I117)=0),"",IF(AND(C117=0,D117&gt;0),"missing?",IF(AND(C117=0,I117&gt;0),"missing?","new category"))))</f>
        <v/>
      </c>
      <c r="K117" s="852"/>
      <c r="L117" s="672"/>
      <c r="M117" s="672"/>
      <c r="N117" s="50"/>
      <c r="O117" s="854" t="str">
        <f>IF(OR(+$J117="missing?",+$J117="new category"),"",IF($D117=0,"",IF(SUM($C117:$I117)=0,"",IFERROR((($C117-$D117)/$D117),"N/A"))))</f>
        <v/>
      </c>
      <c r="P117" s="854"/>
      <c r="Q117" s="854"/>
      <c r="R117" s="854" t="str">
        <f>IF(OR(+$J117="missing?",+$J117="new category"),"",IF($G117=0,"",IF(SUM($C117:$I117)=0,"",IFERROR((($C117-$G117)/$G117),"N/A"))))</f>
        <v/>
      </c>
      <c r="S117" s="854" t="str">
        <f>IF(OR(+$J117="missing?",+$J117="new category"),"",IF($I117=0,"",IF(SUM($C117:$I117)=0,"",IFERROR((($C117-$I117)/$I117),"N/A"))))</f>
        <v/>
      </c>
      <c r="T117" s="855" t="str">
        <f>IF(MAX(IF(O117&lt;0,-O117,O117),IF(R117&lt;0,-R117,R117),IF(S117&lt;0,-S117,S117))=0,"",MAX(IF(O117&lt;0,-O117,O117),IF(R117&lt;0,-R117,R117),IF(S117&lt;0,-S117,S117)))</f>
        <v/>
      </c>
      <c r="U117" s="855"/>
      <c r="V117" s="855"/>
      <c r="W117" s="855"/>
      <c r="X117" s="855"/>
      <c r="Y117" s="855"/>
      <c r="Z117" s="713" t="str">
        <f>IF(+Y117="","",IF(Y117&gt;L$3,"H",IF(Y117&lt;L$4,"L","M")))</f>
        <v/>
      </c>
      <c r="AA117" s="672"/>
      <c r="AB117" s="672"/>
      <c r="AC117" s="50"/>
      <c r="AD117" s="50"/>
      <c r="AE117" s="50"/>
      <c r="AF117" s="50"/>
      <c r="AG117" s="50"/>
      <c r="AH117" s="50"/>
      <c r="AI117" s="50"/>
      <c r="AJ117" s="105"/>
      <c r="AK117" s="50"/>
      <c r="AL117" s="106"/>
      <c r="AM117" s="195"/>
      <c r="AN117" s="196"/>
      <c r="AO117" s="50"/>
      <c r="AP117" s="50"/>
      <c r="AQ117" s="50"/>
      <c r="AR117" s="50"/>
      <c r="AS117" s="50"/>
      <c r="AT117" s="50"/>
      <c r="AU117" s="50"/>
      <c r="AV117" s="50"/>
      <c r="AW117" s="50"/>
      <c r="AX117" s="50"/>
      <c r="AY117" s="50"/>
      <c r="AZ117" s="50"/>
      <c r="BA117" s="50"/>
      <c r="BB117" s="50"/>
      <c r="BC117" s="50"/>
    </row>
    <row r="118" spans="1:55" ht="27.6" x14ac:dyDescent="0.3">
      <c r="A118" s="100"/>
      <c r="B118" s="101"/>
      <c r="C118" s="1282" t="s">
        <v>176</v>
      </c>
      <c r="D118" s="2164" t="s">
        <v>177</v>
      </c>
      <c r="E118" s="2165"/>
      <c r="F118" s="2165"/>
      <c r="G118" s="2166"/>
      <c r="H118" s="2167"/>
      <c r="I118" s="2231"/>
      <c r="J118" s="2168" t="s">
        <v>428</v>
      </c>
      <c r="K118" s="2169"/>
      <c r="L118" s="2170"/>
      <c r="M118" s="2171"/>
      <c r="N118" s="2172"/>
      <c r="O118" s="2173" t="s">
        <v>430</v>
      </c>
      <c r="P118" s="2170"/>
      <c r="Q118" s="2170"/>
      <c r="R118" s="2171"/>
      <c r="S118" s="2174"/>
      <c r="T118" s="2170" t="s">
        <v>418</v>
      </c>
      <c r="U118" s="2171"/>
      <c r="V118" s="2171"/>
      <c r="W118" s="2171"/>
      <c r="X118" s="2171"/>
      <c r="Y118" s="2171"/>
      <c r="Z118" s="2171"/>
      <c r="AA118" s="2172"/>
      <c r="AB118" s="2192" t="s">
        <v>433</v>
      </c>
      <c r="AC118" s="50"/>
      <c r="AD118" s="192"/>
      <c r="AE118" s="192"/>
      <c r="AF118" s="192"/>
      <c r="AG118" s="192"/>
      <c r="AH118" s="192"/>
      <c r="AI118" s="192"/>
      <c r="AJ118" s="192"/>
      <c r="AK118" s="192"/>
      <c r="AL118" s="192"/>
      <c r="AM118" s="900"/>
      <c r="AN118" s="900"/>
      <c r="AO118" s="50"/>
      <c r="AP118" s="50"/>
      <c r="AQ118" s="50"/>
      <c r="AR118" s="50"/>
      <c r="AS118" s="50"/>
      <c r="AT118" s="50"/>
      <c r="AU118" s="50"/>
      <c r="AV118" s="50"/>
      <c r="AW118" s="50"/>
      <c r="AX118" s="50"/>
      <c r="AY118" s="50"/>
      <c r="AZ118" s="50"/>
      <c r="BA118" s="50"/>
      <c r="BB118" s="50"/>
      <c r="BC118" s="50"/>
    </row>
    <row r="119" spans="1:55" ht="51.75" customHeight="1" thickBot="1" x14ac:dyDescent="0.35">
      <c r="A119" s="901"/>
      <c r="B119" s="103"/>
      <c r="C119" s="1283" t="str">
        <f>C14</f>
        <v>Q2</v>
      </c>
      <c r="D119" s="721" t="str">
        <f t="shared" ref="D119:I119" si="104">D14</f>
        <v>Q1</v>
      </c>
      <c r="E119" s="925" t="str">
        <f t="shared" si="104"/>
        <v>Q4-19</v>
      </c>
      <c r="F119" s="925" t="str">
        <f t="shared" si="104"/>
        <v>Q3-19</v>
      </c>
      <c r="G119" s="722" t="str">
        <f t="shared" si="104"/>
        <v>Q2-19</v>
      </c>
      <c r="H119" s="722" t="str">
        <f t="shared" si="104"/>
        <v>2018-2019</v>
      </c>
      <c r="I119" s="723" t="str">
        <f t="shared" si="104"/>
        <v>25% of previous year total</v>
      </c>
      <c r="J119" s="724" t="s">
        <v>434</v>
      </c>
      <c r="K119" s="725" t="s">
        <v>435</v>
      </c>
      <c r="L119" s="1158"/>
      <c r="M119" s="726"/>
      <c r="N119" s="902"/>
      <c r="O119" s="728" t="s">
        <v>438</v>
      </c>
      <c r="P119" s="925" t="s">
        <v>470</v>
      </c>
      <c r="Q119" s="925" t="s">
        <v>471</v>
      </c>
      <c r="R119" s="1169" t="s">
        <v>439</v>
      </c>
      <c r="S119" s="729" t="s">
        <v>440</v>
      </c>
      <c r="T119" s="2156" t="s">
        <v>441</v>
      </c>
      <c r="U119" s="2155"/>
      <c r="V119" s="1169" t="str">
        <f>V14</f>
        <v>Q2</v>
      </c>
      <c r="W119" s="1169" t="str">
        <f t="shared" ref="W119:X119" si="105">W14</f>
        <v>Q1</v>
      </c>
      <c r="X119" s="1169" t="str">
        <f t="shared" si="105"/>
        <v>2018-2019</v>
      </c>
      <c r="Y119" s="2157" t="s">
        <v>442</v>
      </c>
      <c r="Z119" s="2155"/>
      <c r="AA119" s="1159" t="s">
        <v>435</v>
      </c>
      <c r="AB119" s="2193"/>
      <c r="AC119" s="50"/>
      <c r="AD119" s="192"/>
      <c r="AE119" s="192"/>
      <c r="AF119" s="192"/>
      <c r="AG119" s="192"/>
      <c r="AH119" s="192"/>
      <c r="AI119" s="192"/>
      <c r="AJ119" s="193"/>
      <c r="AK119" s="192"/>
      <c r="AL119" s="192"/>
      <c r="AM119" s="900"/>
      <c r="AN119" s="900"/>
      <c r="AO119" s="50"/>
      <c r="AP119" s="50"/>
      <c r="AQ119" s="50"/>
      <c r="AR119" s="50"/>
      <c r="AS119" s="50"/>
      <c r="AT119" s="50"/>
      <c r="AU119" s="50"/>
      <c r="AV119" s="50"/>
      <c r="AW119" s="50"/>
      <c r="AX119" s="50"/>
      <c r="AY119" s="50"/>
      <c r="AZ119" s="50"/>
      <c r="BA119" s="50"/>
      <c r="BB119" s="50"/>
      <c r="BC119" s="50"/>
    </row>
    <row r="120" spans="1:55" ht="12" customHeight="1" x14ac:dyDescent="0.3">
      <c r="A120" s="2232" t="s">
        <v>182</v>
      </c>
      <c r="B120" s="903" t="str">
        <f>'Q1'!O68</f>
        <v>STANDARD Petrol (average biofuel blend)*</v>
      </c>
      <c r="C120" s="1262">
        <f t="shared" ref="C120:H126" ca="1" si="106">INDEX(INDIRECT(CONCATENATE("'",C$14,"'!$R$68:$R$74"),TRUE),MATCH($B120,INDIRECT(CONCATENATE("'",C$14,"'!$O$68:$O$74"),TRUE),0))</f>
        <v>41596</v>
      </c>
      <c r="D120" s="798">
        <f t="shared" ca="1" si="106"/>
        <v>44776</v>
      </c>
      <c r="E120" s="761">
        <f t="shared" ca="1" si="106"/>
        <v>6967</v>
      </c>
      <c r="F120" s="761">
        <f t="shared" ca="1" si="106"/>
        <v>3156</v>
      </c>
      <c r="G120" s="761">
        <f t="shared" ca="1" si="106"/>
        <v>11097</v>
      </c>
      <c r="H120" s="761">
        <f t="shared" ca="1" si="106"/>
        <v>23820</v>
      </c>
      <c r="I120" s="799">
        <f t="shared" ref="I120:I133" ca="1" si="107">H120/4</f>
        <v>5955</v>
      </c>
      <c r="J120" s="800" t="str">
        <f t="shared" ref="J120:J125" ca="1" si="108">IF(AND(C120&gt;0,SUM(D120:I120)&gt;0),"",IF(AND(C120=0,SUM(C120:I120)=0),"",IF(AND(C120=0,D120&gt;0),"Missing value?",IF(AND(C120=0,I120&gt;0),"Missing value?","New category"))))</f>
        <v/>
      </c>
      <c r="K120" s="801"/>
      <c r="L120" s="904">
        <f ca="1">IF(C120&gt;0,'Q1'!E128,"")</f>
        <v>0.15831999999999999</v>
      </c>
      <c r="M120" s="763" t="str">
        <f ca="1">IF(L120="","",IF('Q1'!I128=0,"fuel type not stated",'Q1'!I128))</f>
        <v>fuel type not stated</v>
      </c>
      <c r="N120" s="905"/>
      <c r="O120" s="906">
        <f t="shared" ref="O120:O133" ca="1" si="109">IF(OR(+$J120="missing?",+$J120="new category"),"",IF($D120=0,"",IF(SUM($C120:$I120)=0,"",IFERROR((($C120-$D120)/$D120),"N/A"))))</f>
        <v>-7.1020189387171695E-2</v>
      </c>
      <c r="P120" s="765">
        <f t="shared" ref="P120:P133" ca="1" si="110">IF(OR(+$J120="missing?",+$J120="new category"),"",IF($E120=0,"",IF(SUM($C120:$I120)=0,"",IFERROR((($C120-$E120)/$E120),"N/A"))))</f>
        <v>4.9704320367446533</v>
      </c>
      <c r="Q120" s="765">
        <f t="shared" ref="Q120:Q133" ca="1" si="111">IF(OR(+$J120="missing?",+$J120="new category"),"",IF($F120=0,"",IF(SUM($C120:$I120)=0,"",IFERROR((($C120-$F120)/$F120),"N/A"))))</f>
        <v>12.179974651457542</v>
      </c>
      <c r="R120" s="765">
        <f t="shared" ref="R120:R133" ca="1" si="112">IF(OR(+$J120="missing?",+$J120="new category"),"",IF($G120=0,"",IF(SUM($C120:$I120)=0,"",IFERROR((($C120-$G120)/$G120),"N/A"))))</f>
        <v>2.7484004685951158</v>
      </c>
      <c r="S120" s="907">
        <f t="shared" ref="S120:S133" ca="1" si="113">IF(OR(+$J120="missing?",+$J120="new category"),"",IF($I120=0,"",IF(SUM($C120:$I120)=0,"",IFERROR((($C120-$I120)/$I120),"N/A"))))</f>
        <v>5.9850545759865659</v>
      </c>
      <c r="T120" s="1236">
        <f t="shared" ref="T120:T125" ca="1" si="114">IF(SUM(C120:I120)=0,"",IF(OR(AND(C120=0,SUM(D120:I120)&gt;0),AND(C120&gt;0,SUM(D120:I120)=0)),1,IF(MAX(IF(O120&lt;0,-O120,O120),IF(P120&lt;0,-P120,P120),IF(Q120&lt;0,-Q120,Q120),IF(R120&lt;0,-R120,R120),IF(S120&lt;0,-S120,S120))=0,"",MAX(IF(O120&lt;0,-O120,O120),IF(P120&lt;0,-P120,P120),IF(Q120&lt;0,-Q120,Q120),IF(R120&lt;0,-R120,R120),IF(S120&lt;0,-S120,S120)))))</f>
        <v>12.179974651457542</v>
      </c>
      <c r="U120" s="766" t="str">
        <f t="shared" ref="U120:U133" ca="1" si="115">IF(+T120="","",IF(T120&gt;L$3,"H",IF(T120&gt;L$4,"M","")))</f>
        <v>H</v>
      </c>
      <c r="V120" s="1349">
        <f t="shared" ref="V120:X126" ca="1" si="116">INDEX(INDIRECT(CONCATENATE("'",V$14,"'!$T$68:$T$74"),TRUE),MATCH($B120,INDIRECT(CONCATENATE("'",V$14,"'!$O$68:$O$74"),TRUE),0))</f>
        <v>91.887227839999994</v>
      </c>
      <c r="W120" s="1349">
        <f t="shared" ca="1" si="116"/>
        <v>98.911975039999987</v>
      </c>
      <c r="X120" s="1349">
        <f t="shared" ca="1" si="116"/>
        <v>52.477127400000001</v>
      </c>
      <c r="Y120" s="1237">
        <f t="shared" ref="Y120:Y133" ca="1" si="117">IF(V120=0,IF(W120&gt;0, W120/L$8, IF(X120&gt;0,X120/L$10, "")), IF(T120="", "", V120/L$7*T120))</f>
        <v>2.0873764973142139E-2</v>
      </c>
      <c r="Z120" s="766" t="str">
        <f t="shared" ref="Z120:Z133" ca="1" si="118">IF(+Y120="","",IF(Y120&gt;L$3,"H",IF(Y120&gt;L$4,"M","")))</f>
        <v>M</v>
      </c>
      <c r="AA120" s="801"/>
      <c r="AB120" s="758" t="str">
        <f t="shared" ref="AB120:AB133" ca="1" si="119">IF((CONCATENATE(IF(K120="OK","",J120), "    ",IF(L120="","",IF(N120="OK","",CONCATENATE(M120," = ",ROUND(L120,3),"kgCO2e/kWh"))),"    ",IF(AND(+AA120="",Z120="M"),"Value change with medium impact",IF(AND(AA120="",Z120="H"),"Value change with high impact",""))," "))="         ","",(CONCATENATE(IF(K120="OK","",J120), "    ",IF(L120="","",IF(N120="OK","",CONCATENATE(M120," = ",ROUND(L120,3),"kgCO2e/kWh"))),"    ",IF(AND(+AA120="",Z120="M"),"Value change with medium impact",IF(AND(AA120="",Z120="H"),"Value change with high impact",""))," ")))</f>
        <v xml:space="preserve">    fuel type not stated = 0.158kgCO2e/kWh    Value change with medium impact </v>
      </c>
      <c r="AC120" s="50"/>
      <c r="AD120" s="96"/>
      <c r="AE120" s="96"/>
      <c r="AF120" s="96"/>
      <c r="AG120" s="96"/>
      <c r="AH120" s="96"/>
      <c r="AI120" s="96"/>
      <c r="AJ120" s="96"/>
      <c r="AK120" s="192"/>
      <c r="AL120" s="875"/>
      <c r="AM120" s="875"/>
      <c r="AN120" s="875"/>
      <c r="AO120" s="50"/>
      <c r="AP120" s="50"/>
      <c r="AQ120" s="50"/>
      <c r="AR120" s="50"/>
      <c r="AS120" s="50"/>
      <c r="AT120" s="50"/>
      <c r="AU120" s="50"/>
      <c r="AV120" s="50"/>
      <c r="AW120" s="50"/>
      <c r="AX120" s="50"/>
      <c r="AY120" s="50"/>
      <c r="AZ120" s="50"/>
      <c r="BA120" s="50"/>
      <c r="BB120" s="50"/>
      <c r="BC120" s="50"/>
    </row>
    <row r="121" spans="1:55" ht="14.4" x14ac:dyDescent="0.3">
      <c r="A121" s="2233"/>
      <c r="B121" s="908" t="str">
        <f>'Q1'!O69</f>
        <v>Petrol (100% mineral petrol)</v>
      </c>
      <c r="C121" s="1183">
        <f t="shared" ca="1" si="106"/>
        <v>0</v>
      </c>
      <c r="D121" s="768">
        <f t="shared" ca="1" si="106"/>
        <v>0</v>
      </c>
      <c r="E121" s="769">
        <f t="shared" ca="1" si="106"/>
        <v>0</v>
      </c>
      <c r="F121" s="769">
        <f t="shared" ca="1" si="106"/>
        <v>0</v>
      </c>
      <c r="G121" s="769">
        <f t="shared" ca="1" si="106"/>
        <v>0</v>
      </c>
      <c r="H121" s="769">
        <f t="shared" ca="1" si="106"/>
        <v>0</v>
      </c>
      <c r="I121" s="770">
        <f t="shared" ca="1" si="107"/>
        <v>0</v>
      </c>
      <c r="J121" s="771" t="str">
        <f t="shared" ca="1" si="108"/>
        <v/>
      </c>
      <c r="K121" s="772"/>
      <c r="L121" s="909" t="str">
        <f ca="1">IF(C121&gt;0,'Q1'!E129,"")</f>
        <v/>
      </c>
      <c r="M121" s="774" t="str">
        <f ca="1">IF(L121="","",IF('Q1'!I129=0,"fuel type not stated",'Q1'!I129))</f>
        <v/>
      </c>
      <c r="N121" s="910"/>
      <c r="O121" s="810" t="str">
        <f t="shared" ca="1" si="109"/>
        <v/>
      </c>
      <c r="P121" s="783" t="str">
        <f t="shared" ca="1" si="110"/>
        <v/>
      </c>
      <c r="Q121" s="783" t="str">
        <f t="shared" ca="1" si="111"/>
        <v/>
      </c>
      <c r="R121" s="783" t="str">
        <f t="shared" ca="1" si="112"/>
        <v/>
      </c>
      <c r="S121" s="811" t="str">
        <f t="shared" ca="1" si="113"/>
        <v/>
      </c>
      <c r="T121" s="1066" t="str">
        <f t="shared" ca="1" si="114"/>
        <v/>
      </c>
      <c r="U121" s="1165" t="str">
        <f t="shared" ca="1" si="115"/>
        <v/>
      </c>
      <c r="V121" s="1350">
        <f t="shared" ca="1" si="116"/>
        <v>0</v>
      </c>
      <c r="W121" s="1350">
        <f t="shared" ca="1" si="116"/>
        <v>0</v>
      </c>
      <c r="X121" s="1350">
        <f t="shared" ca="1" si="116"/>
        <v>0</v>
      </c>
      <c r="Y121" s="1067" t="str">
        <f t="shared" ca="1" si="117"/>
        <v/>
      </c>
      <c r="Z121" s="1165" t="str">
        <f t="shared" ca="1" si="118"/>
        <v/>
      </c>
      <c r="AA121" s="772"/>
      <c r="AB121" s="804" t="str">
        <f t="shared" ca="1" si="119"/>
        <v/>
      </c>
      <c r="AC121" s="50"/>
      <c r="AD121" s="96"/>
      <c r="AE121" s="96"/>
      <c r="AF121" s="96"/>
      <c r="AG121" s="96"/>
      <c r="AH121" s="96"/>
      <c r="AI121" s="96"/>
      <c r="AJ121" s="96"/>
      <c r="AK121" s="192"/>
      <c r="AL121" s="875"/>
      <c r="AM121" s="875"/>
      <c r="AN121" s="875"/>
      <c r="AO121" s="50"/>
      <c r="AP121" s="50"/>
      <c r="AQ121" s="50"/>
      <c r="AR121" s="50"/>
      <c r="AS121" s="50"/>
      <c r="AT121" s="50"/>
      <c r="AU121" s="50"/>
      <c r="AV121" s="50"/>
      <c r="AW121" s="50"/>
      <c r="AX121" s="50"/>
      <c r="AY121" s="50"/>
      <c r="AZ121" s="50"/>
      <c r="BA121" s="50"/>
      <c r="BB121" s="50"/>
      <c r="BC121" s="50"/>
    </row>
    <row r="122" spans="1:55" ht="14.4" x14ac:dyDescent="0.3">
      <c r="A122" s="2233"/>
      <c r="B122" s="908" t="str">
        <f>'Q1'!O70</f>
        <v>STANDARD Diesel (average biofuel blend)*</v>
      </c>
      <c r="C122" s="1183">
        <f t="shared" ca="1" si="106"/>
        <v>391336</v>
      </c>
      <c r="D122" s="768">
        <f t="shared" ca="1" si="106"/>
        <v>402867</v>
      </c>
      <c r="E122" s="769">
        <f t="shared" ca="1" si="106"/>
        <v>109567</v>
      </c>
      <c r="F122" s="769">
        <f t="shared" ca="1" si="106"/>
        <v>47417</v>
      </c>
      <c r="G122" s="769">
        <f t="shared" ca="1" si="106"/>
        <v>159681</v>
      </c>
      <c r="H122" s="769">
        <f t="shared" ca="1" si="106"/>
        <v>716836</v>
      </c>
      <c r="I122" s="770">
        <f t="shared" ca="1" si="107"/>
        <v>179209</v>
      </c>
      <c r="J122" s="771" t="str">
        <f t="shared" ca="1" si="108"/>
        <v/>
      </c>
      <c r="K122" s="772"/>
      <c r="L122" s="909">
        <f ca="1">IF(C122&gt;0,'Q1'!E130,"")</f>
        <v>0.2336</v>
      </c>
      <c r="M122" s="774" t="str">
        <f ca="1">IF(L122="","",IF('Q1'!I130=0,"fuel type not stated",'Q1'!I130))</f>
        <v>fuel type not stated</v>
      </c>
      <c r="N122" s="910"/>
      <c r="O122" s="810">
        <f t="shared" ca="1" si="109"/>
        <v>-2.8622349311311177E-2</v>
      </c>
      <c r="P122" s="783">
        <f t="shared" ca="1" si="110"/>
        <v>2.5716593499867662</v>
      </c>
      <c r="Q122" s="783">
        <f t="shared" ca="1" si="111"/>
        <v>7.2530737920998796</v>
      </c>
      <c r="R122" s="783">
        <f t="shared" ca="1" si="112"/>
        <v>1.4507361552094489</v>
      </c>
      <c r="S122" s="811">
        <f t="shared" ca="1" si="113"/>
        <v>1.1836849711789028</v>
      </c>
      <c r="T122" s="1066">
        <f t="shared" ca="1" si="114"/>
        <v>7.2530737920998796</v>
      </c>
      <c r="U122" s="1165" t="str">
        <f t="shared" ca="1" si="115"/>
        <v>H</v>
      </c>
      <c r="V122" s="1350">
        <f t="shared" ca="1" si="116"/>
        <v>1015.1686309600001</v>
      </c>
      <c r="W122" s="1350">
        <f t="shared" ca="1" si="116"/>
        <v>1045.0813133700001</v>
      </c>
      <c r="X122" s="1350">
        <f t="shared" ca="1" si="116"/>
        <v>1883.08516184</v>
      </c>
      <c r="Y122" s="1067">
        <f t="shared" ca="1" si="117"/>
        <v>0.1373281408999075</v>
      </c>
      <c r="Z122" s="1165" t="str">
        <f t="shared" ca="1" si="118"/>
        <v>H</v>
      </c>
      <c r="AA122" s="772"/>
      <c r="AB122" s="804" t="str">
        <f t="shared" ca="1" si="119"/>
        <v xml:space="preserve">    fuel type not stated = 0.234kgCO2e/kWh    Value change with high impact </v>
      </c>
      <c r="AC122" s="50"/>
      <c r="AD122" s="96"/>
      <c r="AE122" s="96"/>
      <c r="AF122" s="96"/>
      <c r="AG122" s="96"/>
      <c r="AH122" s="96"/>
      <c r="AI122" s="96"/>
      <c r="AJ122" s="96"/>
      <c r="AK122" s="192"/>
      <c r="AL122" s="875"/>
      <c r="AM122" s="875"/>
      <c r="AN122" s="875"/>
      <c r="AO122" s="50"/>
      <c r="AP122" s="50"/>
      <c r="AQ122" s="50"/>
      <c r="AR122" s="50"/>
      <c r="AS122" s="50"/>
      <c r="AT122" s="50"/>
      <c r="AU122" s="50"/>
      <c r="AV122" s="50"/>
      <c r="AW122" s="50"/>
      <c r="AX122" s="50"/>
      <c r="AY122" s="50"/>
      <c r="AZ122" s="50"/>
      <c r="BA122" s="50"/>
      <c r="BB122" s="50"/>
      <c r="BC122" s="50"/>
    </row>
    <row r="123" spans="1:55" ht="14.4" x14ac:dyDescent="0.3">
      <c r="A123" s="2233"/>
      <c r="B123" s="908" t="str">
        <f>'Q1'!O71</f>
        <v>Diesel (100% mineral diesel)</v>
      </c>
      <c r="C123" s="1183">
        <f t="shared" ca="1" si="106"/>
        <v>0</v>
      </c>
      <c r="D123" s="768">
        <f t="shared" ca="1" si="106"/>
        <v>0</v>
      </c>
      <c r="E123" s="769">
        <f t="shared" ca="1" si="106"/>
        <v>0</v>
      </c>
      <c r="F123" s="769">
        <f t="shared" ca="1" si="106"/>
        <v>0</v>
      </c>
      <c r="G123" s="769">
        <f t="shared" ca="1" si="106"/>
        <v>0</v>
      </c>
      <c r="H123" s="769">
        <f t="shared" ca="1" si="106"/>
        <v>0</v>
      </c>
      <c r="I123" s="770">
        <f t="shared" ca="1" si="107"/>
        <v>0</v>
      </c>
      <c r="J123" s="771" t="str">
        <f t="shared" ca="1" si="108"/>
        <v/>
      </c>
      <c r="K123" s="772"/>
      <c r="L123" s="909" t="str">
        <f ca="1">IF(C123&gt;0,'Q1'!E131,"")</f>
        <v/>
      </c>
      <c r="M123" s="774" t="str">
        <f ca="1">IF(L123="","",IF('Q1'!I131=0,"fuel type not stated",'Q1'!I131))</f>
        <v/>
      </c>
      <c r="N123" s="910"/>
      <c r="O123" s="810" t="str">
        <f t="shared" ca="1" si="109"/>
        <v/>
      </c>
      <c r="P123" s="783" t="str">
        <f t="shared" ca="1" si="110"/>
        <v/>
      </c>
      <c r="Q123" s="783" t="str">
        <f t="shared" ca="1" si="111"/>
        <v/>
      </c>
      <c r="R123" s="783" t="str">
        <f t="shared" ca="1" si="112"/>
        <v/>
      </c>
      <c r="S123" s="811" t="str">
        <f t="shared" ca="1" si="113"/>
        <v/>
      </c>
      <c r="T123" s="1066" t="str">
        <f t="shared" ca="1" si="114"/>
        <v/>
      </c>
      <c r="U123" s="1165" t="str">
        <f t="shared" ca="1" si="115"/>
        <v/>
      </c>
      <c r="V123" s="1350">
        <f t="shared" ca="1" si="116"/>
        <v>0</v>
      </c>
      <c r="W123" s="1350">
        <f t="shared" ca="1" si="116"/>
        <v>0</v>
      </c>
      <c r="X123" s="1350">
        <f t="shared" ca="1" si="116"/>
        <v>0</v>
      </c>
      <c r="Y123" s="1067" t="str">
        <f t="shared" ca="1" si="117"/>
        <v/>
      </c>
      <c r="Z123" s="1165" t="str">
        <f t="shared" ca="1" si="118"/>
        <v/>
      </c>
      <c r="AA123" s="772"/>
      <c r="AB123" s="804" t="str">
        <f t="shared" ca="1" si="119"/>
        <v/>
      </c>
      <c r="AC123" s="50"/>
      <c r="AD123" s="96"/>
      <c r="AE123" s="96"/>
      <c r="AF123" s="96"/>
      <c r="AG123" s="96"/>
      <c r="AH123" s="96"/>
      <c r="AI123" s="96"/>
      <c r="AJ123" s="96"/>
      <c r="AK123" s="192"/>
      <c r="AL123" s="875"/>
      <c r="AM123" s="875"/>
      <c r="AN123" s="875"/>
      <c r="AO123" s="50"/>
      <c r="AP123" s="50"/>
      <c r="AQ123" s="50"/>
      <c r="AR123" s="50"/>
      <c r="AS123" s="50"/>
      <c r="AT123" s="50"/>
      <c r="AU123" s="50"/>
      <c r="AV123" s="50"/>
      <c r="AW123" s="50"/>
      <c r="AX123" s="50"/>
      <c r="AY123" s="50"/>
      <c r="AZ123" s="50"/>
      <c r="BA123" s="50"/>
      <c r="BB123" s="50"/>
      <c r="BC123" s="50"/>
    </row>
    <row r="124" spans="1:55" ht="14.4" x14ac:dyDescent="0.3">
      <c r="A124" s="2233"/>
      <c r="B124" s="908" t="str">
        <f>'Q1'!O72</f>
        <v>Compressed Natural Gas (CNG)</v>
      </c>
      <c r="C124" s="1183">
        <f t="shared" ca="1" si="106"/>
        <v>0</v>
      </c>
      <c r="D124" s="768">
        <f t="shared" ca="1" si="106"/>
        <v>0</v>
      </c>
      <c r="E124" s="769">
        <f t="shared" ca="1" si="106"/>
        <v>0</v>
      </c>
      <c r="F124" s="769">
        <f t="shared" ca="1" si="106"/>
        <v>0</v>
      </c>
      <c r="G124" s="769">
        <f t="shared" ca="1" si="106"/>
        <v>0</v>
      </c>
      <c r="H124" s="769">
        <f t="shared" ca="1" si="106"/>
        <v>0</v>
      </c>
      <c r="I124" s="770">
        <f t="shared" ca="1" si="107"/>
        <v>0</v>
      </c>
      <c r="J124" s="771" t="str">
        <f t="shared" ca="1" si="108"/>
        <v/>
      </c>
      <c r="K124" s="772"/>
      <c r="L124" s="909" t="str">
        <f ca="1">IF(C124&gt;0,'Q1'!E132,"")</f>
        <v/>
      </c>
      <c r="M124" s="774" t="str">
        <f ca="1">IF(L124="","",IF('Q1'!I132=0,"fuel type not stated",'Q1'!I132))</f>
        <v/>
      </c>
      <c r="N124" s="910"/>
      <c r="O124" s="810" t="str">
        <f t="shared" ca="1" si="109"/>
        <v/>
      </c>
      <c r="P124" s="783" t="str">
        <f t="shared" ca="1" si="110"/>
        <v/>
      </c>
      <c r="Q124" s="783" t="str">
        <f t="shared" ca="1" si="111"/>
        <v/>
      </c>
      <c r="R124" s="783" t="str">
        <f t="shared" ca="1" si="112"/>
        <v/>
      </c>
      <c r="S124" s="811" t="str">
        <f t="shared" ca="1" si="113"/>
        <v/>
      </c>
      <c r="T124" s="1066" t="str">
        <f t="shared" ca="1" si="114"/>
        <v/>
      </c>
      <c r="U124" s="1165" t="str">
        <f t="shared" ca="1" si="115"/>
        <v/>
      </c>
      <c r="V124" s="1350">
        <f t="shared" ca="1" si="116"/>
        <v>0</v>
      </c>
      <c r="W124" s="1350">
        <f t="shared" ca="1" si="116"/>
        <v>0</v>
      </c>
      <c r="X124" s="1350">
        <f t="shared" ca="1" si="116"/>
        <v>0</v>
      </c>
      <c r="Y124" s="1067" t="str">
        <f t="shared" ca="1" si="117"/>
        <v/>
      </c>
      <c r="Z124" s="1165" t="str">
        <f t="shared" ca="1" si="118"/>
        <v/>
      </c>
      <c r="AA124" s="772"/>
      <c r="AB124" s="804" t="str">
        <f t="shared" ca="1" si="119"/>
        <v/>
      </c>
      <c r="AC124" s="50"/>
      <c r="AD124" s="96"/>
      <c r="AE124" s="96"/>
      <c r="AF124" s="96"/>
      <c r="AG124" s="96"/>
      <c r="AH124" s="96"/>
      <c r="AI124" s="96"/>
      <c r="AJ124" s="96"/>
      <c r="AK124" s="192"/>
      <c r="AL124" s="875"/>
      <c r="AM124" s="875"/>
      <c r="AN124" s="875"/>
      <c r="AO124" s="50"/>
      <c r="AP124" s="50"/>
      <c r="AQ124" s="50"/>
      <c r="AR124" s="50"/>
      <c r="AS124" s="50"/>
      <c r="AT124" s="50"/>
      <c r="AU124" s="50"/>
      <c r="AV124" s="50"/>
      <c r="AW124" s="50"/>
      <c r="AX124" s="50"/>
      <c r="AY124" s="50"/>
      <c r="AZ124" s="50"/>
      <c r="BA124" s="50"/>
      <c r="BB124" s="50"/>
      <c r="BC124" s="50"/>
    </row>
    <row r="125" spans="1:55" ht="14.4" x14ac:dyDescent="0.3">
      <c r="A125" s="2233"/>
      <c r="B125" s="908" t="str">
        <f>'Q1'!O73</f>
        <v>Liquid Petroleum Gas (LPG)</v>
      </c>
      <c r="C125" s="1183">
        <f t="shared" ca="1" si="106"/>
        <v>0</v>
      </c>
      <c r="D125" s="768">
        <f t="shared" ca="1" si="106"/>
        <v>0</v>
      </c>
      <c r="E125" s="769">
        <f t="shared" ca="1" si="106"/>
        <v>0</v>
      </c>
      <c r="F125" s="769">
        <f t="shared" ca="1" si="106"/>
        <v>0</v>
      </c>
      <c r="G125" s="769">
        <f t="shared" ca="1" si="106"/>
        <v>0</v>
      </c>
      <c r="H125" s="769">
        <f t="shared" ca="1" si="106"/>
        <v>0</v>
      </c>
      <c r="I125" s="770">
        <f t="shared" ca="1" si="107"/>
        <v>0</v>
      </c>
      <c r="J125" s="771" t="str">
        <f t="shared" ca="1" si="108"/>
        <v/>
      </c>
      <c r="K125" s="772"/>
      <c r="L125" s="909" t="str">
        <f ca="1">IF(C125&gt;0,'Q1'!E133,"")</f>
        <v/>
      </c>
      <c r="M125" s="774" t="str">
        <f ca="1">IF(L125="","",IF('Q1'!I133=0,"fuel type not stated",'Q1'!I133))</f>
        <v/>
      </c>
      <c r="N125" s="910"/>
      <c r="O125" s="810" t="str">
        <f t="shared" ca="1" si="109"/>
        <v/>
      </c>
      <c r="P125" s="783" t="str">
        <f t="shared" ca="1" si="110"/>
        <v/>
      </c>
      <c r="Q125" s="783" t="str">
        <f t="shared" ca="1" si="111"/>
        <v/>
      </c>
      <c r="R125" s="783" t="str">
        <f t="shared" ca="1" si="112"/>
        <v/>
      </c>
      <c r="S125" s="811" t="str">
        <f t="shared" ca="1" si="113"/>
        <v/>
      </c>
      <c r="T125" s="1066" t="str">
        <f t="shared" ca="1" si="114"/>
        <v/>
      </c>
      <c r="U125" s="1165" t="str">
        <f t="shared" ca="1" si="115"/>
        <v/>
      </c>
      <c r="V125" s="1350">
        <f t="shared" ca="1" si="116"/>
        <v>0</v>
      </c>
      <c r="W125" s="1350">
        <f t="shared" ca="1" si="116"/>
        <v>0</v>
      </c>
      <c r="X125" s="1350">
        <f t="shared" ca="1" si="116"/>
        <v>0</v>
      </c>
      <c r="Y125" s="1067" t="str">
        <f t="shared" ca="1" si="117"/>
        <v/>
      </c>
      <c r="Z125" s="1165" t="str">
        <f t="shared" ca="1" si="118"/>
        <v/>
      </c>
      <c r="AA125" s="772"/>
      <c r="AB125" s="804" t="str">
        <f t="shared" ca="1" si="119"/>
        <v/>
      </c>
      <c r="AC125" s="50"/>
      <c r="AD125" s="96"/>
      <c r="AE125" s="96"/>
      <c r="AF125" s="96"/>
      <c r="AG125" s="96"/>
      <c r="AH125" s="96"/>
      <c r="AI125" s="96"/>
      <c r="AJ125" s="96"/>
      <c r="AK125" s="192"/>
      <c r="AL125" s="875"/>
      <c r="AM125" s="875"/>
      <c r="AN125" s="875"/>
      <c r="AO125" s="50"/>
      <c r="AP125" s="50"/>
      <c r="AQ125" s="50"/>
      <c r="AR125" s="50"/>
      <c r="AS125" s="50"/>
      <c r="AT125" s="50"/>
      <c r="AU125" s="50"/>
      <c r="AV125" s="50"/>
      <c r="AW125" s="50"/>
      <c r="AX125" s="50"/>
      <c r="AY125" s="50"/>
      <c r="AZ125" s="50"/>
      <c r="BA125" s="50"/>
      <c r="BB125" s="50"/>
      <c r="BC125" s="50"/>
    </row>
    <row r="126" spans="1:55" thickBot="1" x14ac:dyDescent="0.35">
      <c r="A126" s="2234"/>
      <c r="B126" s="911" t="str">
        <f>'Q1'!O74</f>
        <v>Other (enter CO2 factor and specify fuel in "Notes")</v>
      </c>
      <c r="C126" s="1184">
        <f t="shared" ca="1" si="106"/>
        <v>0</v>
      </c>
      <c r="D126" s="786">
        <f t="shared" ca="1" si="106"/>
        <v>0</v>
      </c>
      <c r="E126" s="787">
        <f t="shared" ca="1" si="106"/>
        <v>0</v>
      </c>
      <c r="F126" s="787">
        <f t="shared" ca="1" si="106"/>
        <v>0</v>
      </c>
      <c r="G126" s="787">
        <f t="shared" ca="1" si="106"/>
        <v>0</v>
      </c>
      <c r="H126" s="787">
        <f t="shared" ca="1" si="106"/>
        <v>0</v>
      </c>
      <c r="I126" s="788">
        <f t="shared" ca="1" si="107"/>
        <v>0</v>
      </c>
      <c r="J126" s="812" t="str">
        <f t="shared" ref="J126" ca="1" si="120">IF(AND(C126&gt;0,SUM(D126:I126)&gt;0),"",IF(AND(C126=0,SUM(C126:I126)=0),"",IF(AND(C126=0,D126&gt;0),"Missing value?",IF(AND(C126=0,I126&gt;0),"Missing value?","New category"))))</f>
        <v/>
      </c>
      <c r="K126" s="790"/>
      <c r="L126" s="912" t="str">
        <f ca="1">IF(C126&gt;0,'Q1'!E134,"")</f>
        <v/>
      </c>
      <c r="M126" s="913" t="str">
        <f ca="1">IF(L126="","",IF('Q1'!I134=0,"fuel type not stated",'Q1'!I134))</f>
        <v/>
      </c>
      <c r="N126" s="914"/>
      <c r="O126" s="813" t="str">
        <f t="shared" ca="1" si="109"/>
        <v/>
      </c>
      <c r="P126" s="1072" t="str">
        <f t="shared" ca="1" si="110"/>
        <v/>
      </c>
      <c r="Q126" s="1072" t="str">
        <f t="shared" ca="1" si="111"/>
        <v/>
      </c>
      <c r="R126" s="1072" t="str">
        <f t="shared" ca="1" si="112"/>
        <v/>
      </c>
      <c r="S126" s="1075" t="str">
        <f t="shared" ca="1" si="113"/>
        <v/>
      </c>
      <c r="T126" s="1238" t="str">
        <f t="shared" ref="T126" ca="1" si="121">IF(SUM(C126:I126)=0,"",IF(OR(AND(C126=0,SUM(D126:I126)&gt;0),AND(C126&gt;0,SUM(D126:I126)=0)),1,IF(MAX(IF(O126&lt;0,-O126,O126),IF(P126&lt;0,-P126,P126),IF(Q126&lt;0,-Q126,Q126),IF(R126&lt;0,-R126,R126),IF(S126&lt;0,-S126,S126))=0,"",MAX(IF(O126&lt;0,-O126,O126),IF(P126&lt;0,-P126,P126),IF(Q126&lt;0,-Q126,Q126),IF(R126&lt;0,-R126,R126),IF(S126&lt;0,-S126,S126)))))</f>
        <v/>
      </c>
      <c r="U126" s="1163" t="str">
        <f t="shared" ca="1" si="115"/>
        <v/>
      </c>
      <c r="V126" s="1351">
        <f t="shared" ca="1" si="116"/>
        <v>0</v>
      </c>
      <c r="W126" s="1351">
        <f t="shared" ca="1" si="116"/>
        <v>0</v>
      </c>
      <c r="X126" s="1351">
        <f t="shared" ca="1" si="116"/>
        <v>0</v>
      </c>
      <c r="Y126" s="1239" t="str">
        <f t="shared" ca="1" si="117"/>
        <v/>
      </c>
      <c r="Z126" s="1163" t="str">
        <f t="shared" ca="1" si="118"/>
        <v/>
      </c>
      <c r="AA126" s="790"/>
      <c r="AB126" s="915" t="str">
        <f t="shared" ca="1" si="119"/>
        <v/>
      </c>
      <c r="AC126" s="55"/>
      <c r="AD126" s="55"/>
      <c r="AE126" s="55"/>
      <c r="AF126" s="55"/>
      <c r="AG126" s="55"/>
      <c r="AH126" s="55"/>
      <c r="AI126" s="55"/>
      <c r="AJ126" s="98"/>
      <c r="AK126" s="55"/>
      <c r="AL126" s="99"/>
      <c r="AM126" s="99"/>
      <c r="AN126" s="104"/>
      <c r="AO126" s="50"/>
      <c r="AP126" s="55"/>
      <c r="AQ126" s="55"/>
      <c r="AR126" s="55"/>
      <c r="AS126" s="55"/>
      <c r="AT126" s="55"/>
      <c r="AU126" s="55"/>
      <c r="AV126" s="55"/>
      <c r="AW126" s="55"/>
      <c r="AX126" s="55"/>
      <c r="AY126" s="55"/>
      <c r="AZ126" s="55"/>
      <c r="BA126" s="55"/>
      <c r="BB126" s="55"/>
      <c r="BC126" s="55"/>
    </row>
    <row r="127" spans="1:55" ht="15" customHeight="1" x14ac:dyDescent="0.3">
      <c r="A127" s="2233" t="s">
        <v>518</v>
      </c>
      <c r="B127" s="1240" t="str">
        <f>'Q1'!O90</f>
        <v>STANDARD Petrol (average biofuel blend)*</v>
      </c>
      <c r="C127" s="1262">
        <f t="shared" ref="C127:H133" ca="1" si="122">INDEX(INDIRECT(CONCATENATE("'",C$14,"'!$R$90:$R$96"),TRUE),MATCH($B127,INDIRECT(CONCATENATE("'",C$14,"'!$O$90:$O$96"),TRUE),0))</f>
        <v>0</v>
      </c>
      <c r="D127" s="748">
        <f t="shared" ca="1" si="122"/>
        <v>0</v>
      </c>
      <c r="E127" s="749">
        <f t="shared" ca="1" si="122"/>
        <v>0</v>
      </c>
      <c r="F127" s="749">
        <f t="shared" ca="1" si="122"/>
        <v>0</v>
      </c>
      <c r="G127" s="749">
        <f t="shared" ca="1" si="122"/>
        <v>0</v>
      </c>
      <c r="H127" s="749">
        <f t="shared" ca="1" si="122"/>
        <v>0</v>
      </c>
      <c r="I127" s="750">
        <f t="shared" ca="1" si="107"/>
        <v>0</v>
      </c>
      <c r="J127" s="973" t="str">
        <f t="shared" ref="J127:J132" ca="1" si="123">IF(AND(C127&gt;0,SUM(D127:I127)&gt;0),"",IF(AND(C127=0,SUM(C127:I127)=0),"",IF(AND(C127=0,D127&gt;0),"Missing value?",IF(AND(C127=0,I127&gt;0),"Missing value?","New category"))))</f>
        <v/>
      </c>
      <c r="K127" s="751"/>
      <c r="L127" s="1241" t="str">
        <f ca="1">IF(C127&gt;0,'Q1'!E137,"")</f>
        <v/>
      </c>
      <c r="M127" s="753" t="str">
        <f ca="1">IF(L127="","",IF('Q1'!I137=0,"fuel type not stated",'Q1'!I137))</f>
        <v/>
      </c>
      <c r="N127" s="1242"/>
      <c r="O127" s="1024" t="str">
        <f t="shared" ca="1" si="109"/>
        <v/>
      </c>
      <c r="P127" s="808" t="str">
        <f t="shared" ca="1" si="110"/>
        <v/>
      </c>
      <c r="Q127" s="808" t="str">
        <f t="shared" ca="1" si="111"/>
        <v/>
      </c>
      <c r="R127" s="808" t="str">
        <f t="shared" ca="1" si="112"/>
        <v/>
      </c>
      <c r="S127" s="974" t="str">
        <f t="shared" ca="1" si="113"/>
        <v/>
      </c>
      <c r="T127" s="1236" t="str">
        <f t="shared" ref="T127:T132" ca="1" si="124">IF(SUM(C127:I127)=0,"",IF(OR(AND(C127=0,SUM(D127:I127)&gt;0),AND(C127&gt;0,SUM(D127:I127)=0)),1,IF(MAX(IF(O127&lt;0,-O127,O127),IF(P127&lt;0,-P127,P127),IF(Q127&lt;0,-Q127,Q127),IF(R127&lt;0,-R127,R127),IF(S127&lt;0,-S127,S127))=0,"",MAX(IF(O127&lt;0,-O127,O127),IF(P127&lt;0,-P127,P127),IF(Q127&lt;0,-Q127,Q127),IF(R127&lt;0,-R127,R127),IF(S127&lt;0,-S127,S127)))))</f>
        <v/>
      </c>
      <c r="U127" s="766" t="str">
        <f t="shared" ca="1" si="115"/>
        <v/>
      </c>
      <c r="V127" s="1349">
        <f t="shared" ref="V127:X133" ca="1" si="125">INDEX(INDIRECT(CONCATENATE("'",V$14,"'!$T$90:$T$96"),TRUE),MATCH($B127,INDIRECT(CONCATENATE("'",V$14,"'!$O$90:$O$96"),TRUE),0))</f>
        <v>0</v>
      </c>
      <c r="W127" s="1349">
        <f t="shared" ca="1" si="125"/>
        <v>0</v>
      </c>
      <c r="X127" s="1349">
        <f t="shared" ca="1" si="125"/>
        <v>0</v>
      </c>
      <c r="Y127" s="1237" t="str">
        <f t="shared" ca="1" si="117"/>
        <v/>
      </c>
      <c r="Z127" s="766" t="str">
        <f t="shared" ca="1" si="118"/>
        <v/>
      </c>
      <c r="AA127" s="801"/>
      <c r="AB127" s="804" t="str">
        <f t="shared" ca="1" si="119"/>
        <v/>
      </c>
      <c r="AC127" s="55"/>
      <c r="AD127" s="1185"/>
      <c r="AE127" s="1185"/>
      <c r="AF127" s="1185"/>
      <c r="AG127" s="1185"/>
      <c r="AH127" s="1185"/>
      <c r="AI127" s="1185"/>
      <c r="AJ127" s="1185"/>
      <c r="AK127" s="1185"/>
      <c r="AL127" s="1185"/>
      <c r="AM127" s="1185"/>
      <c r="AN127" s="1185"/>
      <c r="AO127" s="1185"/>
      <c r="AP127" s="1185"/>
      <c r="AQ127" s="1185"/>
      <c r="AR127" s="1185"/>
      <c r="AS127" s="1185"/>
      <c r="AT127" s="1185"/>
      <c r="AU127" s="1185"/>
      <c r="AV127" s="1185"/>
      <c r="AW127" s="1185"/>
      <c r="AX127" s="1185"/>
      <c r="AY127" s="1185"/>
      <c r="AZ127" s="1185"/>
      <c r="BA127" s="1185"/>
      <c r="BB127" s="1185"/>
      <c r="BC127" s="1185"/>
    </row>
    <row r="128" spans="1:55" ht="14.4" x14ac:dyDescent="0.3">
      <c r="A128" s="2233"/>
      <c r="B128" s="908" t="str">
        <f>'Q1'!O91</f>
        <v>Petrol (100% mineral petrol)</v>
      </c>
      <c r="C128" s="1183">
        <f t="shared" ca="1" si="122"/>
        <v>0</v>
      </c>
      <c r="D128" s="768">
        <f t="shared" ca="1" si="122"/>
        <v>0</v>
      </c>
      <c r="E128" s="769">
        <f t="shared" ca="1" si="122"/>
        <v>0</v>
      </c>
      <c r="F128" s="769">
        <f t="shared" ca="1" si="122"/>
        <v>0</v>
      </c>
      <c r="G128" s="769">
        <f t="shared" ca="1" si="122"/>
        <v>0</v>
      </c>
      <c r="H128" s="769">
        <f t="shared" ca="1" si="122"/>
        <v>0</v>
      </c>
      <c r="I128" s="770">
        <f t="shared" ca="1" si="107"/>
        <v>0</v>
      </c>
      <c r="J128" s="771" t="str">
        <f t="shared" ca="1" si="123"/>
        <v/>
      </c>
      <c r="K128" s="772"/>
      <c r="L128" s="909" t="str">
        <f ca="1">IF(C128&gt;0,'Q1'!E138,"")</f>
        <v/>
      </c>
      <c r="M128" s="774" t="str">
        <f ca="1">IF(L128="","",IF('Q1'!I138=0,"fuel type not stated",'Q1'!I138))</f>
        <v/>
      </c>
      <c r="N128" s="910"/>
      <c r="O128" s="810" t="str">
        <f t="shared" ca="1" si="109"/>
        <v/>
      </c>
      <c r="P128" s="783" t="str">
        <f t="shared" ca="1" si="110"/>
        <v/>
      </c>
      <c r="Q128" s="783" t="str">
        <f t="shared" ca="1" si="111"/>
        <v/>
      </c>
      <c r="R128" s="783" t="str">
        <f t="shared" ca="1" si="112"/>
        <v/>
      </c>
      <c r="S128" s="811" t="str">
        <f t="shared" ca="1" si="113"/>
        <v/>
      </c>
      <c r="T128" s="1066" t="str">
        <f t="shared" ca="1" si="124"/>
        <v/>
      </c>
      <c r="U128" s="1165" t="str">
        <f t="shared" ca="1" si="115"/>
        <v/>
      </c>
      <c r="V128" s="1350">
        <f t="shared" ca="1" si="125"/>
        <v>0</v>
      </c>
      <c r="W128" s="1350">
        <f t="shared" ca="1" si="125"/>
        <v>0</v>
      </c>
      <c r="X128" s="1350">
        <f t="shared" ca="1" si="125"/>
        <v>0</v>
      </c>
      <c r="Y128" s="1067" t="str">
        <f t="shared" ca="1" si="117"/>
        <v/>
      </c>
      <c r="Z128" s="1165" t="str">
        <f t="shared" ca="1" si="118"/>
        <v/>
      </c>
      <c r="AA128" s="772"/>
      <c r="AB128" s="804" t="str">
        <f t="shared" ca="1" si="119"/>
        <v/>
      </c>
      <c r="AC128" s="919"/>
      <c r="AD128" s="1188"/>
      <c r="AE128" s="922"/>
      <c r="AF128" s="922"/>
      <c r="AG128" s="922"/>
      <c r="AH128" s="50"/>
      <c r="AI128" s="50"/>
      <c r="AJ128" s="105"/>
      <c r="AK128" s="50"/>
      <c r="AL128" s="921"/>
      <c r="AM128" s="1187"/>
      <c r="AN128" s="1187"/>
      <c r="AO128" s="1188"/>
      <c r="AP128" s="1188"/>
      <c r="AQ128" s="1188"/>
      <c r="AR128" s="1188"/>
      <c r="AS128" s="1188"/>
      <c r="AT128" s="1188"/>
      <c r="AU128" s="1188"/>
      <c r="AV128" s="1188"/>
      <c r="AW128" s="1188"/>
      <c r="AX128" s="1188"/>
      <c r="AY128" s="1188"/>
      <c r="AZ128" s="1188"/>
      <c r="BA128" s="1188"/>
      <c r="BB128" s="1188"/>
      <c r="BC128" s="1188"/>
    </row>
    <row r="129" spans="1:55" ht="14.4" x14ac:dyDescent="0.3">
      <c r="A129" s="2233"/>
      <c r="B129" s="908" t="str">
        <f>'Q1'!O92</f>
        <v>STANDARD Diesel (average biofuel blend)*</v>
      </c>
      <c r="C129" s="1183">
        <f t="shared" ca="1" si="122"/>
        <v>0</v>
      </c>
      <c r="D129" s="768">
        <f t="shared" ca="1" si="122"/>
        <v>0</v>
      </c>
      <c r="E129" s="769">
        <f t="shared" ca="1" si="122"/>
        <v>0</v>
      </c>
      <c r="F129" s="769">
        <f t="shared" ca="1" si="122"/>
        <v>0</v>
      </c>
      <c r="G129" s="769">
        <f t="shared" ca="1" si="122"/>
        <v>0</v>
      </c>
      <c r="H129" s="769">
        <f t="shared" ca="1" si="122"/>
        <v>0</v>
      </c>
      <c r="I129" s="770">
        <f t="shared" ca="1" si="107"/>
        <v>0</v>
      </c>
      <c r="J129" s="771" t="str">
        <f t="shared" ca="1" si="123"/>
        <v/>
      </c>
      <c r="K129" s="772"/>
      <c r="L129" s="909" t="str">
        <f ca="1">IF(C129&gt;0,'Q1'!E139,"")</f>
        <v/>
      </c>
      <c r="M129" s="774" t="str">
        <f ca="1">IF(L129="","",IF('Q1'!I139=0,"fuel type not stated",'Q1'!I139))</f>
        <v/>
      </c>
      <c r="N129" s="910"/>
      <c r="O129" s="810" t="str">
        <f t="shared" ca="1" si="109"/>
        <v/>
      </c>
      <c r="P129" s="783" t="str">
        <f t="shared" ca="1" si="110"/>
        <v/>
      </c>
      <c r="Q129" s="783" t="str">
        <f t="shared" ca="1" si="111"/>
        <v/>
      </c>
      <c r="R129" s="783" t="str">
        <f t="shared" ca="1" si="112"/>
        <v/>
      </c>
      <c r="S129" s="811" t="str">
        <f t="shared" ca="1" si="113"/>
        <v/>
      </c>
      <c r="T129" s="1066" t="str">
        <f t="shared" ca="1" si="124"/>
        <v/>
      </c>
      <c r="U129" s="1165" t="str">
        <f t="shared" ca="1" si="115"/>
        <v/>
      </c>
      <c r="V129" s="1350">
        <f t="shared" ca="1" si="125"/>
        <v>0</v>
      </c>
      <c r="W129" s="1350">
        <f t="shared" ca="1" si="125"/>
        <v>0</v>
      </c>
      <c r="X129" s="1350">
        <f t="shared" ca="1" si="125"/>
        <v>0</v>
      </c>
      <c r="Y129" s="1067" t="str">
        <f t="shared" ca="1" si="117"/>
        <v/>
      </c>
      <c r="Z129" s="1165" t="str">
        <f t="shared" ca="1" si="118"/>
        <v/>
      </c>
      <c r="AA129" s="772"/>
      <c r="AB129" s="804" t="str">
        <f t="shared" ca="1" si="119"/>
        <v/>
      </c>
      <c r="AC129" s="55"/>
      <c r="AD129" s="1185"/>
      <c r="AE129" s="1185"/>
      <c r="AF129" s="1185"/>
      <c r="AG129" s="1185"/>
      <c r="AH129" s="99"/>
      <c r="AI129" s="99"/>
      <c r="AJ129" s="107"/>
      <c r="AK129" s="108"/>
      <c r="AL129" s="108"/>
      <c r="AM129" s="108"/>
      <c r="AN129" s="109"/>
      <c r="AO129" s="109"/>
      <c r="AP129" s="109"/>
      <c r="AQ129" s="109"/>
      <c r="AR129" s="109"/>
      <c r="AS129" s="109"/>
      <c r="AT129" s="109"/>
      <c r="AU129" s="109"/>
      <c r="AV129" s="109"/>
      <c r="AW129" s="109"/>
      <c r="AX129" s="109"/>
      <c r="AY129" s="109"/>
      <c r="AZ129" s="109"/>
      <c r="BA129" s="109"/>
      <c r="BB129" s="109"/>
      <c r="BC129" s="109"/>
    </row>
    <row r="130" spans="1:55" ht="14.4" x14ac:dyDescent="0.3">
      <c r="A130" s="2233"/>
      <c r="B130" s="908" t="str">
        <f>'Q1'!O93</f>
        <v>Diesel (100% mineral diesel)</v>
      </c>
      <c r="C130" s="1183">
        <f t="shared" ca="1" si="122"/>
        <v>0</v>
      </c>
      <c r="D130" s="768">
        <f t="shared" ca="1" si="122"/>
        <v>0</v>
      </c>
      <c r="E130" s="769">
        <f t="shared" ca="1" si="122"/>
        <v>0</v>
      </c>
      <c r="F130" s="769">
        <f t="shared" ca="1" si="122"/>
        <v>0</v>
      </c>
      <c r="G130" s="769">
        <f t="shared" ca="1" si="122"/>
        <v>0</v>
      </c>
      <c r="H130" s="769">
        <f t="shared" ca="1" si="122"/>
        <v>0</v>
      </c>
      <c r="I130" s="770">
        <f t="shared" ca="1" si="107"/>
        <v>0</v>
      </c>
      <c r="J130" s="771" t="str">
        <f t="shared" ca="1" si="123"/>
        <v/>
      </c>
      <c r="K130" s="772"/>
      <c r="L130" s="909" t="str">
        <f ca="1">IF(C130&gt;0,'Q1'!E140,"")</f>
        <v/>
      </c>
      <c r="M130" s="774" t="str">
        <f ca="1">IF(L130="","",IF('Q1'!I140=0,"fuel type not stated",'Q1'!I140))</f>
        <v/>
      </c>
      <c r="N130" s="910"/>
      <c r="O130" s="810" t="str">
        <f t="shared" ca="1" si="109"/>
        <v/>
      </c>
      <c r="P130" s="783" t="str">
        <f t="shared" ca="1" si="110"/>
        <v/>
      </c>
      <c r="Q130" s="783" t="str">
        <f t="shared" ca="1" si="111"/>
        <v/>
      </c>
      <c r="R130" s="783" t="str">
        <f t="shared" ca="1" si="112"/>
        <v/>
      </c>
      <c r="S130" s="811" t="str">
        <f t="shared" ca="1" si="113"/>
        <v/>
      </c>
      <c r="T130" s="1066" t="str">
        <f t="shared" ca="1" si="124"/>
        <v/>
      </c>
      <c r="U130" s="1165" t="str">
        <f t="shared" ca="1" si="115"/>
        <v/>
      </c>
      <c r="V130" s="1350">
        <f t="shared" ca="1" si="125"/>
        <v>0</v>
      </c>
      <c r="W130" s="1350">
        <f t="shared" ca="1" si="125"/>
        <v>0</v>
      </c>
      <c r="X130" s="1350">
        <f t="shared" ca="1" si="125"/>
        <v>0</v>
      </c>
      <c r="Y130" s="1067" t="str">
        <f t="shared" ca="1" si="117"/>
        <v/>
      </c>
      <c r="Z130" s="1165" t="str">
        <f t="shared" ca="1" si="118"/>
        <v/>
      </c>
      <c r="AA130" s="772"/>
      <c r="AB130" s="804" t="str">
        <f t="shared" ca="1" si="119"/>
        <v/>
      </c>
      <c r="AC130" s="919"/>
      <c r="AD130" s="1188"/>
      <c r="AE130" s="1188"/>
      <c r="AF130" s="1188"/>
      <c r="AG130" s="1188"/>
      <c r="AH130" s="1188"/>
      <c r="AI130" s="1188"/>
      <c r="AJ130" s="1189"/>
      <c r="AK130" s="1188"/>
      <c r="AL130" s="1187"/>
      <c r="AM130" s="1187"/>
      <c r="AN130" s="1187"/>
      <c r="AO130" s="1188"/>
      <c r="AP130" s="1188"/>
      <c r="AQ130" s="1188"/>
      <c r="AR130" s="1188"/>
      <c r="AS130" s="1188"/>
      <c r="AT130" s="1188"/>
      <c r="AU130" s="1188"/>
      <c r="AV130" s="1188"/>
      <c r="AW130" s="1188"/>
      <c r="AX130" s="1188"/>
      <c r="AY130" s="1188"/>
      <c r="AZ130" s="1188"/>
      <c r="BA130" s="1188"/>
      <c r="BB130" s="1188"/>
      <c r="BC130" s="1188"/>
    </row>
    <row r="131" spans="1:55" ht="12.75" customHeight="1" x14ac:dyDescent="0.3">
      <c r="A131" s="2233"/>
      <c r="B131" s="908" t="str">
        <f>'Q1'!O94</f>
        <v>Compressed Natural Gas (CNG)</v>
      </c>
      <c r="C131" s="1183">
        <f t="shared" ca="1" si="122"/>
        <v>0</v>
      </c>
      <c r="D131" s="768">
        <f t="shared" ca="1" si="122"/>
        <v>0</v>
      </c>
      <c r="E131" s="769">
        <f t="shared" ca="1" si="122"/>
        <v>0</v>
      </c>
      <c r="F131" s="769">
        <f t="shared" ca="1" si="122"/>
        <v>0</v>
      </c>
      <c r="G131" s="769">
        <f t="shared" ca="1" si="122"/>
        <v>0</v>
      </c>
      <c r="H131" s="769">
        <f t="shared" ca="1" si="122"/>
        <v>0</v>
      </c>
      <c r="I131" s="770">
        <f t="shared" ca="1" si="107"/>
        <v>0</v>
      </c>
      <c r="J131" s="771" t="str">
        <f t="shared" ca="1" si="123"/>
        <v/>
      </c>
      <c r="K131" s="772"/>
      <c r="L131" s="909" t="str">
        <f ca="1">IF(C131&gt;0,'Q1'!E141,"")</f>
        <v/>
      </c>
      <c r="M131" s="774" t="str">
        <f ca="1">IF(L131="","",IF('Q1'!I141=0,"fuel type not stated",'Q1'!I141))</f>
        <v/>
      </c>
      <c r="N131" s="910"/>
      <c r="O131" s="810" t="str">
        <f t="shared" ca="1" si="109"/>
        <v/>
      </c>
      <c r="P131" s="783" t="str">
        <f t="shared" ca="1" si="110"/>
        <v/>
      </c>
      <c r="Q131" s="783" t="str">
        <f t="shared" ca="1" si="111"/>
        <v/>
      </c>
      <c r="R131" s="783" t="str">
        <f t="shared" ca="1" si="112"/>
        <v/>
      </c>
      <c r="S131" s="811" t="str">
        <f t="shared" ca="1" si="113"/>
        <v/>
      </c>
      <c r="T131" s="1066" t="str">
        <f t="shared" ca="1" si="124"/>
        <v/>
      </c>
      <c r="U131" s="1165" t="str">
        <f t="shared" ca="1" si="115"/>
        <v/>
      </c>
      <c r="V131" s="1350">
        <f t="shared" ca="1" si="125"/>
        <v>0</v>
      </c>
      <c r="W131" s="1350">
        <f t="shared" ca="1" si="125"/>
        <v>0</v>
      </c>
      <c r="X131" s="1350">
        <f t="shared" ca="1" si="125"/>
        <v>0</v>
      </c>
      <c r="Y131" s="1067" t="str">
        <f t="shared" ca="1" si="117"/>
        <v/>
      </c>
      <c r="Z131" s="1165" t="str">
        <f t="shared" ca="1" si="118"/>
        <v/>
      </c>
      <c r="AA131" s="772"/>
      <c r="AB131" s="804" t="str">
        <f t="shared" ca="1" si="119"/>
        <v/>
      </c>
      <c r="AC131" s="1164"/>
      <c r="AD131" s="1190"/>
      <c r="AE131" s="1190"/>
      <c r="AF131" s="1190"/>
      <c r="AG131" s="1190"/>
      <c r="AH131" s="1190"/>
      <c r="AI131" s="1190"/>
      <c r="AJ131" s="1191"/>
      <c r="AK131" s="1190"/>
      <c r="AL131" s="1182"/>
      <c r="AM131" s="1182"/>
      <c r="AN131" s="1182"/>
      <c r="AO131" s="1190"/>
      <c r="AP131" s="1190"/>
      <c r="AQ131" s="1190"/>
      <c r="AR131" s="1190"/>
      <c r="AS131" s="1190"/>
      <c r="AT131" s="1190"/>
      <c r="AU131" s="2227"/>
      <c r="AV131" s="2227"/>
      <c r="AW131" s="1164"/>
      <c r="AX131" s="1164"/>
      <c r="AY131" s="1164"/>
      <c r="AZ131" s="710"/>
      <c r="BA131" s="711"/>
      <c r="BB131" s="50"/>
      <c r="BC131" s="1190"/>
    </row>
    <row r="132" spans="1:55" ht="14.4" x14ac:dyDescent="0.3">
      <c r="A132" s="2233"/>
      <c r="B132" s="908" t="str">
        <f>'Q1'!O95</f>
        <v>Liquid Petroleum Gas (LPG)</v>
      </c>
      <c r="C132" s="1183">
        <f t="shared" ca="1" si="122"/>
        <v>0</v>
      </c>
      <c r="D132" s="768">
        <f t="shared" ca="1" si="122"/>
        <v>0</v>
      </c>
      <c r="E132" s="769">
        <f t="shared" ca="1" si="122"/>
        <v>0</v>
      </c>
      <c r="F132" s="769">
        <f t="shared" ca="1" si="122"/>
        <v>0</v>
      </c>
      <c r="G132" s="769">
        <f t="shared" ca="1" si="122"/>
        <v>0</v>
      </c>
      <c r="H132" s="769">
        <f t="shared" ca="1" si="122"/>
        <v>0</v>
      </c>
      <c r="I132" s="770">
        <f t="shared" ca="1" si="107"/>
        <v>0</v>
      </c>
      <c r="J132" s="771" t="str">
        <f t="shared" ca="1" si="123"/>
        <v/>
      </c>
      <c r="K132" s="772"/>
      <c r="L132" s="909" t="str">
        <f ca="1">IF(C132&gt;0,'Q1'!E142,"")</f>
        <v/>
      </c>
      <c r="M132" s="774" t="str">
        <f ca="1">IF(L132="","",IF('Q1'!I142=0,"fuel type not stated",'Q1'!I142))</f>
        <v/>
      </c>
      <c r="N132" s="910"/>
      <c r="O132" s="810" t="str">
        <f t="shared" ca="1" si="109"/>
        <v/>
      </c>
      <c r="P132" s="783" t="str">
        <f t="shared" ca="1" si="110"/>
        <v/>
      </c>
      <c r="Q132" s="783" t="str">
        <f t="shared" ca="1" si="111"/>
        <v/>
      </c>
      <c r="R132" s="783" t="str">
        <f t="shared" ca="1" si="112"/>
        <v/>
      </c>
      <c r="S132" s="811" t="str">
        <f t="shared" ca="1" si="113"/>
        <v/>
      </c>
      <c r="T132" s="1066" t="str">
        <f t="shared" ca="1" si="124"/>
        <v/>
      </c>
      <c r="U132" s="1165" t="str">
        <f t="shared" ca="1" si="115"/>
        <v/>
      </c>
      <c r="V132" s="1350">
        <f t="shared" ca="1" si="125"/>
        <v>0</v>
      </c>
      <c r="W132" s="1350">
        <f t="shared" ca="1" si="125"/>
        <v>0</v>
      </c>
      <c r="X132" s="1350">
        <f t="shared" ca="1" si="125"/>
        <v>0</v>
      </c>
      <c r="Y132" s="1067" t="str">
        <f t="shared" ca="1" si="117"/>
        <v/>
      </c>
      <c r="Z132" s="1165" t="str">
        <f t="shared" ca="1" si="118"/>
        <v/>
      </c>
      <c r="AA132" s="772"/>
      <c r="AB132" s="804" t="str">
        <f t="shared" ca="1" si="119"/>
        <v/>
      </c>
      <c r="AC132" s="917"/>
      <c r="AD132" s="917"/>
      <c r="AE132" s="917"/>
      <c r="AF132" s="917"/>
      <c r="AG132" s="917"/>
      <c r="AH132" s="917"/>
      <c r="AI132" s="917"/>
      <c r="AJ132" s="917"/>
      <c r="AK132" s="917"/>
      <c r="AL132" s="917"/>
      <c r="AM132" s="917"/>
      <c r="AN132" s="917"/>
      <c r="AO132" s="917"/>
      <c r="AP132" s="917"/>
      <c r="AQ132" s="917"/>
      <c r="AR132" s="917"/>
      <c r="AS132" s="917"/>
      <c r="AT132" s="917"/>
      <c r="AU132" s="2227"/>
      <c r="AV132" s="2227"/>
      <c r="AW132" s="1164"/>
      <c r="AX132" s="1164"/>
      <c r="AY132" s="1164"/>
      <c r="AZ132" s="710"/>
      <c r="BA132" s="711"/>
      <c r="BB132" s="50"/>
      <c r="BC132" s="917"/>
    </row>
    <row r="133" spans="1:55" thickBot="1" x14ac:dyDescent="0.35">
      <c r="A133" s="2234"/>
      <c r="B133" s="911" t="str">
        <f>'Q1'!O96</f>
        <v>Other (enter CO2 factor and specify fuel in "Notes")</v>
      </c>
      <c r="C133" s="1184">
        <f t="shared" ca="1" si="122"/>
        <v>0</v>
      </c>
      <c r="D133" s="786">
        <f t="shared" ca="1" si="122"/>
        <v>0</v>
      </c>
      <c r="E133" s="787">
        <f t="shared" ca="1" si="122"/>
        <v>0</v>
      </c>
      <c r="F133" s="787">
        <f t="shared" ca="1" si="122"/>
        <v>0</v>
      </c>
      <c r="G133" s="787">
        <f t="shared" ca="1" si="122"/>
        <v>0</v>
      </c>
      <c r="H133" s="787">
        <f t="shared" ca="1" si="122"/>
        <v>0</v>
      </c>
      <c r="I133" s="788">
        <f t="shared" ca="1" si="107"/>
        <v>0</v>
      </c>
      <c r="J133" s="812" t="str">
        <f t="shared" ref="J133" ca="1" si="126">IF(AND(C133&gt;0,SUM(D133:I133)&gt;0),"",IF(AND(C133=0,SUM(C133:I133)=0),"",IF(AND(C133=0,D133&gt;0),"Missing value?",IF(AND(C133=0,I133&gt;0),"Missing value?","New category"))))</f>
        <v/>
      </c>
      <c r="K133" s="790"/>
      <c r="L133" s="912" t="str">
        <f ca="1">IF(C133&gt;0,'Q1'!E143,"")</f>
        <v/>
      </c>
      <c r="M133" s="913" t="str">
        <f ca="1">IF(L133="","",IF('Q1'!I143=0,"fuel type not stated",'Q1'!I143))</f>
        <v/>
      </c>
      <c r="N133" s="914"/>
      <c r="O133" s="813" t="str">
        <f t="shared" ca="1" si="109"/>
        <v/>
      </c>
      <c r="P133" s="1072" t="str">
        <f t="shared" ca="1" si="110"/>
        <v/>
      </c>
      <c r="Q133" s="1072" t="str">
        <f t="shared" ca="1" si="111"/>
        <v/>
      </c>
      <c r="R133" s="1072" t="str">
        <f t="shared" ca="1" si="112"/>
        <v/>
      </c>
      <c r="S133" s="1075" t="str">
        <f t="shared" ca="1" si="113"/>
        <v/>
      </c>
      <c r="T133" s="1238" t="str">
        <f t="shared" ref="T133" ca="1" si="127">IF(SUM(C133:I133)=0,"",IF(OR(AND(C133=0,SUM(D133:I133)&gt;0),AND(C133&gt;0,SUM(D133:I133)=0)),1,IF(MAX(IF(O133&lt;0,-O133,O133),IF(P133&lt;0,-P133,P133),IF(Q133&lt;0,-Q133,Q133),IF(R133&lt;0,-R133,R133),IF(S133&lt;0,-S133,S133))=0,"",MAX(IF(O133&lt;0,-O133,O133),IF(P133&lt;0,-P133,P133),IF(Q133&lt;0,-Q133,Q133),IF(R133&lt;0,-R133,R133),IF(S133&lt;0,-S133,S133)))))</f>
        <v/>
      </c>
      <c r="U133" s="1163" t="str">
        <f t="shared" ca="1" si="115"/>
        <v/>
      </c>
      <c r="V133" s="1351">
        <f t="shared" ca="1" si="125"/>
        <v>0</v>
      </c>
      <c r="W133" s="1351">
        <f t="shared" ca="1" si="125"/>
        <v>0</v>
      </c>
      <c r="X133" s="1351">
        <f t="shared" ca="1" si="125"/>
        <v>0</v>
      </c>
      <c r="Y133" s="1239" t="str">
        <f t="shared" ca="1" si="117"/>
        <v/>
      </c>
      <c r="Z133" s="1163" t="str">
        <f t="shared" ca="1" si="118"/>
        <v/>
      </c>
      <c r="AA133" s="790"/>
      <c r="AB133" s="915" t="str">
        <f t="shared" ca="1" si="119"/>
        <v/>
      </c>
      <c r="AC133" s="55"/>
      <c r="AD133" s="193"/>
      <c r="AE133" s="193"/>
      <c r="AF133" s="193"/>
      <c r="AG133" s="193"/>
      <c r="AH133" s="193"/>
      <c r="AI133" s="193"/>
      <c r="AJ133" s="918"/>
      <c r="AK133" s="900"/>
      <c r="AL133" s="900"/>
      <c r="AM133" s="900"/>
      <c r="AN133" s="900"/>
      <c r="AO133" s="900"/>
      <c r="AP133" s="900"/>
      <c r="AQ133" s="900"/>
      <c r="AR133" s="900"/>
      <c r="AS133" s="900"/>
      <c r="AT133" s="900"/>
      <c r="AU133" s="2227"/>
      <c r="AV133" s="2227"/>
      <c r="AW133" s="1164"/>
      <c r="AX133" s="1164"/>
      <c r="AY133" s="1164"/>
      <c r="AZ133" s="710"/>
      <c r="BA133" s="711"/>
      <c r="BB133" s="50"/>
      <c r="BC133" s="900"/>
    </row>
    <row r="134" spans="1:55" ht="14.4" x14ac:dyDescent="0.3">
      <c r="A134" s="55"/>
      <c r="B134" s="55"/>
      <c r="C134" s="920"/>
      <c r="D134" s="920"/>
      <c r="E134" s="920"/>
      <c r="F134" s="920"/>
      <c r="G134" s="920"/>
      <c r="H134" s="920"/>
      <c r="I134" s="920"/>
      <c r="J134" s="1185"/>
      <c r="K134" s="1185"/>
      <c r="L134" s="1185"/>
      <c r="M134" s="1186"/>
      <c r="N134" s="55"/>
      <c r="O134" s="1185"/>
      <c r="P134" s="1185"/>
      <c r="Q134" s="1185"/>
      <c r="R134" s="1185"/>
      <c r="S134" s="1185"/>
      <c r="T134" s="1185"/>
      <c r="U134" s="1185"/>
      <c r="V134" s="1185"/>
      <c r="W134" s="1185"/>
      <c r="X134" s="1185"/>
      <c r="Y134" s="1185"/>
      <c r="Z134" s="1185"/>
      <c r="AA134" s="1185"/>
      <c r="AB134" s="1185"/>
      <c r="AC134" s="55"/>
      <c r="AD134" s="1185"/>
      <c r="AE134" s="1185"/>
      <c r="AF134" s="1185"/>
      <c r="AG134" s="1185"/>
      <c r="AH134" s="1185"/>
      <c r="AI134" s="1185"/>
      <c r="AJ134" s="1185"/>
      <c r="AK134" s="1185"/>
      <c r="AL134" s="1185"/>
      <c r="AM134" s="1185"/>
      <c r="AN134" s="1185"/>
      <c r="AO134" s="1185"/>
      <c r="AP134" s="1185"/>
      <c r="AQ134" s="1185"/>
      <c r="AR134" s="1185"/>
      <c r="AS134" s="1185"/>
      <c r="AT134" s="1185"/>
      <c r="AU134" s="1185"/>
      <c r="AV134" s="1185"/>
      <c r="AW134" s="1185"/>
      <c r="AX134" s="1185"/>
      <c r="AY134" s="1185"/>
      <c r="AZ134" s="1185"/>
      <c r="BA134" s="1185"/>
      <c r="BB134" s="1185"/>
      <c r="BC134" s="1185"/>
    </row>
    <row r="135" spans="1:55" ht="14.4" x14ac:dyDescent="0.3">
      <c r="A135" s="923" t="s">
        <v>143</v>
      </c>
      <c r="B135" s="87"/>
      <c r="C135" s="924"/>
      <c r="D135" s="924"/>
      <c r="E135" s="924"/>
      <c r="F135" s="924"/>
      <c r="G135" s="924"/>
      <c r="H135" s="924"/>
      <c r="I135" s="819" t="s">
        <v>23</v>
      </c>
      <c r="J135" s="819" t="s">
        <v>23</v>
      </c>
      <c r="K135" s="819" t="s">
        <v>23</v>
      </c>
      <c r="L135" s="819" t="s">
        <v>23</v>
      </c>
      <c r="M135" s="819" t="s">
        <v>23</v>
      </c>
      <c r="N135" s="819" t="s">
        <v>23</v>
      </c>
      <c r="O135" s="819" t="s">
        <v>23</v>
      </c>
      <c r="P135" s="819" t="s">
        <v>23</v>
      </c>
      <c r="Q135" s="819" t="s">
        <v>23</v>
      </c>
      <c r="R135" s="819" t="s">
        <v>23</v>
      </c>
      <c r="S135" s="819" t="s">
        <v>23</v>
      </c>
      <c r="T135" s="819" t="s">
        <v>23</v>
      </c>
      <c r="U135" s="819"/>
      <c r="V135" s="819"/>
      <c r="W135" s="819"/>
      <c r="X135" s="819"/>
      <c r="Y135" s="819" t="s">
        <v>23</v>
      </c>
      <c r="Z135" s="819" t="s">
        <v>23</v>
      </c>
      <c r="AA135" s="819" t="s">
        <v>23</v>
      </c>
      <c r="AB135" s="819" t="s">
        <v>23</v>
      </c>
      <c r="AC135" s="1076" t="s">
        <v>144</v>
      </c>
      <c r="AD135" s="1076" t="s">
        <v>144</v>
      </c>
      <c r="AE135" s="1076" t="s">
        <v>144</v>
      </c>
      <c r="AF135" s="1076" t="s">
        <v>144</v>
      </c>
      <c r="AG135" s="1076" t="s">
        <v>144</v>
      </c>
      <c r="AH135" s="1076" t="s">
        <v>144</v>
      </c>
      <c r="AI135" s="1076"/>
      <c r="AJ135" s="1076" t="s">
        <v>144</v>
      </c>
      <c r="AK135" s="1076" t="s">
        <v>144</v>
      </c>
      <c r="AL135" s="1076" t="s">
        <v>144</v>
      </c>
      <c r="AM135" s="1076" t="s">
        <v>144</v>
      </c>
      <c r="AN135" s="1076" t="s">
        <v>144</v>
      </c>
      <c r="AO135" s="1076" t="s">
        <v>144</v>
      </c>
      <c r="AP135" s="1076" t="s">
        <v>144</v>
      </c>
      <c r="AQ135" s="1076" t="s">
        <v>144</v>
      </c>
      <c r="AR135" s="1076" t="s">
        <v>144</v>
      </c>
      <c r="AS135" s="1076" t="s">
        <v>144</v>
      </c>
      <c r="AT135" s="1076" t="s">
        <v>144</v>
      </c>
      <c r="AU135" s="1076" t="s">
        <v>144</v>
      </c>
      <c r="AV135" s="1076"/>
      <c r="AW135" s="1076"/>
      <c r="AX135" s="1076"/>
      <c r="AY135" s="1076"/>
      <c r="AZ135" s="1076" t="s">
        <v>144</v>
      </c>
      <c r="BA135" s="1076" t="s">
        <v>144</v>
      </c>
      <c r="BB135" s="1076" t="s">
        <v>144</v>
      </c>
      <c r="BC135" s="1076" t="s">
        <v>144</v>
      </c>
    </row>
    <row r="136" spans="1:55" ht="14.4" x14ac:dyDescent="0.3">
      <c r="A136" s="1170"/>
      <c r="B136" s="55"/>
      <c r="C136" s="820"/>
      <c r="D136" s="820"/>
      <c r="E136" s="820"/>
      <c r="F136" s="820"/>
      <c r="G136" s="820"/>
      <c r="H136" s="820"/>
      <c r="I136" s="820"/>
      <c r="J136" s="99"/>
      <c r="K136" s="99"/>
      <c r="L136" s="104"/>
      <c r="M136" s="916"/>
      <c r="N136" s="1170"/>
      <c r="O136" s="99"/>
      <c r="P136" s="99"/>
      <c r="Q136" s="99"/>
      <c r="R136" s="110"/>
      <c r="S136" s="104"/>
      <c r="T136" s="104"/>
      <c r="U136" s="104"/>
      <c r="V136" s="104"/>
      <c r="W136" s="104"/>
      <c r="X136" s="104"/>
      <c r="Y136" s="104"/>
      <c r="Z136" s="104"/>
      <c r="AA136" s="104"/>
      <c r="AB136" s="104"/>
      <c r="AC136" s="55"/>
      <c r="AD136" s="55"/>
      <c r="AE136" s="55"/>
      <c r="AF136" s="55"/>
      <c r="AG136" s="55"/>
      <c r="AH136" s="55"/>
      <c r="AI136" s="55"/>
      <c r="AJ136" s="98"/>
      <c r="AK136" s="55"/>
      <c r="AL136" s="99"/>
      <c r="AM136" s="110"/>
      <c r="AN136" s="104"/>
      <c r="AO136" s="55"/>
      <c r="AP136" s="55"/>
      <c r="AQ136" s="55"/>
      <c r="AR136" s="55"/>
      <c r="AS136" s="55"/>
      <c r="AT136" s="55"/>
      <c r="AU136" s="55"/>
      <c r="AV136" s="55"/>
      <c r="AW136" s="55"/>
      <c r="AX136" s="55"/>
      <c r="AY136" s="55"/>
      <c r="AZ136" s="55"/>
      <c r="BA136" s="55"/>
      <c r="BB136" s="55"/>
      <c r="BC136" s="55"/>
    </row>
    <row r="137" spans="1:55" thickBot="1" x14ac:dyDescent="0.35">
      <c r="A137" s="55"/>
      <c r="B137" s="55"/>
      <c r="C137" s="820"/>
      <c r="D137" s="820"/>
      <c r="E137" s="820"/>
      <c r="F137" s="820"/>
      <c r="G137" s="820"/>
      <c r="H137" s="820"/>
      <c r="I137" s="820"/>
      <c r="J137" s="99"/>
      <c r="K137" s="99"/>
      <c r="L137" s="99"/>
      <c r="M137" s="667"/>
      <c r="N137" s="55"/>
      <c r="O137" s="99"/>
      <c r="P137" s="99"/>
      <c r="Q137" s="99"/>
      <c r="R137" s="99"/>
      <c r="S137" s="99"/>
      <c r="T137" s="99"/>
      <c r="U137" s="99"/>
      <c r="V137" s="99"/>
      <c r="W137" s="99"/>
      <c r="X137" s="99"/>
      <c r="Y137" s="99"/>
      <c r="Z137" s="99"/>
      <c r="AA137" s="99"/>
      <c r="AB137" s="99"/>
      <c r="AC137" s="55"/>
      <c r="AD137" s="55"/>
      <c r="AE137" s="55"/>
      <c r="AF137" s="55"/>
      <c r="AG137" s="55"/>
      <c r="AH137" s="55"/>
      <c r="AI137" s="55"/>
      <c r="AJ137" s="55"/>
      <c r="AK137" s="55"/>
      <c r="AL137" s="55"/>
      <c r="AM137" s="55"/>
      <c r="AN137" s="55"/>
      <c r="AO137" s="55"/>
      <c r="AP137" s="55"/>
      <c r="AQ137" s="55"/>
      <c r="AR137" s="55"/>
      <c r="AS137" s="55"/>
      <c r="AT137" s="55"/>
      <c r="AU137" s="55"/>
      <c r="AV137" s="55"/>
      <c r="AW137" s="55"/>
      <c r="AX137" s="55"/>
      <c r="AY137" s="55"/>
      <c r="AZ137" s="55"/>
      <c r="BA137" s="55"/>
      <c r="BB137" s="55"/>
      <c r="BC137" s="55"/>
    </row>
    <row r="138" spans="1:55" ht="27.6" x14ac:dyDescent="0.3">
      <c r="A138" s="1170"/>
      <c r="B138" s="2222"/>
      <c r="C138" s="1244" t="s">
        <v>176</v>
      </c>
      <c r="D138" s="2165" t="s">
        <v>177</v>
      </c>
      <c r="E138" s="2165"/>
      <c r="F138" s="2165"/>
      <c r="G138" s="2166"/>
      <c r="H138" s="2167"/>
      <c r="I138" s="2167"/>
      <c r="J138" s="2168" t="s">
        <v>428</v>
      </c>
      <c r="K138" s="2169"/>
      <c r="L138" s="2170"/>
      <c r="M138" s="2171"/>
      <c r="N138" s="2172"/>
      <c r="O138" s="2173" t="s">
        <v>430</v>
      </c>
      <c r="P138" s="2170"/>
      <c r="Q138" s="2170"/>
      <c r="R138" s="2171"/>
      <c r="S138" s="2174"/>
      <c r="T138" s="2173" t="s">
        <v>418</v>
      </c>
      <c r="U138" s="2171"/>
      <c r="V138" s="2171"/>
      <c r="W138" s="2171"/>
      <c r="X138" s="2171"/>
      <c r="Y138" s="2171"/>
      <c r="Z138" s="2171"/>
      <c r="AA138" s="2174"/>
      <c r="AB138" s="2179" t="s">
        <v>433</v>
      </c>
      <c r="AC138" s="2215" t="s">
        <v>432</v>
      </c>
      <c r="AD138" s="1320" t="s">
        <v>176</v>
      </c>
      <c r="AE138" s="2217" t="s">
        <v>177</v>
      </c>
      <c r="AF138" s="2218"/>
      <c r="AG138" s="2218"/>
      <c r="AH138" s="2219"/>
      <c r="AI138" s="2220"/>
      <c r="AJ138" s="2221"/>
      <c r="AK138" s="2209" t="s">
        <v>428</v>
      </c>
      <c r="AL138" s="2210"/>
      <c r="AM138" s="2185"/>
      <c r="AN138" s="2183"/>
      <c r="AO138" s="2186"/>
      <c r="AP138" s="2182" t="s">
        <v>430</v>
      </c>
      <c r="AQ138" s="2182"/>
      <c r="AR138" s="2182"/>
      <c r="AS138" s="2183"/>
      <c r="AT138" s="2184"/>
      <c r="AU138" s="2185" t="s">
        <v>418</v>
      </c>
      <c r="AV138" s="2183"/>
      <c r="AW138" s="2183"/>
      <c r="AX138" s="2183"/>
      <c r="AY138" s="2183"/>
      <c r="AZ138" s="2183"/>
      <c r="BA138" s="2183"/>
      <c r="BB138" s="2186"/>
      <c r="BC138" s="2211" t="s">
        <v>433</v>
      </c>
    </row>
    <row r="139" spans="1:55" ht="51.75" customHeight="1" thickBot="1" x14ac:dyDescent="0.35">
      <c r="A139" s="94"/>
      <c r="B139" s="2223"/>
      <c r="C139" s="1245" t="str">
        <f>C14</f>
        <v>Q2</v>
      </c>
      <c r="D139" s="925" t="str">
        <f t="shared" ref="D139:I139" si="128">D14</f>
        <v>Q1</v>
      </c>
      <c r="E139" s="925" t="str">
        <f t="shared" si="128"/>
        <v>Q4-19</v>
      </c>
      <c r="F139" s="925" t="str">
        <f t="shared" si="128"/>
        <v>Q3-19</v>
      </c>
      <c r="G139" s="722" t="str">
        <f t="shared" si="128"/>
        <v>Q2-19</v>
      </c>
      <c r="H139" s="722" t="str">
        <f t="shared" si="128"/>
        <v>2018-2019</v>
      </c>
      <c r="I139" s="926" t="str">
        <f t="shared" si="128"/>
        <v>25% of previous year total</v>
      </c>
      <c r="J139" s="724" t="s">
        <v>434</v>
      </c>
      <c r="K139" s="725" t="s">
        <v>435</v>
      </c>
      <c r="L139" s="2155"/>
      <c r="M139" s="2224"/>
      <c r="N139" s="2157"/>
      <c r="O139" s="728" t="s">
        <v>438</v>
      </c>
      <c r="P139" s="925" t="s">
        <v>470</v>
      </c>
      <c r="Q139" s="925" t="s">
        <v>471</v>
      </c>
      <c r="R139" s="1169" t="s">
        <v>439</v>
      </c>
      <c r="S139" s="729" t="s">
        <v>440</v>
      </c>
      <c r="T139" s="2156" t="s">
        <v>441</v>
      </c>
      <c r="U139" s="2155"/>
      <c r="V139" s="1394"/>
      <c r="W139" s="1394"/>
      <c r="X139" s="1394"/>
      <c r="Y139" s="2157" t="s">
        <v>443</v>
      </c>
      <c r="Z139" s="2155"/>
      <c r="AA139" s="729" t="s">
        <v>445</v>
      </c>
      <c r="AB139" s="2154"/>
      <c r="AC139" s="2216"/>
      <c r="AD139" s="1321" t="str">
        <f>AD14</f>
        <v>Q2</v>
      </c>
      <c r="AE139" s="832" t="str">
        <f t="shared" ref="AE139:AI139" si="129">AE14</f>
        <v>Q1</v>
      </c>
      <c r="AF139" s="730" t="str">
        <f t="shared" si="129"/>
        <v>Q4-19</v>
      </c>
      <c r="AG139" s="730" t="str">
        <f t="shared" si="129"/>
        <v>Q3-19</v>
      </c>
      <c r="AH139" s="833" t="str">
        <f t="shared" si="129"/>
        <v>Q2-19</v>
      </c>
      <c r="AI139" s="833" t="str">
        <f t="shared" si="129"/>
        <v>2018-2019</v>
      </c>
      <c r="AJ139" s="834" t="s">
        <v>178</v>
      </c>
      <c r="AK139" s="835" t="s">
        <v>434</v>
      </c>
      <c r="AL139" s="836" t="s">
        <v>435</v>
      </c>
      <c r="AM139" s="2213" t="s">
        <v>446</v>
      </c>
      <c r="AN139" s="2214"/>
      <c r="AO139" s="927" t="s">
        <v>447</v>
      </c>
      <c r="AP139" s="928" t="s">
        <v>438</v>
      </c>
      <c r="AQ139" s="730" t="s">
        <v>470</v>
      </c>
      <c r="AR139" s="730" t="s">
        <v>471</v>
      </c>
      <c r="AS139" s="1168" t="s">
        <v>439</v>
      </c>
      <c r="AT139" s="1162" t="s">
        <v>440</v>
      </c>
      <c r="AU139" s="2213" t="s">
        <v>441</v>
      </c>
      <c r="AV139" s="2214"/>
      <c r="AW139" s="1406"/>
      <c r="AX139" s="1406"/>
      <c r="AY139" s="1406"/>
      <c r="AZ139" s="2214" t="s">
        <v>443</v>
      </c>
      <c r="BA139" s="2214"/>
      <c r="BB139" s="732" t="s">
        <v>435</v>
      </c>
      <c r="BC139" s="2212"/>
    </row>
    <row r="140" spans="1:55" ht="12.75" customHeight="1" thickBot="1" x14ac:dyDescent="0.35">
      <c r="A140" s="55"/>
      <c r="B140" s="102" t="s">
        <v>183</v>
      </c>
      <c r="C140" s="1177">
        <f t="shared" ref="C140:H140" ca="1" si="130">INDIRECT(CONCATENATE("'",C$14,"'!$D$164"),TRUE)</f>
        <v>2259986.9982851301</v>
      </c>
      <c r="D140" s="1192">
        <f t="shared" ca="1" si="130"/>
        <v>2197087.5279642199</v>
      </c>
      <c r="E140" s="1193">
        <f t="shared" ca="1" si="130"/>
        <v>2296353.4087912301</v>
      </c>
      <c r="F140" s="1193">
        <f t="shared" ca="1" si="130"/>
        <v>2272430.1143495701</v>
      </c>
      <c r="G140" s="1193">
        <f t="shared" ca="1" si="130"/>
        <v>2131140.24478989</v>
      </c>
      <c r="H140" s="1193">
        <f t="shared" ca="1" si="130"/>
        <v>8974021.0786053389</v>
      </c>
      <c r="I140" s="1194">
        <f t="shared" ref="I140" ca="1" si="131">H140/4</f>
        <v>2243505.2696513347</v>
      </c>
      <c r="J140" s="789" t="str">
        <f ca="1">IF(AND(C140&gt;0,SUM(D140:I140)&gt;0),"",IF(AND(C140=0,SUM(C140:I140)=0),"",IF(AND(C140=0,D140&gt;0),"Missing value?",IF(AND(C140=0,I140&gt;0),"Missing value?","New category"))))</f>
        <v/>
      </c>
      <c r="K140" s="929"/>
      <c r="L140" s="2204"/>
      <c r="M140" s="2205"/>
      <c r="N140" s="930"/>
      <c r="O140" s="931">
        <f ca="1">IF(OR(+$J140="missing?",+$J140="new category"),"",IF($D140=0,"",IF(SUM($C140:$I140)=0,"",IFERROR((($C140-$D140)/$D140),"N/A"))))</f>
        <v>2.8628568284301211E-2</v>
      </c>
      <c r="P140" s="739">
        <f t="shared" ref="P140" ca="1" si="132">IF(OR(+$J140="missing?",+$J140="new category"),"",IF($E140=0,"",IF(SUM($C140:$I140)=0,"",IFERROR((($C140-$E140)/$E140),"N/A"))))</f>
        <v>-1.5836591339502364E-2</v>
      </c>
      <c r="Q140" s="739">
        <f t="shared" ref="Q140" ca="1" si="133">IF(OR(+$J140="missing?",+$J140="new category"),"",IF($F140=0,"",IF(SUM($C140:$I140)=0,"",IFERROR((($C140-$F140)/$F140),"N/A"))))</f>
        <v>-5.4756870127121793E-3</v>
      </c>
      <c r="R140" s="797">
        <f ca="1">IF(OR(+$J140="missing?",+$J140="new category"),"",IF($G140=0,"",IF(SUM($C140:$I140)=0,"",IFERROR((($C140-$G140)/$G140),"N/A"))))</f>
        <v>6.0459068243039621E-2</v>
      </c>
      <c r="S140" s="932">
        <f ca="1">IF(OR(+$J140="missing?",+$J140="new category"),"",IF($I140=0,"",IF(SUM($C140:$I140)=0,"",IFERROR((($C140-$I140)/$I140),"N/A"))))</f>
        <v>7.3464185071233819E-3</v>
      </c>
      <c r="T140" s="1072">
        <f t="shared" ref="T140" ca="1" si="134">IF(SUM(C140:I140)=0,"",IF(OR(AND(C140=0,SUM(D140:I140)&gt;0),AND(C140&gt;0,SUM(D140:I140)=0)),1,IF(MAX(IF(O140&lt;0,-O140,O140),IF(P140&lt;0,-P140,P140),IF(Q140&lt;0,-Q140,Q140),IF(R140&lt;0,-R140,R140),IF(S140&lt;0,-S140,S140))=0,"",MAX(IF(O140&lt;0,-O140,O140),IF(P140&lt;0,-P140,P140),IF(Q140&lt;0,-Q140,Q140),IF(R140&lt;0,-R140,R140),IF(S140&lt;0,-S140,S140)))))</f>
        <v>6.0459068243039621E-2</v>
      </c>
      <c r="U140" s="1051">
        <f ca="1">IF(SUM(D140:J140)=0,"",IF(OR(AND(D140=0,SUM(G140:J140)&gt;0),AND(D140&gt;0,SUM(G140:J140)=0)),1,IF(MAX(IF(R140&lt;0,-R140,R140),IF(S140&lt;0,-S140,S140),IF(T140&lt;0,-T140,T140))=0,"",MAX(IF(R140&lt;0,-R140,R140),IF(S140&lt;0,-S140,S140),IF(T140&lt;0,-T140,T140)))))</f>
        <v>6.0459068243039621E-2</v>
      </c>
      <c r="V140" s="1402"/>
      <c r="W140" s="1402"/>
      <c r="X140" s="1402"/>
      <c r="Y140" s="2162" t="str">
        <f ca="1">IF(+T140="","",IF(T140&gt;$M$3,"H",IF(T140&gt;$M$4,"M","")))</f>
        <v>M</v>
      </c>
      <c r="Z140" s="2163"/>
      <c r="AA140" s="929"/>
      <c r="AB140" s="933" t="str">
        <f ca="1">IF(CONCATENATE(IF(K140="OK","",J140), "    ",IF(AND(+AA140="",Y140="M"),"Value change with medium impact",IF(AND(AA140="",Y140="H"),"Value change with high impact",""))," ")="     ","",CONCATENATE(IF(K140="OK","",J140), "    ",IF(AND(+AA140="",Y140="M"),"Value change with medium impact",IF(AND(AA140="",Y140="H"),"Value change with high impact",""))," "))</f>
        <v xml:space="preserve">    Value change with medium impact </v>
      </c>
      <c r="AC140" s="934" t="str">
        <f ca="1">IF(AD140&gt;C140,"Offices only&gt;Total Estate","")</f>
        <v/>
      </c>
      <c r="AD140" s="1195">
        <f t="shared" ref="AD140:AI140" ca="1" si="135">INDIRECT(CONCATENATE("'",AD$14,"'!$G$164"),TRUE)</f>
        <v>4777.67864106451</v>
      </c>
      <c r="AE140" s="1196">
        <f t="shared" ca="1" si="135"/>
        <v>7248.8655607535902</v>
      </c>
      <c r="AF140" s="1197">
        <f t="shared" ca="1" si="135"/>
        <v>10509.415973245899</v>
      </c>
      <c r="AG140" s="1197">
        <f t="shared" ca="1" si="135"/>
        <v>11256.907888894501</v>
      </c>
      <c r="AH140" s="1197">
        <f t="shared" ca="1" si="135"/>
        <v>10224.409996032715</v>
      </c>
      <c r="AI140" s="1197">
        <f t="shared" ca="1" si="135"/>
        <v>41629.236539650978</v>
      </c>
      <c r="AJ140" s="1198">
        <f ca="1">AI140/4</f>
        <v>10407.309134912744</v>
      </c>
      <c r="AK140" s="868" t="str">
        <f ca="1">IF(AND(AD140&gt;0,SUM(AE140:AJ140)&gt;0),"",IF(AND(AD140=0,SUM(AD140:AJ140)=0),"",IF(AND(AD140=0,AE140&gt;0),"Missing value?",IF(AND(AD140=0,AJ140&gt;0),"Missing value?","New category"))))</f>
        <v/>
      </c>
      <c r="AL140" s="809"/>
      <c r="AM140" s="935"/>
      <c r="AN140" s="936"/>
      <c r="AO140" s="937"/>
      <c r="AP140" s="938">
        <f ca="1">IF(OR(+$AK140="missing?",+$AK140="new category"),"",IF($AE140=0,"",IF(SUM($AD140:$AJ140)=0,"",IFERROR((($AD140-$AE140)/$AE140),"N/A"))))</f>
        <v>-0.34090671139887663</v>
      </c>
      <c r="AQ140" s="756">
        <f t="shared" ref="AQ140:AQ142" ca="1" si="136">IF(OR(+$AK140="missing?",+$AK140="new category"),"",IF($AF140=0,"",IF(SUM($AD140:$AJ140)=0,"",IFERROR((($AD140-$AF140)/$AF140),"N/A"))))</f>
        <v>-0.54539066174303363</v>
      </c>
      <c r="AR140" s="756">
        <f t="shared" ref="AR140:AR142" ca="1" si="137">IF(OR(+$AK140="missing?",+$AK140="new category"),"",IF($AG140=0,"",IF(SUM($AD140:$AJ140)=0,"",IFERROR((($AD140-$AG140)/$AG140),"N/A"))))</f>
        <v>-0.5755780638679715</v>
      </c>
      <c r="AS140" s="756">
        <f ca="1">IF(OR(+$AK140="missing?",+$AK140="new category"),"",IF($AH140=0,"",IF(SUM($AD140:$AJ140)=0,"",IFERROR((($AD140-$AH140)/$AH140),"N/A"))))</f>
        <v>-0.53271840204781018</v>
      </c>
      <c r="AT140" s="939">
        <f ca="1">IF(OR(+$AK140="missing?",+$AK140="new category"),"",IF($AJ140=0,"",IF(SUM($AD140:$AJ140)=0,"",IFERROR((($AD140-$AJ140)/$AJ140),"N/A"))))</f>
        <v>-0.54093045770715775</v>
      </c>
      <c r="AU140" s="2206">
        <f ca="1">IF(MAX(IF(AP140&lt;0,-AP140,AP140),IF(AS140&lt;0,-AS140,AS140),IF(AT140&lt;0,-AT140,AT140))=0,"",MAX(IF(AP140&lt;0,-AP140,AP140),IF(AQ140&lt;0,-AQ140,AQ140),IF(AR140&lt;0,-AR140,AR140),IF(AS140&lt;0,-AS140,AS140),IF(AT140&lt;0,-AT140,AT140)))</f>
        <v>0.5755780638679715</v>
      </c>
      <c r="AV140" s="2207"/>
      <c r="AW140" s="1407"/>
      <c r="AX140" s="1407"/>
      <c r="AY140" s="1407"/>
      <c r="AZ140" s="2208" t="str">
        <f ca="1">IF(+AU140="","",IF(AU140&gt;$AN$3,"H",IF(AU140&gt;$AN$4,"M","")))</f>
        <v>H</v>
      </c>
      <c r="BA140" s="2208"/>
      <c r="BB140" s="751"/>
      <c r="BC140" s="871" t="str">
        <f ca="1">IF(CONCATENATE(AC140, "    ", IF(AL140="OK","",AK140), "    ",IF(AND(+BB140="",AZ140="M"),"Value change with medium impact",IF(AND(BB140="",AZ140="H"),"Value change with high impact",""))," ")="         ","",CONCATENATE(AC140, "    ", IF(AL140="OK","",AK140), "    ",IF(AND(+BB140="",AZ140="M"),"Value change with medium impact",IF(AND(BB140="",AZ140="H"),"Value change with high impact",""))," "))</f>
        <v xml:space="preserve">        Value change with high impact </v>
      </c>
    </row>
    <row r="141" spans="1:55" ht="12.75" customHeight="1" x14ac:dyDescent="0.3">
      <c r="A141" s="55"/>
      <c r="B141" s="1182"/>
      <c r="C141" s="1182"/>
      <c r="D141" s="1182"/>
      <c r="E141" s="1182"/>
      <c r="F141" s="1182"/>
      <c r="G141" s="1182"/>
      <c r="H141" s="1182"/>
      <c r="I141" s="1182"/>
      <c r="J141" s="1182"/>
      <c r="K141" s="1182"/>
      <c r="L141" s="1182"/>
      <c r="M141" s="1182"/>
      <c r="N141" s="1182"/>
      <c r="O141" s="1182"/>
      <c r="P141" s="1182"/>
      <c r="Q141" s="1182"/>
      <c r="R141" s="1182"/>
      <c r="S141" s="1182"/>
      <c r="T141" s="1182"/>
      <c r="U141" s="1182"/>
      <c r="V141" s="1182"/>
      <c r="W141" s="1182"/>
      <c r="X141" s="1182"/>
      <c r="Y141" s="1182"/>
      <c r="Z141" s="1182"/>
      <c r="AA141" s="1182"/>
      <c r="AB141" s="1182"/>
      <c r="AC141" s="940" t="s">
        <v>184</v>
      </c>
      <c r="AD141" s="1199">
        <f t="shared" ref="AD141:AI141" ca="1" si="138">INDIRECT(CONCATENATE("'",AD$14,"'!$E$164"),TRUE)</f>
        <v>3304</v>
      </c>
      <c r="AE141" s="1200">
        <f t="shared" ca="1" si="138"/>
        <v>3304</v>
      </c>
      <c r="AF141" s="1201">
        <f t="shared" ca="1" si="138"/>
        <v>3304</v>
      </c>
      <c r="AG141" s="1201">
        <f t="shared" ca="1" si="138"/>
        <v>3304</v>
      </c>
      <c r="AH141" s="1201">
        <f t="shared" ca="1" si="138"/>
        <v>3304</v>
      </c>
      <c r="AI141" s="1201">
        <f t="shared" ca="1" si="138"/>
        <v>3304</v>
      </c>
      <c r="AJ141" s="1202">
        <f ca="1">AI141</f>
        <v>3304</v>
      </c>
      <c r="AK141" s="872" t="str">
        <f ca="1">IF(AND(AD141&gt;0,SUM(AE141:AJ141)&gt;0),"",IF(AND(AD141=0,SUM(AD141:AJ141)=0),"",IF(AND(AD141=0,AE141&gt;0),"Missing value?",IF(AND(AD141=0,AJ141&gt;0),"Missing value?","New category"))))</f>
        <v/>
      </c>
      <c r="AL141" s="782"/>
      <c r="AM141" s="941"/>
      <c r="AN141" s="942"/>
      <c r="AO141" s="943"/>
      <c r="AP141" s="944">
        <f ca="1">IF(OR(+$AK141="missing?",+$AK141="new category"),"",IF($AE141=0,"",IF(SUM($AD141:$AJ141)=0,"",IFERROR((($AD141-$AE141)/$AE141),"N/A"))))</f>
        <v>0</v>
      </c>
      <c r="AQ141" s="777">
        <f t="shared" ca="1" si="136"/>
        <v>0</v>
      </c>
      <c r="AR141" s="777">
        <f t="shared" ca="1" si="137"/>
        <v>0</v>
      </c>
      <c r="AS141" s="777">
        <f t="shared" ref="AS141" ca="1" si="139">IF(OR(+$AK141="missing?",+$AK141="new category"),"",IF($AH141=0,"",IF(SUM($AD141:$AJ141)=0,"",IFERROR((($AD141-$AH141)/$AH141),"N/A"))))</f>
        <v>0</v>
      </c>
      <c r="AT141" s="945">
        <f ca="1">IF(OR(+$AK141="missing?",+$AK141="new category"),"",IF($AJ141=0,"",IF(SUM($AD141:$AJ141)=0,"",IFERROR((($AD141-$AJ141)/$AJ141),"N/A"))))</f>
        <v>0</v>
      </c>
      <c r="AU141" s="2206" t="str">
        <f t="shared" ref="AU141:AU142" ca="1" si="140">IF(MAX(IF(AP141&lt;0,-AP141,AP141),IF(AS141&lt;0,-AS141,AS141),IF(AT141&lt;0,-AT141,AT141))=0,"",MAX(IF(AP141&lt;0,-AP141,AP141),IF(AQ141&lt;0,-AQ141,AQ141),IF(AR141&lt;0,-AR141,AR141),IF(AS141&lt;0,-AS141,AS141),IF(AT141&lt;0,-AT141,AT141)))</f>
        <v/>
      </c>
      <c r="AV141" s="2207"/>
      <c r="AW141" s="1396"/>
      <c r="AX141" s="1396"/>
      <c r="AY141" s="1396"/>
      <c r="AZ141" s="2207" t="str">
        <f ca="1">IF(+AU141="","",IF(AU141&gt;$AN$3,"H",IF(AU141&gt;$AN$4,"M","")))</f>
        <v/>
      </c>
      <c r="BA141" s="2207"/>
      <c r="BB141" s="772"/>
      <c r="BC141" s="946" t="str">
        <f ca="1">IF(CONCATENATE(IF(AL141="OK","",AK141), "    ",IF(AND(+BB141="",AZ141="M"),"Value change with medium impact",IF(AND(BB141="",AZ141="H"),"Value change with high impact",""))," ")="     ","",CONCATENATE(IF(AL141="OK","",AK141), "    ",IF(AND(+BB141="",AZ141="M"),"Value change with medium impact",IF(AND(BB141="",AZ141="H"),"Value change with high impact",""))," "))</f>
        <v/>
      </c>
    </row>
    <row r="142" spans="1:55" ht="12.75" customHeight="1" thickBot="1" x14ac:dyDescent="0.35">
      <c r="A142" s="55"/>
      <c r="B142" s="1182"/>
      <c r="C142" s="1182"/>
      <c r="D142" s="1182"/>
      <c r="E142" s="1182"/>
      <c r="F142" s="1182"/>
      <c r="G142" s="1182"/>
      <c r="H142" s="1182"/>
      <c r="I142" s="1182"/>
      <c r="J142" s="1182"/>
      <c r="K142" s="1182"/>
      <c r="L142" s="1182"/>
      <c r="M142" s="1182"/>
      <c r="N142" s="1182"/>
      <c r="O142" s="1182"/>
      <c r="P142" s="1182"/>
      <c r="Q142" s="1182"/>
      <c r="R142" s="1182"/>
      <c r="S142" s="1182"/>
      <c r="T142" s="1182"/>
      <c r="U142" s="1182"/>
      <c r="V142" s="1182"/>
      <c r="W142" s="1182"/>
      <c r="X142" s="1182"/>
      <c r="Y142" s="1182"/>
      <c r="Z142" s="1182"/>
      <c r="AA142" s="1182"/>
      <c r="AB142" s="1182"/>
      <c r="AC142" s="947" t="s">
        <v>448</v>
      </c>
      <c r="AD142" s="948">
        <f ca="1">IF(OR(AD140=0,AD141=0),"",AD140/AD141)</f>
        <v>1.4460286443899848</v>
      </c>
      <c r="AE142" s="949">
        <f t="shared" ref="AE142:AJ142" ca="1" si="141">IF(OR(AE140=0,AE141=0),"",AE140/AE141)</f>
        <v>2.193966574077963</v>
      </c>
      <c r="AF142" s="950">
        <f t="shared" ca="1" si="141"/>
        <v>3.1808159725320517</v>
      </c>
      <c r="AG142" s="950">
        <f t="shared" ca="1" si="141"/>
        <v>3.4070544457913137</v>
      </c>
      <c r="AH142" s="950">
        <f t="shared" ca="1" si="141"/>
        <v>3.0945550835450106</v>
      </c>
      <c r="AI142" s="950">
        <f t="shared" ca="1" si="141"/>
        <v>12.599647863090489</v>
      </c>
      <c r="AJ142" s="951">
        <f t="shared" ca="1" si="141"/>
        <v>3.1499119657726222</v>
      </c>
      <c r="AK142" s="849" t="str">
        <f ca="1">IF(AND(AD142&gt;0,SUM(AE142:AJ142)&gt;0),"",IF(AND(AD142=0,SUM(AD142:AJ142)=0),"",IF(AND(AD142=0,AE142&gt;0),"Missing value?",IF(AND(AD142=0,AJ142&gt;0),"Missing value?","New category"))))</f>
        <v/>
      </c>
      <c r="AL142" s="796"/>
      <c r="AM142" s="2200" t="str">
        <f ca="1">IF(AD142&lt;'QA config'!D2,CONCATENATE("&lt; ",'QA config'!D2," m3/FTE"),IF(AD142&gt;'QA config'!C2,CONCATENATE("&gt; ",'QA config'!C2," m3/FTE"),""))</f>
        <v/>
      </c>
      <c r="AN142" s="2201"/>
      <c r="AO142" s="790"/>
      <c r="AP142" s="952">
        <f ca="1">IF(OR(+$AK142="missing?",+$AK142="new category"),"",IF($AE142=0,"",IF(SUM($AD142:$AJ142)=0,"",IFERROR((($AD142-$AE142)/$AE142),"N/A"))))</f>
        <v>-0.34090671139887663</v>
      </c>
      <c r="AQ142" s="1070">
        <f t="shared" ca="1" si="136"/>
        <v>-0.54539066174303363</v>
      </c>
      <c r="AR142" s="1070">
        <f t="shared" ca="1" si="137"/>
        <v>-0.5755780638679715</v>
      </c>
      <c r="AS142" s="1070">
        <f ca="1">IF(OR(+$AK142="missing?",+$AK142="new category"),"",IF($AH142=0,"",IF(SUM($AD142:$AJ142)=0,"",IFERROR((($AD142-$AH142)/$AH142),"N/A"))))</f>
        <v>-0.53271840204781018</v>
      </c>
      <c r="AT142" s="953">
        <f ca="1">IF(OR(+$AK142="missing?",+$AK142="new category"),"",IF($AJ142=0,"",IF(SUM($AD142:$AJ142)=0,"",IFERROR((($AD142-$AJ142)/$AJ142),"N/A"))))</f>
        <v>-0.54093045770715775</v>
      </c>
      <c r="AU142" s="2202">
        <f t="shared" ca="1" si="140"/>
        <v>0.5755780638679715</v>
      </c>
      <c r="AV142" s="2203"/>
      <c r="AW142" s="1405"/>
      <c r="AX142" s="1405"/>
      <c r="AY142" s="1405"/>
      <c r="AZ142" s="2203" t="str">
        <f ca="1">IF(+AU142="","",IF(AU142&gt;$AN$3,"H",IF(AU142&gt;$AN$4,"M","")))</f>
        <v>H</v>
      </c>
      <c r="BA142" s="2203"/>
      <c r="BB142" s="790"/>
      <c r="BC142" s="954" t="str">
        <f ca="1">IF(CONCATENATE(IF(AL142="OK","",AK142), "    ",IF(AND(+BB142="",AZ142="M"),"Value change with medium impact",IF(AND(BB142="",AZ142="H"),"Value change with high impact",""))," ")="     ","",CONCATENATE(IF(AL142="OK","",AK142), "    ",IF(AND(+BB142="",AZ142="M"),"Value change with medium impact",IF(AND(BB142="",AZ142="H"),"Value change with high impact",""))," "))</f>
        <v xml:space="preserve">    Value change with high impact </v>
      </c>
    </row>
    <row r="143" spans="1:55" ht="12.75" customHeight="1" x14ac:dyDescent="0.3">
      <c r="A143" s="55"/>
      <c r="B143" s="1182"/>
      <c r="C143" s="1182"/>
      <c r="D143" s="1182"/>
      <c r="E143" s="1182"/>
      <c r="F143" s="1182"/>
      <c r="G143" s="1182"/>
      <c r="H143" s="1182"/>
      <c r="I143" s="1182"/>
      <c r="J143" s="1182"/>
      <c r="K143" s="1182"/>
      <c r="L143" s="1182"/>
      <c r="M143" s="1182"/>
      <c r="N143" s="1182"/>
      <c r="O143" s="1182"/>
      <c r="P143" s="1182"/>
      <c r="Q143" s="1182"/>
      <c r="R143" s="1182"/>
      <c r="S143" s="1182"/>
      <c r="T143" s="1182"/>
      <c r="U143" s="1182"/>
      <c r="V143" s="1182"/>
      <c r="W143" s="1182"/>
      <c r="X143" s="1182"/>
      <c r="Y143" s="1182"/>
      <c r="Z143" s="1182"/>
      <c r="AA143" s="1182"/>
      <c r="AB143" s="1182"/>
      <c r="AC143" s="55"/>
      <c r="AD143" s="1393"/>
      <c r="AE143" s="1393"/>
      <c r="AF143" s="1393"/>
      <c r="AG143" s="1393"/>
      <c r="AH143" s="1393"/>
      <c r="AI143" s="1393"/>
      <c r="AJ143" s="1393"/>
      <c r="AK143" s="192"/>
      <c r="AL143" s="192"/>
      <c r="AM143" s="99"/>
      <c r="AN143" s="99"/>
      <c r="AO143" s="192"/>
      <c r="AP143" s="921"/>
      <c r="AQ143" s="921"/>
      <c r="AR143" s="921"/>
      <c r="AS143" s="921"/>
      <c r="AT143" s="921"/>
      <c r="AU143" s="710"/>
      <c r="AV143" s="710"/>
      <c r="AW143" s="710"/>
      <c r="AX143" s="710"/>
      <c r="AY143" s="710"/>
      <c r="AZ143" s="710"/>
      <c r="BA143" s="710"/>
      <c r="BB143" s="192"/>
      <c r="BC143" s="875"/>
    </row>
    <row r="144" spans="1:55" ht="12.75" customHeight="1" x14ac:dyDescent="0.3">
      <c r="A144" s="55"/>
      <c r="B144" s="1182"/>
      <c r="C144" s="1182"/>
      <c r="D144" s="1182"/>
      <c r="E144" s="1182"/>
      <c r="F144" s="1182"/>
      <c r="G144" s="1182"/>
      <c r="H144" s="1182"/>
      <c r="I144" s="1182"/>
      <c r="J144" s="1182"/>
      <c r="K144" s="1182"/>
      <c r="L144" s="1182"/>
      <c r="M144" s="1182"/>
      <c r="N144" s="1182"/>
      <c r="O144" s="1182"/>
      <c r="P144" s="1182"/>
      <c r="Q144" s="1182"/>
      <c r="R144" s="1182"/>
      <c r="S144" s="1182"/>
      <c r="T144" s="1182"/>
      <c r="U144" s="1182"/>
      <c r="V144" s="1182"/>
      <c r="W144" s="1182"/>
      <c r="X144" s="1182"/>
      <c r="Y144" s="1182"/>
      <c r="Z144" s="1182"/>
      <c r="AA144" s="1182"/>
      <c r="AB144" s="1182"/>
      <c r="AC144" s="55"/>
      <c r="AD144" s="1393"/>
      <c r="AE144" s="1393"/>
      <c r="AF144" s="1393"/>
      <c r="AG144" s="1393"/>
      <c r="AH144" s="1393"/>
      <c r="AI144" s="1393"/>
      <c r="AJ144" s="1393"/>
      <c r="AK144" s="192"/>
      <c r="AL144" s="192"/>
      <c r="AM144" s="99"/>
      <c r="AN144" s="99"/>
      <c r="AO144" s="192"/>
      <c r="AP144" s="921"/>
      <c r="AQ144" s="921"/>
      <c r="AR144" s="921"/>
      <c r="AS144" s="921"/>
      <c r="AT144" s="921"/>
      <c r="AU144" s="710"/>
      <c r="AV144" s="710"/>
      <c r="AW144" s="710"/>
      <c r="AX144" s="710"/>
      <c r="AY144" s="710"/>
      <c r="AZ144" s="710"/>
      <c r="BA144" s="710"/>
      <c r="BB144" s="192"/>
      <c r="BC144" s="875"/>
    </row>
    <row r="145" spans="1:55" ht="13.5" customHeight="1" x14ac:dyDescent="0.3">
      <c r="A145" s="923" t="s">
        <v>147</v>
      </c>
      <c r="B145" s="87"/>
      <c r="C145" s="819" t="s">
        <v>23</v>
      </c>
      <c r="D145" s="819" t="s">
        <v>23</v>
      </c>
      <c r="E145" s="819" t="s">
        <v>23</v>
      </c>
      <c r="F145" s="819" t="s">
        <v>23</v>
      </c>
      <c r="G145" s="819" t="s">
        <v>23</v>
      </c>
      <c r="H145" s="819"/>
      <c r="I145" s="819" t="s">
        <v>23</v>
      </c>
      <c r="J145" s="819" t="s">
        <v>23</v>
      </c>
      <c r="K145" s="819" t="s">
        <v>23</v>
      </c>
      <c r="L145" s="819" t="s">
        <v>23</v>
      </c>
      <c r="M145" s="819" t="s">
        <v>23</v>
      </c>
      <c r="N145" s="819" t="s">
        <v>23</v>
      </c>
      <c r="O145" s="819" t="s">
        <v>23</v>
      </c>
      <c r="P145" s="819" t="s">
        <v>23</v>
      </c>
      <c r="Q145" s="819" t="s">
        <v>23</v>
      </c>
      <c r="R145" s="819" t="s">
        <v>23</v>
      </c>
      <c r="S145" s="819" t="s">
        <v>23</v>
      </c>
      <c r="T145" s="819" t="s">
        <v>23</v>
      </c>
      <c r="U145" s="819"/>
      <c r="V145" s="819"/>
      <c r="W145" s="819"/>
      <c r="X145" s="819"/>
      <c r="Y145" s="819" t="s">
        <v>23</v>
      </c>
      <c r="Z145" s="819" t="s">
        <v>23</v>
      </c>
      <c r="AA145" s="819" t="s">
        <v>23</v>
      </c>
      <c r="AB145" s="819" t="s">
        <v>23</v>
      </c>
      <c r="AC145" s="1076" t="s">
        <v>144</v>
      </c>
      <c r="AD145" s="1076" t="s">
        <v>144</v>
      </c>
      <c r="AE145" s="1076" t="s">
        <v>144</v>
      </c>
      <c r="AF145" s="1076" t="s">
        <v>144</v>
      </c>
      <c r="AG145" s="1076" t="s">
        <v>144</v>
      </c>
      <c r="AH145" s="1076" t="s">
        <v>144</v>
      </c>
      <c r="AI145" s="1076"/>
      <c r="AJ145" s="1076" t="s">
        <v>144</v>
      </c>
      <c r="AK145" s="1076" t="s">
        <v>144</v>
      </c>
      <c r="AL145" s="1076" t="s">
        <v>144</v>
      </c>
      <c r="AM145" s="1076" t="s">
        <v>144</v>
      </c>
      <c r="AN145" s="1076" t="s">
        <v>144</v>
      </c>
      <c r="AO145" s="1076" t="s">
        <v>144</v>
      </c>
      <c r="AP145" s="1076" t="s">
        <v>144</v>
      </c>
      <c r="AQ145" s="1076" t="s">
        <v>144</v>
      </c>
      <c r="AR145" s="1076" t="s">
        <v>144</v>
      </c>
      <c r="AS145" s="1076" t="s">
        <v>144</v>
      </c>
      <c r="AT145" s="1076" t="s">
        <v>144</v>
      </c>
      <c r="AU145" s="1076" t="s">
        <v>144</v>
      </c>
      <c r="AV145" s="1076"/>
      <c r="AW145" s="1076"/>
      <c r="AX145" s="1076"/>
      <c r="AY145" s="1076"/>
      <c r="AZ145" s="1076" t="s">
        <v>144</v>
      </c>
      <c r="BA145" s="1076" t="s">
        <v>144</v>
      </c>
      <c r="BB145" s="1076" t="s">
        <v>144</v>
      </c>
      <c r="BC145" s="1076" t="s">
        <v>144</v>
      </c>
    </row>
    <row r="146" spans="1:55" thickBot="1" x14ac:dyDescent="0.35">
      <c r="A146" s="1170"/>
      <c r="B146" s="50"/>
      <c r="C146" s="671"/>
      <c r="D146" s="671"/>
      <c r="E146" s="671"/>
      <c r="F146" s="671"/>
      <c r="G146" s="671"/>
      <c r="H146" s="671"/>
      <c r="I146" s="671"/>
      <c r="J146" s="88"/>
      <c r="K146" s="88"/>
      <c r="L146" s="88"/>
      <c r="M146" s="88"/>
      <c r="N146" s="1170"/>
      <c r="O146" s="88"/>
      <c r="P146" s="88"/>
      <c r="Q146" s="88"/>
      <c r="R146" s="88"/>
      <c r="S146" s="88"/>
      <c r="T146" s="88"/>
      <c r="U146" s="88"/>
      <c r="V146" s="88"/>
      <c r="W146" s="88"/>
      <c r="X146" s="88"/>
      <c r="Y146" s="88"/>
      <c r="Z146" s="88"/>
      <c r="AA146" s="88"/>
      <c r="AB146" s="88"/>
      <c r="AC146" s="50"/>
      <c r="AD146" s="106"/>
      <c r="AE146" s="106"/>
      <c r="AF146" s="106"/>
      <c r="AG146" s="106"/>
      <c r="AH146" s="106"/>
      <c r="AI146" s="106"/>
      <c r="AJ146" s="197"/>
      <c r="AK146" s="106"/>
      <c r="AL146" s="106"/>
      <c r="AM146" s="106"/>
      <c r="AN146" s="106"/>
      <c r="AO146" s="50"/>
      <c r="AP146" s="50"/>
      <c r="AQ146" s="50"/>
      <c r="AR146" s="50"/>
      <c r="AS146" s="50"/>
      <c r="AT146" s="50"/>
      <c r="AU146" s="50"/>
      <c r="AV146" s="50"/>
      <c r="AW146" s="50"/>
      <c r="AX146" s="50"/>
      <c r="AY146" s="50"/>
      <c r="AZ146" s="50"/>
      <c r="BA146" s="50"/>
      <c r="BB146" s="50"/>
      <c r="BC146" s="50"/>
    </row>
    <row r="147" spans="1:55" ht="27.6" x14ac:dyDescent="0.3">
      <c r="A147" s="100"/>
      <c r="B147" s="101"/>
      <c r="C147" s="1244" t="s">
        <v>176</v>
      </c>
      <c r="D147" s="2165" t="s">
        <v>177</v>
      </c>
      <c r="E147" s="2165"/>
      <c r="F147" s="2165"/>
      <c r="G147" s="2166"/>
      <c r="H147" s="2167"/>
      <c r="I147" s="2167"/>
      <c r="J147" s="2168" t="s">
        <v>428</v>
      </c>
      <c r="K147" s="2169"/>
      <c r="L147" s="2170"/>
      <c r="M147" s="2171"/>
      <c r="N147" s="2172"/>
      <c r="O147" s="2173" t="s">
        <v>430</v>
      </c>
      <c r="P147" s="2170"/>
      <c r="Q147" s="2170"/>
      <c r="R147" s="2171"/>
      <c r="S147" s="2174"/>
      <c r="T147" s="2170" t="s">
        <v>418</v>
      </c>
      <c r="U147" s="2171"/>
      <c r="V147" s="2171"/>
      <c r="W147" s="2171"/>
      <c r="X147" s="2171"/>
      <c r="Y147" s="2171"/>
      <c r="Z147" s="2171"/>
      <c r="AA147" s="2172"/>
      <c r="AB147" s="2192" t="s">
        <v>433</v>
      </c>
      <c r="AC147" s="2194" t="s">
        <v>432</v>
      </c>
      <c r="AD147" s="1408" t="s">
        <v>176</v>
      </c>
      <c r="AE147" s="2195" t="s">
        <v>177</v>
      </c>
      <c r="AF147" s="2195"/>
      <c r="AG147" s="2195"/>
      <c r="AH147" s="2196"/>
      <c r="AI147" s="2197"/>
      <c r="AJ147" s="2197"/>
      <c r="AK147" s="2198" t="s">
        <v>428</v>
      </c>
      <c r="AL147" s="2199"/>
      <c r="AM147" s="2182"/>
      <c r="AN147" s="2183"/>
      <c r="AO147" s="2184"/>
      <c r="AP147" s="2185" t="s">
        <v>430</v>
      </c>
      <c r="AQ147" s="2182"/>
      <c r="AR147" s="2182"/>
      <c r="AS147" s="2183"/>
      <c r="AT147" s="2186"/>
      <c r="AU147" s="2182" t="s">
        <v>418</v>
      </c>
      <c r="AV147" s="2183"/>
      <c r="AW147" s="2183"/>
      <c r="AX147" s="2183"/>
      <c r="AY147" s="2183"/>
      <c r="AZ147" s="2183"/>
      <c r="BA147" s="2183"/>
      <c r="BB147" s="2184"/>
      <c r="BC147" s="2187" t="s">
        <v>433</v>
      </c>
    </row>
    <row r="148" spans="1:55" ht="38.25" customHeight="1" thickBot="1" x14ac:dyDescent="0.35">
      <c r="A148" s="102"/>
      <c r="B148" s="653"/>
      <c r="C148" s="1245" t="str">
        <f>C14</f>
        <v>Q2</v>
      </c>
      <c r="D148" s="925" t="str">
        <f t="shared" ref="D148:I148" si="142">D14</f>
        <v>Q1</v>
      </c>
      <c r="E148" s="925" t="str">
        <f t="shared" si="142"/>
        <v>Q4-19</v>
      </c>
      <c r="F148" s="925" t="str">
        <f t="shared" si="142"/>
        <v>Q3-19</v>
      </c>
      <c r="G148" s="722" t="str">
        <f t="shared" si="142"/>
        <v>Q2-19</v>
      </c>
      <c r="H148" s="722" t="str">
        <f t="shared" si="142"/>
        <v>2018-2019</v>
      </c>
      <c r="I148" s="926" t="str">
        <f t="shared" si="142"/>
        <v>25% of previous year total</v>
      </c>
      <c r="J148" s="724" t="s">
        <v>434</v>
      </c>
      <c r="K148" s="725" t="s">
        <v>435</v>
      </c>
      <c r="L148" s="1158"/>
      <c r="M148" s="726"/>
      <c r="N148" s="902"/>
      <c r="O148" s="728" t="s">
        <v>438</v>
      </c>
      <c r="P148" s="925" t="s">
        <v>470</v>
      </c>
      <c r="Q148" s="925" t="s">
        <v>471</v>
      </c>
      <c r="R148" s="1169" t="s">
        <v>439</v>
      </c>
      <c r="S148" s="729" t="s">
        <v>440</v>
      </c>
      <c r="T148" s="2156" t="s">
        <v>441</v>
      </c>
      <c r="U148" s="2155"/>
      <c r="V148" s="1394"/>
      <c r="W148" s="1394"/>
      <c r="X148" s="1394"/>
      <c r="Y148" s="2157" t="s">
        <v>449</v>
      </c>
      <c r="Z148" s="2155"/>
      <c r="AA148" s="1159" t="s">
        <v>445</v>
      </c>
      <c r="AB148" s="2193"/>
      <c r="AC148" s="2189"/>
      <c r="AD148" s="1409" t="str">
        <f>AD14</f>
        <v>Q2</v>
      </c>
      <c r="AE148" s="955" t="str">
        <f t="shared" ref="AE148:AJ148" si="143">AE14</f>
        <v>Q1</v>
      </c>
      <c r="AF148" s="730" t="str">
        <f t="shared" si="143"/>
        <v>Q4-19</v>
      </c>
      <c r="AG148" s="730" t="str">
        <f t="shared" si="143"/>
        <v>Q3-19</v>
      </c>
      <c r="AH148" s="956" t="str">
        <f t="shared" si="143"/>
        <v>Q2-19</v>
      </c>
      <c r="AI148" s="957" t="str">
        <f t="shared" si="143"/>
        <v>2018-2019</v>
      </c>
      <c r="AJ148" s="957" t="str">
        <f t="shared" si="143"/>
        <v>25% of previous year total</v>
      </c>
      <c r="AK148" s="958" t="s">
        <v>434</v>
      </c>
      <c r="AL148" s="959" t="s">
        <v>435</v>
      </c>
      <c r="AM148" s="1161"/>
      <c r="AN148" s="837"/>
      <c r="AO148" s="838"/>
      <c r="AP148" s="731" t="s">
        <v>438</v>
      </c>
      <c r="AQ148" s="730" t="s">
        <v>470</v>
      </c>
      <c r="AR148" s="730" t="s">
        <v>471</v>
      </c>
      <c r="AS148" s="1168" t="s">
        <v>439</v>
      </c>
      <c r="AT148" s="732" t="s">
        <v>440</v>
      </c>
      <c r="AU148" s="2189" t="s">
        <v>441</v>
      </c>
      <c r="AV148" s="2190"/>
      <c r="AW148" s="1394"/>
      <c r="AX148" s="1394"/>
      <c r="AY148" s="1394"/>
      <c r="AZ148" s="2191" t="s">
        <v>450</v>
      </c>
      <c r="BA148" s="2190"/>
      <c r="BB148" s="1162" t="s">
        <v>445</v>
      </c>
      <c r="BC148" s="2188"/>
    </row>
    <row r="149" spans="1:55" ht="13.5" customHeight="1" x14ac:dyDescent="0.3">
      <c r="A149" s="960" t="str">
        <f>'Q1'!B171</f>
        <v>Waste recycled externally (excl. ICT waste)</v>
      </c>
      <c r="B149" s="903"/>
      <c r="C149" s="1262">
        <f t="shared" ref="C149:H162" ca="1" si="144">INDEX(INDIRECT(CONCATENATE("'",C$14,"'!$E$171:$E$184"),TRUE),MATCH($A149,INDIRECT(CONCATENATE("'",C$14,"'!$B$171:$B$184"),TRUE),0))</f>
        <v>9584.11</v>
      </c>
      <c r="D149" s="760">
        <f t="shared" ca="1" si="144"/>
        <v>10210.61</v>
      </c>
      <c r="E149" s="761">
        <f t="shared" ca="1" si="144"/>
        <v>10123.6057666738</v>
      </c>
      <c r="F149" s="761">
        <f t="shared" ca="1" si="144"/>
        <v>9587.2362859801106</v>
      </c>
      <c r="G149" s="761">
        <f t="shared" ca="1" si="144"/>
        <v>9670.8344962840893</v>
      </c>
      <c r="H149" s="761">
        <f t="shared" ca="1" si="144"/>
        <v>39436.597342014502</v>
      </c>
      <c r="I149" s="961">
        <f t="shared" ref="I149:I162" ca="1" si="145">H149/4</f>
        <v>9859.1493355036255</v>
      </c>
      <c r="J149" s="800" t="str">
        <f t="shared" ref="J149:J157" ca="1" si="146">IF(AND(C149&gt;0,SUM(D149:I149)&gt;0),"",IF(AND(C149=0,SUM(C149:I149)=0),"",IF(AND(C149=0,D149&gt;0),"Missing value?",IF(AND(C149=0,I149&gt;0),"Missing value?","New category"))))</f>
        <v/>
      </c>
      <c r="K149" s="801"/>
      <c r="L149" s="962"/>
      <c r="M149" s="963"/>
      <c r="N149" s="964"/>
      <c r="O149" s="906">
        <f t="shared" ref="O149:O162" ca="1" si="147">IF(OR(+$J149="missing?",+$J149="new category"),"",IF($D149=0,"",IF(SUM($C149:$I149)=0,"",IFERROR((($C149-$D149)/$D149),"N/A"))))</f>
        <v>-6.1357744542196793E-2</v>
      </c>
      <c r="P149" s="765">
        <f t="shared" ref="P149:P162" ca="1" si="148">IF(OR(+$J149="missing?",+$J149="new category"),"",IF($E149=0,"",IF(SUM($C149:$I149)=0,"",IFERROR((($C149-$E149)/$E149),"N/A"))))</f>
        <v>-5.3290870773512473E-2</v>
      </c>
      <c r="Q149" s="765">
        <f t="shared" ref="Q149:Q162" ca="1" si="149">IF(OR(+$J149="missing?",+$J149="new category"),"",IF($F149=0,"",IF(SUM($C149:$I149)=0,"",IFERROR((($C149-$F149)/$F149),"N/A"))))</f>
        <v>-3.2608834150480798E-4</v>
      </c>
      <c r="R149" s="765">
        <f t="shared" ref="R149:R162" ca="1" si="150">IF(OR(+$J149="missing?",+$J149="new category"),"",IF($G149=0,"",IF(SUM($C149:$I149)=0,"",IFERROR((($C149-$G149)/$G149),"N/A"))))</f>
        <v>-8.9676331776137406E-3</v>
      </c>
      <c r="S149" s="907">
        <f t="shared" ref="S149:S162" ca="1" si="151">IF(OR(+$J149="missing?",+$J149="new category"),"",IF($I149=0,"",IF(SUM($C149:$I149)=0,"",IFERROR((($C149-$I149)/$I149),"N/A"))))</f>
        <v>-2.7896862715445961E-2</v>
      </c>
      <c r="T149" s="1068">
        <f t="shared" ref="T149:T157" ca="1" si="152">IF(SUM(C149:I149)=0,"",IF(OR(AND(C149=0,SUM(D149:I149)&gt;0),AND(C149&gt;0,SUM(D149:I149)=0)),1,IF(MAX(IF(O149&lt;0,-O149,O149),IF(P149&lt;0,-P149,P149),IF(Q149&lt;0,-Q149,Q149),IF(R149&lt;0,-R149,R149),IF(S149&lt;0,-S149,S149))=0,"",MAX(IF(O149&lt;0,-O149,O149),IF(P149&lt;0,-P149,P149),IF(Q149&lt;0,-Q149,Q149),IF(R149&lt;0,-R149,R149),IF(S149&lt;0,-S149,S149)))))</f>
        <v>6.1357744542196793E-2</v>
      </c>
      <c r="U149" s="766" t="str">
        <f t="shared" ref="U149:U157" ca="1" si="153">IF(+T149="","",IF(T149&gt;$N$3,"H",IF(T149&gt;$N$4,"M","")))</f>
        <v>M</v>
      </c>
      <c r="V149" s="1395"/>
      <c r="W149" s="1395"/>
      <c r="X149" s="1395"/>
      <c r="Y149" s="1068">
        <f ca="1">IF(OR(C149=0,C$162=0),IF(AND(D149&gt;0,D$162&gt;0), +T149*D149/D$162, IF(AND(I149&gt;0,I$162&gt;0), +T149*I149/I$162, "")), +T149*C149/C$162)</f>
        <v>4.5470488769560863E-2</v>
      </c>
      <c r="Z149" s="766" t="str">
        <f t="shared" ref="Z149:Z157" ca="1" si="154">IF(+Y149="","",IF(Y149&gt;$N$3,"H",IF(Y149&gt;$N$4,"M","")))</f>
        <v/>
      </c>
      <c r="AA149" s="762"/>
      <c r="AB149" s="758" t="str">
        <f ca="1">IF(CONCATENATE(IF(K149="OK","",J149),"    ",IF(AND(+AA149="",Z149="M"),"Value change with medium impact",IF(AND(AA149="",Z149="H"),"Value change with high impact",""))," ")="     ","",CONCATENATE(IF(K149="OK","",J149),"    ",IF(AND(+AA149="",Z149="M"),"Value change with medium impact",IF(AND(AA149="",Z149="H"),"Value change with high impact",""))," "))</f>
        <v/>
      </c>
      <c r="AC149" s="965" t="str">
        <f ca="1">IF(AD149&gt;C149,"Offices only&gt;Total Estate","")</f>
        <v/>
      </c>
      <c r="AD149" s="1180">
        <f t="shared" ref="AD149:AI162" ca="1" si="155">INDEX(INDIRECT(CONCATENATE("'",AD$14,"'!$G$171:$G$184"),TRUE),MATCH($A149,INDIRECT(CONCATENATE("'",AD$14,"'!$B$171:$B$184"),TRUE),0))</f>
        <v>143.43</v>
      </c>
      <c r="AE149" s="760">
        <f t="shared" ca="1" si="155"/>
        <v>98.81</v>
      </c>
      <c r="AF149" s="761">
        <f t="shared" ca="1" si="155"/>
        <v>443.85256819385501</v>
      </c>
      <c r="AG149" s="761">
        <f t="shared" ca="1" si="155"/>
        <v>311.27616338948701</v>
      </c>
      <c r="AH149" s="761">
        <f t="shared" ca="1" si="155"/>
        <v>381.30271709442098</v>
      </c>
      <c r="AI149" s="761">
        <f t="shared" ca="1" si="155"/>
        <v>1542.576482537015</v>
      </c>
      <c r="AJ149" s="961">
        <f ca="1">AI149/4</f>
        <v>385.64412063425374</v>
      </c>
      <c r="AK149" s="800" t="str">
        <f ca="1">IF(AND(AD149&gt;0,SUM(AE149:AJ149)&gt;0),"",IF(AND(AD149=0,SUM(AD149:AJ149)=0),"",IF(AND(AD149=0,AE149&gt;0),"missing?",IF(AND(AD149=0,AJ149&gt;0),"missing?","new category"))))</f>
        <v/>
      </c>
      <c r="AL149" s="801"/>
      <c r="AM149" s="962"/>
      <c r="AN149" s="963"/>
      <c r="AO149" s="964"/>
      <c r="AP149" s="802">
        <f t="shared" ref="AP149:AP162" ca="1" si="156">IF(OR(+$AK149="missing?",+$AK149="new category"),"",IF($AE149=0,"",IF(SUM($AD149:$AJ149)=0,"",IFERROR((($AD149-$AE149)/$AE149),"N/A"))))</f>
        <v>0.45157372735553086</v>
      </c>
      <c r="AQ149" s="765">
        <f t="shared" ref="AQ149:AQ162" ca="1" si="157">IF(OR(+$AK149="missing?",+$AK149="new category"),"",IF($AF149=0,"",IF(SUM($AD149:$AJ149)=0,"",IFERROR((($AD149-$AF149)/$AF149),"N/A"))))</f>
        <v>-0.67685215704923851</v>
      </c>
      <c r="AR149" s="765">
        <f t="shared" ref="AR149:AR162" ca="1" si="158">IF(OR(+$AK149="missing?",+$AK149="new category"),"",IF($AG149=0,"",IF(SUM($AD149:$AJ149)=0,"",IFERROR((($AD149-$AG149)/$AG149),"N/A"))))</f>
        <v>-0.53921945568144269</v>
      </c>
      <c r="AS149" s="765">
        <f t="shared" ref="AS149:AS162" ca="1" si="159">IF(OR(+$AK149="missing?",+$AK149="new category"),"",IF($AH149=0,"",IF(SUM($AD149:$AJ149)=0,"",IFERROR((($AD149-$AH149)/$AH149),"N/A"))))</f>
        <v>-0.62384217691141497</v>
      </c>
      <c r="AT149" s="907">
        <f ca="1">IF(OR(+$AK149="missing?",+$AK149="new category"),"",IF($AJ149=0,"",IF(SUM($AD149:$AJ149)=0,"",IFERROR((($AD149-$AJ149)/$AJ149),"N/A"))))</f>
        <v>-0.6280767880912943</v>
      </c>
      <c r="AU149" s="1068">
        <f t="shared" ref="AU149:AU157" ca="1" si="160">IF(MAX(IF(AP149&lt;0,-AP149,AP149),IF(AS149&lt;0,-AS149,AS149),IF(AT149&lt;0,-AT149,AT149))=0,"",MAX(IF(AP149&lt;0,-AP149,AP149),IF(AQ149&lt;0,-AQ149,AQ149),IF(AR149&lt;0,-AR149,AR149),IF(AS149&lt;0,-AS149,AS149),IF(AT149&lt;0,-AT149,AT149)))</f>
        <v>0.67685215704923851</v>
      </c>
      <c r="AV149" s="766" t="str">
        <f t="shared" ref="AV149:AV157" ca="1" si="161">IF(+AU149="","",IF(AU149&gt;$AO$3,"H",IF(AU149&gt;$AO$4,"M","")))</f>
        <v>H</v>
      </c>
      <c r="AW149" s="1395"/>
      <c r="AX149" s="1395"/>
      <c r="AY149" s="1395"/>
      <c r="AZ149" s="1068">
        <f ca="1">IF(OR(AD149=0,AD$162=0),IF(AND(AE149&gt;0,AE$162&gt;0), +AU149*AE149/AE$162, IF(AND(AJ149&gt;0,AJ$162&gt;0), +AU149*AJ149/AJ$162, "")), IF(AU149="", "", +AU149*AD149/AD$162))</f>
        <v>0.61701350505638919</v>
      </c>
      <c r="BA149" s="766" t="str">
        <f t="shared" ref="BA149:BA157" ca="1" si="162">IF(+AZ149="","",IF(AZ149&gt;$AO$3,"H",IF(AZ149&gt;$AO$4,"M","")))</f>
        <v>H</v>
      </c>
      <c r="BB149" s="762"/>
      <c r="BC149" s="758" t="str">
        <f ca="1">IF(CONCATENATE(AC149, "    ", IF(AL149="OK","",AK149),"    ",IF(AND(+BB149="",BA149="M"),"Value change with medium impact",IF(AND(BB149="",BA149="H"),"Value change with high impact",""))," ")="         ","",CONCATENATE(AC149, "    ", IF(AL149="OK","",AK149),"    ",IF(AND(+BB149="",BA149="M"),"Value change with medium impact",IF(AND(BB149="",BA149="H"),"Value change with high impact",""))," "))</f>
        <v xml:space="preserve">        Value change with high impact </v>
      </c>
    </row>
    <row r="150" spans="1:55" ht="13.5" customHeight="1" x14ac:dyDescent="0.3">
      <c r="A150" s="966" t="str">
        <f>'Q1'!B172</f>
        <v>waste reused externally  (excl. ICT waste)</v>
      </c>
      <c r="B150" s="908"/>
      <c r="C150" s="1179">
        <f t="shared" ca="1" si="144"/>
        <v>155.63999999999999</v>
      </c>
      <c r="D150" s="781">
        <f t="shared" ca="1" si="144"/>
        <v>34.437230194091804</v>
      </c>
      <c r="E150" s="769">
        <f t="shared" ca="1" si="144"/>
        <v>192.63350514221099</v>
      </c>
      <c r="F150" s="769">
        <f t="shared" ca="1" si="144"/>
        <v>410.24924185660399</v>
      </c>
      <c r="G150" s="769">
        <f t="shared" ca="1" si="144"/>
        <v>294.07336717082563</v>
      </c>
      <c r="H150" s="769">
        <f t="shared" ca="1" si="144"/>
        <v>1075.929548987916</v>
      </c>
      <c r="I150" s="967">
        <f t="shared" ca="1" si="145"/>
        <v>268.98238724697899</v>
      </c>
      <c r="J150" s="771" t="str">
        <f t="shared" ca="1" si="146"/>
        <v/>
      </c>
      <c r="K150" s="772"/>
      <c r="L150" s="968"/>
      <c r="M150" s="969"/>
      <c r="N150" s="970"/>
      <c r="O150" s="810">
        <f t="shared" ca="1" si="147"/>
        <v>3.5195272419644903</v>
      </c>
      <c r="P150" s="783">
        <f t="shared" ca="1" si="148"/>
        <v>-0.19204086596929587</v>
      </c>
      <c r="Q150" s="783">
        <f t="shared" ca="1" si="149"/>
        <v>-0.62062087111814468</v>
      </c>
      <c r="R150" s="783">
        <f t="shared" ca="1" si="150"/>
        <v>-0.4707443197003639</v>
      </c>
      <c r="S150" s="811">
        <f t="shared" ca="1" si="151"/>
        <v>-0.42137475396449764</v>
      </c>
      <c r="T150" s="1069">
        <f t="shared" ca="1" si="152"/>
        <v>3.5195272419644903</v>
      </c>
      <c r="U150" s="1165" t="str">
        <f t="shared" ca="1" si="153"/>
        <v>H</v>
      </c>
      <c r="V150" s="1396"/>
      <c r="W150" s="1396"/>
      <c r="X150" s="1396"/>
      <c r="Y150" s="1069">
        <f t="shared" ref="Y150:Y157" ca="1" si="163">IF(OR(C150=0,C$162=0),IF(AND(D150&gt;0,D$162&gt;0), +T150*D150/D$162, IF(AND(I150&gt;0,I$162&gt;0), +T150*I150/I$162, "")), +T150*C150/C$162)</f>
        <v>4.2355908281006549E-2</v>
      </c>
      <c r="Z150" s="1165" t="str">
        <f t="shared" ca="1" si="154"/>
        <v/>
      </c>
      <c r="AA150" s="782"/>
      <c r="AB150" s="804" t="str">
        <f t="shared" ref="AB150:AB156" ca="1" si="164">IF(CONCATENATE(IF(K150="OK","",J150),"    ",IF(AND(+AA150="",Z150="M"),"Value change with medium impact",IF(AND(AA150="",Z150="H"),"Value change with high impact",""))," ")="     ","",CONCATENATE(IF(K150="OK","",J150),"    ",IF(AND(+AA150="",Z150="M"),"Value change with medium impact",IF(AND(AA150="",Z150="H"),"Value change with high impact",""))," "))</f>
        <v/>
      </c>
      <c r="AC150" s="971" t="str">
        <f t="shared" ref="AC150:AC157" ca="1" si="165">IF(AD150&gt;C150,"Offices only&gt;Total Estate","")</f>
        <v/>
      </c>
      <c r="AD150" s="1179">
        <f t="shared" ca="1" si="155"/>
        <v>0</v>
      </c>
      <c r="AE150" s="806">
        <f t="shared" ca="1" si="155"/>
        <v>0</v>
      </c>
      <c r="AF150" s="749">
        <f t="shared" ca="1" si="155"/>
        <v>4</v>
      </c>
      <c r="AG150" s="749">
        <f t="shared" ca="1" si="155"/>
        <v>0</v>
      </c>
      <c r="AH150" s="749">
        <f t="shared" ca="1" si="155"/>
        <v>0</v>
      </c>
      <c r="AI150" s="749">
        <f t="shared" ca="1" si="155"/>
        <v>4</v>
      </c>
      <c r="AJ150" s="972">
        <f t="shared" ref="AJ150:AJ162" ca="1" si="166">AI150/4</f>
        <v>1</v>
      </c>
      <c r="AK150" s="973" t="str">
        <f t="shared" ref="AK150:AK157" ca="1" si="167">IF(AND(AD150&gt;0,SUM(AE150:AJ150)&gt;0),"",IF(AND(AD150=0,SUM(AD150:AJ150)=0),"",IF(AND(AD150=0,AE150&gt;0),"missing?",IF(AND(AD150=0,AJ150&gt;0),"missing?","new category"))))</f>
        <v>missing?</v>
      </c>
      <c r="AL150" s="772"/>
      <c r="AM150" s="968"/>
      <c r="AN150" s="969"/>
      <c r="AO150" s="970"/>
      <c r="AP150" s="755" t="str">
        <f t="shared" ca="1" si="156"/>
        <v/>
      </c>
      <c r="AQ150" s="808" t="str">
        <f t="shared" ca="1" si="157"/>
        <v/>
      </c>
      <c r="AR150" s="808" t="str">
        <f t="shared" ca="1" si="158"/>
        <v/>
      </c>
      <c r="AS150" s="808" t="str">
        <f t="shared" ca="1" si="159"/>
        <v/>
      </c>
      <c r="AT150" s="974" t="str">
        <f t="shared" ref="AT150:AT162" ca="1" si="168">IF(OR(+$AK150="missing?",+$AK150="new category"),"",IF($AJ150=0,"",IF(SUM($AD150:$AJ150)=0,"",IFERROR((($AD150-$AJ150)/$AJ150),"N/A"))))</f>
        <v/>
      </c>
      <c r="AU150" s="1069" t="str">
        <f t="shared" ca="1" si="160"/>
        <v/>
      </c>
      <c r="AV150" s="1165" t="str">
        <f t="shared" ca="1" si="161"/>
        <v/>
      </c>
      <c r="AW150" s="1396"/>
      <c r="AX150" s="1396"/>
      <c r="AY150" s="1396"/>
      <c r="AZ150" s="1069" t="e">
        <f t="shared" ref="AZ150:AZ161" ca="1" si="169">IF(OR(AD150=0,AD$162=0),IF(AND(AE150&gt;0,AE$162&gt;0), +AU150*AE150/AE$162, IF(AND(AJ150&gt;0,AJ$162&gt;0), +AU150*AJ150/AJ$162, "")), IF(AU150="", "", +AU150*AD150/AD$162))</f>
        <v>#VALUE!</v>
      </c>
      <c r="BA150" s="1165" t="e">
        <f t="shared" ca="1" si="162"/>
        <v>#VALUE!</v>
      </c>
      <c r="BB150" s="782"/>
      <c r="BC150" s="804" t="e">
        <f t="shared" ref="BC150:BC161" ca="1" si="170">IF(CONCATENATE(AC150, "    ", IF(AL150="OK","",AK150),"    ",IF(AND(+BB150="",BA150="M"),"Value change with medium impact",IF(AND(BB150="",BA150="H"),"Value change with high impact",""))," ")="         ","",CONCATENATE(AC150, "    ", IF(AL150="OK","",AK150),"    ",IF(AND(+BB150="",BA150="M"),"Value change with medium impact",IF(AND(BB150="",BA150="H"),"Value change with high impact",""))," "))</f>
        <v>#VALUE!</v>
      </c>
    </row>
    <row r="151" spans="1:55" ht="13.5" customHeight="1" x14ac:dyDescent="0.3">
      <c r="A151" s="966" t="str">
        <f>'Q1'!B173</f>
        <v>ICT waste recycled externally</v>
      </c>
      <c r="B151" s="908"/>
      <c r="C151" s="1179">
        <f t="shared" ca="1" si="144"/>
        <v>1.03</v>
      </c>
      <c r="D151" s="781">
        <f t="shared" ca="1" si="144"/>
        <v>2.3051999511718799</v>
      </c>
      <c r="E151" s="769">
        <f t="shared" ca="1" si="144"/>
        <v>7.766</v>
      </c>
      <c r="F151" s="769">
        <f t="shared" ca="1" si="144"/>
        <v>8.1000000000000003E-2</v>
      </c>
      <c r="G151" s="769">
        <f t="shared" ca="1" si="144"/>
        <v>0.84170000076293938</v>
      </c>
      <c r="H151" s="769">
        <f t="shared" ca="1" si="144"/>
        <v>10.001200000762939</v>
      </c>
      <c r="I151" s="967">
        <f t="shared" ca="1" si="145"/>
        <v>2.5003000001907347</v>
      </c>
      <c r="J151" s="771" t="str">
        <f t="shared" ca="1" si="146"/>
        <v/>
      </c>
      <c r="K151" s="772"/>
      <c r="L151" s="968"/>
      <c r="M151" s="969"/>
      <c r="N151" s="1203"/>
      <c r="O151" s="810">
        <f t="shared" ca="1" si="147"/>
        <v>-0.55318409603627428</v>
      </c>
      <c r="P151" s="783">
        <f t="shared" ca="1" si="148"/>
        <v>-0.8673705897501931</v>
      </c>
      <c r="Q151" s="783">
        <f t="shared" ca="1" si="149"/>
        <v>11.716049382716049</v>
      </c>
      <c r="R151" s="783">
        <f t="shared" ca="1" si="150"/>
        <v>0.22371391121109718</v>
      </c>
      <c r="S151" s="811">
        <f t="shared" ca="1" si="151"/>
        <v>-0.58804943409933741</v>
      </c>
      <c r="T151" s="1069">
        <f t="shared" ca="1" si="152"/>
        <v>11.716049382716049</v>
      </c>
      <c r="U151" s="1165" t="str">
        <f t="shared" ca="1" si="153"/>
        <v>H</v>
      </c>
      <c r="V151" s="1396"/>
      <c r="W151" s="1396"/>
      <c r="X151" s="1396"/>
      <c r="Y151" s="1069">
        <f t="shared" ca="1" si="163"/>
        <v>9.3309715275208087E-4</v>
      </c>
      <c r="Z151" s="1165" t="str">
        <f t="shared" ca="1" si="154"/>
        <v/>
      </c>
      <c r="AA151" s="782"/>
      <c r="AB151" s="804" t="str">
        <f t="shared" ca="1" si="164"/>
        <v/>
      </c>
      <c r="AC151" s="971" t="str">
        <f t="shared" ca="1" si="165"/>
        <v/>
      </c>
      <c r="AD151" s="1179">
        <f t="shared" ca="1" si="155"/>
        <v>0.01</v>
      </c>
      <c r="AE151" s="806">
        <f t="shared" ca="1" si="155"/>
        <v>1.11719995117188</v>
      </c>
      <c r="AF151" s="749">
        <f t="shared" ca="1" si="155"/>
        <v>7.7</v>
      </c>
      <c r="AG151" s="749">
        <f t="shared" ca="1" si="155"/>
        <v>0</v>
      </c>
      <c r="AH151" s="749">
        <f t="shared" ca="1" si="155"/>
        <v>1.8700000762939498E-2</v>
      </c>
      <c r="AI151" s="749">
        <f t="shared" ca="1" si="155"/>
        <v>7.71870000076294</v>
      </c>
      <c r="AJ151" s="972">
        <f t="shared" ca="1" si="166"/>
        <v>1.929675000190735</v>
      </c>
      <c r="AK151" s="973" t="str">
        <f ca="1">IF(AND(AD151&gt;0,SUM(AE151:AJ151)&gt;0),"",IF(AND(AD151=0,SUM(AD151:AJ151)=0),"",IF(AND(AD151=0,AE151&gt;0),"missing?",IF(AND(AD151=0,AJ151&gt;0),"missing?","new category"))))</f>
        <v/>
      </c>
      <c r="AL151" s="772"/>
      <c r="AM151" s="968"/>
      <c r="AN151" s="969"/>
      <c r="AO151" s="970"/>
      <c r="AP151" s="755">
        <f ca="1">IF(OR(+$AK151="missing?",+$AK151="new category"),"",IF($AE151=0,"",IF(SUM($AD151:$AJ151)=0,"",IFERROR((($AD151-$AE151)/$AE151),"N/A"))))</f>
        <v>-0.9910490508082187</v>
      </c>
      <c r="AQ151" s="808">
        <f t="shared" ca="1" si="157"/>
        <v>-0.99870129870129876</v>
      </c>
      <c r="AR151" s="808" t="str">
        <f t="shared" ca="1" si="158"/>
        <v/>
      </c>
      <c r="AS151" s="808">
        <f t="shared" ca="1" si="159"/>
        <v>-0.46524066352882454</v>
      </c>
      <c r="AT151" s="974">
        <f t="shared" ca="1" si="168"/>
        <v>-0.99481778019665923</v>
      </c>
      <c r="AU151" s="1069">
        <f t="shared" ca="1" si="160"/>
        <v>0.99870129870129876</v>
      </c>
      <c r="AV151" s="1165" t="str">
        <f t="shared" ca="1" si="161"/>
        <v>H</v>
      </c>
      <c r="AW151" s="1396"/>
      <c r="AX151" s="1396"/>
      <c r="AY151" s="1396"/>
      <c r="AZ151" s="1069">
        <f t="shared" ca="1" si="169"/>
        <v>6.3474087879833397E-5</v>
      </c>
      <c r="BA151" s="1165" t="str">
        <f t="shared" ca="1" si="162"/>
        <v/>
      </c>
      <c r="BB151" s="782"/>
      <c r="BC151" s="804" t="str">
        <f ca="1">IF(CONCATENATE(AC151, "    ", IF(AL151="OK","",AK151),"    ",IF(AND(+BB151="",BA151="M"),"Value change with medium impact",IF(AND(BB151="",BA151="H"),"Value change with high impact",""))," ")="         ","",CONCATENATE(AC151, "    ", IF(AL151="OK","",AK151),"    ",IF(AND(+BB151="",BA151="M"),"Value change with medium impact",IF(AND(BB151="",BA151="H"),"Value change with high impact",""))," "))</f>
        <v/>
      </c>
    </row>
    <row r="152" spans="1:55" ht="13.5" customHeight="1" x14ac:dyDescent="0.3">
      <c r="A152" s="966" t="str">
        <f>'Q1'!B174</f>
        <v>ICT waste reused externally</v>
      </c>
      <c r="B152" s="908"/>
      <c r="C152" s="1179">
        <f t="shared" ca="1" si="144"/>
        <v>0</v>
      </c>
      <c r="D152" s="781">
        <f t="shared" ca="1" si="144"/>
        <v>0</v>
      </c>
      <c r="E152" s="769">
        <f t="shared" ca="1" si="144"/>
        <v>0</v>
      </c>
      <c r="F152" s="769">
        <f t="shared" ca="1" si="144"/>
        <v>0</v>
      </c>
      <c r="G152" s="769">
        <f t="shared" ca="1" si="144"/>
        <v>0</v>
      </c>
      <c r="H152" s="769">
        <f t="shared" ca="1" si="144"/>
        <v>0</v>
      </c>
      <c r="I152" s="967">
        <f t="shared" ca="1" si="145"/>
        <v>0</v>
      </c>
      <c r="J152" s="771" t="str">
        <f t="shared" ca="1" si="146"/>
        <v/>
      </c>
      <c r="K152" s="772"/>
      <c r="L152" s="968"/>
      <c r="M152" s="969"/>
      <c r="N152" s="1203"/>
      <c r="O152" s="810" t="str">
        <f t="shared" ca="1" si="147"/>
        <v/>
      </c>
      <c r="P152" s="783" t="str">
        <f t="shared" ca="1" si="148"/>
        <v/>
      </c>
      <c r="Q152" s="783" t="str">
        <f t="shared" ca="1" si="149"/>
        <v/>
      </c>
      <c r="R152" s="783" t="str">
        <f t="shared" ca="1" si="150"/>
        <v/>
      </c>
      <c r="S152" s="811" t="str">
        <f t="shared" ca="1" si="151"/>
        <v/>
      </c>
      <c r="T152" s="1069" t="str">
        <f t="shared" ca="1" si="152"/>
        <v/>
      </c>
      <c r="U152" s="1165" t="str">
        <f t="shared" ca="1" si="153"/>
        <v/>
      </c>
      <c r="V152" s="1396"/>
      <c r="W152" s="1396"/>
      <c r="X152" s="1396"/>
      <c r="Y152" s="1069" t="str">
        <f t="shared" ca="1" si="163"/>
        <v/>
      </c>
      <c r="Z152" s="1165" t="str">
        <f t="shared" ca="1" si="154"/>
        <v/>
      </c>
      <c r="AA152" s="782"/>
      <c r="AB152" s="804" t="str">
        <f t="shared" ca="1" si="164"/>
        <v/>
      </c>
      <c r="AC152" s="971" t="str">
        <f t="shared" ca="1" si="165"/>
        <v/>
      </c>
      <c r="AD152" s="1179">
        <f t="shared" ca="1" si="155"/>
        <v>0</v>
      </c>
      <c r="AE152" s="806">
        <f t="shared" ca="1" si="155"/>
        <v>0</v>
      </c>
      <c r="AF152" s="749">
        <f t="shared" ca="1" si="155"/>
        <v>0</v>
      </c>
      <c r="AG152" s="749">
        <f t="shared" ca="1" si="155"/>
        <v>0</v>
      </c>
      <c r="AH152" s="749">
        <f t="shared" ca="1" si="155"/>
        <v>0</v>
      </c>
      <c r="AI152" s="749">
        <f t="shared" ca="1" si="155"/>
        <v>0</v>
      </c>
      <c r="AJ152" s="972">
        <f t="shared" ca="1" si="166"/>
        <v>0</v>
      </c>
      <c r="AK152" s="973" t="str">
        <f t="shared" ca="1" si="167"/>
        <v/>
      </c>
      <c r="AL152" s="772"/>
      <c r="AM152" s="968"/>
      <c r="AN152" s="969"/>
      <c r="AO152" s="970"/>
      <c r="AP152" s="755" t="str">
        <f t="shared" ca="1" si="156"/>
        <v/>
      </c>
      <c r="AQ152" s="808" t="str">
        <f t="shared" ca="1" si="157"/>
        <v/>
      </c>
      <c r="AR152" s="808" t="str">
        <f t="shared" ca="1" si="158"/>
        <v/>
      </c>
      <c r="AS152" s="808" t="str">
        <f t="shared" ca="1" si="159"/>
        <v/>
      </c>
      <c r="AT152" s="974" t="str">
        <f t="shared" ca="1" si="168"/>
        <v/>
      </c>
      <c r="AU152" s="1069" t="str">
        <f t="shared" ca="1" si="160"/>
        <v/>
      </c>
      <c r="AV152" s="1165" t="str">
        <f t="shared" ca="1" si="161"/>
        <v/>
      </c>
      <c r="AW152" s="1396"/>
      <c r="AX152" s="1396"/>
      <c r="AY152" s="1396"/>
      <c r="AZ152" s="1069" t="str">
        <f t="shared" ca="1" si="169"/>
        <v/>
      </c>
      <c r="BA152" s="1165" t="str">
        <f t="shared" ca="1" si="162"/>
        <v/>
      </c>
      <c r="BB152" s="782"/>
      <c r="BC152" s="804" t="str">
        <f t="shared" ca="1" si="170"/>
        <v/>
      </c>
    </row>
    <row r="153" spans="1:55" ht="13.5" customHeight="1" x14ac:dyDescent="0.3">
      <c r="A153" s="966" t="str">
        <f>'Q1'!B175</f>
        <v>ICT waste - other (please describe and explain)</v>
      </c>
      <c r="B153" s="908"/>
      <c r="C153" s="1179">
        <f t="shared" ca="1" si="144"/>
        <v>0</v>
      </c>
      <c r="D153" s="781">
        <f t="shared" ca="1" si="144"/>
        <v>0</v>
      </c>
      <c r="E153" s="769">
        <f t="shared" ca="1" si="144"/>
        <v>0</v>
      </c>
      <c r="F153" s="769">
        <f t="shared" ca="1" si="144"/>
        <v>0</v>
      </c>
      <c r="G153" s="769">
        <f t="shared" ca="1" si="144"/>
        <v>0</v>
      </c>
      <c r="H153" s="769">
        <f t="shared" ca="1" si="144"/>
        <v>0</v>
      </c>
      <c r="I153" s="967">
        <f t="shared" ca="1" si="145"/>
        <v>0</v>
      </c>
      <c r="J153" s="771" t="str">
        <f t="shared" ca="1" si="146"/>
        <v/>
      </c>
      <c r="K153" s="772"/>
      <c r="L153" s="968"/>
      <c r="M153" s="969"/>
      <c r="N153" s="1203"/>
      <c r="O153" s="810" t="str">
        <f t="shared" ca="1" si="147"/>
        <v/>
      </c>
      <c r="P153" s="783" t="str">
        <f t="shared" ca="1" si="148"/>
        <v/>
      </c>
      <c r="Q153" s="783" t="str">
        <f t="shared" ca="1" si="149"/>
        <v/>
      </c>
      <c r="R153" s="783" t="str">
        <f t="shared" ca="1" si="150"/>
        <v/>
      </c>
      <c r="S153" s="811" t="str">
        <f t="shared" ca="1" si="151"/>
        <v/>
      </c>
      <c r="T153" s="1069" t="str">
        <f t="shared" ca="1" si="152"/>
        <v/>
      </c>
      <c r="U153" s="1165" t="str">
        <f t="shared" ca="1" si="153"/>
        <v/>
      </c>
      <c r="V153" s="1396"/>
      <c r="W153" s="1396"/>
      <c r="X153" s="1396"/>
      <c r="Y153" s="1069" t="str">
        <f t="shared" ca="1" si="163"/>
        <v/>
      </c>
      <c r="Z153" s="1165" t="str">
        <f t="shared" ca="1" si="154"/>
        <v/>
      </c>
      <c r="AA153" s="782"/>
      <c r="AB153" s="804" t="str">
        <f t="shared" ca="1" si="164"/>
        <v/>
      </c>
      <c r="AC153" s="971" t="str">
        <f t="shared" ca="1" si="165"/>
        <v/>
      </c>
      <c r="AD153" s="1179">
        <f t="shared" ca="1" si="155"/>
        <v>0</v>
      </c>
      <c r="AE153" s="806">
        <f t="shared" ca="1" si="155"/>
        <v>0</v>
      </c>
      <c r="AF153" s="749">
        <f t="shared" ca="1" si="155"/>
        <v>0</v>
      </c>
      <c r="AG153" s="749">
        <f t="shared" ca="1" si="155"/>
        <v>0</v>
      </c>
      <c r="AH153" s="749">
        <f t="shared" ca="1" si="155"/>
        <v>0</v>
      </c>
      <c r="AI153" s="749">
        <f t="shared" ca="1" si="155"/>
        <v>0</v>
      </c>
      <c r="AJ153" s="972">
        <f t="shared" ca="1" si="166"/>
        <v>0</v>
      </c>
      <c r="AK153" s="973" t="str">
        <f t="shared" ca="1" si="167"/>
        <v/>
      </c>
      <c r="AL153" s="772"/>
      <c r="AM153" s="968"/>
      <c r="AN153" s="969"/>
      <c r="AO153" s="970"/>
      <c r="AP153" s="755" t="str">
        <f t="shared" ca="1" si="156"/>
        <v/>
      </c>
      <c r="AQ153" s="808" t="str">
        <f t="shared" ca="1" si="157"/>
        <v/>
      </c>
      <c r="AR153" s="808" t="str">
        <f t="shared" ca="1" si="158"/>
        <v/>
      </c>
      <c r="AS153" s="808" t="str">
        <f t="shared" ca="1" si="159"/>
        <v/>
      </c>
      <c r="AT153" s="974" t="str">
        <f t="shared" ca="1" si="168"/>
        <v/>
      </c>
      <c r="AU153" s="1069" t="str">
        <f t="shared" ca="1" si="160"/>
        <v/>
      </c>
      <c r="AV153" s="1165" t="str">
        <f t="shared" ca="1" si="161"/>
        <v/>
      </c>
      <c r="AW153" s="1396"/>
      <c r="AX153" s="1396"/>
      <c r="AY153" s="1396"/>
      <c r="AZ153" s="1069" t="str">
        <f t="shared" ca="1" si="169"/>
        <v/>
      </c>
      <c r="BA153" s="1165" t="str">
        <f t="shared" ca="1" si="162"/>
        <v/>
      </c>
      <c r="BB153" s="782"/>
      <c r="BC153" s="804" t="str">
        <f t="shared" ca="1" si="170"/>
        <v/>
      </c>
    </row>
    <row r="154" spans="1:55" ht="13.5" customHeight="1" x14ac:dyDescent="0.3">
      <c r="A154" s="966" t="str">
        <f>'Q1'!B176</f>
        <v>Waste composted or sent to anaerobic digestion</v>
      </c>
      <c r="B154" s="908"/>
      <c r="C154" s="1179">
        <f t="shared" ca="1" si="144"/>
        <v>861.37</v>
      </c>
      <c r="D154" s="781">
        <f t="shared" ca="1" si="144"/>
        <v>747.00797580645099</v>
      </c>
      <c r="E154" s="769">
        <f t="shared" ca="1" si="144"/>
        <v>663.91750000000002</v>
      </c>
      <c r="F154" s="769">
        <f t="shared" ca="1" si="144"/>
        <v>670.14179040354395</v>
      </c>
      <c r="G154" s="769">
        <f t="shared" ca="1" si="144"/>
        <v>666.94637499999988</v>
      </c>
      <c r="H154" s="769">
        <f t="shared" ca="1" si="144"/>
        <v>2544.680415403544</v>
      </c>
      <c r="I154" s="967">
        <f t="shared" ca="1" si="145"/>
        <v>636.17010385088599</v>
      </c>
      <c r="J154" s="771" t="str">
        <f t="shared" ca="1" si="146"/>
        <v/>
      </c>
      <c r="K154" s="772"/>
      <c r="L154" s="968"/>
      <c r="M154" s="969"/>
      <c r="N154" s="970"/>
      <c r="O154" s="810">
        <f t="shared" ca="1" si="147"/>
        <v>0.15309344464506774</v>
      </c>
      <c r="P154" s="783">
        <f t="shared" ca="1" si="148"/>
        <v>0.29740517458871019</v>
      </c>
      <c r="Q154" s="783">
        <f t="shared" ca="1" si="149"/>
        <v>0.28535484927943805</v>
      </c>
      <c r="R154" s="783">
        <f t="shared" ca="1" si="150"/>
        <v>0.29151312952259495</v>
      </c>
      <c r="S154" s="811">
        <f t="shared" ca="1" si="151"/>
        <v>0.35399320839807863</v>
      </c>
      <c r="T154" s="1069">
        <f t="shared" ca="1" si="152"/>
        <v>0.35399320839807863</v>
      </c>
      <c r="U154" s="1165" t="str">
        <f t="shared" ca="1" si="153"/>
        <v>H</v>
      </c>
      <c r="V154" s="1396"/>
      <c r="W154" s="1396"/>
      <c r="X154" s="1396"/>
      <c r="Y154" s="1069">
        <f t="shared" ca="1" si="163"/>
        <v>2.3577248332557754E-2</v>
      </c>
      <c r="Z154" s="1165" t="str">
        <f t="shared" ca="1" si="154"/>
        <v/>
      </c>
      <c r="AA154" s="782"/>
      <c r="AB154" s="804" t="str">
        <f ca="1">IF(CONCATENATE(IF(K154="OK","",J154),"    ",IF(AND(+AA154="",Z154="M"),"Value change with medium impact",IF(AND(AA154="",Z154="H"),"Value change with high impact",""))," ")="     ","",CONCATENATE(IF(K154="OK","",J154),"    ",IF(AND(+AA154="",Z154="M"),"Value change with medium impact",IF(AND(AA154="",Z154="H"),"Value change with high impact",""))," "))</f>
        <v/>
      </c>
      <c r="AC154" s="971" t="str">
        <f t="shared" ca="1" si="165"/>
        <v/>
      </c>
      <c r="AD154" s="1179">
        <f t="shared" ca="1" si="155"/>
        <v>6.38</v>
      </c>
      <c r="AE154" s="806">
        <f t="shared" ca="1" si="155"/>
        <v>5.9287499999999902</v>
      </c>
      <c r="AF154" s="749">
        <f t="shared" ca="1" si="155"/>
        <v>0</v>
      </c>
      <c r="AG154" s="749">
        <f t="shared" ca="1" si="155"/>
        <v>10.0823475271756</v>
      </c>
      <c r="AH154" s="749">
        <f t="shared" ca="1" si="155"/>
        <v>19.524374999999999</v>
      </c>
      <c r="AI154" s="749">
        <f t="shared" ca="1" si="155"/>
        <v>48.162722527175603</v>
      </c>
      <c r="AJ154" s="972">
        <f t="shared" ca="1" si="166"/>
        <v>12.040680631793901</v>
      </c>
      <c r="AK154" s="973" t="str">
        <f t="shared" ca="1" si="167"/>
        <v/>
      </c>
      <c r="AL154" s="772"/>
      <c r="AM154" s="968"/>
      <c r="AN154" s="969"/>
      <c r="AO154" s="970"/>
      <c r="AP154" s="755">
        <f t="shared" ca="1" si="156"/>
        <v>7.6112165296227774E-2</v>
      </c>
      <c r="AQ154" s="808" t="str">
        <f t="shared" ca="1" si="157"/>
        <v/>
      </c>
      <c r="AR154" s="808">
        <f t="shared" ca="1" si="158"/>
        <v>-0.36721086207318526</v>
      </c>
      <c r="AS154" s="808">
        <f t="shared" ca="1" si="159"/>
        <v>-0.67322897659976311</v>
      </c>
      <c r="AT154" s="974">
        <f t="shared" ca="1" si="168"/>
        <v>-0.47012962181279405</v>
      </c>
      <c r="AU154" s="1069">
        <f t="shared" ca="1" si="160"/>
        <v>0.67322897659976311</v>
      </c>
      <c r="AV154" s="1165" t="str">
        <f t="shared" ca="1" si="161"/>
        <v>H</v>
      </c>
      <c r="AW154" s="1396"/>
      <c r="AX154" s="1396"/>
      <c r="AY154" s="1396"/>
      <c r="AZ154" s="1069">
        <f t="shared" ca="1" si="169"/>
        <v>2.7298848803269916E-2</v>
      </c>
      <c r="BA154" s="1165" t="str">
        <f t="shared" ca="1" si="162"/>
        <v/>
      </c>
      <c r="BB154" s="782"/>
      <c r="BC154" s="804" t="str">
        <f t="shared" ca="1" si="170"/>
        <v/>
      </c>
    </row>
    <row r="155" spans="1:55" ht="13.5" customHeight="1" x14ac:dyDescent="0.3">
      <c r="A155" s="966" t="str">
        <f>'Q1'!B177</f>
        <v>Waste incinerated with energy recovery</v>
      </c>
      <c r="B155" s="908"/>
      <c r="C155" s="1179">
        <f t="shared" ca="1" si="144"/>
        <v>2157.5</v>
      </c>
      <c r="D155" s="781">
        <f t="shared" ca="1" si="144"/>
        <v>1822.28682709912</v>
      </c>
      <c r="E155" s="769">
        <f t="shared" ca="1" si="144"/>
        <v>1931.62825443829</v>
      </c>
      <c r="F155" s="769">
        <f t="shared" ca="1" si="144"/>
        <v>1781.3726693828835</v>
      </c>
      <c r="G155" s="769">
        <f t="shared" ca="1" si="144"/>
        <v>1439.1987893349501</v>
      </c>
      <c r="H155" s="769">
        <f t="shared" ca="1" si="144"/>
        <v>6871.1899212343542</v>
      </c>
      <c r="I155" s="967">
        <f t="shared" ca="1" si="145"/>
        <v>1717.7974803085885</v>
      </c>
      <c r="J155" s="771" t="str">
        <f t="shared" ca="1" si="146"/>
        <v/>
      </c>
      <c r="K155" s="772"/>
      <c r="L155" s="968"/>
      <c r="M155" s="969"/>
      <c r="N155" s="970"/>
      <c r="O155" s="810">
        <f t="shared" ca="1" si="147"/>
        <v>0.18395192673071253</v>
      </c>
      <c r="P155" s="783">
        <f t="shared" ca="1" si="148"/>
        <v>0.11693334110366521</v>
      </c>
      <c r="Q155" s="783">
        <f t="shared" ca="1" si="149"/>
        <v>0.211144662249375</v>
      </c>
      <c r="R155" s="783">
        <f t="shared" ca="1" si="150"/>
        <v>0.49909798145187084</v>
      </c>
      <c r="S155" s="811">
        <f t="shared" ca="1" si="151"/>
        <v>0.25596877672240059</v>
      </c>
      <c r="T155" s="1069">
        <f t="shared" ca="1" si="152"/>
        <v>0.49909798145187084</v>
      </c>
      <c r="U155" s="1165" t="str">
        <f t="shared" ca="1" si="153"/>
        <v>H</v>
      </c>
      <c r="V155" s="1396"/>
      <c r="W155" s="1396"/>
      <c r="X155" s="1396"/>
      <c r="Y155" s="1069">
        <f t="shared" ca="1" si="163"/>
        <v>8.326165972041652E-2</v>
      </c>
      <c r="Z155" s="1165" t="str">
        <f t="shared" ca="1" si="154"/>
        <v>M</v>
      </c>
      <c r="AA155" s="782"/>
      <c r="AB155" s="804" t="str">
        <f t="shared" ca="1" si="164"/>
        <v xml:space="preserve">    Value change with medium impact </v>
      </c>
      <c r="AC155" s="971" t="str">
        <f t="shared" ca="1" si="165"/>
        <v/>
      </c>
      <c r="AD155" s="1179">
        <f t="shared" ca="1" si="155"/>
        <v>3.66</v>
      </c>
      <c r="AE155" s="806">
        <f t="shared" ca="1" si="155"/>
        <v>2</v>
      </c>
      <c r="AF155" s="749">
        <f t="shared" ca="1" si="155"/>
        <v>0</v>
      </c>
      <c r="AG155" s="749">
        <f t="shared" ca="1" si="155"/>
        <v>0</v>
      </c>
      <c r="AH155" s="749">
        <f t="shared" ca="1" si="155"/>
        <v>0</v>
      </c>
      <c r="AI155" s="749">
        <f t="shared" ca="1" si="155"/>
        <v>0</v>
      </c>
      <c r="AJ155" s="972">
        <f t="shared" ca="1" si="166"/>
        <v>0</v>
      </c>
      <c r="AK155" s="973" t="str">
        <f t="shared" ca="1" si="167"/>
        <v/>
      </c>
      <c r="AL155" s="772"/>
      <c r="AM155" s="968"/>
      <c r="AN155" s="969"/>
      <c r="AO155" s="970"/>
      <c r="AP155" s="755">
        <f t="shared" ca="1" si="156"/>
        <v>0.83000000000000007</v>
      </c>
      <c r="AQ155" s="808" t="str">
        <f t="shared" ca="1" si="157"/>
        <v/>
      </c>
      <c r="AR155" s="808" t="str">
        <f t="shared" ca="1" si="158"/>
        <v/>
      </c>
      <c r="AS155" s="808" t="str">
        <f t="shared" ca="1" si="159"/>
        <v/>
      </c>
      <c r="AT155" s="974" t="str">
        <f t="shared" ca="1" si="168"/>
        <v/>
      </c>
      <c r="AU155" s="1069">
        <f t="shared" ca="1" si="160"/>
        <v>0.83000000000000007</v>
      </c>
      <c r="AV155" s="1165" t="str">
        <f t="shared" ca="1" si="161"/>
        <v>H</v>
      </c>
      <c r="AW155" s="1396"/>
      <c r="AX155" s="1396"/>
      <c r="AY155" s="1396"/>
      <c r="AZ155" s="1069">
        <f t="shared" ca="1" si="169"/>
        <v>1.9307232744375239E-2</v>
      </c>
      <c r="BA155" s="1165" t="str">
        <f t="shared" ca="1" si="162"/>
        <v/>
      </c>
      <c r="BB155" s="782"/>
      <c r="BC155" s="804" t="str">
        <f t="shared" ca="1" si="170"/>
        <v/>
      </c>
    </row>
    <row r="156" spans="1:55" ht="13.5" customHeight="1" x14ac:dyDescent="0.3">
      <c r="A156" s="966" t="str">
        <f>'Q1'!B178</f>
        <v>Waste incinerated without energy recovery</v>
      </c>
      <c r="B156" s="908"/>
      <c r="C156" s="1179">
        <f t="shared" ca="1" si="144"/>
        <v>0</v>
      </c>
      <c r="D156" s="781">
        <f t="shared" ca="1" si="144"/>
        <v>0</v>
      </c>
      <c r="E156" s="769">
        <f t="shared" ca="1" si="144"/>
        <v>0</v>
      </c>
      <c r="F156" s="769">
        <f t="shared" ca="1" si="144"/>
        <v>4.0000000000000001E-3</v>
      </c>
      <c r="G156" s="769">
        <f t="shared" ca="1" si="144"/>
        <v>0</v>
      </c>
      <c r="H156" s="769">
        <f t="shared" ca="1" si="144"/>
        <v>4.0000000000000001E-3</v>
      </c>
      <c r="I156" s="967">
        <f t="shared" ca="1" si="145"/>
        <v>1E-3</v>
      </c>
      <c r="J156" s="771" t="str">
        <f t="shared" ca="1" si="146"/>
        <v>Missing value?</v>
      </c>
      <c r="K156" s="772"/>
      <c r="L156" s="968"/>
      <c r="M156" s="969"/>
      <c r="N156" s="970"/>
      <c r="O156" s="810" t="str">
        <f t="shared" ca="1" si="147"/>
        <v/>
      </c>
      <c r="P156" s="783" t="str">
        <f t="shared" ca="1" si="148"/>
        <v/>
      </c>
      <c r="Q156" s="783">
        <f t="shared" ca="1" si="149"/>
        <v>-1</v>
      </c>
      <c r="R156" s="783" t="str">
        <f t="shared" ca="1" si="150"/>
        <v/>
      </c>
      <c r="S156" s="811">
        <f t="shared" ca="1" si="151"/>
        <v>-1</v>
      </c>
      <c r="T156" s="1069">
        <f t="shared" ca="1" si="152"/>
        <v>1</v>
      </c>
      <c r="U156" s="1165" t="str">
        <f t="shared" ca="1" si="153"/>
        <v>H</v>
      </c>
      <c r="V156" s="1396"/>
      <c r="W156" s="1396"/>
      <c r="X156" s="1396"/>
      <c r="Y156" s="1069">
        <f t="shared" ca="1" si="163"/>
        <v>7.9448004618128142E-8</v>
      </c>
      <c r="Z156" s="1165" t="str">
        <f t="shared" ca="1" si="154"/>
        <v/>
      </c>
      <c r="AA156" s="782"/>
      <c r="AB156" s="804" t="str">
        <f t="shared" ca="1" si="164"/>
        <v xml:space="preserve">Missing value?     </v>
      </c>
      <c r="AC156" s="971" t="str">
        <f t="shared" ca="1" si="165"/>
        <v/>
      </c>
      <c r="AD156" s="1179">
        <f t="shared" ca="1" si="155"/>
        <v>0</v>
      </c>
      <c r="AE156" s="806">
        <f t="shared" ca="1" si="155"/>
        <v>0</v>
      </c>
      <c r="AF156" s="749">
        <f t="shared" ca="1" si="155"/>
        <v>0</v>
      </c>
      <c r="AG156" s="749">
        <f t="shared" ca="1" si="155"/>
        <v>0</v>
      </c>
      <c r="AH156" s="749">
        <f t="shared" ca="1" si="155"/>
        <v>0</v>
      </c>
      <c r="AI156" s="749">
        <f t="shared" ca="1" si="155"/>
        <v>0</v>
      </c>
      <c r="AJ156" s="972">
        <f t="shared" ca="1" si="166"/>
        <v>0</v>
      </c>
      <c r="AK156" s="973" t="str">
        <f t="shared" ca="1" si="167"/>
        <v/>
      </c>
      <c r="AL156" s="772"/>
      <c r="AM156" s="968"/>
      <c r="AN156" s="969"/>
      <c r="AO156" s="970"/>
      <c r="AP156" s="755" t="str">
        <f t="shared" ca="1" si="156"/>
        <v/>
      </c>
      <c r="AQ156" s="808" t="str">
        <f t="shared" ca="1" si="157"/>
        <v/>
      </c>
      <c r="AR156" s="808" t="str">
        <f t="shared" ca="1" si="158"/>
        <v/>
      </c>
      <c r="AS156" s="808" t="str">
        <f t="shared" ca="1" si="159"/>
        <v/>
      </c>
      <c r="AT156" s="974" t="str">
        <f t="shared" ca="1" si="168"/>
        <v/>
      </c>
      <c r="AU156" s="1069" t="str">
        <f t="shared" ca="1" si="160"/>
        <v/>
      </c>
      <c r="AV156" s="1165" t="str">
        <f t="shared" ca="1" si="161"/>
        <v/>
      </c>
      <c r="AW156" s="1396"/>
      <c r="AX156" s="1396"/>
      <c r="AY156" s="1396"/>
      <c r="AZ156" s="1069" t="str">
        <f t="shared" ca="1" si="169"/>
        <v/>
      </c>
      <c r="BA156" s="1165" t="str">
        <f t="shared" ca="1" si="162"/>
        <v/>
      </c>
      <c r="BB156" s="782"/>
      <c r="BC156" s="804" t="str">
        <f t="shared" ca="1" si="170"/>
        <v/>
      </c>
    </row>
    <row r="157" spans="1:55" ht="13.5" customHeight="1" x14ac:dyDescent="0.3">
      <c r="A157" s="966" t="str">
        <f>'Q1'!B179</f>
        <v>Preparation for reuse</v>
      </c>
      <c r="B157" s="908"/>
      <c r="C157" s="1179">
        <f t="shared" ca="1" si="144"/>
        <v>0</v>
      </c>
      <c r="D157" s="781">
        <f t="shared" ca="1" si="144"/>
        <v>0</v>
      </c>
      <c r="E157" s="769">
        <f t="shared" ca="1" si="144"/>
        <v>0</v>
      </c>
      <c r="F157" s="769">
        <f t="shared" ca="1" si="144"/>
        <v>0</v>
      </c>
      <c r="G157" s="769">
        <f t="shared" ca="1" si="144"/>
        <v>0</v>
      </c>
      <c r="H157" s="769">
        <f t="shared" ca="1" si="144"/>
        <v>0</v>
      </c>
      <c r="I157" s="967">
        <f t="shared" ca="1" si="145"/>
        <v>0</v>
      </c>
      <c r="J157" s="771" t="str">
        <f t="shared" ca="1" si="146"/>
        <v/>
      </c>
      <c r="K157" s="772"/>
      <c r="L157" s="968"/>
      <c r="M157" s="969"/>
      <c r="N157" s="970"/>
      <c r="O157" s="810" t="str">
        <f t="shared" ca="1" si="147"/>
        <v/>
      </c>
      <c r="P157" s="783" t="str">
        <f t="shared" ca="1" si="148"/>
        <v/>
      </c>
      <c r="Q157" s="783" t="str">
        <f t="shared" ca="1" si="149"/>
        <v/>
      </c>
      <c r="R157" s="783" t="str">
        <f t="shared" ca="1" si="150"/>
        <v/>
      </c>
      <c r="S157" s="811" t="str">
        <f t="shared" ca="1" si="151"/>
        <v/>
      </c>
      <c r="T157" s="1069" t="str">
        <f t="shared" ca="1" si="152"/>
        <v/>
      </c>
      <c r="U157" s="1165" t="str">
        <f t="shared" ca="1" si="153"/>
        <v/>
      </c>
      <c r="V157" s="1396"/>
      <c r="W157" s="1396"/>
      <c r="X157" s="1396"/>
      <c r="Y157" s="1069" t="str">
        <f t="shared" ca="1" si="163"/>
        <v/>
      </c>
      <c r="Z157" s="1165" t="str">
        <f t="shared" ca="1" si="154"/>
        <v/>
      </c>
      <c r="AA157" s="782"/>
      <c r="AB157" s="804" t="str">
        <f ca="1">IF(CONCATENATE(IF(K157="OK","",J157),"    ",IF(AND(+AA157="",Z157="M"),"Value change with medium impact",IF(AND(AA157="",Z157="H"),"Value change with high impact",""))," ")="     ","",CONCATENATE(IF(K157="OK","",J157),"    ",IF(AND(+AA157="",Z157="M"),"Value change with medium impact",IF(AND(AA157="",Z157="H"),"Value change with high impact",""))," "))</f>
        <v/>
      </c>
      <c r="AC157" s="971" t="str">
        <f t="shared" ca="1" si="165"/>
        <v/>
      </c>
      <c r="AD157" s="1179">
        <f t="shared" ca="1" si="155"/>
        <v>0</v>
      </c>
      <c r="AE157" s="806">
        <f t="shared" ca="1" si="155"/>
        <v>0</v>
      </c>
      <c r="AF157" s="749">
        <f t="shared" ca="1" si="155"/>
        <v>0</v>
      </c>
      <c r="AG157" s="749">
        <f t="shared" ca="1" si="155"/>
        <v>0</v>
      </c>
      <c r="AH157" s="749">
        <f t="shared" ca="1" si="155"/>
        <v>0</v>
      </c>
      <c r="AI157" s="749">
        <f t="shared" ca="1" si="155"/>
        <v>0</v>
      </c>
      <c r="AJ157" s="972">
        <f t="shared" ca="1" si="166"/>
        <v>0</v>
      </c>
      <c r="AK157" s="973" t="str">
        <f t="shared" ca="1" si="167"/>
        <v/>
      </c>
      <c r="AL157" s="772"/>
      <c r="AM157" s="968"/>
      <c r="AN157" s="969"/>
      <c r="AO157" s="970"/>
      <c r="AP157" s="755" t="str">
        <f t="shared" ca="1" si="156"/>
        <v/>
      </c>
      <c r="AQ157" s="808" t="str">
        <f t="shared" ca="1" si="157"/>
        <v/>
      </c>
      <c r="AR157" s="808" t="str">
        <f t="shared" ca="1" si="158"/>
        <v/>
      </c>
      <c r="AS157" s="808" t="str">
        <f t="shared" ca="1" si="159"/>
        <v/>
      </c>
      <c r="AT157" s="974" t="str">
        <f t="shared" ca="1" si="168"/>
        <v/>
      </c>
      <c r="AU157" s="1069" t="str">
        <f t="shared" ca="1" si="160"/>
        <v/>
      </c>
      <c r="AV157" s="1165" t="str">
        <f t="shared" ca="1" si="161"/>
        <v/>
      </c>
      <c r="AW157" s="1396"/>
      <c r="AX157" s="1396"/>
      <c r="AY157" s="1396"/>
      <c r="AZ157" s="1069" t="str">
        <f t="shared" ca="1" si="169"/>
        <v/>
      </c>
      <c r="BA157" s="1165" t="str">
        <f t="shared" ca="1" si="162"/>
        <v/>
      </c>
      <c r="BB157" s="782"/>
      <c r="BC157" s="804" t="str">
        <f t="shared" ca="1" si="170"/>
        <v/>
      </c>
    </row>
    <row r="158" spans="1:55" ht="13.5" customHeight="1" x14ac:dyDescent="0.3">
      <c r="A158" s="966" t="str">
        <f>'Q1'!B180</f>
        <v>TOTAL WASTE RECYCLED</v>
      </c>
      <c r="B158" s="908"/>
      <c r="C158" s="1179">
        <f t="shared" ca="1" si="144"/>
        <v>10446.510000000002</v>
      </c>
      <c r="D158" s="781">
        <f t="shared" ca="1" si="144"/>
        <v>10959.923175757624</v>
      </c>
      <c r="E158" s="769">
        <f t="shared" ca="1" si="144"/>
        <v>10795.289266673799</v>
      </c>
      <c r="F158" s="769">
        <f t="shared" ca="1" si="144"/>
        <v>10257.459076383655</v>
      </c>
      <c r="G158" s="769">
        <f t="shared" ca="1" si="144"/>
        <v>10338.622571284852</v>
      </c>
      <c r="H158" s="769">
        <f t="shared" ca="1" si="144"/>
        <v>41991.278957418806</v>
      </c>
      <c r="I158" s="967">
        <f t="shared" ca="1" si="145"/>
        <v>10497.819739354702</v>
      </c>
      <c r="J158" s="873"/>
      <c r="K158" s="775"/>
      <c r="L158" s="968"/>
      <c r="M158" s="969"/>
      <c r="N158" s="975"/>
      <c r="O158" s="810">
        <f t="shared" ca="1" si="147"/>
        <v>-4.6844596218817106E-2</v>
      </c>
      <c r="P158" s="783">
        <f t="shared" ca="1" si="148"/>
        <v>-3.2308468819868999E-2</v>
      </c>
      <c r="Q158" s="783">
        <f t="shared" ca="1" si="149"/>
        <v>1.8430580342417353E-2</v>
      </c>
      <c r="R158" s="783">
        <f t="shared" ca="1" si="150"/>
        <v>1.0435377437493815E-2</v>
      </c>
      <c r="S158" s="811">
        <f t="shared" ca="1" si="151"/>
        <v>-4.8876567352692567E-3</v>
      </c>
      <c r="T158" s="1077"/>
      <c r="U158" s="1077"/>
      <c r="V158" s="1397"/>
      <c r="W158" s="1397"/>
      <c r="X158" s="1397"/>
      <c r="Y158" s="1077"/>
      <c r="Z158" s="1077"/>
      <c r="AA158" s="976"/>
      <c r="AB158" s="977"/>
      <c r="AC158" s="978"/>
      <c r="AD158" s="1179">
        <f t="shared" ca="1" si="155"/>
        <v>149.82</v>
      </c>
      <c r="AE158" s="806">
        <f t="shared" ca="1" si="155"/>
        <v>105.85594995117188</v>
      </c>
      <c r="AF158" s="749">
        <f t="shared" ca="1" si="155"/>
        <v>451.552568193855</v>
      </c>
      <c r="AG158" s="749">
        <f t="shared" ca="1" si="155"/>
        <v>321.35851091666262</v>
      </c>
      <c r="AH158" s="749">
        <f t="shared" ca="1" si="155"/>
        <v>400.84579209518392</v>
      </c>
      <c r="AI158" s="749">
        <f t="shared" ca="1" si="155"/>
        <v>1598.4579050649536</v>
      </c>
      <c r="AJ158" s="972">
        <f t="shared" ca="1" si="166"/>
        <v>399.6144762662384</v>
      </c>
      <c r="AK158" s="979"/>
      <c r="AL158" s="980"/>
      <c r="AM158" s="968"/>
      <c r="AN158" s="981"/>
      <c r="AO158" s="976"/>
      <c r="AP158" s="755">
        <f t="shared" ca="1" si="156"/>
        <v>0.41531959298563176</v>
      </c>
      <c r="AQ158" s="808">
        <f t="shared" ca="1" si="157"/>
        <v>-0.66821138765911947</v>
      </c>
      <c r="AR158" s="808">
        <f t="shared" ca="1" si="158"/>
        <v>-0.53379171576117812</v>
      </c>
      <c r="AS158" s="808">
        <f t="shared" ca="1" si="159"/>
        <v>-0.62624030748357196</v>
      </c>
      <c r="AT158" s="974">
        <f t="shared" ca="1" si="168"/>
        <v>-0.62508865694799254</v>
      </c>
      <c r="AU158" s="1078"/>
      <c r="AV158" s="982"/>
      <c r="AW158" s="1396"/>
      <c r="AX158" s="1396"/>
      <c r="AY158" s="1396"/>
      <c r="AZ158" s="1078"/>
      <c r="BA158" s="982"/>
      <c r="BB158" s="983"/>
      <c r="BC158" s="984"/>
    </row>
    <row r="159" spans="1:55" ht="13.5" customHeight="1" x14ac:dyDescent="0.3">
      <c r="A159" s="966" t="str">
        <f>'Q1'!B181</f>
        <v>TOTAL ICT WASTE (excl. waste reused)</v>
      </c>
      <c r="B159" s="908"/>
      <c r="C159" s="1179">
        <f t="shared" ca="1" si="144"/>
        <v>1.03</v>
      </c>
      <c r="D159" s="781">
        <f t="shared" ca="1" si="144"/>
        <v>2.3051999511718799</v>
      </c>
      <c r="E159" s="769">
        <f t="shared" ca="1" si="144"/>
        <v>7.766</v>
      </c>
      <c r="F159" s="769">
        <f t="shared" ca="1" si="144"/>
        <v>8.1000000000000003E-2</v>
      </c>
      <c r="G159" s="769">
        <f t="shared" ca="1" si="144"/>
        <v>0.84170000076293938</v>
      </c>
      <c r="H159" s="769">
        <f t="shared" ca="1" si="144"/>
        <v>10.001200000762939</v>
      </c>
      <c r="I159" s="967">
        <f t="shared" ca="1" si="145"/>
        <v>2.5003000001907347</v>
      </c>
      <c r="J159" s="873"/>
      <c r="K159" s="775"/>
      <c r="L159" s="968"/>
      <c r="M159" s="969"/>
      <c r="N159" s="975"/>
      <c r="O159" s="810">
        <f t="shared" ca="1" si="147"/>
        <v>-0.55318409603627428</v>
      </c>
      <c r="P159" s="783">
        <f t="shared" ca="1" si="148"/>
        <v>-0.8673705897501931</v>
      </c>
      <c r="Q159" s="783">
        <f t="shared" ca="1" si="149"/>
        <v>11.716049382716049</v>
      </c>
      <c r="R159" s="783">
        <f t="shared" ca="1" si="150"/>
        <v>0.22371391121109718</v>
      </c>
      <c r="S159" s="811">
        <f t="shared" ca="1" si="151"/>
        <v>-0.58804943409933741</v>
      </c>
      <c r="T159" s="1077"/>
      <c r="U159" s="1077"/>
      <c r="V159" s="1397"/>
      <c r="W159" s="1397"/>
      <c r="X159" s="1397"/>
      <c r="Y159" s="1077"/>
      <c r="Z159" s="1077"/>
      <c r="AA159" s="976"/>
      <c r="AB159" s="977"/>
      <c r="AC159" s="978"/>
      <c r="AD159" s="1179">
        <f t="shared" ca="1" si="155"/>
        <v>0.01</v>
      </c>
      <c r="AE159" s="806">
        <f t="shared" ca="1" si="155"/>
        <v>1.11719995117188</v>
      </c>
      <c r="AF159" s="749">
        <f t="shared" ca="1" si="155"/>
        <v>7.7</v>
      </c>
      <c r="AG159" s="749">
        <f t="shared" ca="1" si="155"/>
        <v>0</v>
      </c>
      <c r="AH159" s="749">
        <f t="shared" ca="1" si="155"/>
        <v>1.8700000762939498E-2</v>
      </c>
      <c r="AI159" s="749">
        <f t="shared" ca="1" si="155"/>
        <v>7.71870000076294</v>
      </c>
      <c r="AJ159" s="972">
        <f t="shared" ca="1" si="166"/>
        <v>1.929675000190735</v>
      </c>
      <c r="AK159" s="979"/>
      <c r="AL159" s="980"/>
      <c r="AM159" s="968"/>
      <c r="AN159" s="981"/>
      <c r="AO159" s="976"/>
      <c r="AP159" s="755">
        <f t="shared" ca="1" si="156"/>
        <v>-0.9910490508082187</v>
      </c>
      <c r="AQ159" s="808">
        <f t="shared" ca="1" si="157"/>
        <v>-0.99870129870129876</v>
      </c>
      <c r="AR159" s="808" t="str">
        <f t="shared" ca="1" si="158"/>
        <v/>
      </c>
      <c r="AS159" s="808">
        <f t="shared" ca="1" si="159"/>
        <v>-0.46524066352882454</v>
      </c>
      <c r="AT159" s="974">
        <f t="shared" ca="1" si="168"/>
        <v>-0.99481778019665923</v>
      </c>
      <c r="AU159" s="1078"/>
      <c r="AV159" s="982"/>
      <c r="AW159" s="1396"/>
      <c r="AX159" s="1396"/>
      <c r="AY159" s="1396"/>
      <c r="AZ159" s="1078"/>
      <c r="BA159" s="982"/>
      <c r="BB159" s="983"/>
      <c r="BC159" s="984"/>
    </row>
    <row r="160" spans="1:55" ht="13.5" customHeight="1" x14ac:dyDescent="0.3">
      <c r="A160" s="966" t="str">
        <f>'Q1'!B182</f>
        <v>TOTAL WASTE NOT TO LANDFILL (excl. waste reused)</v>
      </c>
      <c r="B160" s="908"/>
      <c r="C160" s="1179">
        <f t="shared" ca="1" si="144"/>
        <v>12604.010000000002</v>
      </c>
      <c r="D160" s="781">
        <f t="shared" ca="1" si="144"/>
        <v>12782.210002856744</v>
      </c>
      <c r="E160" s="769">
        <f t="shared" ca="1" si="144"/>
        <v>12726.917521112089</v>
      </c>
      <c r="F160" s="769">
        <f t="shared" ca="1" si="144"/>
        <v>12038.835745766539</v>
      </c>
      <c r="G160" s="769">
        <f t="shared" ca="1" si="144"/>
        <v>11777.821360619802</v>
      </c>
      <c r="H160" s="769">
        <f t="shared" ca="1" si="144"/>
        <v>48862.472878653163</v>
      </c>
      <c r="I160" s="967">
        <f t="shared" ca="1" si="145"/>
        <v>12215.618219663291</v>
      </c>
      <c r="J160" s="873"/>
      <c r="K160" s="775"/>
      <c r="L160" s="968"/>
      <c r="M160" s="969"/>
      <c r="N160" s="975"/>
      <c r="O160" s="810">
        <f t="shared" ca="1" si="147"/>
        <v>-1.3941251381170798E-2</v>
      </c>
      <c r="P160" s="783">
        <f t="shared" ca="1" si="148"/>
        <v>-9.6572890417653424E-3</v>
      </c>
      <c r="Q160" s="783">
        <f t="shared" ca="1" si="149"/>
        <v>4.6945922859044482E-2</v>
      </c>
      <c r="R160" s="783">
        <f t="shared" ca="1" si="150"/>
        <v>7.0147832445704703E-2</v>
      </c>
      <c r="S160" s="811">
        <f t="shared" ca="1" si="151"/>
        <v>3.1794688844443669E-2</v>
      </c>
      <c r="T160" s="1077"/>
      <c r="U160" s="1077"/>
      <c r="V160" s="1397"/>
      <c r="W160" s="1397"/>
      <c r="X160" s="1397"/>
      <c r="Y160" s="1077"/>
      <c r="Z160" s="1077"/>
      <c r="AA160" s="976"/>
      <c r="AB160" s="977"/>
      <c r="AC160" s="978"/>
      <c r="AD160" s="1179">
        <f t="shared" ca="1" si="155"/>
        <v>153.47999999999999</v>
      </c>
      <c r="AE160" s="806">
        <f t="shared" ca="1" si="155"/>
        <v>107.85594995117188</v>
      </c>
      <c r="AF160" s="749">
        <f t="shared" ca="1" si="155"/>
        <v>451.552568193855</v>
      </c>
      <c r="AG160" s="749">
        <f t="shared" ca="1" si="155"/>
        <v>321.35851091666262</v>
      </c>
      <c r="AH160" s="749">
        <f t="shared" ca="1" si="155"/>
        <v>400.84579209518392</v>
      </c>
      <c r="AI160" s="749">
        <f t="shared" ca="1" si="155"/>
        <v>1598.4579050649536</v>
      </c>
      <c r="AJ160" s="972">
        <f t="shared" ca="1" si="166"/>
        <v>399.6144762662384</v>
      </c>
      <c r="AK160" s="979"/>
      <c r="AL160" s="980"/>
      <c r="AM160" s="968"/>
      <c r="AN160" s="981"/>
      <c r="AO160" s="976"/>
      <c r="AP160" s="755">
        <f t="shared" ca="1" si="156"/>
        <v>0.42300911604304492</v>
      </c>
      <c r="AQ160" s="808">
        <f t="shared" ca="1" si="157"/>
        <v>-0.66010601907570177</v>
      </c>
      <c r="AR160" s="808">
        <f t="shared" ca="1" si="158"/>
        <v>-0.52240256664681362</v>
      </c>
      <c r="AS160" s="808">
        <f t="shared" ca="1" si="159"/>
        <v>-0.61710961415417587</v>
      </c>
      <c r="AT160" s="974">
        <f t="shared" ca="1" si="168"/>
        <v>-0.61592982958468756</v>
      </c>
      <c r="AU160" s="1078"/>
      <c r="AV160" s="982"/>
      <c r="AW160" s="1396"/>
      <c r="AX160" s="1396"/>
      <c r="AY160" s="1396"/>
      <c r="AZ160" s="1078"/>
      <c r="BA160" s="982"/>
      <c r="BB160" s="983"/>
      <c r="BC160" s="984"/>
    </row>
    <row r="161" spans="1:55" ht="13.5" customHeight="1" x14ac:dyDescent="0.3">
      <c r="A161" s="966" t="str">
        <f>'Q1'!B183</f>
        <v>TOTAL WASTE SENT TO LANDFILL</v>
      </c>
      <c r="B161" s="908"/>
      <c r="C161" s="1179">
        <f t="shared" ca="1" si="144"/>
        <v>328.76</v>
      </c>
      <c r="D161" s="781">
        <f t="shared" ca="1" si="144"/>
        <v>370.83551995239202</v>
      </c>
      <c r="E161" s="769">
        <f t="shared" ca="1" si="144"/>
        <v>381.57792798966898</v>
      </c>
      <c r="F161" s="769">
        <f t="shared" ca="1" si="144"/>
        <v>351.86219660840999</v>
      </c>
      <c r="G161" s="769">
        <f t="shared" ca="1" si="144"/>
        <v>364.14285661190701</v>
      </c>
      <c r="H161" s="769">
        <f t="shared" ca="1" si="144"/>
        <v>1484.921234342537</v>
      </c>
      <c r="I161" s="967">
        <f t="shared" ca="1" si="145"/>
        <v>371.23030858563425</v>
      </c>
      <c r="J161" s="771" t="str">
        <f ca="1">IF(AND(C161&gt;0,SUM(D161:I161)&gt;0),"",IF(AND(C161=0,SUM(C161:I161)=0),"",IF(AND(C161=0,D161&gt;0),"Missing value?",IF(AND(C161=0,I161&gt;0),"Missing value?","New category"))))</f>
        <v/>
      </c>
      <c r="K161" s="772"/>
      <c r="L161" s="968"/>
      <c r="M161" s="969"/>
      <c r="N161" s="975"/>
      <c r="O161" s="810">
        <f t="shared" ca="1" si="147"/>
        <v>-0.11346140725083104</v>
      </c>
      <c r="P161" s="783">
        <f t="shared" ca="1" si="148"/>
        <v>-0.13841976727516328</v>
      </c>
      <c r="Q161" s="783">
        <f t="shared" ca="1" si="149"/>
        <v>-6.565694419886943E-2</v>
      </c>
      <c r="R161" s="783">
        <f t="shared" ca="1" si="150"/>
        <v>-9.7167515356801432E-2</v>
      </c>
      <c r="S161" s="811">
        <f t="shared" ca="1" si="151"/>
        <v>-0.11440420570034716</v>
      </c>
      <c r="T161" s="1069">
        <f t="shared" ref="T161" ca="1" si="171">IF(SUM(C161:I161)=0,"",IF(OR(AND(C161=0,SUM(D161:I161)&gt;0),AND(C161&gt;0,SUM(D161:I161)=0)),1,IF(MAX(IF(O161&lt;0,-O161,O161),IF(P161&lt;0,-P161,P161),IF(Q161&lt;0,-Q161,Q161),IF(R161&lt;0,-R161,R161),IF(S161&lt;0,-S161,S161))=0,"",MAX(IF(O161&lt;0,-O161,O161),IF(P161&lt;0,-P161,P161),IF(Q161&lt;0,-Q161,Q161),IF(R161&lt;0,-R161,R161),IF(S161&lt;0,-S161,S161)))))</f>
        <v>0.13841976727516328</v>
      </c>
      <c r="U161" s="1165" t="str">
        <f ca="1">IF(+T161="","",IF(T161&gt;$N$3,"H",IF(T161&gt;$N$4,"M","")))</f>
        <v>M</v>
      </c>
      <c r="V161" s="1396"/>
      <c r="W161" s="1396"/>
      <c r="X161" s="1396"/>
      <c r="Y161" s="1069">
        <f t="shared" ref="Y161" ca="1" si="172">IF(OR(C161=0,C$162=0),IF(AND(D161&gt;0,D$162&gt;0), +T161*D161/D$162, IF(AND(I161&gt;0,I$162&gt;0), +T161*I161/I$162, "")), +T161*C161/C$162)</f>
        <v>3.5187266679437327E-3</v>
      </c>
      <c r="Z161" s="1165" t="str">
        <f ca="1">IF(+Y161="","",IF(Y161&gt;$N$3,"H",IF(Y161&gt;$N$4,"M","")))</f>
        <v/>
      </c>
      <c r="AA161" s="782"/>
      <c r="AB161" s="804" t="str">
        <f t="shared" ref="AB161" ca="1" si="173">IF(CONCATENATE(IF(K161="OK","",J161),"    ",IF(AND(+AA161="",Z161="M"),"Value change with medium impact",IF(AND(AA161="",Z161="H"),"Value change with high impact",""))," ")="     ","",CONCATENATE(IF(K161="OK","",J161),"    ",IF(AND(+AA161="",Z161="M"),"Value change with medium impact",IF(AND(AA161="",Z161="H"),"Value change with high impact",""))," "))</f>
        <v/>
      </c>
      <c r="AC161" s="971" t="str">
        <f ca="1">IF(AD161&gt;C161,"Offices only&gt;Total Estate","")</f>
        <v/>
      </c>
      <c r="AD161" s="1179">
        <f t="shared" ca="1" si="155"/>
        <v>3.86</v>
      </c>
      <c r="AE161" s="806">
        <f t="shared" ca="1" si="155"/>
        <v>6.5211999816894499</v>
      </c>
      <c r="AF161" s="749">
        <f t="shared" ca="1" si="155"/>
        <v>40.726291525889202</v>
      </c>
      <c r="AG161" s="749">
        <f t="shared" ca="1" si="155"/>
        <v>55.5123149013831</v>
      </c>
      <c r="AH161" s="749">
        <f t="shared" ca="1" si="155"/>
        <v>59.6921350097656</v>
      </c>
      <c r="AI161" s="749">
        <f t="shared" ca="1" si="155"/>
        <v>212.7427011538347</v>
      </c>
      <c r="AJ161" s="972">
        <f t="shared" ca="1" si="166"/>
        <v>53.185675288458675</v>
      </c>
      <c r="AK161" s="771" t="str">
        <f ca="1">IF(AND(AD161&gt;0,SUM(AE161:AJ161)&gt;0),"",IF(AND(AD161=0,SUM(AD161:AJ161)=0),"",IF(AND(AD161=0,AE161&gt;0),"missing?",IF(AND(AD161=0,AJ161&gt;0),"missing?","new category"))))</f>
        <v/>
      </c>
      <c r="AL161" s="772"/>
      <c r="AM161" s="968"/>
      <c r="AN161" s="969"/>
      <c r="AO161" s="970"/>
      <c r="AP161" s="755">
        <f t="shared" ca="1" si="156"/>
        <v>-0.40808439998185914</v>
      </c>
      <c r="AQ161" s="808">
        <f t="shared" ca="1" si="157"/>
        <v>-0.90522093086854605</v>
      </c>
      <c r="AR161" s="808">
        <f t="shared" ca="1" si="158"/>
        <v>-0.93046587938447101</v>
      </c>
      <c r="AS161" s="808">
        <f t="shared" ca="1" si="159"/>
        <v>-0.93533486447806724</v>
      </c>
      <c r="AT161" s="974">
        <f t="shared" ca="1" si="168"/>
        <v>-0.92742406711835768</v>
      </c>
      <c r="AU161" s="1069">
        <f t="shared" ref="AU161" ca="1" si="174">IF(MAX(IF(AP161&lt;0,-AP161,AP161),IF(AS161&lt;0,-AS161,AS161),IF(AT161&lt;0,-AT161,AT161))=0,"",MAX(IF(AP161&lt;0,-AP161,AP161),IF(AQ161&lt;0,-AQ161,AQ161),IF(AR161&lt;0,-AR161,AR161),IF(AS161&lt;0,-AS161,AS161),IF(AT161&lt;0,-AT161,AT161)))</f>
        <v>0.93533486447806724</v>
      </c>
      <c r="AV161" s="1165" t="str">
        <f ca="1">IF(+AU161="","",IF(AU161&gt;$AO$3,"H",IF(AU161&gt;$AO$4,"M","")))</f>
        <v>H</v>
      </c>
      <c r="AW161" s="1396"/>
      <c r="AX161" s="1396"/>
      <c r="AY161" s="1396"/>
      <c r="AZ161" s="1069">
        <f t="shared" ca="1" si="169"/>
        <v>2.2946438139604293E-2</v>
      </c>
      <c r="BA161" s="1165" t="str">
        <f ca="1">IF(+AZ161="","",IF(AZ161&gt;$AO$3,"H",IF(AZ161&gt;$AO$4,"M","")))</f>
        <v/>
      </c>
      <c r="BB161" s="782"/>
      <c r="BC161" s="804" t="str">
        <f t="shared" ca="1" si="170"/>
        <v/>
      </c>
    </row>
    <row r="162" spans="1:55" ht="13.5" customHeight="1" thickBot="1" x14ac:dyDescent="0.35">
      <c r="A162" s="985" t="str">
        <f>'Q1'!B184</f>
        <v>TOTAL WASTE (excl. waste reused)</v>
      </c>
      <c r="B162" s="911"/>
      <c r="C162" s="1181">
        <f t="shared" ca="1" si="144"/>
        <v>12932.770000000002</v>
      </c>
      <c r="D162" s="795">
        <f t="shared" ca="1" si="144"/>
        <v>13153.045522809136</v>
      </c>
      <c r="E162" s="787">
        <f t="shared" ca="1" si="144"/>
        <v>13108.495449101758</v>
      </c>
      <c r="F162" s="787">
        <f t="shared" ca="1" si="144"/>
        <v>12390.697942374949</v>
      </c>
      <c r="G162" s="787">
        <f t="shared" ca="1" si="144"/>
        <v>12141.964217231709</v>
      </c>
      <c r="H162" s="787">
        <f t="shared" ca="1" si="144"/>
        <v>50347.394112995702</v>
      </c>
      <c r="I162" s="986">
        <f t="shared" ca="1" si="145"/>
        <v>12586.848528248926</v>
      </c>
      <c r="J162" s="987"/>
      <c r="K162" s="988"/>
      <c r="L162" s="989"/>
      <c r="M162" s="990"/>
      <c r="N162" s="991"/>
      <c r="O162" s="813">
        <f t="shared" ca="1" si="147"/>
        <v>-1.6747111718510101E-2</v>
      </c>
      <c r="P162" s="1072">
        <f t="shared" ca="1" si="148"/>
        <v>-1.3405462875893739E-2</v>
      </c>
      <c r="Q162" s="1072">
        <f t="shared" ca="1" si="149"/>
        <v>4.3748307007890251E-2</v>
      </c>
      <c r="R162" s="1072">
        <f t="shared" ca="1" si="150"/>
        <v>6.5129971446134929E-2</v>
      </c>
      <c r="S162" s="1075">
        <f t="shared" ca="1" si="151"/>
        <v>2.7482770685189228E-2</v>
      </c>
      <c r="T162" s="1079"/>
      <c r="U162" s="1079"/>
      <c r="V162" s="1398"/>
      <c r="W162" s="1398"/>
      <c r="X162" s="1398"/>
      <c r="Y162" s="1079"/>
      <c r="Z162" s="1079"/>
      <c r="AA162" s="992"/>
      <c r="AB162" s="993"/>
      <c r="AC162" s="994"/>
      <c r="AD162" s="1181">
        <f t="shared" ca="1" si="155"/>
        <v>157.34</v>
      </c>
      <c r="AE162" s="995">
        <f t="shared" ca="1" si="155"/>
        <v>114.37714993286133</v>
      </c>
      <c r="AF162" s="996">
        <f t="shared" ca="1" si="155"/>
        <v>492.27885971974422</v>
      </c>
      <c r="AG162" s="996">
        <f t="shared" ca="1" si="155"/>
        <v>376.87082581804572</v>
      </c>
      <c r="AH162" s="996">
        <f t="shared" ca="1" si="155"/>
        <v>460.53792710494952</v>
      </c>
      <c r="AI162" s="996">
        <f t="shared" ca="1" si="155"/>
        <v>1811.2006062187884</v>
      </c>
      <c r="AJ162" s="997">
        <f t="shared" ca="1" si="166"/>
        <v>452.80015155469709</v>
      </c>
      <c r="AK162" s="987"/>
      <c r="AL162" s="988"/>
      <c r="AM162" s="989"/>
      <c r="AN162" s="990"/>
      <c r="AO162" s="998"/>
      <c r="AP162" s="931">
        <f t="shared" ca="1" si="156"/>
        <v>0.37562441529936352</v>
      </c>
      <c r="AQ162" s="999">
        <f t="shared" ca="1" si="157"/>
        <v>-0.68038440633104957</v>
      </c>
      <c r="AR162" s="999">
        <f t="shared" ca="1" si="158"/>
        <v>-0.58250947215541649</v>
      </c>
      <c r="AS162" s="999">
        <f t="shared" ca="1" si="159"/>
        <v>-0.65835604248910284</v>
      </c>
      <c r="AT162" s="1000">
        <f t="shared" ca="1" si="168"/>
        <v>-0.65251778414876749</v>
      </c>
      <c r="AU162" s="1080"/>
      <c r="AV162" s="1001"/>
      <c r="AW162" s="1405"/>
      <c r="AX162" s="1405"/>
      <c r="AY162" s="1405"/>
      <c r="AZ162" s="1080"/>
      <c r="BA162" s="1001"/>
      <c r="BB162" s="992"/>
      <c r="BC162" s="1002"/>
    </row>
    <row r="163" spans="1:55" ht="14.4" x14ac:dyDescent="0.3">
      <c r="A163" s="50"/>
      <c r="B163" s="302"/>
      <c r="C163" s="820"/>
      <c r="D163" s="820"/>
      <c r="E163" s="820"/>
      <c r="F163" s="820"/>
      <c r="G163" s="820"/>
      <c r="H163" s="820"/>
      <c r="I163" s="820"/>
      <c r="J163" s="191"/>
      <c r="K163" s="191"/>
      <c r="L163" s="104"/>
      <c r="M163" s="916"/>
      <c r="N163" s="113"/>
      <c r="O163" s="191"/>
      <c r="P163" s="191"/>
      <c r="Q163" s="191"/>
      <c r="R163" s="110"/>
      <c r="S163" s="104"/>
      <c r="T163" s="104"/>
      <c r="U163" s="104"/>
      <c r="V163" s="104"/>
      <c r="W163" s="104"/>
      <c r="X163" s="104"/>
      <c r="Y163" s="104"/>
      <c r="Z163" s="104"/>
      <c r="AA163" s="104"/>
      <c r="AB163" s="104"/>
      <c r="AC163" s="1204"/>
      <c r="AD163" s="1204"/>
      <c r="AE163" s="1204"/>
      <c r="AF163" s="1204"/>
      <c r="AG163" s="1204"/>
      <c r="AH163" s="1204"/>
      <c r="AI163" s="1204"/>
      <c r="AJ163" s="1204"/>
      <c r="AK163" s="1204"/>
      <c r="AL163" s="191"/>
      <c r="AM163" s="110"/>
      <c r="AN163" s="104"/>
      <c r="AO163" s="50"/>
      <c r="AP163" s="50"/>
      <c r="AQ163" s="50"/>
      <c r="AR163" s="50"/>
      <c r="AS163" s="50"/>
      <c r="AT163" s="50"/>
      <c r="AU163" s="50"/>
      <c r="AV163" s="50"/>
      <c r="AW163" s="50"/>
      <c r="AX163" s="50"/>
      <c r="AY163" s="50"/>
      <c r="AZ163" s="50"/>
      <c r="BA163" s="50"/>
      <c r="BB163" s="50"/>
      <c r="BC163" s="50"/>
    </row>
    <row r="164" spans="1:55" ht="12.75" customHeight="1" x14ac:dyDescent="0.3">
      <c r="A164" s="113"/>
      <c r="B164" s="1204"/>
      <c r="C164" s="820"/>
      <c r="D164" s="820"/>
      <c r="E164" s="820"/>
      <c r="F164" s="820"/>
      <c r="G164" s="820"/>
      <c r="H164" s="820"/>
      <c r="I164" s="820"/>
      <c r="J164" s="191"/>
      <c r="K164" s="191"/>
      <c r="L164" s="104"/>
      <c r="M164" s="916"/>
      <c r="N164" s="113"/>
      <c r="O164" s="191"/>
      <c r="P164" s="191"/>
      <c r="Q164" s="191"/>
      <c r="R164" s="110"/>
      <c r="S164" s="104"/>
      <c r="T164" s="919"/>
      <c r="U164" s="919"/>
      <c r="V164" s="919"/>
      <c r="W164" s="919"/>
      <c r="X164" s="919"/>
      <c r="Y164" s="710"/>
      <c r="Z164" s="711"/>
      <c r="AA164" s="196"/>
      <c r="AB164" s="104"/>
      <c r="AC164" s="113"/>
      <c r="AD164" s="113"/>
      <c r="AE164" s="113"/>
      <c r="AF164" s="113"/>
      <c r="AG164" s="113"/>
      <c r="AH164" s="113"/>
      <c r="AI164" s="113"/>
      <c r="AJ164" s="113"/>
      <c r="AK164" s="113"/>
      <c r="AL164" s="113"/>
      <c r="AM164" s="113"/>
      <c r="AN164" s="113"/>
      <c r="AO164" s="113"/>
      <c r="AP164" s="113"/>
      <c r="AQ164" s="113"/>
      <c r="AR164" s="113"/>
      <c r="AS164" s="113"/>
      <c r="AT164" s="113"/>
      <c r="AU164" s="113"/>
      <c r="AV164" s="113"/>
      <c r="AW164" s="113"/>
      <c r="AX164" s="113"/>
      <c r="AY164" s="113"/>
      <c r="AZ164" s="113"/>
      <c r="BA164" s="113"/>
      <c r="BB164" s="113"/>
      <c r="BC164" s="113"/>
    </row>
    <row r="165" spans="1:55" ht="14.55" customHeight="1" x14ac:dyDescent="0.3">
      <c r="A165" s="923" t="s">
        <v>164</v>
      </c>
      <c r="B165" s="87"/>
      <c r="C165" s="819" t="s">
        <v>23</v>
      </c>
      <c r="D165" s="819" t="s">
        <v>23</v>
      </c>
      <c r="E165" s="819" t="s">
        <v>23</v>
      </c>
      <c r="F165" s="819" t="s">
        <v>23</v>
      </c>
      <c r="G165" s="819" t="s">
        <v>23</v>
      </c>
      <c r="H165" s="819"/>
      <c r="I165" s="819" t="s">
        <v>23</v>
      </c>
      <c r="J165" s="819" t="s">
        <v>23</v>
      </c>
      <c r="K165" s="819" t="s">
        <v>23</v>
      </c>
      <c r="L165" s="819" t="s">
        <v>23</v>
      </c>
      <c r="M165" s="819" t="s">
        <v>23</v>
      </c>
      <c r="N165" s="819" t="s">
        <v>23</v>
      </c>
      <c r="O165" s="819" t="s">
        <v>23</v>
      </c>
      <c r="P165" s="819" t="s">
        <v>23</v>
      </c>
      <c r="Q165" s="819" t="s">
        <v>23</v>
      </c>
      <c r="R165" s="819" t="s">
        <v>23</v>
      </c>
      <c r="S165" s="819" t="s">
        <v>23</v>
      </c>
      <c r="T165" s="1003"/>
      <c r="U165" s="1003"/>
      <c r="V165" s="1003"/>
      <c r="W165" s="1003"/>
      <c r="X165" s="1003"/>
      <c r="Y165" s="1004"/>
      <c r="Z165" s="1005"/>
      <c r="AA165" s="1006"/>
      <c r="AB165" s="819" t="s">
        <v>23</v>
      </c>
      <c r="AC165" s="113"/>
      <c r="AD165" s="113"/>
      <c r="AE165" s="113"/>
      <c r="AF165" s="113"/>
      <c r="AG165" s="113"/>
      <c r="AH165" s="113"/>
      <c r="AI165" s="113"/>
      <c r="AJ165" s="113"/>
      <c r="AK165" s="113"/>
      <c r="AL165" s="113"/>
      <c r="AM165" s="113"/>
      <c r="AN165" s="113"/>
      <c r="AO165" s="113"/>
      <c r="AP165" s="113"/>
      <c r="AQ165" s="113"/>
      <c r="AR165" s="113"/>
      <c r="AS165" s="113"/>
      <c r="AT165" s="113"/>
      <c r="AU165" s="113"/>
      <c r="AV165" s="113"/>
      <c r="AW165" s="113"/>
      <c r="AX165" s="113"/>
      <c r="AY165" s="113"/>
      <c r="AZ165" s="113"/>
      <c r="BA165" s="113"/>
      <c r="BB165" s="113"/>
      <c r="BC165" s="113"/>
    </row>
    <row r="166" spans="1:55" ht="12.75" customHeight="1" thickBot="1" x14ac:dyDescent="0.35">
      <c r="A166" s="1170"/>
      <c r="B166" s="50"/>
      <c r="C166" s="671"/>
      <c r="D166" s="671"/>
      <c r="E166" s="671"/>
      <c r="F166" s="671"/>
      <c r="G166" s="671"/>
      <c r="H166" s="671"/>
      <c r="I166" s="671"/>
      <c r="J166" s="88"/>
      <c r="K166" s="88"/>
      <c r="L166" s="88"/>
      <c r="M166" s="88"/>
      <c r="N166" s="113"/>
      <c r="O166" s="88"/>
      <c r="P166" s="88"/>
      <c r="Q166" s="88"/>
      <c r="R166" s="88"/>
      <c r="S166" s="88"/>
      <c r="T166" s="919"/>
      <c r="U166" s="919"/>
      <c r="V166" s="919"/>
      <c r="W166" s="919"/>
      <c r="X166" s="919"/>
      <c r="Y166" s="710"/>
      <c r="Z166" s="711"/>
      <c r="AA166" s="106"/>
      <c r="AB166" s="88"/>
      <c r="AC166" s="113"/>
      <c r="AD166" s="113"/>
      <c r="AE166" s="113"/>
      <c r="AF166" s="113"/>
      <c r="AG166" s="113"/>
      <c r="AH166" s="113"/>
      <c r="AI166" s="113"/>
      <c r="AJ166" s="113"/>
      <c r="AK166" s="113"/>
      <c r="AL166" s="113"/>
      <c r="AM166" s="113"/>
      <c r="AN166" s="113"/>
      <c r="AO166" s="113"/>
      <c r="AP166" s="113"/>
      <c r="AQ166" s="113"/>
      <c r="AR166" s="113"/>
      <c r="AS166" s="113"/>
      <c r="AT166" s="113"/>
      <c r="AU166" s="113"/>
      <c r="AV166" s="113"/>
      <c r="AW166" s="113"/>
      <c r="AX166" s="113"/>
      <c r="AY166" s="113"/>
      <c r="AZ166" s="113"/>
      <c r="BA166" s="113"/>
      <c r="BB166" s="113"/>
      <c r="BC166" s="113"/>
    </row>
    <row r="167" spans="1:55" ht="27.6" x14ac:dyDescent="0.3">
      <c r="A167" s="100"/>
      <c r="B167" s="101"/>
      <c r="C167" s="1008" t="s">
        <v>176</v>
      </c>
      <c r="D167" s="2175" t="s">
        <v>177</v>
      </c>
      <c r="E167" s="2176"/>
      <c r="F167" s="2176"/>
      <c r="G167" s="2176"/>
      <c r="H167" s="2176"/>
      <c r="I167" s="2177"/>
      <c r="J167" s="2168" t="s">
        <v>428</v>
      </c>
      <c r="K167" s="2169"/>
      <c r="L167" s="2173"/>
      <c r="M167" s="2171"/>
      <c r="N167" s="2174"/>
      <c r="O167" s="2173" t="s">
        <v>430</v>
      </c>
      <c r="P167" s="2170"/>
      <c r="Q167" s="2170"/>
      <c r="R167" s="2171"/>
      <c r="S167" s="2174"/>
      <c r="T167" s="2178" t="s">
        <v>418</v>
      </c>
      <c r="U167" s="2179"/>
      <c r="V167" s="2179"/>
      <c r="W167" s="2179"/>
      <c r="X167" s="2179"/>
      <c r="Y167" s="2179"/>
      <c r="Z167" s="2179"/>
      <c r="AA167" s="2152"/>
      <c r="AB167" s="2180" t="s">
        <v>433</v>
      </c>
      <c r="AC167" s="113"/>
      <c r="AD167" s="113"/>
      <c r="AE167" s="113"/>
      <c r="AF167" s="113"/>
      <c r="AG167" s="113"/>
      <c r="AH167" s="113"/>
      <c r="AI167" s="113"/>
      <c r="AJ167" s="113"/>
      <c r="AK167" s="113"/>
      <c r="AL167" s="113"/>
      <c r="AM167" s="113"/>
      <c r="AN167" s="113"/>
      <c r="AO167" s="113"/>
      <c r="AP167" s="113"/>
      <c r="AQ167" s="113"/>
      <c r="AR167" s="113"/>
      <c r="AS167" s="113"/>
      <c r="AT167" s="113"/>
      <c r="AU167" s="113"/>
      <c r="AV167" s="113"/>
      <c r="AW167" s="113"/>
      <c r="AX167" s="113"/>
      <c r="AY167" s="113"/>
      <c r="AZ167" s="113"/>
      <c r="BA167" s="113"/>
      <c r="BB167" s="113"/>
      <c r="BC167" s="113"/>
    </row>
    <row r="168" spans="1:55" ht="42" thickBot="1" x14ac:dyDescent="0.35">
      <c r="A168" s="901"/>
      <c r="B168" s="103"/>
      <c r="C168" s="1225" t="str">
        <f>C14</f>
        <v>Q2</v>
      </c>
      <c r="D168" s="821" t="str">
        <f t="shared" ref="D168:I168" si="175">D14</f>
        <v>Q1</v>
      </c>
      <c r="E168" s="925" t="str">
        <f t="shared" si="175"/>
        <v>Q4-19</v>
      </c>
      <c r="F168" s="925" t="str">
        <f t="shared" si="175"/>
        <v>Q3-19</v>
      </c>
      <c r="G168" s="822" t="str">
        <f t="shared" si="175"/>
        <v>Q2-19</v>
      </c>
      <c r="H168" s="822" t="str">
        <f t="shared" si="175"/>
        <v>2018-2019</v>
      </c>
      <c r="I168" s="823" t="str">
        <f t="shared" si="175"/>
        <v>25% of previous year total</v>
      </c>
      <c r="J168" s="824" t="s">
        <v>434</v>
      </c>
      <c r="K168" s="825" t="s">
        <v>435</v>
      </c>
      <c r="L168" s="831"/>
      <c r="M168" s="826"/>
      <c r="N168" s="860"/>
      <c r="O168" s="828" t="s">
        <v>438</v>
      </c>
      <c r="P168" s="925" t="s">
        <v>470</v>
      </c>
      <c r="Q168" s="925" t="s">
        <v>471</v>
      </c>
      <c r="R168" s="829" t="s">
        <v>439</v>
      </c>
      <c r="S168" s="830" t="s">
        <v>440</v>
      </c>
      <c r="T168" s="2156" t="s">
        <v>441</v>
      </c>
      <c r="U168" s="2155"/>
      <c r="V168" s="1394"/>
      <c r="W168" s="1394"/>
      <c r="X168" s="1394"/>
      <c r="Y168" s="2157" t="s">
        <v>451</v>
      </c>
      <c r="Z168" s="2155"/>
      <c r="AA168" s="830" t="s">
        <v>445</v>
      </c>
      <c r="AB168" s="2181"/>
      <c r="AC168" s="113"/>
      <c r="AD168" s="113"/>
      <c r="AE168" s="113"/>
      <c r="AF168" s="113"/>
      <c r="AG168" s="113"/>
      <c r="AH168" s="113"/>
      <c r="AI168" s="113"/>
      <c r="AJ168" s="113"/>
      <c r="AK168" s="113"/>
      <c r="AL168" s="113"/>
      <c r="AM168" s="113"/>
      <c r="AN168" s="113"/>
      <c r="AO168" s="113"/>
      <c r="AP168" s="113"/>
      <c r="AQ168" s="113"/>
      <c r="AR168" s="113"/>
      <c r="AS168" s="113"/>
      <c r="AT168" s="113"/>
      <c r="AU168" s="113"/>
      <c r="AV168" s="113"/>
      <c r="AW168" s="113"/>
      <c r="AX168" s="113"/>
      <c r="AY168" s="113"/>
      <c r="AZ168" s="113"/>
      <c r="BA168" s="113"/>
      <c r="BB168" s="113"/>
      <c r="BC168" s="113"/>
    </row>
    <row r="169" spans="1:55" ht="12.75" customHeight="1" thickBot="1" x14ac:dyDescent="0.35">
      <c r="A169" s="1009" t="s">
        <v>186</v>
      </c>
      <c r="B169" s="1010"/>
      <c r="C169" s="1177">
        <f t="shared" ref="C169:H169" ca="1" si="176">INDIRECT(CONCATENATE("'",C$14,"'!$E$191"),TRUE)</f>
        <v>269613</v>
      </c>
      <c r="D169" s="1205">
        <f t="shared" ca="1" si="176"/>
        <v>265900.5</v>
      </c>
      <c r="E169" s="1206">
        <f t="shared" ca="1" si="176"/>
        <v>285494</v>
      </c>
      <c r="F169" s="1206">
        <f t="shared" ca="1" si="176"/>
        <v>254638</v>
      </c>
      <c r="G169" s="1206">
        <f t="shared" ca="1" si="176"/>
        <v>258159.5</v>
      </c>
      <c r="H169" s="1206">
        <f t="shared" ca="1" si="176"/>
        <v>1075816</v>
      </c>
      <c r="I169" s="1207">
        <f t="shared" ref="I169" ca="1" si="177">H169/4</f>
        <v>268954</v>
      </c>
      <c r="J169" s="842" t="str">
        <f ca="1">IF(AND(C169&gt;0,SUM(D169:I169)&gt;0),"",IF(AND(C169=0,SUM(C169:I169)=0),"",IF(AND(C169=0,D169&gt;0),"Missing value?",IF(AND(C169=0,I169&gt;0),"Missing value?","New category"))))</f>
        <v/>
      </c>
      <c r="K169" s="843"/>
      <c r="L169" s="1011"/>
      <c r="M169" s="1012"/>
      <c r="N169" s="1013"/>
      <c r="O169" s="738">
        <f ca="1">IF(OR(+$J169="missing?",+$J169="new category"),"",IF($D169=0,"",IF(SUM($C169:$I169)=0,"",IFERROR((($C169-$D169)/$D169),"N/A"))))</f>
        <v>1.3961989541200561E-2</v>
      </c>
      <c r="P169" s="1072">
        <f t="shared" ref="P169" ca="1" si="178">IF(OR(+$J169="missing?",+$J169="new category"),"",IF($E169=0,"",IF(SUM($C169:$I169)=0,"",IFERROR((($C169-$E169)/$E169),"N/A"))))</f>
        <v>-5.5626387945105674E-2</v>
      </c>
      <c r="Q169" s="1072">
        <f t="shared" ref="Q169" ca="1" si="179">IF(OR(+$J169="missing?",+$J169="new category"),"",IF($F169=0,"",IF(SUM($C169:$I169)=0,"",IFERROR((($C169-$F169)/$F169),"N/A"))))</f>
        <v>5.8808975879483819E-2</v>
      </c>
      <c r="R169" s="739">
        <f ca="1">IF(OR(+$J169="missing?",+$J169="new category"),"",IF($G169=0,"",IF(SUM($C169:$I169)=0,"",IFERROR((($C169-$G169)/$G169),"N/A"))))</f>
        <v>4.4365983045365362E-2</v>
      </c>
      <c r="S169" s="740">
        <f ca="1">IF(OR(+$J169="missing?",+$J169="new category"),"",IF($I169=0,"",IF(SUM($C169:$I169)=0,"",IFERROR((($C169-$I169)/$I169),"N/A"))))</f>
        <v>2.4502331253671633E-3</v>
      </c>
      <c r="T169" s="1070">
        <f t="shared" ref="T169" ca="1" si="180">IF(SUM(C169:I169)=0,"",IF(OR(AND(C169=0,SUM(D169:I169)&gt;0),AND(C169&gt;0,SUM(D169:I169)=0)),1,IF(MAX(IF(O169&lt;0,-O169,O169),IF(P169&lt;0,-P169,P169),IF(Q169&lt;0,-Q169,Q169),IF(R169&lt;0,-R169,R169),IF(S169&lt;0,-S169,S169))=0,"",MAX(IF(O169&lt;0,-O169,O169),IF(P169&lt;0,-P169,P169),IF(Q169&lt;0,-Q169,Q169),IF(R169&lt;0,-R169,R169),IF(S169&lt;0,-S169,S169)))))</f>
        <v>5.8808975879483819E-2</v>
      </c>
      <c r="U169" s="1160">
        <f ca="1">IF(SUM(D169:J169)=0,"",IF(OR(AND(D169=0,SUM(G169:J169)&gt;0),AND(D169&gt;0,SUM(G169:J169)=0)),1,IF(MAX(IF(R169&lt;0,-R169,R169),IF(S169&lt;0,-S169,S169),IF(T169&lt;0,-T169,T169))=0,"",MAX(IF(R169&lt;0,-R169,R169),IF(S169&lt;0,-S169,S169),IF(T169&lt;0,-T169,T169)))))</f>
        <v>5.8808975879483819E-2</v>
      </c>
      <c r="V169" s="1399"/>
      <c r="W169" s="1399"/>
      <c r="X169" s="1399"/>
      <c r="Y169" s="2162" t="str">
        <f ca="1">IF(+T169="","",IF(T169&gt;$O$3,"H",IF(T169&gt;$O$4,"M","")))</f>
        <v>M</v>
      </c>
      <c r="Z169" s="2163"/>
      <c r="AA169" s="843"/>
      <c r="AB169" s="1014" t="str">
        <f ca="1">IF(CONCATENATE(IF(K169="OK","",J169),"    ",IF(L169="","",IF(N169="OK","",CONCATENATE(M169," = ",ROUND(L169,3),"kgCO2e/kWh"))),"    ",IF(AND(+AA169="",Y169="M"),"Value change with medium impact",IF(AND(AA169="",Y169="H"),"Value change with high impact",""))," ")="         ","",CONCATENATE(IF(K169="OK","",J169),"    ",IF(L169="","",IF(N169="OK","",CONCATENATE(M169," = ",ROUND(L169,3),"kgCO2e/kWh"))),"    ",IF(AND(+AA169="",Y169="M"),"Value change with medium impact",IF(AND(AA169="",Y169="H"),"Value change with high impact",""))," "))</f>
        <v xml:space="preserve">        Value change with medium impact </v>
      </c>
      <c r="AC169" s="113"/>
      <c r="AD169" s="113"/>
      <c r="AE169" s="113"/>
      <c r="AF169" s="113"/>
      <c r="AG169" s="113"/>
      <c r="AH169" s="113"/>
      <c r="AI169" s="113"/>
      <c r="AJ169" s="113"/>
      <c r="AK169" s="113"/>
      <c r="AL169" s="113"/>
      <c r="AM169" s="113"/>
      <c r="AN169" s="113"/>
      <c r="AO169" s="113"/>
      <c r="AP169" s="113"/>
      <c r="AQ169" s="113"/>
      <c r="AR169" s="113"/>
      <c r="AS169" s="113"/>
      <c r="AT169" s="113"/>
      <c r="AU169" s="113"/>
      <c r="AV169" s="113"/>
      <c r="AW169" s="113"/>
      <c r="AX169" s="113"/>
      <c r="AY169" s="113"/>
      <c r="AZ169" s="113"/>
      <c r="BA169" s="113"/>
      <c r="BB169" s="113"/>
      <c r="BC169" s="113"/>
    </row>
    <row r="170" spans="1:55" ht="14.4" x14ac:dyDescent="0.3">
      <c r="A170" s="90"/>
      <c r="B170" s="90"/>
      <c r="C170" s="814"/>
      <c r="D170" s="814"/>
      <c r="E170" s="814"/>
      <c r="F170" s="814"/>
      <c r="G170" s="814"/>
      <c r="H170" s="814"/>
      <c r="I170" s="671"/>
      <c r="J170" s="88"/>
      <c r="K170" s="88"/>
      <c r="L170" s="1015"/>
      <c r="M170" s="1016"/>
      <c r="N170" s="113"/>
      <c r="O170" s="93"/>
      <c r="P170" s="93"/>
      <c r="Q170" s="93"/>
      <c r="R170" s="93"/>
      <c r="S170" s="1015">
        <f ca="1">G169</f>
        <v>258159.5</v>
      </c>
      <c r="T170" s="1015"/>
      <c r="U170" s="1015"/>
      <c r="V170" s="1015"/>
      <c r="W170" s="1015"/>
      <c r="X170" s="1015"/>
      <c r="Y170" s="1015"/>
      <c r="Z170" s="1015"/>
      <c r="AA170" s="1015"/>
      <c r="AB170" s="1015"/>
      <c r="AC170" s="113"/>
      <c r="AD170" s="113"/>
      <c r="AE170" s="113"/>
      <c r="AF170" s="113"/>
      <c r="AG170" s="113"/>
      <c r="AH170" s="113"/>
      <c r="AI170" s="113"/>
      <c r="AJ170" s="113"/>
      <c r="AK170" s="113"/>
      <c r="AL170" s="113"/>
      <c r="AM170" s="113"/>
      <c r="AN170" s="113"/>
      <c r="AO170" s="113"/>
      <c r="AP170" s="113"/>
      <c r="AQ170" s="113"/>
      <c r="AR170" s="113"/>
      <c r="AS170" s="113"/>
      <c r="AT170" s="113"/>
      <c r="AU170" s="113"/>
      <c r="AV170" s="113"/>
      <c r="AW170" s="113"/>
      <c r="AX170" s="113"/>
      <c r="AY170" s="113"/>
      <c r="AZ170" s="113"/>
      <c r="BA170" s="113"/>
      <c r="BB170" s="113"/>
      <c r="BC170" s="113"/>
    </row>
    <row r="171" spans="1:55" ht="14.4" x14ac:dyDescent="0.3">
      <c r="A171" s="923" t="s">
        <v>169</v>
      </c>
      <c r="B171" s="87"/>
      <c r="C171" s="819" t="s">
        <v>23</v>
      </c>
      <c r="D171" s="819" t="s">
        <v>23</v>
      </c>
      <c r="E171" s="819" t="s">
        <v>23</v>
      </c>
      <c r="F171" s="819" t="s">
        <v>23</v>
      </c>
      <c r="G171" s="819" t="s">
        <v>23</v>
      </c>
      <c r="H171" s="819"/>
      <c r="I171" s="819" t="s">
        <v>23</v>
      </c>
      <c r="J171" s="819" t="s">
        <v>23</v>
      </c>
      <c r="K171" s="819" t="s">
        <v>23</v>
      </c>
      <c r="L171" s="819" t="s">
        <v>23</v>
      </c>
      <c r="M171" s="819" t="s">
        <v>23</v>
      </c>
      <c r="N171" s="819" t="s">
        <v>23</v>
      </c>
      <c r="O171" s="819" t="s">
        <v>23</v>
      </c>
      <c r="P171" s="819" t="s">
        <v>23</v>
      </c>
      <c r="Q171" s="819" t="s">
        <v>23</v>
      </c>
      <c r="R171" s="819" t="s">
        <v>23</v>
      </c>
      <c r="S171" s="819" t="s">
        <v>23</v>
      </c>
      <c r="T171" s="819" t="s">
        <v>23</v>
      </c>
      <c r="U171" s="819"/>
      <c r="V171" s="819"/>
      <c r="W171" s="819"/>
      <c r="X171" s="819"/>
      <c r="Y171" s="819" t="s">
        <v>23</v>
      </c>
      <c r="Z171" s="819" t="s">
        <v>23</v>
      </c>
      <c r="AA171" s="819" t="s">
        <v>23</v>
      </c>
      <c r="AB171" s="819" t="s">
        <v>23</v>
      </c>
      <c r="AC171" s="113"/>
      <c r="AD171" s="113"/>
      <c r="AE171" s="113"/>
      <c r="AF171" s="113"/>
      <c r="AG171" s="113"/>
      <c r="AH171" s="113"/>
      <c r="AI171" s="113"/>
      <c r="AJ171" s="113"/>
      <c r="AK171" s="113"/>
      <c r="AL171" s="113"/>
      <c r="AM171" s="113"/>
      <c r="AN171" s="113"/>
      <c r="AO171" s="113"/>
      <c r="AP171" s="113"/>
      <c r="AQ171" s="113"/>
      <c r="AR171" s="113"/>
      <c r="AS171" s="113"/>
      <c r="AT171" s="113"/>
      <c r="AU171" s="113"/>
      <c r="AV171" s="113"/>
      <c r="AW171" s="113"/>
      <c r="AX171" s="113"/>
      <c r="AY171" s="113"/>
      <c r="AZ171" s="113"/>
      <c r="BA171" s="113"/>
      <c r="BB171" s="113"/>
      <c r="BC171" s="113"/>
    </row>
    <row r="172" spans="1:55" ht="12.75" customHeight="1" x14ac:dyDescent="0.3">
      <c r="A172" s="1170"/>
      <c r="B172" s="90"/>
      <c r="C172" s="814"/>
      <c r="D172" s="814"/>
      <c r="E172" s="814"/>
      <c r="F172" s="814"/>
      <c r="G172" s="814"/>
      <c r="H172" s="814"/>
      <c r="I172" s="814"/>
      <c r="J172" s="93"/>
      <c r="K172" s="93"/>
      <c r="L172" s="93"/>
      <c r="M172" s="718"/>
      <c r="N172" s="113"/>
      <c r="O172" s="93"/>
      <c r="P172" s="93"/>
      <c r="Q172" s="93"/>
      <c r="R172" s="93"/>
      <c r="S172" s="93"/>
      <c r="T172" s="919"/>
      <c r="U172" s="919"/>
      <c r="V172" s="919"/>
      <c r="W172" s="919"/>
      <c r="X172" s="919"/>
      <c r="Y172" s="710"/>
      <c r="Z172" s="711"/>
      <c r="AA172" s="196"/>
      <c r="AB172" s="93"/>
      <c r="AC172" s="113"/>
      <c r="AD172" s="113"/>
      <c r="AE172" s="113"/>
      <c r="AF172" s="113"/>
      <c r="AG172" s="113"/>
      <c r="AH172" s="113"/>
      <c r="AI172" s="113"/>
      <c r="AJ172" s="113"/>
      <c r="AK172" s="113"/>
      <c r="AL172" s="113"/>
      <c r="AM172" s="113"/>
      <c r="AN172" s="113"/>
      <c r="AO172" s="113"/>
      <c r="AP172" s="113"/>
      <c r="AQ172" s="113"/>
      <c r="AR172" s="113"/>
      <c r="AS172" s="113"/>
      <c r="AT172" s="113"/>
      <c r="AU172" s="113"/>
      <c r="AV172" s="113"/>
      <c r="AW172" s="113"/>
      <c r="AX172" s="113"/>
      <c r="AY172" s="113"/>
      <c r="AZ172" s="113"/>
      <c r="BA172" s="113"/>
      <c r="BB172" s="113"/>
      <c r="BC172" s="113"/>
    </row>
    <row r="173" spans="1:55" ht="14.55" customHeight="1" x14ac:dyDescent="0.3">
      <c r="A173" s="673"/>
      <c r="B173" s="673"/>
      <c r="C173" s="671"/>
      <c r="D173" s="671"/>
      <c r="E173" s="671"/>
      <c r="F173" s="671"/>
      <c r="G173" s="814"/>
      <c r="H173" s="814"/>
      <c r="I173" s="814"/>
      <c r="J173" s="93"/>
      <c r="K173" s="1007"/>
      <c r="L173" s="1017"/>
      <c r="M173" s="1017"/>
      <c r="N173" s="113"/>
      <c r="O173" s="93"/>
      <c r="P173" s="93"/>
      <c r="Q173" s="93"/>
      <c r="R173" s="93"/>
      <c r="S173" s="93"/>
      <c r="T173" s="919"/>
      <c r="U173" s="919"/>
      <c r="V173" s="919"/>
      <c r="W173" s="919"/>
      <c r="X173" s="919"/>
      <c r="Y173" s="710"/>
      <c r="Z173" s="711"/>
      <c r="AA173" s="196"/>
      <c r="AB173" s="93"/>
      <c r="AC173" s="113"/>
      <c r="AD173" s="113"/>
      <c r="AE173" s="113"/>
      <c r="AF173" s="113"/>
      <c r="AG173" s="113"/>
      <c r="AH173" s="113"/>
      <c r="AI173" s="113"/>
      <c r="AJ173" s="113"/>
      <c r="AK173" s="113"/>
      <c r="AL173" s="113"/>
      <c r="AM173" s="113"/>
      <c r="AN173" s="113"/>
      <c r="AO173" s="113"/>
      <c r="AP173" s="113"/>
      <c r="AQ173" s="113"/>
      <c r="AR173" s="113"/>
      <c r="AS173" s="113"/>
      <c r="AT173" s="113"/>
      <c r="AU173" s="113"/>
      <c r="AV173" s="113"/>
      <c r="AW173" s="113"/>
      <c r="AX173" s="113"/>
      <c r="AY173" s="113"/>
      <c r="AZ173" s="113"/>
      <c r="BA173" s="113"/>
      <c r="BB173" s="113"/>
      <c r="BC173" s="113"/>
    </row>
    <row r="174" spans="1:55" ht="12" customHeight="1" thickBot="1" x14ac:dyDescent="0.35">
      <c r="A174" s="673"/>
      <c r="B174" s="673"/>
      <c r="C174" s="671"/>
      <c r="D174" s="671"/>
      <c r="E174" s="671"/>
      <c r="F174" s="671"/>
      <c r="G174" s="814"/>
      <c r="H174" s="814"/>
      <c r="I174" s="814"/>
      <c r="J174" s="93"/>
      <c r="K174" s="1007"/>
      <c r="L174" s="1007"/>
      <c r="M174" s="1007"/>
      <c r="N174" s="1170"/>
      <c r="O174" s="93"/>
      <c r="P174" s="93"/>
      <c r="Q174" s="93"/>
      <c r="R174" s="93"/>
      <c r="S174" s="93"/>
      <c r="T174" s="919"/>
      <c r="U174" s="919"/>
      <c r="V174" s="919"/>
      <c r="W174" s="919"/>
      <c r="X174" s="919"/>
      <c r="Y174" s="710"/>
      <c r="Z174" s="711"/>
      <c r="AA174" s="106"/>
      <c r="AB174" s="93"/>
      <c r="AC174" s="1170"/>
      <c r="AD174" s="1170"/>
      <c r="AE174" s="1170"/>
      <c r="AF174" s="1170"/>
      <c r="AG174" s="1170"/>
      <c r="AH174" s="1170"/>
      <c r="AI174" s="1170"/>
      <c r="AJ174" s="1170"/>
      <c r="AK174" s="1170"/>
      <c r="AL174" s="1170"/>
      <c r="AM174" s="1170"/>
      <c r="AN174" s="1170"/>
      <c r="AO174" s="1170"/>
      <c r="AP174" s="1170"/>
      <c r="AQ174" s="1170"/>
      <c r="AR174" s="1170"/>
      <c r="AS174" s="1170"/>
      <c r="AT174" s="1170"/>
      <c r="AU174" s="1170"/>
      <c r="AV174" s="1170"/>
      <c r="AW174" s="1170"/>
      <c r="AX174" s="1170"/>
      <c r="AY174" s="1170"/>
      <c r="AZ174" s="1170"/>
      <c r="BA174" s="1170"/>
      <c r="BB174" s="1170"/>
      <c r="BC174" s="1170"/>
    </row>
    <row r="175" spans="1:55" ht="27.6" x14ac:dyDescent="0.3">
      <c r="A175" s="100"/>
      <c r="B175" s="1018"/>
      <c r="C175" s="1282" t="s">
        <v>176</v>
      </c>
      <c r="D175" s="2164" t="s">
        <v>177</v>
      </c>
      <c r="E175" s="2165"/>
      <c r="F175" s="2165"/>
      <c r="G175" s="2166"/>
      <c r="H175" s="2167"/>
      <c r="I175" s="2167"/>
      <c r="J175" s="2168" t="s">
        <v>428</v>
      </c>
      <c r="K175" s="2169"/>
      <c r="L175" s="2170" t="s">
        <v>452</v>
      </c>
      <c r="M175" s="2171"/>
      <c r="N175" s="2172"/>
      <c r="O175" s="2173" t="s">
        <v>430</v>
      </c>
      <c r="P175" s="2170"/>
      <c r="Q175" s="2170"/>
      <c r="R175" s="2171"/>
      <c r="S175" s="2174"/>
      <c r="T175" s="2170" t="s">
        <v>418</v>
      </c>
      <c r="U175" s="2171"/>
      <c r="V175" s="2171"/>
      <c r="W175" s="2171"/>
      <c r="X175" s="2171"/>
      <c r="Y175" s="2171"/>
      <c r="Z175" s="2171"/>
      <c r="AA175" s="2174"/>
      <c r="AB175" s="2152" t="s">
        <v>433</v>
      </c>
      <c r="AC175" s="1170"/>
      <c r="AD175" s="1170"/>
      <c r="AE175" s="1170"/>
      <c r="AF175" s="1170"/>
      <c r="AG175" s="1170"/>
      <c r="AH175" s="1170"/>
      <c r="AI175" s="1170"/>
      <c r="AJ175" s="1170"/>
      <c r="AK175" s="1170"/>
      <c r="AL175" s="1170"/>
      <c r="AM175" s="1170"/>
      <c r="AN175" s="1170"/>
      <c r="AO175" s="1170"/>
      <c r="AP175" s="1170"/>
      <c r="AQ175" s="1170"/>
      <c r="AR175" s="1170"/>
      <c r="AS175" s="1170"/>
      <c r="AT175" s="1170"/>
      <c r="AU175" s="1170"/>
      <c r="AV175" s="1170"/>
      <c r="AW175" s="1170"/>
      <c r="AX175" s="1170"/>
      <c r="AY175" s="1170"/>
      <c r="AZ175" s="1170"/>
      <c r="BA175" s="1170"/>
      <c r="BB175" s="1170"/>
      <c r="BC175" s="1170"/>
    </row>
    <row r="176" spans="1:55" ht="47.55" customHeight="1" thickBot="1" x14ac:dyDescent="0.35">
      <c r="A176" s="102"/>
      <c r="B176" s="1019"/>
      <c r="C176" s="1283" t="str">
        <f>C14</f>
        <v>Q2</v>
      </c>
      <c r="D176" s="721" t="str">
        <f t="shared" ref="D176:I176" si="181">D14</f>
        <v>Q1</v>
      </c>
      <c r="E176" s="925" t="str">
        <f t="shared" si="181"/>
        <v>Q4-19</v>
      </c>
      <c r="F176" s="925" t="str">
        <f t="shared" si="181"/>
        <v>Q3-19</v>
      </c>
      <c r="G176" s="722" t="str">
        <f t="shared" si="181"/>
        <v>Q2-19</v>
      </c>
      <c r="H176" s="722" t="str">
        <f t="shared" si="181"/>
        <v>2018-2019</v>
      </c>
      <c r="I176" s="926" t="str">
        <f t="shared" si="181"/>
        <v>25% of previous year total</v>
      </c>
      <c r="J176" s="724" t="s">
        <v>434</v>
      </c>
      <c r="K176" s="725" t="s">
        <v>435</v>
      </c>
      <c r="L176" s="2154" t="str">
        <f>CONCATENATE("Average flight distance = ",+O8," to ",+O9," km")</f>
        <v>Average flight distance = 100 to 800 km</v>
      </c>
      <c r="M176" s="2155"/>
      <c r="N176" s="1020" t="s">
        <v>435</v>
      </c>
      <c r="O176" s="728" t="s">
        <v>438</v>
      </c>
      <c r="P176" s="925" t="s">
        <v>470</v>
      </c>
      <c r="Q176" s="925" t="s">
        <v>471</v>
      </c>
      <c r="R176" s="1169" t="s">
        <v>439</v>
      </c>
      <c r="S176" s="729" t="s">
        <v>440</v>
      </c>
      <c r="T176" s="2156" t="s">
        <v>441</v>
      </c>
      <c r="U176" s="2155"/>
      <c r="V176" s="1394"/>
      <c r="W176" s="1394"/>
      <c r="X176" s="1394"/>
      <c r="Y176" s="2157" t="s">
        <v>453</v>
      </c>
      <c r="Z176" s="2155"/>
      <c r="AA176" s="729" t="s">
        <v>445</v>
      </c>
      <c r="AB176" s="2153"/>
      <c r="AC176" s="1170"/>
      <c r="AD176" s="1170"/>
      <c r="AE176" s="1170"/>
      <c r="AF176" s="1170"/>
      <c r="AG176" s="1170"/>
      <c r="AH176" s="1170"/>
      <c r="AI176" s="1170"/>
      <c r="AJ176" s="1170"/>
      <c r="AK176" s="1170"/>
      <c r="AL176" s="1170"/>
      <c r="AM176" s="1170"/>
      <c r="AN176" s="1170"/>
      <c r="AO176" s="1170"/>
      <c r="AP176" s="1170"/>
      <c r="AQ176" s="1170"/>
      <c r="AR176" s="1170"/>
      <c r="AS176" s="1170"/>
      <c r="AT176" s="1170"/>
      <c r="AU176" s="1170"/>
      <c r="AV176" s="1170"/>
      <c r="AW176" s="1170"/>
      <c r="AX176" s="1170"/>
      <c r="AY176" s="1170"/>
      <c r="AZ176" s="1170"/>
      <c r="BA176" s="1170"/>
      <c r="BB176" s="1170"/>
      <c r="BC176" s="1170"/>
    </row>
    <row r="177" spans="1:55" ht="12" customHeight="1" x14ac:dyDescent="0.3">
      <c r="A177" s="1021" t="s">
        <v>187</v>
      </c>
      <c r="B177" s="1022"/>
      <c r="C177" s="1195">
        <f t="shared" ref="C177:H177" ca="1" si="182">INDIRECT(CONCATENATE("'",C$14,"'!$D$197"),TRUE)</f>
        <v>772</v>
      </c>
      <c r="D177" s="1196">
        <f t="shared" ca="1" si="182"/>
        <v>976</v>
      </c>
      <c r="E177" s="1197">
        <f t="shared" ca="1" si="182"/>
        <v>1088</v>
      </c>
      <c r="F177" s="1197">
        <f t="shared" ca="1" si="182"/>
        <v>1075</v>
      </c>
      <c r="G177" s="1197">
        <f t="shared" ca="1" si="182"/>
        <v>978</v>
      </c>
      <c r="H177" s="1197">
        <f t="shared" ca="1" si="182"/>
        <v>4200</v>
      </c>
      <c r="I177" s="1208">
        <f t="shared" ref="I177" ca="1" si="183">H177/4</f>
        <v>1050</v>
      </c>
      <c r="J177" s="973" t="str">
        <f ca="1">IF(AND(C177&gt;0,SUM(D177:I177)&gt;0),"",IF(AND(C177=0,SUM(C177:I177)=0),"",IF(AND(C177=0,D177&gt;0),"missing?",IF(AND(C177=0,I177&gt;0),"missing?","new category"))))</f>
        <v/>
      </c>
      <c r="K177" s="751"/>
      <c r="L177" s="2158"/>
      <c r="M177" s="2159"/>
      <c r="N177" s="1023"/>
      <c r="O177" s="1024">
        <f ca="1">IF(OR(+$J177="missing?",+$J177="new category"),"",IF($D177=0,"",IF(SUM($C177:$I177)=0,"",IFERROR((($C177-$D177)/$D177),"N/A"))))</f>
        <v>-0.20901639344262296</v>
      </c>
      <c r="P177" s="808">
        <f t="shared" ref="P177:P178" ca="1" si="184">IF(OR(+$J177="missing?",+$J177="new category"),"",IF($E177=0,"",IF(SUM($C177:$I177)=0,"",IFERROR((($C177-$E177)/$E177),"N/A"))))</f>
        <v>-0.29044117647058826</v>
      </c>
      <c r="Q177" s="808">
        <f t="shared" ref="Q177:Q178" ca="1" si="185">IF(OR(+$J177="missing?",+$J177="new category"),"",IF($F177=0,"",IF(SUM($C177:$I177)=0,"",IFERROR((($C177-$F177)/$F177),"N/A"))))</f>
        <v>-0.28186046511627905</v>
      </c>
      <c r="R177" s="808">
        <f ca="1">IF(OR(+$J177="missing?",+$J177="new category"),"",IF($G177=0,"",IF(SUM($C177:$I177)=0,"",IFERROR((($C177-$G177)/$G177),"N/A"))))</f>
        <v>-0.21063394683026584</v>
      </c>
      <c r="S177" s="974">
        <f ca="1">IF(OR(+$J177="missing?",+$J177="new category"),"",IF($I177=0,"",IF(SUM($C177:$I177)=0,"",IFERROR((($C177-$I177)/$I177),"N/A"))))</f>
        <v>-0.26476190476190475</v>
      </c>
      <c r="T177" s="1166">
        <f t="shared" ref="T177:T178" ca="1" si="186">IF(SUM(C177:I177)=0,"",IF(OR(AND(C177=0,SUM(D177:I177)&gt;0),AND(C177&gt;0,SUM(D177:I177)=0)),1,IF(MAX(IF(O177&lt;0,-O177,O177),IF(P177&lt;0,-P177,P177),IF(Q177&lt;0,-Q177,Q177),IF(R177&lt;0,-R177,R177),IF(S177&lt;0,-S177,S177))=0,"",MAX(IF(O177&lt;0,-O177,O177),IF(P177&lt;0,-P177,P177),IF(Q177&lt;0,-Q177,Q177),IF(R177&lt;0,-R177,R177),IF(S177&lt;0,-S177,S177)))))</f>
        <v>0.29044117647058826</v>
      </c>
      <c r="U177" s="1166">
        <f ca="1">IF(SUM(D177:J177)=0,"",IF(OR(AND(D177=0,SUM(G177:J177)&gt;0),AND(D177&gt;0,SUM(G177:J177)=0)),1,IF(MAX(IF(R177&lt;0,-R177,R177),IF(S177&lt;0,-S177,S177),IF(T177&lt;0,-T177,T177))=0,"",MAX(IF(R177&lt;0,-R177,R177),IF(S177&lt;0,-S177,S177),IF(T177&lt;0,-T177,T177)))))</f>
        <v>0.29044117647058826</v>
      </c>
      <c r="V177" s="1400"/>
      <c r="W177" s="1400"/>
      <c r="X177" s="1400"/>
      <c r="Y177" s="2160" t="str">
        <f ca="1">IF(+T177="","",IF(T177&gt;$P$3,"H",IF(T177&gt;$P$4,"M","")))</f>
        <v>H</v>
      </c>
      <c r="Z177" s="2161"/>
      <c r="AA177" s="751"/>
      <c r="AB177" s="871" t="str">
        <f t="shared" ref="AB177" ca="1" si="187">IF(CONCATENATE(IF(K177="OK","",J177),"    ",IF(L177="","",IF(N177="OK","",CONCATENATE(M177," = ",ROUND(L177,3),"kgCO2e/kWh"))),"    ",IF(AND(+AA177="",Y177="M"),"Value change with medium impact",IF(AND(AA177="",Y177="H"),"Value change with high impact",""))," ")="         ","",CONCATENATE(IF(K177="OK","",J177),"    ",IF(L177="","",IF(N177="OK","",CONCATENATE(M177," = ",ROUND(L177,3),"kgCO2e/kWh"))),"    ",IF(AND(+AA177="",Y177="M"),"Value change with medium impact",IF(AND(AA177="",Y177="H"),"Value change with high impact",""))," "))</f>
        <v xml:space="preserve">        Value change with high impact </v>
      </c>
      <c r="AC177" s="1170"/>
      <c r="AD177" s="1170"/>
      <c r="AE177" s="1170"/>
      <c r="AF177" s="1170"/>
      <c r="AG177" s="1170"/>
      <c r="AH177" s="1170"/>
      <c r="AI177" s="1170"/>
      <c r="AJ177" s="1170"/>
      <c r="AK177" s="1170"/>
      <c r="AL177" s="1170"/>
      <c r="AM177" s="1170"/>
      <c r="AN177" s="1170"/>
      <c r="AO177" s="1170"/>
      <c r="AP177" s="1170"/>
      <c r="AQ177" s="1170"/>
      <c r="AR177" s="1170"/>
      <c r="AS177" s="1170"/>
      <c r="AT177" s="1170"/>
      <c r="AU177" s="1170"/>
      <c r="AV177" s="1170"/>
      <c r="AW177" s="1170"/>
      <c r="AX177" s="1170"/>
      <c r="AY177" s="1170"/>
      <c r="AZ177" s="1170"/>
      <c r="BA177" s="1170"/>
      <c r="BB177" s="1170"/>
      <c r="BC177" s="1170"/>
    </row>
    <row r="178" spans="1:55" ht="12" customHeight="1" thickBot="1" x14ac:dyDescent="0.35">
      <c r="A178" s="1025" t="s">
        <v>188</v>
      </c>
      <c r="B178" s="1026"/>
      <c r="C178" s="1027">
        <f t="shared" ref="C178:H178" ca="1" si="188">INDIRECT(CONCATENATE("'",C$14,"'!$D$198"),TRUE)</f>
        <v>460.77093264248703</v>
      </c>
      <c r="D178" s="1028">
        <f t="shared" ca="1" si="188"/>
        <v>445.94013081485554</v>
      </c>
      <c r="E178" s="1029">
        <f t="shared" ca="1" si="188"/>
        <v>427.86793783900828</v>
      </c>
      <c r="F178" s="1029">
        <f t="shared" ca="1" si="188"/>
        <v>434.31989490597675</v>
      </c>
      <c r="G178" s="1029">
        <f t="shared" ca="1" si="188"/>
        <v>446.02420462079817</v>
      </c>
      <c r="H178" s="1029">
        <f t="shared" ca="1" si="188"/>
        <v>437.63966523215277</v>
      </c>
      <c r="I178" s="1030">
        <f ca="1">H178</f>
        <v>437.63966523215277</v>
      </c>
      <c r="J178" s="812" t="str">
        <f ca="1">IF(AND(C178&gt;0,SUM(D178:I178)&gt;0),"",IF(AND(C178=0,SUM(C178:I178)=0),"",IF(AND(C178=0,D178&gt;0),"missing?",IF(AND(C178=0,I178&gt;0),"missing?","new category"))))</f>
        <v/>
      </c>
      <c r="K178" s="790"/>
      <c r="L178" s="2148" t="str">
        <f ca="1">IF(C178&gt;+O9,"too high?",IF(C178&lt;+O8,"too low?",""))</f>
        <v/>
      </c>
      <c r="M178" s="2149"/>
      <c r="N178" s="796"/>
      <c r="O178" s="813">
        <f ca="1">IF(OR(+$J178="missing?",+$J178="new category"),"",IF($D178=0,"",IF(SUM($C178:$I178)=0,"",IFERROR((($C178-$D178)/$D178),"N/A"))))</f>
        <v>3.3257383228846277E-2</v>
      </c>
      <c r="P178" s="1072">
        <f t="shared" ca="1" si="184"/>
        <v>7.6899884038188884E-2</v>
      </c>
      <c r="Q178" s="1072">
        <f t="shared" ca="1" si="185"/>
        <v>6.0902201457376237E-2</v>
      </c>
      <c r="R178" s="1072">
        <f ca="1">IF(OR(+$J178="missing?",+$J178="new category"),"",IF($G178=0,"",IF(SUM($C178:$I178)=0,"",IFERROR((($C178-$G178)/$G178),"N/A"))))</f>
        <v>3.3062618281503933E-2</v>
      </c>
      <c r="S178" s="1075">
        <f ca="1">IF(OR(+$J178="missing?",+$J178="new category"),"",IF($I178=0,"",IF(SUM($C178:$I178)=0,"",IFERROR((($C178-$I178)/$I178),"N/A"))))</f>
        <v>5.2854595339441909E-2</v>
      </c>
      <c r="T178" s="1163">
        <f t="shared" ca="1" si="186"/>
        <v>7.6899884038188884E-2</v>
      </c>
      <c r="U178" s="1163">
        <f ca="1">IF(SUM(D178:J178)=0,"",IF(OR(AND(D178=0,SUM(G178:J178)&gt;0),AND(D178&gt;0,SUM(G178:J178)=0)),1,IF(MAX(IF(R178&lt;0,-R178,R178),IF(S178&lt;0,-S178,S178),IF(T178&lt;0,-T178,T178))=0,"",MAX(IF(R178&lt;0,-R178,R178),IF(S178&lt;0,-S178,S178),IF(T178&lt;0,-T178,T178)))))</f>
        <v>7.6899884038188884E-2</v>
      </c>
      <c r="V178" s="1401"/>
      <c r="W178" s="1401"/>
      <c r="X178" s="1401"/>
      <c r="Y178" s="2150" t="str">
        <f ca="1">IF(+T178="","",IF(T178&gt;$P$3,"H",IF(T178&gt;$P$4,"M","")))</f>
        <v>M</v>
      </c>
      <c r="Z178" s="2151"/>
      <c r="AA178" s="790"/>
      <c r="AB178" s="954" t="str">
        <f ca="1">+L178</f>
        <v/>
      </c>
      <c r="AC178" s="1170"/>
      <c r="AD178" s="1170"/>
      <c r="AE178" s="1170"/>
      <c r="AF178" s="1170"/>
      <c r="AG178" s="1170"/>
      <c r="AH178" s="1170"/>
      <c r="AI178" s="1170"/>
      <c r="AJ178" s="1170"/>
      <c r="AK178" s="1170"/>
      <c r="AL178" s="1170"/>
      <c r="AM178" s="1170"/>
      <c r="AN178" s="1170"/>
      <c r="AO178" s="1170"/>
      <c r="AP178" s="1170"/>
      <c r="AQ178" s="1170"/>
      <c r="AR178" s="1170"/>
      <c r="AS178" s="1170"/>
      <c r="AT178" s="1170"/>
      <c r="AU178" s="1170"/>
      <c r="AV178" s="1170"/>
      <c r="AW178" s="1170"/>
      <c r="AX178" s="1170"/>
      <c r="AY178" s="1170"/>
      <c r="AZ178" s="1170"/>
      <c r="BA178" s="1170"/>
      <c r="BB178" s="1170"/>
      <c r="BC178" s="1170"/>
    </row>
  </sheetData>
  <sheetProtection algorithmName="SHA-512" hashValue="SVB8bep6WwqrD5d76FQf7mRcbgshJyPA98huoz17NkDsRFgkQr0+PCiwFF5WBwMI5wKmkps161HYpAuWU0ExSg==" saltValue="YQN2qgmqOR+1SYCjJRcm1w==" spinCount="100000" sheet="1" objects="1" scenarios="1"/>
  <mergeCells count="136">
    <mergeCell ref="L178:M178"/>
    <mergeCell ref="Y178:Z178"/>
    <mergeCell ref="AB175:AB176"/>
    <mergeCell ref="L176:M176"/>
    <mergeCell ref="T176:U176"/>
    <mergeCell ref="Y176:Z176"/>
    <mergeCell ref="L177:M177"/>
    <mergeCell ref="Y177:Z177"/>
    <mergeCell ref="T168:U168"/>
    <mergeCell ref="Y168:Z168"/>
    <mergeCell ref="Y169:Z169"/>
    <mergeCell ref="D175:I175"/>
    <mergeCell ref="J175:K175"/>
    <mergeCell ref="L175:N175"/>
    <mergeCell ref="O175:S175"/>
    <mergeCell ref="T175:AA175"/>
    <mergeCell ref="T148:U148"/>
    <mergeCell ref="Y148:Z148"/>
    <mergeCell ref="AU148:AV148"/>
    <mergeCell ref="AZ148:BA148"/>
    <mergeCell ref="D167:I167"/>
    <mergeCell ref="J167:K167"/>
    <mergeCell ref="L167:N167"/>
    <mergeCell ref="O167:S167"/>
    <mergeCell ref="T167:AA167"/>
    <mergeCell ref="AB167:AB168"/>
    <mergeCell ref="AE147:AJ147"/>
    <mergeCell ref="AK147:AL147"/>
    <mergeCell ref="AM147:AO147"/>
    <mergeCell ref="AP147:AT147"/>
    <mergeCell ref="AU147:BB147"/>
    <mergeCell ref="BC147:BC148"/>
    <mergeCell ref="AM142:AN142"/>
    <mergeCell ref="AU142:AV142"/>
    <mergeCell ref="AZ142:BA142"/>
    <mergeCell ref="D147:I147"/>
    <mergeCell ref="J147:K147"/>
    <mergeCell ref="L147:N147"/>
    <mergeCell ref="O147:S147"/>
    <mergeCell ref="T147:AA147"/>
    <mergeCell ref="AB147:AB148"/>
    <mergeCell ref="AC147:AC148"/>
    <mergeCell ref="L140:M140"/>
    <mergeCell ref="Y140:Z140"/>
    <mergeCell ref="AU140:AV140"/>
    <mergeCell ref="AZ140:BA140"/>
    <mergeCell ref="AU141:AV141"/>
    <mergeCell ref="AZ141:BA141"/>
    <mergeCell ref="BC138:BC139"/>
    <mergeCell ref="T139:U139"/>
    <mergeCell ref="Y139:Z139"/>
    <mergeCell ref="AM139:AN139"/>
    <mergeCell ref="AU139:AV139"/>
    <mergeCell ref="AZ139:BA139"/>
    <mergeCell ref="AC138:AC139"/>
    <mergeCell ref="AE138:AJ138"/>
    <mergeCell ref="AK138:AL138"/>
    <mergeCell ref="AM138:AO138"/>
    <mergeCell ref="AP138:AT138"/>
    <mergeCell ref="AU138:BB138"/>
    <mergeCell ref="A127:A133"/>
    <mergeCell ref="AU131:AV133"/>
    <mergeCell ref="B138:B139"/>
    <mergeCell ref="D138:I138"/>
    <mergeCell ref="J138:K138"/>
    <mergeCell ref="L138:M139"/>
    <mergeCell ref="N138:N139"/>
    <mergeCell ref="O138:S138"/>
    <mergeCell ref="T138:AA138"/>
    <mergeCell ref="AB138:AB139"/>
    <mergeCell ref="O118:S118"/>
    <mergeCell ref="T118:AA118"/>
    <mergeCell ref="AB118:AB119"/>
    <mergeCell ref="T119:U119"/>
    <mergeCell ref="Y119:Z119"/>
    <mergeCell ref="A120:A126"/>
    <mergeCell ref="A79:A99"/>
    <mergeCell ref="A100:B100"/>
    <mergeCell ref="A101:A113"/>
    <mergeCell ref="D118:I118"/>
    <mergeCell ref="J118:K118"/>
    <mergeCell ref="L118:N118"/>
    <mergeCell ref="AB54:AB55"/>
    <mergeCell ref="T55:U55"/>
    <mergeCell ref="Y55:Z55"/>
    <mergeCell ref="A56:B56"/>
    <mergeCell ref="A57:A77"/>
    <mergeCell ref="A78:B78"/>
    <mergeCell ref="A54:B55"/>
    <mergeCell ref="D54:I54"/>
    <mergeCell ref="J54:K54"/>
    <mergeCell ref="L54:N54"/>
    <mergeCell ref="O54:S54"/>
    <mergeCell ref="T54:AA54"/>
    <mergeCell ref="BC47:BC48"/>
    <mergeCell ref="T48:U48"/>
    <mergeCell ref="Y48:Z48"/>
    <mergeCell ref="A49:B49"/>
    <mergeCell ref="T47:AA47"/>
    <mergeCell ref="AB47:AB48"/>
    <mergeCell ref="AC47:AC48"/>
    <mergeCell ref="AE47:AJ47"/>
    <mergeCell ref="AK47:AL47"/>
    <mergeCell ref="AM47:AO47"/>
    <mergeCell ref="BC13:BC14"/>
    <mergeCell ref="T14:U14"/>
    <mergeCell ref="Y14:Z14"/>
    <mergeCell ref="A15:B15"/>
    <mergeCell ref="A16:A31"/>
    <mergeCell ref="AB13:AB14"/>
    <mergeCell ref="AC13:AC14"/>
    <mergeCell ref="AE13:AJ13"/>
    <mergeCell ref="AK13:AL13"/>
    <mergeCell ref="AM13:AO13"/>
    <mergeCell ref="AP13:AT13"/>
    <mergeCell ref="A13:B14"/>
    <mergeCell ref="D13:I13"/>
    <mergeCell ref="J13:K13"/>
    <mergeCell ref="L13:N13"/>
    <mergeCell ref="O13:S13"/>
    <mergeCell ref="T13:AA13"/>
    <mergeCell ref="J2:K2"/>
    <mergeCell ref="AK2:AL2"/>
    <mergeCell ref="J7:J10"/>
    <mergeCell ref="AK7:AK10"/>
    <mergeCell ref="AU9:AV11"/>
    <mergeCell ref="AU12:BA12"/>
    <mergeCell ref="A32:A43"/>
    <mergeCell ref="A47:B48"/>
    <mergeCell ref="D47:I47"/>
    <mergeCell ref="J47:K47"/>
    <mergeCell ref="L47:N47"/>
    <mergeCell ref="O47:S47"/>
    <mergeCell ref="AU13:BB13"/>
    <mergeCell ref="AP47:AT47"/>
    <mergeCell ref="AU47:BB47"/>
  </mergeCells>
  <conditionalFormatting sqref="K15 J53 J15:J43">
    <cfRule type="expression" dxfId="1022" priority="303" stopIfTrue="1">
      <formula>K15="OK"</formula>
    </cfRule>
    <cfRule type="containsText" dxfId="1021" priority="304" operator="containsText" text="g">
      <formula>NOT(ISERROR(SEARCH("g",J15)))</formula>
    </cfRule>
  </conditionalFormatting>
  <conditionalFormatting sqref="L53 L15:L37">
    <cfRule type="expression" dxfId="1020" priority="302" stopIfTrue="1">
      <formula>N15="OK"</formula>
    </cfRule>
    <cfRule type="notContainsBlanks" dxfId="1019" priority="305">
      <formula>LEN(TRIM(L15))&gt;0</formula>
    </cfRule>
  </conditionalFormatting>
  <conditionalFormatting sqref="K16:K43">
    <cfRule type="expression" dxfId="1018" priority="297">
      <formula>J16=""</formula>
    </cfRule>
  </conditionalFormatting>
  <conditionalFormatting sqref="L38:L43">
    <cfRule type="expression" dxfId="1017" priority="300" stopIfTrue="1">
      <formula>N38="OK"</formula>
    </cfRule>
    <cfRule type="notContainsBlanks" dxfId="1016" priority="301">
      <formula>LEN(TRIM(L38))&gt;0</formula>
    </cfRule>
  </conditionalFormatting>
  <conditionalFormatting sqref="AM15:AM20">
    <cfRule type="expression" dxfId="1015" priority="298" stopIfTrue="1">
      <formula>AO15="OK"</formula>
    </cfRule>
    <cfRule type="notContainsBlanks" dxfId="1014" priority="299">
      <formula>LEN(TRIM(AM15))&gt;0</formula>
    </cfRule>
  </conditionalFormatting>
  <conditionalFormatting sqref="N24:N43">
    <cfRule type="expression" dxfId="1013" priority="296">
      <formula>M24=""</formula>
    </cfRule>
  </conditionalFormatting>
  <conditionalFormatting sqref="AA16:AA43">
    <cfRule type="expression" dxfId="1012" priority="295">
      <formula>Z16=""</formula>
    </cfRule>
  </conditionalFormatting>
  <conditionalFormatting sqref="AL16:AL20">
    <cfRule type="expression" dxfId="1011" priority="294">
      <formula>AK16=""</formula>
    </cfRule>
  </conditionalFormatting>
  <conditionalFormatting sqref="BB16:BB20">
    <cfRule type="expression" dxfId="1010" priority="293">
      <formula>BA16=""</formula>
    </cfRule>
  </conditionalFormatting>
  <conditionalFormatting sqref="J50:J51 J56 J114:J117">
    <cfRule type="expression" dxfId="1009" priority="290" stopIfTrue="1">
      <formula>K50="OK"</formula>
    </cfRule>
    <cfRule type="containsText" dxfId="1008" priority="291" operator="containsText" text="g">
      <formula>NOT(ISERROR(SEARCH("g",J50)))</formula>
    </cfRule>
  </conditionalFormatting>
  <conditionalFormatting sqref="L49:L51 L114:L115">
    <cfRule type="expression" dxfId="1007" priority="289" stopIfTrue="1">
      <formula>N49="OK"</formula>
    </cfRule>
    <cfRule type="notContainsBlanks" dxfId="1006" priority="292">
      <formula>LEN(TRIM(L49))&gt;0</formula>
    </cfRule>
  </conditionalFormatting>
  <conditionalFormatting sqref="J158:J160">
    <cfRule type="expression" dxfId="1005" priority="287" stopIfTrue="1">
      <formula>K158="OK"</formula>
    </cfRule>
    <cfRule type="containsText" dxfId="1004" priority="288" operator="containsText" text="g">
      <formula>NOT(ISERROR(SEARCH("g",J158)))</formula>
    </cfRule>
  </conditionalFormatting>
  <conditionalFormatting sqref="J100">
    <cfRule type="expression" dxfId="1003" priority="285" stopIfTrue="1">
      <formula>K100="OK"</formula>
    </cfRule>
    <cfRule type="containsText" dxfId="1002" priority="286" operator="containsText" text="g">
      <formula>NOT(ISERROR(SEARCH("g",J100)))</formula>
    </cfRule>
  </conditionalFormatting>
  <conditionalFormatting sqref="L111:L113 J78:K78 L73:L99">
    <cfRule type="expression" dxfId="1001" priority="283" stopIfTrue="1">
      <formula>L73="OK"</formula>
    </cfRule>
    <cfRule type="notContainsBlanks" dxfId="1000" priority="284">
      <formula>LEN(TRIM(J73))&gt;0</formula>
    </cfRule>
  </conditionalFormatting>
  <conditionalFormatting sqref="L100:L110">
    <cfRule type="expression" dxfId="999" priority="281" stopIfTrue="1">
      <formula>N100="OK"</formula>
    </cfRule>
    <cfRule type="notContainsBlanks" dxfId="998" priority="282">
      <formula>LEN(TRIM(L100))&gt;0</formula>
    </cfRule>
  </conditionalFormatting>
  <conditionalFormatting sqref="L120:L124">
    <cfRule type="expression" dxfId="997" priority="279" stopIfTrue="1">
      <formula>N120="OK"</formula>
    </cfRule>
    <cfRule type="notContainsBlanks" dxfId="996" priority="280">
      <formula>LEN(TRIM(L120))&gt;0</formula>
    </cfRule>
  </conditionalFormatting>
  <conditionalFormatting sqref="AK149:AK157">
    <cfRule type="expression" dxfId="995" priority="277" stopIfTrue="1">
      <formula>AL149="OK"</formula>
    </cfRule>
    <cfRule type="containsText" dxfId="994" priority="278" operator="containsText" text="g">
      <formula>NOT(ISERROR(SEARCH("g",AK149)))</formula>
    </cfRule>
  </conditionalFormatting>
  <conditionalFormatting sqref="AK161">
    <cfRule type="expression" dxfId="993" priority="275" stopIfTrue="1">
      <formula>AL161="OK"</formula>
    </cfRule>
    <cfRule type="containsText" dxfId="992" priority="276" operator="containsText" text="g">
      <formula>NOT(ISERROR(SEARCH("g",AK161)))</formula>
    </cfRule>
  </conditionalFormatting>
  <conditionalFormatting sqref="K49">
    <cfRule type="expression" dxfId="991" priority="274">
      <formula>J49=""</formula>
    </cfRule>
  </conditionalFormatting>
  <conditionalFormatting sqref="K57:K77">
    <cfRule type="expression" dxfId="990" priority="273">
      <formula>J57=""</formula>
    </cfRule>
  </conditionalFormatting>
  <conditionalFormatting sqref="K79:K99">
    <cfRule type="expression" dxfId="989" priority="272">
      <formula>J79=""</formula>
    </cfRule>
  </conditionalFormatting>
  <conditionalFormatting sqref="K101:K113">
    <cfRule type="expression" dxfId="988" priority="271">
      <formula>J101=""</formula>
    </cfRule>
  </conditionalFormatting>
  <conditionalFormatting sqref="K120:K124">
    <cfRule type="expression" dxfId="987" priority="270">
      <formula>J120=""</formula>
    </cfRule>
  </conditionalFormatting>
  <conditionalFormatting sqref="K140">
    <cfRule type="expression" dxfId="986" priority="269">
      <formula>J140=""</formula>
    </cfRule>
  </conditionalFormatting>
  <conditionalFormatting sqref="K149:K157">
    <cfRule type="expression" dxfId="985" priority="268">
      <formula>J149=""</formula>
    </cfRule>
  </conditionalFormatting>
  <conditionalFormatting sqref="K161">
    <cfRule type="expression" dxfId="984" priority="267">
      <formula>J161=""</formula>
    </cfRule>
  </conditionalFormatting>
  <conditionalFormatting sqref="K169">
    <cfRule type="expression" dxfId="983" priority="266">
      <formula>J169=""</formula>
    </cfRule>
  </conditionalFormatting>
  <conditionalFormatting sqref="N73:N77">
    <cfRule type="expression" dxfId="982" priority="265">
      <formula>M73=""</formula>
    </cfRule>
  </conditionalFormatting>
  <conditionalFormatting sqref="N95:N99">
    <cfRule type="expression" dxfId="981" priority="264">
      <formula>M95=""</formula>
    </cfRule>
  </conditionalFormatting>
  <conditionalFormatting sqref="N111:N113">
    <cfRule type="expression" dxfId="980" priority="263">
      <formula>M111=""</formula>
    </cfRule>
  </conditionalFormatting>
  <conditionalFormatting sqref="AA49">
    <cfRule type="expression" dxfId="979" priority="262">
      <formula>Z49=""</formula>
    </cfRule>
  </conditionalFormatting>
  <conditionalFormatting sqref="AA57:AA77">
    <cfRule type="expression" dxfId="978" priority="261">
      <formula>Z57=""</formula>
    </cfRule>
  </conditionalFormatting>
  <conditionalFormatting sqref="AA79:AA99">
    <cfRule type="expression" dxfId="977" priority="260">
      <formula>Z79=""</formula>
    </cfRule>
  </conditionalFormatting>
  <conditionalFormatting sqref="AA101:AA113">
    <cfRule type="expression" dxfId="976" priority="259">
      <formula>Z101=""</formula>
    </cfRule>
  </conditionalFormatting>
  <conditionalFormatting sqref="AA120:AA124">
    <cfRule type="expression" dxfId="975" priority="258">
      <formula>Z120=""</formula>
    </cfRule>
  </conditionalFormatting>
  <conditionalFormatting sqref="BB149:BB157">
    <cfRule type="expression" dxfId="974" priority="257">
      <formula>BA149=""</formula>
    </cfRule>
  </conditionalFormatting>
  <conditionalFormatting sqref="J49">
    <cfRule type="expression" dxfId="973" priority="255" stopIfTrue="1">
      <formula>K49="OK"</formula>
    </cfRule>
    <cfRule type="containsText" dxfId="972" priority="256" operator="containsText" text="g">
      <formula>NOT(ISERROR(SEARCH("g",J49)))</formula>
    </cfRule>
  </conditionalFormatting>
  <conditionalFormatting sqref="J57:J77">
    <cfRule type="expression" dxfId="971" priority="253" stopIfTrue="1">
      <formula>K57="OK"</formula>
    </cfRule>
    <cfRule type="containsText" dxfId="970" priority="254" operator="containsText" text="g">
      <formula>NOT(ISERROR(SEARCH("g",J57)))</formula>
    </cfRule>
  </conditionalFormatting>
  <conditionalFormatting sqref="J79:J99">
    <cfRule type="expression" dxfId="969" priority="251" stopIfTrue="1">
      <formula>K79="OK"</formula>
    </cfRule>
    <cfRule type="containsText" dxfId="968" priority="252" operator="containsText" text="g">
      <formula>NOT(ISERROR(SEARCH("g",J79)))</formula>
    </cfRule>
  </conditionalFormatting>
  <conditionalFormatting sqref="J101:J113">
    <cfRule type="expression" dxfId="967" priority="249" stopIfTrue="1">
      <formula>K101="OK"</formula>
    </cfRule>
    <cfRule type="containsText" dxfId="966" priority="250" operator="containsText" text="g">
      <formula>NOT(ISERROR(SEARCH("g",J101)))</formula>
    </cfRule>
  </conditionalFormatting>
  <conditionalFormatting sqref="J120:J124">
    <cfRule type="expression" dxfId="965" priority="247" stopIfTrue="1">
      <formula>K120="OK"</formula>
    </cfRule>
    <cfRule type="containsText" dxfId="964" priority="248" operator="containsText" text="g">
      <formula>NOT(ISERROR(SEARCH("g",J120)))</formula>
    </cfRule>
  </conditionalFormatting>
  <conditionalFormatting sqref="J140">
    <cfRule type="expression" dxfId="963" priority="245" stopIfTrue="1">
      <formula>K140="OK"</formula>
    </cfRule>
    <cfRule type="containsText" dxfId="962" priority="246" operator="containsText" text="g">
      <formula>NOT(ISERROR(SEARCH("g",J140)))</formula>
    </cfRule>
  </conditionalFormatting>
  <conditionalFormatting sqref="J149:J157">
    <cfRule type="expression" dxfId="961" priority="243" stopIfTrue="1">
      <formula>K149="OK"</formula>
    </cfRule>
    <cfRule type="containsText" dxfId="960" priority="244" operator="containsText" text="g">
      <formula>NOT(ISERROR(SEARCH("g",J149)))</formula>
    </cfRule>
  </conditionalFormatting>
  <conditionalFormatting sqref="J161">
    <cfRule type="expression" dxfId="959" priority="241" stopIfTrue="1">
      <formula>K161="OK"</formula>
    </cfRule>
    <cfRule type="containsText" dxfId="958" priority="242" operator="containsText" text="g">
      <formula>NOT(ISERROR(SEARCH("g",J161)))</formula>
    </cfRule>
  </conditionalFormatting>
  <conditionalFormatting sqref="J169">
    <cfRule type="expression" dxfId="957" priority="239" stopIfTrue="1">
      <formula>K169="OK"</formula>
    </cfRule>
    <cfRule type="containsText" dxfId="956" priority="240" operator="containsText" text="g">
      <formula>NOT(ISERROR(SEARCH("g",J169)))</formula>
    </cfRule>
  </conditionalFormatting>
  <conditionalFormatting sqref="AK16:AK20">
    <cfRule type="expression" dxfId="955" priority="237" stopIfTrue="1">
      <formula>AL16="OK"</formula>
    </cfRule>
    <cfRule type="containsText" dxfId="954" priority="238" operator="containsText" text="g">
      <formula>NOT(ISERROR(SEARCH("g",AK16)))</formula>
    </cfRule>
  </conditionalFormatting>
  <conditionalFormatting sqref="K177">
    <cfRule type="expression" dxfId="953" priority="236">
      <formula>J177=""</formula>
    </cfRule>
  </conditionalFormatting>
  <conditionalFormatting sqref="J177:J178">
    <cfRule type="expression" dxfId="952" priority="234" stopIfTrue="1">
      <formula>K177="OK"</formula>
    </cfRule>
    <cfRule type="containsText" dxfId="951" priority="235" operator="containsText" text="g">
      <formula>NOT(ISERROR(SEARCH("g",J177)))</formula>
    </cfRule>
  </conditionalFormatting>
  <conditionalFormatting sqref="AA140 AA169 AA177 BB161">
    <cfRule type="expression" dxfId="950" priority="306">
      <formula>Y140=""</formula>
    </cfRule>
  </conditionalFormatting>
  <conditionalFormatting sqref="AA150 AA152:AA157">
    <cfRule type="expression" dxfId="949" priority="233">
      <formula>Y150=""</formula>
    </cfRule>
  </conditionalFormatting>
  <conditionalFormatting sqref="AA149">
    <cfRule type="expression" dxfId="948" priority="232">
      <formula>Z149=""</formula>
    </cfRule>
  </conditionalFormatting>
  <conditionalFormatting sqref="AA151">
    <cfRule type="expression" dxfId="947" priority="231">
      <formula>Z151=""</formula>
    </cfRule>
  </conditionalFormatting>
  <conditionalFormatting sqref="AA161">
    <cfRule type="expression" dxfId="946" priority="230">
      <formula>Y161=""</formula>
    </cfRule>
  </conditionalFormatting>
  <conditionalFormatting sqref="K178">
    <cfRule type="expression" dxfId="945" priority="228">
      <formula>J178=""</formula>
    </cfRule>
  </conditionalFormatting>
  <conditionalFormatting sqref="N178">
    <cfRule type="expression" dxfId="944" priority="227">
      <formula>L178=""</formula>
    </cfRule>
  </conditionalFormatting>
  <conditionalFormatting sqref="AA178">
    <cfRule type="expression" dxfId="943" priority="229">
      <formula>Y178=""</formula>
    </cfRule>
  </conditionalFormatting>
  <conditionalFormatting sqref="AL49">
    <cfRule type="expression" dxfId="942" priority="226">
      <formula>AK49=""</formula>
    </cfRule>
  </conditionalFormatting>
  <conditionalFormatting sqref="BB49">
    <cfRule type="expression" dxfId="941" priority="225">
      <formula>BA49=""</formula>
    </cfRule>
  </conditionalFormatting>
  <conditionalFormatting sqref="AK49">
    <cfRule type="expression" dxfId="940" priority="223" stopIfTrue="1">
      <formula>AL49="OK"</formula>
    </cfRule>
    <cfRule type="containsText" dxfId="939" priority="224" operator="containsText" text="g">
      <formula>NOT(ISERROR(SEARCH("g",AK49)))</formula>
    </cfRule>
  </conditionalFormatting>
  <conditionalFormatting sqref="AO16:AO20">
    <cfRule type="expression" dxfId="938" priority="221" stopIfTrue="1">
      <formula>AS16="OK"</formula>
    </cfRule>
    <cfRule type="notContainsBlanks" dxfId="937" priority="222">
      <formula>LEN(TRIM(AO16))&gt;0</formula>
    </cfRule>
  </conditionalFormatting>
  <conditionalFormatting sqref="AM49">
    <cfRule type="expression" dxfId="936" priority="219" stopIfTrue="1">
      <formula>AO49="OK"</formula>
    </cfRule>
    <cfRule type="notContainsBlanks" dxfId="935" priority="220">
      <formula>LEN(TRIM(AM49))&gt;0</formula>
    </cfRule>
  </conditionalFormatting>
  <conditionalFormatting sqref="AO49">
    <cfRule type="expression" dxfId="934" priority="217" stopIfTrue="1">
      <formula>AS49="OK"</formula>
    </cfRule>
    <cfRule type="notContainsBlanks" dxfId="933" priority="218">
      <formula>LEN(TRIM(AO49))&gt;0</formula>
    </cfRule>
  </conditionalFormatting>
  <conditionalFormatting sqref="AL140:AL141">
    <cfRule type="expression" dxfId="932" priority="214">
      <formula>AK140=""</formula>
    </cfRule>
  </conditionalFormatting>
  <conditionalFormatting sqref="AK140:AK141">
    <cfRule type="expression" dxfId="931" priority="215" stopIfTrue="1">
      <formula>AL140="OK"</formula>
    </cfRule>
    <cfRule type="containsText" dxfId="930" priority="216" operator="containsText" text="g">
      <formula>NOT(ISERROR(SEARCH("g",AK140)))</formula>
    </cfRule>
  </conditionalFormatting>
  <conditionalFormatting sqref="AM142:AM144">
    <cfRule type="containsText" dxfId="929" priority="213" operator="containsText" text="f">
      <formula>NOT(ISERROR(SEARCH("f",AM142)))</formula>
    </cfRule>
  </conditionalFormatting>
  <conditionalFormatting sqref="AO142:AO144">
    <cfRule type="expression" dxfId="928" priority="307">
      <formula>AM142=""</formula>
    </cfRule>
  </conditionalFormatting>
  <conditionalFormatting sqref="AL142:AL144">
    <cfRule type="expression" dxfId="927" priority="210">
      <formula>AK142=""</formula>
    </cfRule>
  </conditionalFormatting>
  <conditionalFormatting sqref="AK142:AK144">
    <cfRule type="expression" dxfId="926" priority="211" stopIfTrue="1">
      <formula>AL142="OK"</formula>
    </cfRule>
    <cfRule type="containsText" dxfId="925" priority="212" operator="containsText" text="g">
      <formula>NOT(ISERROR(SEARCH("g",AK142)))</formula>
    </cfRule>
  </conditionalFormatting>
  <conditionalFormatting sqref="BB140:BB144">
    <cfRule type="expression" dxfId="924" priority="209">
      <formula>AZ140=""</formula>
    </cfRule>
  </conditionalFormatting>
  <conditionalFormatting sqref="AL149:AL157">
    <cfRule type="expression" dxfId="923" priority="208">
      <formula>AK149=""</formula>
    </cfRule>
  </conditionalFormatting>
  <conditionalFormatting sqref="AL161">
    <cfRule type="expression" dxfId="922" priority="207">
      <formula>AK161=""</formula>
    </cfRule>
  </conditionalFormatting>
  <conditionalFormatting sqref="L178:M178">
    <cfRule type="containsText" dxfId="921" priority="206" operator="containsText" text="too">
      <formula>NOT(ISERROR(SEARCH("too",L178)))</formula>
    </cfRule>
  </conditionalFormatting>
  <conditionalFormatting sqref="Z15:Z43">
    <cfRule type="colorScale" priority="205">
      <colorScale>
        <cfvo type="min"/>
        <cfvo type="percentile" val="50"/>
        <cfvo type="max"/>
        <color rgb="FF63BE7B"/>
        <color rgb="FFFFEB84"/>
        <color rgb="FFF8696B"/>
      </colorScale>
    </cfRule>
  </conditionalFormatting>
  <conditionalFormatting sqref="Y140 Y177 Z53 Z16:Z43">
    <cfRule type="containsText" dxfId="920" priority="203" operator="containsText" text="M">
      <formula>NOT(ISERROR(SEARCH("M",Y16)))</formula>
    </cfRule>
    <cfRule type="containsText" dxfId="919" priority="204" operator="containsText" text="H">
      <formula>NOT(ISERROR(SEARCH("H",Y16)))</formula>
    </cfRule>
  </conditionalFormatting>
  <conditionalFormatting sqref="Z17:Z43">
    <cfRule type="containsText" dxfId="918" priority="201" operator="containsText" text="M">
      <formula>NOT(ISERROR(SEARCH("M",Z17)))</formula>
    </cfRule>
    <cfRule type="containsText" dxfId="917" priority="202" operator="containsText" text="H">
      <formula>NOT(ISERROR(SEARCH("H",Z17)))</formula>
    </cfRule>
  </conditionalFormatting>
  <conditionalFormatting sqref="Z114:Z117 Z53 Z50:Z51">
    <cfRule type="colorScale" priority="200">
      <colorScale>
        <cfvo type="min"/>
        <cfvo type="percentile" val="50"/>
        <cfvo type="max"/>
        <color rgb="FF63BE7B"/>
        <color rgb="FFFFEB84"/>
        <color rgb="FFF8696B"/>
      </colorScale>
    </cfRule>
  </conditionalFormatting>
  <conditionalFormatting sqref="Z50:Z51 Z114:Z117">
    <cfRule type="containsText" dxfId="916" priority="198" operator="containsText" text="M">
      <formula>NOT(ISERROR(SEARCH("M",Z50)))</formula>
    </cfRule>
    <cfRule type="containsText" dxfId="915" priority="199" operator="containsText" text="H">
      <formula>NOT(ISERROR(SEARCH("H",Z50)))</formula>
    </cfRule>
  </conditionalFormatting>
  <conditionalFormatting sqref="Z78 Z56 Z100">
    <cfRule type="colorScale" priority="197">
      <colorScale>
        <cfvo type="min"/>
        <cfvo type="percentile" val="50"/>
        <cfvo type="max"/>
        <color rgb="FF63BE7B"/>
        <color rgb="FFFFEB84"/>
        <color rgb="FFF8696B"/>
      </colorScale>
    </cfRule>
  </conditionalFormatting>
  <conditionalFormatting sqref="Z56 Z78 Z100">
    <cfRule type="containsText" dxfId="914" priority="195" operator="containsText" text="M">
      <formula>NOT(ISERROR(SEARCH("M",Z56)))</formula>
    </cfRule>
    <cfRule type="containsText" dxfId="913" priority="196" operator="containsText" text="H">
      <formula>NOT(ISERROR(SEARCH("H",Z56)))</formula>
    </cfRule>
  </conditionalFormatting>
  <conditionalFormatting sqref="Z49">
    <cfRule type="colorScale" priority="194">
      <colorScale>
        <cfvo type="min"/>
        <cfvo type="percentile" val="50"/>
        <cfvo type="max"/>
        <color rgb="FF63BE7B"/>
        <color rgb="FFFFEB84"/>
        <color rgb="FFF8696B"/>
      </colorScale>
    </cfRule>
  </conditionalFormatting>
  <conditionalFormatting sqref="Z49">
    <cfRule type="containsText" dxfId="912" priority="192" operator="containsText" text="M">
      <formula>NOT(ISERROR(SEARCH("M",Z49)))</formula>
    </cfRule>
    <cfRule type="containsText" dxfId="911" priority="193" operator="containsText" text="H">
      <formula>NOT(ISERROR(SEARCH("H",Z49)))</formula>
    </cfRule>
  </conditionalFormatting>
  <conditionalFormatting sqref="Z49">
    <cfRule type="containsText" dxfId="910" priority="190" operator="containsText" text="M">
      <formula>NOT(ISERROR(SEARCH("M",Z49)))</formula>
    </cfRule>
    <cfRule type="containsText" dxfId="909" priority="191" operator="containsText" text="H">
      <formula>NOT(ISERROR(SEARCH("H",Z49)))</formula>
    </cfRule>
  </conditionalFormatting>
  <conditionalFormatting sqref="Z57:Z77">
    <cfRule type="colorScale" priority="189">
      <colorScale>
        <cfvo type="min"/>
        <cfvo type="percentile" val="50"/>
        <cfvo type="max"/>
        <color rgb="FF63BE7B"/>
        <color rgb="FFFFEB84"/>
        <color rgb="FFF8696B"/>
      </colorScale>
    </cfRule>
  </conditionalFormatting>
  <conditionalFormatting sqref="Z57:Z77">
    <cfRule type="containsText" dxfId="908" priority="187" operator="containsText" text="M">
      <formula>NOT(ISERROR(SEARCH("M",Z57)))</formula>
    </cfRule>
    <cfRule type="containsText" dxfId="907" priority="188" operator="containsText" text="H">
      <formula>NOT(ISERROR(SEARCH("H",Z57)))</formula>
    </cfRule>
  </conditionalFormatting>
  <conditionalFormatting sqref="Z57:Z77">
    <cfRule type="containsText" dxfId="906" priority="185" operator="containsText" text="M">
      <formula>NOT(ISERROR(SEARCH("M",Z57)))</formula>
    </cfRule>
    <cfRule type="containsText" dxfId="905" priority="186" operator="containsText" text="H">
      <formula>NOT(ISERROR(SEARCH("H",Z57)))</formula>
    </cfRule>
  </conditionalFormatting>
  <conditionalFormatting sqref="Z79:Z99">
    <cfRule type="colorScale" priority="184">
      <colorScale>
        <cfvo type="min"/>
        <cfvo type="percentile" val="50"/>
        <cfvo type="max"/>
        <color rgb="FF63BE7B"/>
        <color rgb="FFFFEB84"/>
        <color rgb="FFF8696B"/>
      </colorScale>
    </cfRule>
  </conditionalFormatting>
  <conditionalFormatting sqref="Z79:Z99">
    <cfRule type="containsText" dxfId="904" priority="182" operator="containsText" text="M">
      <formula>NOT(ISERROR(SEARCH("M",Z79)))</formula>
    </cfRule>
    <cfRule type="containsText" dxfId="903" priority="183" operator="containsText" text="H">
      <formula>NOT(ISERROR(SEARCH("H",Z79)))</formula>
    </cfRule>
  </conditionalFormatting>
  <conditionalFormatting sqref="Z79:Z99">
    <cfRule type="containsText" dxfId="902" priority="180" operator="containsText" text="M">
      <formula>NOT(ISERROR(SEARCH("M",Z79)))</formula>
    </cfRule>
    <cfRule type="containsText" dxfId="901" priority="181" operator="containsText" text="H">
      <formula>NOT(ISERROR(SEARCH("H",Z79)))</formula>
    </cfRule>
  </conditionalFormatting>
  <conditionalFormatting sqref="Z101:Z113">
    <cfRule type="colorScale" priority="179">
      <colorScale>
        <cfvo type="min"/>
        <cfvo type="percentile" val="50"/>
        <cfvo type="max"/>
        <color rgb="FF63BE7B"/>
        <color rgb="FFFFEB84"/>
        <color rgb="FFF8696B"/>
      </colorScale>
    </cfRule>
  </conditionalFormatting>
  <conditionalFormatting sqref="Z101:Z113">
    <cfRule type="containsText" dxfId="900" priority="177" operator="containsText" text="M">
      <formula>NOT(ISERROR(SEARCH("M",Z101)))</formula>
    </cfRule>
    <cfRule type="containsText" dxfId="899" priority="178" operator="containsText" text="H">
      <formula>NOT(ISERROR(SEARCH("H",Z101)))</formula>
    </cfRule>
  </conditionalFormatting>
  <conditionalFormatting sqref="Z101:Z113">
    <cfRule type="containsText" dxfId="898" priority="175" operator="containsText" text="M">
      <formula>NOT(ISERROR(SEARCH("M",Z101)))</formula>
    </cfRule>
    <cfRule type="containsText" dxfId="897" priority="176" operator="containsText" text="H">
      <formula>NOT(ISERROR(SEARCH("H",Z101)))</formula>
    </cfRule>
  </conditionalFormatting>
  <conditionalFormatting sqref="Z120:Z124">
    <cfRule type="colorScale" priority="174">
      <colorScale>
        <cfvo type="min"/>
        <cfvo type="percentile" val="50"/>
        <cfvo type="max"/>
        <color rgb="FF63BE7B"/>
        <color rgb="FFFFEB84"/>
        <color rgb="FFF8696B"/>
      </colorScale>
    </cfRule>
  </conditionalFormatting>
  <conditionalFormatting sqref="Z120:Z124">
    <cfRule type="containsText" dxfId="896" priority="172" operator="containsText" text="M">
      <formula>NOT(ISERROR(SEARCH("M",Z120)))</formula>
    </cfRule>
    <cfRule type="containsText" dxfId="895" priority="173" operator="containsText" text="H">
      <formula>NOT(ISERROR(SEARCH("H",Z120)))</formula>
    </cfRule>
  </conditionalFormatting>
  <conditionalFormatting sqref="Z120:Z124">
    <cfRule type="containsText" dxfId="894" priority="170" operator="containsText" text="M">
      <formula>NOT(ISERROR(SEARCH("M",Z120)))</formula>
    </cfRule>
    <cfRule type="containsText" dxfId="893" priority="171" operator="containsText" text="H">
      <formula>NOT(ISERROR(SEARCH("H",Z120)))</formula>
    </cfRule>
  </conditionalFormatting>
  <conditionalFormatting sqref="Y140">
    <cfRule type="colorScale" priority="169">
      <colorScale>
        <cfvo type="min"/>
        <cfvo type="percentile" val="50"/>
        <cfvo type="max"/>
        <color rgb="FF63BE7B"/>
        <color rgb="FFFFEB84"/>
        <color rgb="FFF8696B"/>
      </colorScale>
    </cfRule>
  </conditionalFormatting>
  <conditionalFormatting sqref="Y169">
    <cfRule type="colorScale" priority="168">
      <colorScale>
        <cfvo type="min"/>
        <cfvo type="percentile" val="50"/>
        <cfvo type="max"/>
        <color rgb="FF63BE7B"/>
        <color rgb="FFFFEB84"/>
        <color rgb="FFF8696B"/>
      </colorScale>
    </cfRule>
  </conditionalFormatting>
  <conditionalFormatting sqref="Y169">
    <cfRule type="containsText" dxfId="892" priority="166" operator="containsText" text="M">
      <formula>NOT(ISERROR(SEARCH("M",Y169)))</formula>
    </cfRule>
    <cfRule type="containsText" dxfId="891" priority="167" operator="containsText" text="H">
      <formula>NOT(ISERROR(SEARCH("H",Y169)))</formula>
    </cfRule>
  </conditionalFormatting>
  <conditionalFormatting sqref="Y169">
    <cfRule type="containsText" dxfId="890" priority="164" operator="containsText" text="M">
      <formula>NOT(ISERROR(SEARCH("M",Y169)))</formula>
    </cfRule>
    <cfRule type="containsText" dxfId="889" priority="165" operator="containsText" text="H">
      <formula>NOT(ISERROR(SEARCH("H",Y169)))</formula>
    </cfRule>
  </conditionalFormatting>
  <conditionalFormatting sqref="Y177">
    <cfRule type="colorScale" priority="163">
      <colorScale>
        <cfvo type="min"/>
        <cfvo type="percentile" val="50"/>
        <cfvo type="max"/>
        <color rgb="FF63BE7B"/>
        <color rgb="FFFFEB84"/>
        <color rgb="FFF8696B"/>
      </colorScale>
    </cfRule>
  </conditionalFormatting>
  <conditionalFormatting sqref="U16:U43">
    <cfRule type="colorScale" priority="162">
      <colorScale>
        <cfvo type="min"/>
        <cfvo type="percentile" val="50"/>
        <cfvo type="max"/>
        <color rgb="FF63BE7B"/>
        <color rgb="FFFFEB84"/>
        <color rgb="FFF8696B"/>
      </colorScale>
    </cfRule>
  </conditionalFormatting>
  <conditionalFormatting sqref="U16:U43">
    <cfRule type="containsText" dxfId="888" priority="160" operator="containsText" text="M">
      <formula>NOT(ISERROR(SEARCH("M",U16)))</formula>
    </cfRule>
    <cfRule type="containsText" dxfId="887" priority="161" operator="containsText" text="H">
      <formula>NOT(ISERROR(SEARCH("H",U16)))</formula>
    </cfRule>
  </conditionalFormatting>
  <conditionalFormatting sqref="U49:X49">
    <cfRule type="colorScale" priority="159">
      <colorScale>
        <cfvo type="min"/>
        <cfvo type="percentile" val="50"/>
        <cfvo type="max"/>
        <color rgb="FF63BE7B"/>
        <color rgb="FFFFEB84"/>
        <color rgb="FFF8696B"/>
      </colorScale>
    </cfRule>
  </conditionalFormatting>
  <conditionalFormatting sqref="U49:X49">
    <cfRule type="containsText" dxfId="886" priority="157" operator="containsText" text="M">
      <formula>NOT(ISERROR(SEARCH("M",U49)))</formula>
    </cfRule>
    <cfRule type="containsText" dxfId="885" priority="158" operator="containsText" text="H">
      <formula>NOT(ISERROR(SEARCH("H",U49)))</formula>
    </cfRule>
  </conditionalFormatting>
  <conditionalFormatting sqref="U49:X49">
    <cfRule type="containsText" dxfId="884" priority="155" operator="containsText" text="M">
      <formula>NOT(ISERROR(SEARCH("M",U49)))</formula>
    </cfRule>
    <cfRule type="containsText" dxfId="883" priority="156" operator="containsText" text="H">
      <formula>NOT(ISERROR(SEARCH("H",U49)))</formula>
    </cfRule>
  </conditionalFormatting>
  <conditionalFormatting sqref="U57:U77">
    <cfRule type="colorScale" priority="154">
      <colorScale>
        <cfvo type="min"/>
        <cfvo type="percentile" val="50"/>
        <cfvo type="max"/>
        <color rgb="FF63BE7B"/>
        <color rgb="FFFFEB84"/>
        <color rgb="FFF8696B"/>
      </colorScale>
    </cfRule>
  </conditionalFormatting>
  <conditionalFormatting sqref="U57:U77">
    <cfRule type="containsText" dxfId="882" priority="152" operator="containsText" text="M">
      <formula>NOT(ISERROR(SEARCH("M",U57)))</formula>
    </cfRule>
    <cfRule type="containsText" dxfId="881" priority="153" operator="containsText" text="H">
      <formula>NOT(ISERROR(SEARCH("H",U57)))</formula>
    </cfRule>
  </conditionalFormatting>
  <conditionalFormatting sqref="U57:U77">
    <cfRule type="containsText" dxfId="880" priority="150" operator="containsText" text="M">
      <formula>NOT(ISERROR(SEARCH("M",U57)))</formula>
    </cfRule>
    <cfRule type="containsText" dxfId="879" priority="151" operator="containsText" text="H">
      <formula>NOT(ISERROR(SEARCH("H",U57)))</formula>
    </cfRule>
  </conditionalFormatting>
  <conditionalFormatting sqref="U79:U99">
    <cfRule type="colorScale" priority="149">
      <colorScale>
        <cfvo type="min"/>
        <cfvo type="percentile" val="50"/>
        <cfvo type="max"/>
        <color rgb="FF63BE7B"/>
        <color rgb="FFFFEB84"/>
        <color rgb="FFF8696B"/>
      </colorScale>
    </cfRule>
  </conditionalFormatting>
  <conditionalFormatting sqref="U79:U99">
    <cfRule type="containsText" dxfId="878" priority="147" operator="containsText" text="M">
      <formula>NOT(ISERROR(SEARCH("M",U79)))</formula>
    </cfRule>
    <cfRule type="containsText" dxfId="877" priority="148" operator="containsText" text="H">
      <formula>NOT(ISERROR(SEARCH("H",U79)))</formula>
    </cfRule>
  </conditionalFormatting>
  <conditionalFormatting sqref="U79:U99">
    <cfRule type="containsText" dxfId="876" priority="145" operator="containsText" text="M">
      <formula>NOT(ISERROR(SEARCH("M",U79)))</formula>
    </cfRule>
    <cfRule type="containsText" dxfId="875" priority="146" operator="containsText" text="H">
      <formula>NOT(ISERROR(SEARCH("H",U79)))</formula>
    </cfRule>
  </conditionalFormatting>
  <conditionalFormatting sqref="U101:U113">
    <cfRule type="colorScale" priority="144">
      <colorScale>
        <cfvo type="min"/>
        <cfvo type="percentile" val="50"/>
        <cfvo type="max"/>
        <color rgb="FF63BE7B"/>
        <color rgb="FFFFEB84"/>
        <color rgb="FFF8696B"/>
      </colorScale>
    </cfRule>
  </conditionalFormatting>
  <conditionalFormatting sqref="U101:U113">
    <cfRule type="containsText" dxfId="874" priority="142" operator="containsText" text="M">
      <formula>NOT(ISERROR(SEARCH("M",U101)))</formula>
    </cfRule>
    <cfRule type="containsText" dxfId="873" priority="143" operator="containsText" text="H">
      <formula>NOT(ISERROR(SEARCH("H",U101)))</formula>
    </cfRule>
  </conditionalFormatting>
  <conditionalFormatting sqref="U101:U113">
    <cfRule type="containsText" dxfId="872" priority="140" operator="containsText" text="M">
      <formula>NOT(ISERROR(SEARCH("M",U101)))</formula>
    </cfRule>
    <cfRule type="containsText" dxfId="871" priority="141" operator="containsText" text="H">
      <formula>NOT(ISERROR(SEARCH("H",U101)))</formula>
    </cfRule>
  </conditionalFormatting>
  <conditionalFormatting sqref="U120:U124">
    <cfRule type="colorScale" priority="139">
      <colorScale>
        <cfvo type="min"/>
        <cfvo type="percentile" val="50"/>
        <cfvo type="max"/>
        <color rgb="FF63BE7B"/>
        <color rgb="FFFFEB84"/>
        <color rgb="FFF8696B"/>
      </colorScale>
    </cfRule>
  </conditionalFormatting>
  <conditionalFormatting sqref="U120:U124">
    <cfRule type="containsText" dxfId="870" priority="137" operator="containsText" text="M">
      <formula>NOT(ISERROR(SEARCH("M",U120)))</formula>
    </cfRule>
    <cfRule type="containsText" dxfId="869" priority="138" operator="containsText" text="H">
      <formula>NOT(ISERROR(SEARCH("H",U120)))</formula>
    </cfRule>
  </conditionalFormatting>
  <conditionalFormatting sqref="U120:U124">
    <cfRule type="containsText" dxfId="868" priority="135" operator="containsText" text="M">
      <formula>NOT(ISERROR(SEARCH("M",U120)))</formula>
    </cfRule>
    <cfRule type="containsText" dxfId="867" priority="136" operator="containsText" text="H">
      <formula>NOT(ISERROR(SEARCH("H",U120)))</formula>
    </cfRule>
  </conditionalFormatting>
  <conditionalFormatting sqref="Z149:Z157">
    <cfRule type="colorScale" priority="134">
      <colorScale>
        <cfvo type="min"/>
        <cfvo type="percentile" val="50"/>
        <cfvo type="max"/>
        <color rgb="FF63BE7B"/>
        <color rgb="FFFFEB84"/>
        <color rgb="FFF8696B"/>
      </colorScale>
    </cfRule>
  </conditionalFormatting>
  <conditionalFormatting sqref="Z149:Z157">
    <cfRule type="containsText" dxfId="866" priority="132" operator="containsText" text="M">
      <formula>NOT(ISERROR(SEARCH("M",Z149)))</formula>
    </cfRule>
    <cfRule type="containsText" dxfId="865" priority="133" operator="containsText" text="H">
      <formula>NOT(ISERROR(SEARCH("H",Z149)))</formula>
    </cfRule>
  </conditionalFormatting>
  <conditionalFormatting sqref="U149:X157">
    <cfRule type="colorScale" priority="131">
      <colorScale>
        <cfvo type="min"/>
        <cfvo type="percentile" val="50"/>
        <cfvo type="max"/>
        <color rgb="FF63BE7B"/>
        <color rgb="FFFFEB84"/>
        <color rgb="FFF8696B"/>
      </colorScale>
    </cfRule>
  </conditionalFormatting>
  <conditionalFormatting sqref="U149:X157">
    <cfRule type="containsText" dxfId="864" priority="129" operator="containsText" text="M">
      <formula>NOT(ISERROR(SEARCH("M",U149)))</formula>
    </cfRule>
    <cfRule type="containsText" dxfId="863" priority="130" operator="containsText" text="H">
      <formula>NOT(ISERROR(SEARCH("H",U149)))</formula>
    </cfRule>
  </conditionalFormatting>
  <conditionalFormatting sqref="U161:X161">
    <cfRule type="colorScale" priority="128">
      <colorScale>
        <cfvo type="min"/>
        <cfvo type="percentile" val="50"/>
        <cfvo type="max"/>
        <color rgb="FF63BE7B"/>
        <color rgb="FFFFEB84"/>
        <color rgb="FFF8696B"/>
      </colorScale>
    </cfRule>
  </conditionalFormatting>
  <conditionalFormatting sqref="U161:X161">
    <cfRule type="containsText" dxfId="862" priority="126" operator="containsText" text="M">
      <formula>NOT(ISERROR(SEARCH("M",U161)))</formula>
    </cfRule>
    <cfRule type="containsText" dxfId="861" priority="127" operator="containsText" text="H">
      <formula>NOT(ISERROR(SEARCH("H",U161)))</formula>
    </cfRule>
  </conditionalFormatting>
  <conditionalFormatting sqref="Y178">
    <cfRule type="containsText" dxfId="860" priority="124" operator="containsText" text="M">
      <formula>NOT(ISERROR(SEARCH("M",Y178)))</formula>
    </cfRule>
    <cfRule type="containsText" dxfId="859" priority="125" operator="containsText" text="H">
      <formula>NOT(ISERROR(SEARCH("H",Y178)))</formula>
    </cfRule>
  </conditionalFormatting>
  <conditionalFormatting sqref="Y178">
    <cfRule type="colorScale" priority="123">
      <colorScale>
        <cfvo type="min"/>
        <cfvo type="percentile" val="50"/>
        <cfvo type="max"/>
        <color rgb="FF63BE7B"/>
        <color rgb="FFFFEB84"/>
        <color rgb="FFF8696B"/>
      </colorScale>
    </cfRule>
  </conditionalFormatting>
  <conditionalFormatting sqref="Z161">
    <cfRule type="colorScale" priority="122">
      <colorScale>
        <cfvo type="min"/>
        <cfvo type="percentile" val="50"/>
        <cfvo type="max"/>
        <color rgb="FF63BE7B"/>
        <color rgb="FFFFEB84"/>
        <color rgb="FFF8696B"/>
      </colorScale>
    </cfRule>
  </conditionalFormatting>
  <conditionalFormatting sqref="Z161">
    <cfRule type="containsText" dxfId="858" priority="120" operator="containsText" text="M">
      <formula>NOT(ISERROR(SEARCH("M",Z161)))</formula>
    </cfRule>
    <cfRule type="containsText" dxfId="857" priority="121" operator="containsText" text="H">
      <formula>NOT(ISERROR(SEARCH("H",Z161)))</formula>
    </cfRule>
  </conditionalFormatting>
  <conditionalFormatting sqref="BA15">
    <cfRule type="colorScale" priority="119">
      <colorScale>
        <cfvo type="min"/>
        <cfvo type="percentile" val="50"/>
        <cfvo type="max"/>
        <color rgb="FF63BE7B"/>
        <color rgb="FFFFEB84"/>
        <color rgb="FFF8696B"/>
      </colorScale>
    </cfRule>
  </conditionalFormatting>
  <conditionalFormatting sqref="BA16:BA20">
    <cfRule type="colorScale" priority="118">
      <colorScale>
        <cfvo type="min"/>
        <cfvo type="percentile" val="50"/>
        <cfvo type="max"/>
        <color rgb="FF63BE7B"/>
        <color rgb="FFFFEB84"/>
        <color rgb="FFF8696B"/>
      </colorScale>
    </cfRule>
  </conditionalFormatting>
  <conditionalFormatting sqref="BA16:BA20">
    <cfRule type="containsText" dxfId="856" priority="116" operator="containsText" text="M">
      <formula>NOT(ISERROR(SEARCH("M",BA16)))</formula>
    </cfRule>
    <cfRule type="containsText" dxfId="855" priority="117" operator="containsText" text="H">
      <formula>NOT(ISERROR(SEARCH("H",BA16)))</formula>
    </cfRule>
  </conditionalFormatting>
  <conditionalFormatting sqref="AV16:AV20">
    <cfRule type="colorScale" priority="115">
      <colorScale>
        <cfvo type="min"/>
        <cfvo type="percentile" val="50"/>
        <cfvo type="max"/>
        <color rgb="FF63BE7B"/>
        <color rgb="FFFFEB84"/>
        <color rgb="FFF8696B"/>
      </colorScale>
    </cfRule>
  </conditionalFormatting>
  <conditionalFormatting sqref="AV16:AV20">
    <cfRule type="containsText" dxfId="854" priority="113" operator="containsText" text="M">
      <formula>NOT(ISERROR(SEARCH("M",AV16)))</formula>
    </cfRule>
    <cfRule type="containsText" dxfId="853" priority="114" operator="containsText" text="H">
      <formula>NOT(ISERROR(SEARCH("H",AV16)))</formula>
    </cfRule>
  </conditionalFormatting>
  <conditionalFormatting sqref="BA49">
    <cfRule type="colorScale" priority="112">
      <colorScale>
        <cfvo type="min"/>
        <cfvo type="percentile" val="50"/>
        <cfvo type="max"/>
        <color rgb="FF63BE7B"/>
        <color rgb="FFFFEB84"/>
        <color rgb="FFF8696B"/>
      </colorScale>
    </cfRule>
  </conditionalFormatting>
  <conditionalFormatting sqref="BA49">
    <cfRule type="containsText" dxfId="852" priority="110" operator="containsText" text="M">
      <formula>NOT(ISERROR(SEARCH("M",BA49)))</formula>
    </cfRule>
    <cfRule type="containsText" dxfId="851" priority="111" operator="containsText" text="H">
      <formula>NOT(ISERROR(SEARCH("H",BA49)))</formula>
    </cfRule>
  </conditionalFormatting>
  <conditionalFormatting sqref="AV49:AY49">
    <cfRule type="colorScale" priority="109">
      <colorScale>
        <cfvo type="min"/>
        <cfvo type="percentile" val="50"/>
        <cfvo type="max"/>
        <color rgb="FF63BE7B"/>
        <color rgb="FFFFEB84"/>
        <color rgb="FFF8696B"/>
      </colorScale>
    </cfRule>
  </conditionalFormatting>
  <conditionalFormatting sqref="AV49:AY49">
    <cfRule type="containsText" dxfId="850" priority="107" operator="containsText" text="M">
      <formula>NOT(ISERROR(SEARCH("M",AV49)))</formula>
    </cfRule>
    <cfRule type="containsText" dxfId="849" priority="108" operator="containsText" text="H">
      <formula>NOT(ISERROR(SEARCH("H",AV49)))</formula>
    </cfRule>
  </conditionalFormatting>
  <conditionalFormatting sqref="AZ140:AZ144">
    <cfRule type="containsText" dxfId="848" priority="105" operator="containsText" text="M">
      <formula>NOT(ISERROR(SEARCH("M",AZ140)))</formula>
    </cfRule>
    <cfRule type="containsText" dxfId="847" priority="106" operator="containsText" text="H">
      <formula>NOT(ISERROR(SEARCH("H",AZ140)))</formula>
    </cfRule>
  </conditionalFormatting>
  <conditionalFormatting sqref="AZ140:AZ144">
    <cfRule type="colorScale" priority="104">
      <colorScale>
        <cfvo type="min"/>
        <cfvo type="percentile" val="50"/>
        <cfvo type="max"/>
        <color rgb="FF63BE7B"/>
        <color rgb="FFFFEB84"/>
        <color rgb="FFF8696B"/>
      </colorScale>
    </cfRule>
  </conditionalFormatting>
  <conditionalFormatting sqref="AV149:AY162">
    <cfRule type="colorScale" priority="103">
      <colorScale>
        <cfvo type="min"/>
        <cfvo type="percentile" val="50"/>
        <cfvo type="max"/>
        <color rgb="FF63BE7B"/>
        <color rgb="FFFFEB84"/>
        <color rgb="FFF8696B"/>
      </colorScale>
    </cfRule>
  </conditionalFormatting>
  <conditionalFormatting sqref="AV149:AY162">
    <cfRule type="containsText" dxfId="846" priority="101" operator="containsText" text="M">
      <formula>NOT(ISERROR(SEARCH("M",AV149)))</formula>
    </cfRule>
    <cfRule type="containsText" dxfId="845" priority="102" operator="containsText" text="H">
      <formula>NOT(ISERROR(SEARCH("H",AV149)))</formula>
    </cfRule>
  </conditionalFormatting>
  <conditionalFormatting sqref="BA149:BA162">
    <cfRule type="colorScale" priority="100">
      <colorScale>
        <cfvo type="min"/>
        <cfvo type="percentile" val="50"/>
        <cfvo type="max"/>
        <color rgb="FF63BE7B"/>
        <color rgb="FFFFEB84"/>
        <color rgb="FFF8696B"/>
      </colorScale>
    </cfRule>
  </conditionalFormatting>
  <conditionalFormatting sqref="BA149:BA162">
    <cfRule type="containsText" dxfId="844" priority="98" operator="containsText" text="M">
      <formula>NOT(ISERROR(SEARCH("M",BA149)))</formula>
    </cfRule>
    <cfRule type="containsText" dxfId="843" priority="99" operator="containsText" text="H">
      <formula>NOT(ISERROR(SEARCH("H",BA149)))</formula>
    </cfRule>
  </conditionalFormatting>
  <conditionalFormatting sqref="N56:N72">
    <cfRule type="expression" dxfId="842" priority="308" stopIfTrue="1">
      <formula>R56="OK"</formula>
    </cfRule>
    <cfRule type="notContainsBlanks" dxfId="841" priority="309">
      <formula>LEN(TRIM(N56))&gt;0</formula>
    </cfRule>
  </conditionalFormatting>
  <conditionalFormatting sqref="L127:L131">
    <cfRule type="expression" dxfId="840" priority="96" stopIfTrue="1">
      <formula>N127="OK"</formula>
    </cfRule>
    <cfRule type="notContainsBlanks" dxfId="839" priority="97">
      <formula>LEN(TRIM(L127))&gt;0</formula>
    </cfRule>
  </conditionalFormatting>
  <conditionalFormatting sqref="K127:K131">
    <cfRule type="expression" dxfId="838" priority="95">
      <formula>J127=""</formula>
    </cfRule>
  </conditionalFormatting>
  <conditionalFormatting sqref="AA127:AA131">
    <cfRule type="expression" dxfId="837" priority="94">
      <formula>Z127=""</formula>
    </cfRule>
  </conditionalFormatting>
  <conditionalFormatting sqref="J127:J131">
    <cfRule type="expression" dxfId="836" priority="92" stopIfTrue="1">
      <formula>K127="OK"</formula>
    </cfRule>
    <cfRule type="containsText" dxfId="835" priority="93" operator="containsText" text="g">
      <formula>NOT(ISERROR(SEARCH("g",J127)))</formula>
    </cfRule>
  </conditionalFormatting>
  <conditionalFormatting sqref="Z127:Z131">
    <cfRule type="colorScale" priority="91">
      <colorScale>
        <cfvo type="min"/>
        <cfvo type="percentile" val="50"/>
        <cfvo type="max"/>
        <color rgb="FF63BE7B"/>
        <color rgb="FFFFEB84"/>
        <color rgb="FFF8696B"/>
      </colorScale>
    </cfRule>
  </conditionalFormatting>
  <conditionalFormatting sqref="Z127:Z131">
    <cfRule type="containsText" dxfId="834" priority="89" operator="containsText" text="M">
      <formula>NOT(ISERROR(SEARCH("M",Z127)))</formula>
    </cfRule>
    <cfRule type="containsText" dxfId="833" priority="90" operator="containsText" text="H">
      <formula>NOT(ISERROR(SEARCH("H",Z127)))</formula>
    </cfRule>
  </conditionalFormatting>
  <conditionalFormatting sqref="Z127:Z131">
    <cfRule type="containsText" dxfId="832" priority="87" operator="containsText" text="M">
      <formula>NOT(ISERROR(SEARCH("M",Z127)))</formula>
    </cfRule>
    <cfRule type="containsText" dxfId="831" priority="88" operator="containsText" text="H">
      <formula>NOT(ISERROR(SEARCH("H",Z127)))</formula>
    </cfRule>
  </conditionalFormatting>
  <conditionalFormatting sqref="U127:U131">
    <cfRule type="colorScale" priority="86">
      <colorScale>
        <cfvo type="min"/>
        <cfvo type="percentile" val="50"/>
        <cfvo type="max"/>
        <color rgb="FF63BE7B"/>
        <color rgb="FFFFEB84"/>
        <color rgb="FFF8696B"/>
      </colorScale>
    </cfRule>
  </conditionalFormatting>
  <conditionalFormatting sqref="U127:U131">
    <cfRule type="containsText" dxfId="830" priority="84" operator="containsText" text="M">
      <formula>NOT(ISERROR(SEARCH("M",U127)))</formula>
    </cfRule>
    <cfRule type="containsText" dxfId="829" priority="85" operator="containsText" text="H">
      <formula>NOT(ISERROR(SEARCH("H",U127)))</formula>
    </cfRule>
  </conditionalFormatting>
  <conditionalFormatting sqref="U127:U131">
    <cfRule type="containsText" dxfId="828" priority="82" operator="containsText" text="M">
      <formula>NOT(ISERROR(SEARCH("M",U127)))</formula>
    </cfRule>
    <cfRule type="containsText" dxfId="827" priority="83" operator="containsText" text="H">
      <formula>NOT(ISERROR(SEARCH("H",U127)))</formula>
    </cfRule>
  </conditionalFormatting>
  <conditionalFormatting sqref="L125">
    <cfRule type="expression" dxfId="826" priority="80" stopIfTrue="1">
      <formula>N125="OK"</formula>
    </cfRule>
    <cfRule type="notContainsBlanks" dxfId="825" priority="81">
      <formula>LEN(TRIM(L125))&gt;0</formula>
    </cfRule>
  </conditionalFormatting>
  <conditionalFormatting sqref="K125">
    <cfRule type="expression" dxfId="824" priority="79">
      <formula>J125=""</formula>
    </cfRule>
  </conditionalFormatting>
  <conditionalFormatting sqref="AA125:AA126">
    <cfRule type="expression" dxfId="823" priority="78">
      <formula>Z125=""</formula>
    </cfRule>
  </conditionalFormatting>
  <conditionalFormatting sqref="J125">
    <cfRule type="expression" dxfId="822" priority="76" stopIfTrue="1">
      <formula>K125="OK"</formula>
    </cfRule>
    <cfRule type="containsText" dxfId="821" priority="77" operator="containsText" text="g">
      <formula>NOT(ISERROR(SEARCH("g",J125)))</formula>
    </cfRule>
  </conditionalFormatting>
  <conditionalFormatting sqref="Z125">
    <cfRule type="colorScale" priority="75">
      <colorScale>
        <cfvo type="min"/>
        <cfvo type="percentile" val="50"/>
        <cfvo type="max"/>
        <color rgb="FF63BE7B"/>
        <color rgb="FFFFEB84"/>
        <color rgb="FFF8696B"/>
      </colorScale>
    </cfRule>
  </conditionalFormatting>
  <conditionalFormatting sqref="Z125">
    <cfRule type="containsText" dxfId="820" priority="73" operator="containsText" text="M">
      <formula>NOT(ISERROR(SEARCH("M",Z125)))</formula>
    </cfRule>
    <cfRule type="containsText" dxfId="819" priority="74" operator="containsText" text="H">
      <formula>NOT(ISERROR(SEARCH("H",Z125)))</formula>
    </cfRule>
  </conditionalFormatting>
  <conditionalFormatting sqref="Z125:Z126">
    <cfRule type="containsText" dxfId="818" priority="71" operator="containsText" text="M">
      <formula>NOT(ISERROR(SEARCH("M",Z125)))</formula>
    </cfRule>
    <cfRule type="containsText" dxfId="817" priority="72" operator="containsText" text="H">
      <formula>NOT(ISERROR(SEARCH("H",Z125)))</formula>
    </cfRule>
  </conditionalFormatting>
  <conditionalFormatting sqref="U125">
    <cfRule type="colorScale" priority="70">
      <colorScale>
        <cfvo type="min"/>
        <cfvo type="percentile" val="50"/>
        <cfvo type="max"/>
        <color rgb="FF63BE7B"/>
        <color rgb="FFFFEB84"/>
        <color rgb="FFF8696B"/>
      </colorScale>
    </cfRule>
  </conditionalFormatting>
  <conditionalFormatting sqref="U125">
    <cfRule type="containsText" dxfId="816" priority="68" operator="containsText" text="M">
      <formula>NOT(ISERROR(SEARCH("M",U125)))</formula>
    </cfRule>
    <cfRule type="containsText" dxfId="815" priority="69" operator="containsText" text="H">
      <formula>NOT(ISERROR(SEARCH("H",U125)))</formula>
    </cfRule>
  </conditionalFormatting>
  <conditionalFormatting sqref="U125:U126">
    <cfRule type="containsText" dxfId="814" priority="66" operator="containsText" text="M">
      <formula>NOT(ISERROR(SEARCH("M",U125)))</formula>
    </cfRule>
    <cfRule type="containsText" dxfId="813" priority="67" operator="containsText" text="H">
      <formula>NOT(ISERROR(SEARCH("H",U125)))</formula>
    </cfRule>
  </conditionalFormatting>
  <conditionalFormatting sqref="L126">
    <cfRule type="expression" dxfId="812" priority="64" stopIfTrue="1">
      <formula>N126="OK"</formula>
    </cfRule>
    <cfRule type="notContainsBlanks" dxfId="811" priority="65">
      <formula>LEN(TRIM(L126))&gt;0</formula>
    </cfRule>
  </conditionalFormatting>
  <conditionalFormatting sqref="K126">
    <cfRule type="expression" dxfId="810" priority="63">
      <formula>J126=""</formula>
    </cfRule>
  </conditionalFormatting>
  <conditionalFormatting sqref="AA126">
    <cfRule type="expression" dxfId="809" priority="62">
      <formula>Z126=""</formula>
    </cfRule>
  </conditionalFormatting>
  <conditionalFormatting sqref="J126">
    <cfRule type="expression" dxfId="808" priority="60" stopIfTrue="1">
      <formula>K126="OK"</formula>
    </cfRule>
    <cfRule type="containsText" dxfId="807" priority="61" operator="containsText" text="g">
      <formula>NOT(ISERROR(SEARCH("g",J126)))</formula>
    </cfRule>
  </conditionalFormatting>
  <conditionalFormatting sqref="Z126">
    <cfRule type="colorScale" priority="59">
      <colorScale>
        <cfvo type="min"/>
        <cfvo type="percentile" val="50"/>
        <cfvo type="max"/>
        <color rgb="FF63BE7B"/>
        <color rgb="FFFFEB84"/>
        <color rgb="FFF8696B"/>
      </colorScale>
    </cfRule>
  </conditionalFormatting>
  <conditionalFormatting sqref="Z126">
    <cfRule type="containsText" dxfId="806" priority="57" operator="containsText" text="M">
      <formula>NOT(ISERROR(SEARCH("M",Z126)))</formula>
    </cfRule>
    <cfRule type="containsText" dxfId="805" priority="58" operator="containsText" text="H">
      <formula>NOT(ISERROR(SEARCH("H",Z126)))</formula>
    </cfRule>
  </conditionalFormatting>
  <conditionalFormatting sqref="Z126">
    <cfRule type="containsText" dxfId="804" priority="55" operator="containsText" text="M">
      <formula>NOT(ISERROR(SEARCH("M",Z126)))</formula>
    </cfRule>
    <cfRule type="containsText" dxfId="803" priority="56" operator="containsText" text="H">
      <formula>NOT(ISERROR(SEARCH("H",Z126)))</formula>
    </cfRule>
  </conditionalFormatting>
  <conditionalFormatting sqref="U126">
    <cfRule type="colorScale" priority="54">
      <colorScale>
        <cfvo type="min"/>
        <cfvo type="percentile" val="50"/>
        <cfvo type="max"/>
        <color rgb="FF63BE7B"/>
        <color rgb="FFFFEB84"/>
        <color rgb="FFF8696B"/>
      </colorScale>
    </cfRule>
  </conditionalFormatting>
  <conditionalFormatting sqref="U126">
    <cfRule type="containsText" dxfId="802" priority="52" operator="containsText" text="M">
      <formula>NOT(ISERROR(SEARCH("M",U126)))</formula>
    </cfRule>
    <cfRule type="containsText" dxfId="801" priority="53" operator="containsText" text="H">
      <formula>NOT(ISERROR(SEARCH("H",U126)))</formula>
    </cfRule>
  </conditionalFormatting>
  <conditionalFormatting sqref="U126">
    <cfRule type="containsText" dxfId="800" priority="50" operator="containsText" text="M">
      <formula>NOT(ISERROR(SEARCH("M",U126)))</formula>
    </cfRule>
    <cfRule type="containsText" dxfId="799" priority="51" operator="containsText" text="H">
      <formula>NOT(ISERROR(SEARCH("H",U126)))</formula>
    </cfRule>
  </conditionalFormatting>
  <conditionalFormatting sqref="L132">
    <cfRule type="expression" dxfId="798" priority="32" stopIfTrue="1">
      <formula>N132="OK"</formula>
    </cfRule>
    <cfRule type="notContainsBlanks" dxfId="797" priority="33">
      <formula>LEN(TRIM(L132))&gt;0</formula>
    </cfRule>
  </conditionalFormatting>
  <conditionalFormatting sqref="K132">
    <cfRule type="expression" dxfId="796" priority="31">
      <formula>J132=""</formula>
    </cfRule>
  </conditionalFormatting>
  <conditionalFormatting sqref="AA132:AA133">
    <cfRule type="expression" dxfId="795" priority="30">
      <formula>Z132=""</formula>
    </cfRule>
  </conditionalFormatting>
  <conditionalFormatting sqref="J132">
    <cfRule type="expression" dxfId="794" priority="28" stopIfTrue="1">
      <formula>K132="OK"</formula>
    </cfRule>
    <cfRule type="containsText" dxfId="793" priority="29" operator="containsText" text="g">
      <formula>NOT(ISERROR(SEARCH("g",J132)))</formula>
    </cfRule>
  </conditionalFormatting>
  <conditionalFormatting sqref="Z132">
    <cfRule type="containsText" dxfId="792" priority="25" operator="containsText" text="M">
      <formula>NOT(ISERROR(SEARCH("M",Z132)))</formula>
    </cfRule>
    <cfRule type="containsText" dxfId="791" priority="26" operator="containsText" text="H">
      <formula>NOT(ISERROR(SEARCH("H",Z132)))</formula>
    </cfRule>
  </conditionalFormatting>
  <conditionalFormatting sqref="Z132:Z133">
    <cfRule type="containsText" dxfId="790" priority="23" operator="containsText" text="M">
      <formula>NOT(ISERROR(SEARCH("M",Z132)))</formula>
    </cfRule>
    <cfRule type="containsText" dxfId="789" priority="24" operator="containsText" text="H">
      <formula>NOT(ISERROR(SEARCH("H",Z132)))</formula>
    </cfRule>
  </conditionalFormatting>
  <conditionalFormatting sqref="U132:U133">
    <cfRule type="containsText" dxfId="788" priority="20" operator="containsText" text="M">
      <formula>NOT(ISERROR(SEARCH("M",U132)))</formula>
    </cfRule>
    <cfRule type="containsText" dxfId="787" priority="21" operator="containsText" text="H">
      <formula>NOT(ISERROR(SEARCH("H",U132)))</formula>
    </cfRule>
  </conditionalFormatting>
  <conditionalFormatting sqref="U132:U133">
    <cfRule type="containsText" dxfId="786" priority="18" operator="containsText" text="M">
      <formula>NOT(ISERROR(SEARCH("M",U132)))</formula>
    </cfRule>
    <cfRule type="containsText" dxfId="785" priority="19" operator="containsText" text="H">
      <formula>NOT(ISERROR(SEARCH("H",U132)))</formula>
    </cfRule>
  </conditionalFormatting>
  <conditionalFormatting sqref="L133">
    <cfRule type="expression" dxfId="784" priority="48" stopIfTrue="1">
      <formula>N133="OK"</formula>
    </cfRule>
    <cfRule type="notContainsBlanks" dxfId="783" priority="49">
      <formula>LEN(TRIM(L133))&gt;0</formula>
    </cfRule>
  </conditionalFormatting>
  <conditionalFormatting sqref="K133">
    <cfRule type="expression" dxfId="782" priority="47">
      <formula>J133=""</formula>
    </cfRule>
  </conditionalFormatting>
  <conditionalFormatting sqref="AA133">
    <cfRule type="expression" dxfId="781" priority="46">
      <formula>Z133=""</formula>
    </cfRule>
  </conditionalFormatting>
  <conditionalFormatting sqref="J133">
    <cfRule type="expression" dxfId="780" priority="44" stopIfTrue="1">
      <formula>K133="OK"</formula>
    </cfRule>
    <cfRule type="containsText" dxfId="779" priority="45" operator="containsText" text="g">
      <formula>NOT(ISERROR(SEARCH("g",J133)))</formula>
    </cfRule>
  </conditionalFormatting>
  <conditionalFormatting sqref="Z133">
    <cfRule type="colorScale" priority="43">
      <colorScale>
        <cfvo type="min"/>
        <cfvo type="percentile" val="50"/>
        <cfvo type="max"/>
        <color rgb="FF63BE7B"/>
        <color rgb="FFFFEB84"/>
        <color rgb="FFF8696B"/>
      </colorScale>
    </cfRule>
  </conditionalFormatting>
  <conditionalFormatting sqref="Z133">
    <cfRule type="containsText" dxfId="778" priority="41" operator="containsText" text="M">
      <formula>NOT(ISERROR(SEARCH("M",Z133)))</formula>
    </cfRule>
    <cfRule type="containsText" dxfId="777" priority="42" operator="containsText" text="H">
      <formula>NOT(ISERROR(SEARCH("H",Z133)))</formula>
    </cfRule>
  </conditionalFormatting>
  <conditionalFormatting sqref="Z133">
    <cfRule type="containsText" dxfId="776" priority="39" operator="containsText" text="M">
      <formula>NOT(ISERROR(SEARCH("M",Z133)))</formula>
    </cfRule>
    <cfRule type="containsText" dxfId="775" priority="40" operator="containsText" text="H">
      <formula>NOT(ISERROR(SEARCH("H",Z133)))</formula>
    </cfRule>
  </conditionalFormatting>
  <conditionalFormatting sqref="U133">
    <cfRule type="colorScale" priority="38">
      <colorScale>
        <cfvo type="min"/>
        <cfvo type="percentile" val="50"/>
        <cfvo type="max"/>
        <color rgb="FF63BE7B"/>
        <color rgb="FFFFEB84"/>
        <color rgb="FFF8696B"/>
      </colorScale>
    </cfRule>
  </conditionalFormatting>
  <conditionalFormatting sqref="U133">
    <cfRule type="containsText" dxfId="774" priority="36" operator="containsText" text="M">
      <formula>NOT(ISERROR(SEARCH("M",U133)))</formula>
    </cfRule>
    <cfRule type="containsText" dxfId="773" priority="37" operator="containsText" text="H">
      <formula>NOT(ISERROR(SEARCH("H",U133)))</formula>
    </cfRule>
  </conditionalFormatting>
  <conditionalFormatting sqref="U133">
    <cfRule type="containsText" dxfId="772" priority="34" operator="containsText" text="M">
      <formula>NOT(ISERROR(SEARCH("M",U133)))</formula>
    </cfRule>
    <cfRule type="containsText" dxfId="771" priority="35" operator="containsText" text="H">
      <formula>NOT(ISERROR(SEARCH("H",U133)))</formula>
    </cfRule>
  </conditionalFormatting>
  <conditionalFormatting sqref="Z132">
    <cfRule type="colorScale" priority="27">
      <colorScale>
        <cfvo type="min"/>
        <cfvo type="percentile" val="50"/>
        <cfvo type="max"/>
        <color rgb="FF63BE7B"/>
        <color rgb="FFFFEB84"/>
        <color rgb="FFF8696B"/>
      </colorScale>
    </cfRule>
  </conditionalFormatting>
  <conditionalFormatting sqref="U132">
    <cfRule type="colorScale" priority="22">
      <colorScale>
        <cfvo type="min"/>
        <cfvo type="percentile" val="50"/>
        <cfvo type="max"/>
        <color rgb="FF63BE7B"/>
        <color rgb="FFFFEB84"/>
        <color rgb="FFF8696B"/>
      </colorScale>
    </cfRule>
  </conditionalFormatting>
  <conditionalFormatting sqref="AK21:AK43">
    <cfRule type="expression" dxfId="770" priority="15" stopIfTrue="1">
      <formula>AL21="OK"</formula>
    </cfRule>
    <cfRule type="containsText" dxfId="769" priority="16" operator="containsText" text="g">
      <formula>NOT(ISERROR(SEARCH("g",AK21)))</formula>
    </cfRule>
  </conditionalFormatting>
  <conditionalFormatting sqref="AM21:AM37">
    <cfRule type="expression" dxfId="768" priority="14" stopIfTrue="1">
      <formula>AO21="OK"</formula>
    </cfRule>
    <cfRule type="notContainsBlanks" dxfId="767" priority="17">
      <formula>LEN(TRIM(AM21))&gt;0</formula>
    </cfRule>
  </conditionalFormatting>
  <conditionalFormatting sqref="AL21:AL43">
    <cfRule type="expression" dxfId="766" priority="11">
      <formula>AK21=""</formula>
    </cfRule>
  </conditionalFormatting>
  <conditionalFormatting sqref="AM38:AM43">
    <cfRule type="expression" dxfId="765" priority="12" stopIfTrue="1">
      <formula>AO38="OK"</formula>
    </cfRule>
    <cfRule type="notContainsBlanks" dxfId="764" priority="13">
      <formula>LEN(TRIM(AM38))&gt;0</formula>
    </cfRule>
  </conditionalFormatting>
  <conditionalFormatting sqref="AO24:AO43">
    <cfRule type="expression" dxfId="763" priority="10">
      <formula>AN24=""</formula>
    </cfRule>
  </conditionalFormatting>
  <conditionalFormatting sqref="BB21:BB43">
    <cfRule type="expression" dxfId="762" priority="9">
      <formula>BA21=""</formula>
    </cfRule>
  </conditionalFormatting>
  <conditionalFormatting sqref="BA21:BA43">
    <cfRule type="colorScale" priority="8">
      <colorScale>
        <cfvo type="min"/>
        <cfvo type="percentile" val="50"/>
        <cfvo type="max"/>
        <color rgb="FF63BE7B"/>
        <color rgb="FFFFEB84"/>
        <color rgb="FFF8696B"/>
      </colorScale>
    </cfRule>
  </conditionalFormatting>
  <conditionalFormatting sqref="BA21:BA43">
    <cfRule type="containsText" dxfId="761" priority="6" operator="containsText" text="M">
      <formula>NOT(ISERROR(SEARCH("M",BA21)))</formula>
    </cfRule>
    <cfRule type="containsText" dxfId="760" priority="7" operator="containsText" text="H">
      <formula>NOT(ISERROR(SEARCH("H",BA21)))</formula>
    </cfRule>
  </conditionalFormatting>
  <conditionalFormatting sqref="BA21:BA43">
    <cfRule type="containsText" dxfId="759" priority="4" operator="containsText" text="M">
      <formula>NOT(ISERROR(SEARCH("M",BA21)))</formula>
    </cfRule>
    <cfRule type="containsText" dxfId="758" priority="5" operator="containsText" text="H">
      <formula>NOT(ISERROR(SEARCH("H",BA21)))</formula>
    </cfRule>
  </conditionalFormatting>
  <conditionalFormatting sqref="AV21:AV43">
    <cfRule type="colorScale" priority="3">
      <colorScale>
        <cfvo type="min"/>
        <cfvo type="percentile" val="50"/>
        <cfvo type="max"/>
        <color rgb="FF63BE7B"/>
        <color rgb="FFFFEB84"/>
        <color rgb="FFF8696B"/>
      </colorScale>
    </cfRule>
  </conditionalFormatting>
  <conditionalFormatting sqref="AV21:AV43">
    <cfRule type="containsText" dxfId="757" priority="1" operator="containsText" text="M">
      <formula>NOT(ISERROR(SEARCH("M",AV21)))</formula>
    </cfRule>
    <cfRule type="containsText" dxfId="756" priority="2" operator="containsText" text="H">
      <formula>NOT(ISERROR(SEARCH("H",AV21)))</formula>
    </cfRule>
  </conditionalFormatting>
  <dataValidations count="2">
    <dataValidation type="list" allowBlank="1" showInputMessage="1" sqref="AL161 AO142:AO144 AL140:AL144 BB49 N178 AA149:AA157 AA161 K149:K157 AL149:AL157 AL49 AA57:AA77 BB140:BB144 BB161 K101:K113 AA79:AA99 K49 K177:K178 AK15 K79:K99 BB149:BB157 AA169 AA140 AA177:AA178 K161 AA101:AA113 N15:N43 AA49 K169 N53 N49:N51 K140 N120:N133 K120:K133 AA120:AA133 AA16:AA43 K16:K43 K57:K77 N73:N115 BB16:BB43 AO24:AO43 AL15:AL43">
      <formula1>#REF!</formula1>
    </dataValidation>
    <dataValidation allowBlank="1" showInputMessage="1" sqref="A167:A168 A175:A176 AZ6:AZ11 AB149:AB161 AK120:AN125 AD118:AN119 BB15 D5:I6 Z6:AB6 AC163:AC166 L167:L168 L175:L178 N116:S116 O117:S117 K114:K117 BB158:BB160 AA100 L118:L126 BJ13:XFD27 BG11:BG12 L147:L148 T163:AA163 A78:A79 H32:H46 B33:B46 AO52:AO134 K48 P48:S48 C177:I178 N52:Z52 J138:J144 AA14:AA15 AA139 O167:O168 P55:S55 N176:N177 N56:S56 AA114:AB116 AA50:AA52 O49:S51 N57:N72 K50:K52 K119 P119:S119 C10:I11 M119:M126 P54:Q54 AB118 O147:O148 D134:H137 K139 P139:S139 P118:Q118 C118:F118 AC135:BC135 J147:J157 AB163:AB167 K168 P168:S168 M168 J161 P147:Q147 AD149:AK149 AA168 AE163:AL166 K148 P148:S148 M148 P138:Q138 D138:F138 AC167:BC178 AA55:AA56 AA78 AA170:AA171 AD6:AJ10 K176 P176:S176 AO15:AO23 P167:Q167 BA6:BB8 L149:S166 O177:S178 C175:F175 M141:X144 AD11:AS11 BA162:BB162 AK47:AK49 AL14 AB13:AG13 D167:F167 AO49 A100:A101 K44:K46 K55:K56 K100 AF138:AG138 O54:O55 AM147:AM148 AA148 BC147 AL148 AN148 AK147:AK148 AP47:AR49 G1:I4 AC147:AG147 AK13:AK14 AK161:AK162 AD150:AD166 AL162 AM149:AO166 AA162:AC162 AC148:AC161 AU126:BB130 AB169:AB175 L169:S169 B145:S146 AK6:AL6 N44:N46 M6:X6 AD12:AY12 AK150:AK157 A170:M172 O118:O119 O138:O139 K78 L140:L144 O31:O48 N170:S174 J158:K160 J162:K166 BB148 A44:A47 D79:F113 C49:F54 A114:F116 P175:Q175 A15:A16 B134:C138 A13 C13 B141:B144 O140:S140 V55:Y55 AA176 C147:F147 J167:J169 C56:C113 C12:T12 O175:O176 AB47:AB52 BC149:BC162 K14:K15 AA158:AA160 AB177:AB178 BC136:BC138 AB140:AB147 AZ48:BB48 J175:J178 AD50:BC51 D168:I169 BH6:XFD12 AP147:AR162 AC48:AC51 BC47 AS48:AT49 AC47:AD47 AL48 AP138:AR144 AD49:AJ49 AC136:BB137 AN48:AN49 AC45:BC46 BC49 AM47:AM49 BB139 AC139:AC144 AS139:AT144 AC138:AD138 AL139 AF47:AG47 BC140:BC144 AN140:AO140 AM140:AM144 AK138:AK144 AU134:BB134 K141:K144 AA141:AA146 Z7:AA8 N8:Q8 AK158:AL160 AS148:AT162 AB7:AB12 B4:F4 A4:A6 A173:J174 I133:I137 AA119 K1 B5:B6 AC6:AC12 O10:S10 A1:F3 N11:R11 O7:O9 K6 AC145:BC146 AA48 Z141:Z145 AK44:BC44 BA1:BC5 AF139:AH139 AP163:BC166 U7:X8 R44:AB46 AM2:AZ5 U101:X113 Z171 T170:Z170 T11 Y171:Y174 U171:X171 Y164:Y166 T146:Z146 T164 J134:AA137 Y176:Y178 T145:X145 U49 T171:T172 U161:Z161 Y168:Y169 T158:T160 T162 Y162 Z149:Z157 U149:X157 Y148:Y160 AZ14:BB14 AZ15 BA149:BA161 AU158:AU160 AV149:AY161 AV16:AZ43 AZ139:AZ144 AZ131:AZ133 AU131 AZ148:AZ162 AU162:AY162 C140:I144 C33:F47 C167:C169 AE47:AE48 AE138:AE139 AI139:AJ144 AF48:AJ48 AV6:AY8 AU6:AU9 Y6:Y8 BC6:BC13 AP6:AT10 C120:H133 O120:S133 Y14:Y43 L127:M133 AP126:AT134 BC126:BC134 AC126:AN134 A134:A147 Y139:Y145 A49:A54 B50:B53 O53:S53 J53:K53 M48:M53 P31:Q47 AP52:BC116 AC52:AN116 Y53:AB53 B16:B31 C15:C31 L6:L10 D13:F31 O13:Q30 R14:S43 AB15:AB43 M14:M46 J13:J52 U16:X43 V14:X14 I14:I46 H56:I116 B57:B77 U57:X77 A56:A57 B79:B99 J54:J133 M55:M116 AB54:AB113 U120:Z133 L13:L116 O57:S115 G49:I53 B101:B113 D56:G78 I126 AB120:AB138 AN14:AN43 AK16:AK43 BC15:BC43 AM13:AM43 AS14:AT43 AP13:AR43 AV49:BA49 Y56:Z117 J1:J7 I7:I9 A149:I166 G14:H31 G33:G46 A32:G32 G79:G116 V48:X49 Z49:Z51 L1:Z4 U79:X99 V119:Y119 Y48:Y51 AM6:AM10 Z15:Z43 L5:AG5 AK2:AK5 AC1:AZ1 AC2:AG4 AN10 AK7 AN6:AO9 BA15:BA43 AC14:AC44 AD140:AH144 AD15:AJ44 AE150:AJ162"/>
  </dataValidation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4151ED"/>
  </sheetPr>
  <dimension ref="A1:AD208"/>
  <sheetViews>
    <sheetView topLeftCell="A76" zoomScale="90" zoomScaleNormal="90" workbookViewId="0"/>
  </sheetViews>
  <sheetFormatPr defaultColWidth="9.109375" defaultRowHeight="13.8" x14ac:dyDescent="0.3"/>
  <cols>
    <col min="1" max="1" width="10.33203125" style="592" customWidth="1"/>
    <col min="2" max="2" width="12.6640625" style="362" customWidth="1"/>
    <col min="3" max="3" width="44.109375" style="362" bestFit="1" customWidth="1"/>
    <col min="4" max="4" width="16.33203125" style="362" customWidth="1"/>
    <col min="5" max="8" width="14" style="362" customWidth="1"/>
    <col min="9" max="9" width="13.109375" style="362" customWidth="1"/>
    <col min="10" max="10" width="12.33203125" style="590" customWidth="1"/>
    <col min="11" max="11" width="14.33203125" style="591" customWidth="1"/>
    <col min="12" max="12" width="29.77734375" style="362" customWidth="1"/>
    <col min="13" max="13" width="25.77734375" style="362" customWidth="1"/>
    <col min="14" max="14" width="11.77734375" style="362" customWidth="1"/>
    <col min="15" max="15" width="11" style="362" customWidth="1"/>
    <col min="16" max="16" width="19.109375" style="362" customWidth="1"/>
    <col min="17" max="17" width="11" style="362" customWidth="1"/>
    <col min="18" max="18" width="14" style="362" customWidth="1"/>
    <col min="19" max="20" width="9.109375" style="362"/>
    <col min="21" max="21" width="9.109375" style="362" customWidth="1"/>
    <col min="22" max="22" width="15.77734375" style="362" customWidth="1"/>
    <col min="23" max="23" width="9.109375" style="362" customWidth="1"/>
    <col min="24" max="24" width="13.77734375" style="362" customWidth="1"/>
    <col min="25" max="25" width="9.109375" style="362"/>
    <col min="26" max="26" width="22.77734375" style="362" customWidth="1"/>
    <col min="27" max="16384" width="9.109375" style="362"/>
  </cols>
  <sheetData>
    <row r="1" spans="1:30" ht="23.4" x14ac:dyDescent="0.45">
      <c r="A1" s="312" t="s">
        <v>574</v>
      </c>
      <c r="B1" s="313"/>
      <c r="C1" s="49"/>
      <c r="D1" s="49"/>
      <c r="E1" s="49"/>
      <c r="F1" s="49"/>
      <c r="G1" s="49"/>
      <c r="H1" s="49"/>
      <c r="I1" s="49"/>
      <c r="J1" s="314"/>
      <c r="K1" s="315"/>
      <c r="L1" s="49"/>
      <c r="M1" s="49"/>
      <c r="N1" s="49"/>
      <c r="O1" s="49"/>
      <c r="P1" s="49"/>
      <c r="Q1" s="49"/>
      <c r="R1" s="49"/>
      <c r="S1" s="49"/>
      <c r="T1" s="49"/>
      <c r="U1" s="49"/>
      <c r="V1" s="49"/>
      <c r="W1" s="49"/>
      <c r="X1" s="49"/>
      <c r="Y1" s="49"/>
      <c r="Z1" s="49"/>
      <c r="AA1" s="49"/>
      <c r="AB1" s="49"/>
      <c r="AC1" s="49"/>
      <c r="AD1" s="49"/>
    </row>
    <row r="2" spans="1:30" x14ac:dyDescent="0.3">
      <c r="A2" s="465"/>
      <c r="B2" s="466"/>
      <c r="C2" s="466"/>
      <c r="D2" s="466"/>
      <c r="E2" s="466"/>
      <c r="F2" s="466"/>
      <c r="G2" s="466"/>
      <c r="H2" s="466"/>
      <c r="I2" s="466"/>
      <c r="J2" s="467"/>
      <c r="K2" s="468"/>
      <c r="L2" s="468"/>
      <c r="M2" s="468"/>
      <c r="N2" s="468"/>
      <c r="O2" s="466"/>
      <c r="P2" s="466"/>
      <c r="Q2" s="466"/>
      <c r="R2" s="466"/>
      <c r="S2" s="466"/>
      <c r="T2" s="466"/>
      <c r="U2" s="466"/>
      <c r="V2" s="466"/>
      <c r="W2" s="466"/>
      <c r="X2" s="466"/>
      <c r="Y2" s="466"/>
      <c r="Z2" s="466"/>
      <c r="AA2" s="466"/>
      <c r="AB2" s="466"/>
      <c r="AC2" s="466"/>
      <c r="AD2" s="466"/>
    </row>
    <row r="3" spans="1:30" x14ac:dyDescent="0.3">
      <c r="A3" s="320"/>
      <c r="B3" s="49"/>
      <c r="C3" s="49"/>
      <c r="D3" s="49"/>
      <c r="E3" s="49"/>
      <c r="F3" s="49"/>
      <c r="G3" s="49"/>
      <c r="H3" s="49"/>
      <c r="I3" s="49"/>
      <c r="J3" s="314"/>
      <c r="K3" s="321"/>
      <c r="L3" s="49"/>
      <c r="M3" s="49"/>
      <c r="N3" s="49"/>
      <c r="O3" s="49"/>
      <c r="P3" s="49"/>
      <c r="Q3" s="49"/>
      <c r="R3" s="49"/>
      <c r="S3" s="49"/>
      <c r="T3" s="49"/>
      <c r="U3" s="49"/>
      <c r="V3" s="49"/>
      <c r="W3" s="49"/>
      <c r="X3" s="49"/>
      <c r="Y3" s="49"/>
      <c r="Z3" s="49"/>
      <c r="AA3" s="49"/>
      <c r="AB3" s="49"/>
      <c r="AC3" s="49"/>
      <c r="AD3" s="49"/>
    </row>
    <row r="4" spans="1:30" s="593" customFormat="1" ht="21" x14ac:dyDescent="0.3">
      <c r="A4" s="469" t="s">
        <v>20</v>
      </c>
      <c r="B4" s="470" t="str">
        <f>+Performance!C2</f>
        <v>MINISTRY OF JUSTICE (MoJ)</v>
      </c>
      <c r="C4" s="470"/>
      <c r="D4" s="470"/>
      <c r="E4" s="470"/>
      <c r="F4" s="470"/>
      <c r="G4" s="470"/>
      <c r="H4" s="470"/>
      <c r="I4" s="470"/>
      <c r="J4" s="470"/>
      <c r="K4" s="470"/>
      <c r="L4" s="470"/>
      <c r="M4" s="470"/>
      <c r="N4" s="470"/>
      <c r="O4" s="470"/>
      <c r="P4" s="470"/>
      <c r="Q4" s="470"/>
      <c r="R4" s="470"/>
      <c r="S4" s="470"/>
      <c r="T4" s="470"/>
      <c r="U4" s="470"/>
      <c r="V4" s="470"/>
      <c r="W4" s="470"/>
      <c r="X4" s="470"/>
      <c r="Y4" s="470"/>
      <c r="Z4" s="470"/>
      <c r="AA4" s="470"/>
      <c r="AB4" s="470"/>
      <c r="AC4" s="470"/>
      <c r="AD4" s="470"/>
    </row>
    <row r="5" spans="1:30" ht="21" x14ac:dyDescent="0.3">
      <c r="A5" s="320"/>
      <c r="B5" s="324"/>
      <c r="C5" s="324"/>
      <c r="D5" s="324"/>
      <c r="E5" s="324"/>
      <c r="F5" s="324"/>
      <c r="G5" s="324"/>
      <c r="H5" s="324"/>
      <c r="I5" s="324"/>
      <c r="J5" s="324"/>
      <c r="K5" s="325"/>
      <c r="L5" s="325"/>
      <c r="M5" s="325"/>
      <c r="N5" s="325"/>
      <c r="O5" s="49"/>
      <c r="P5" s="49"/>
      <c r="Q5" s="49"/>
      <c r="R5" s="49"/>
      <c r="S5" s="49"/>
      <c r="T5" s="49"/>
      <c r="U5" s="49"/>
      <c r="V5" s="49"/>
      <c r="W5" s="49"/>
      <c r="X5" s="49"/>
      <c r="Y5" s="49"/>
      <c r="Z5" s="49"/>
      <c r="AA5" s="49"/>
      <c r="AB5" s="49"/>
      <c r="AC5" s="49"/>
      <c r="AD5" s="49"/>
    </row>
    <row r="6" spans="1:30" ht="23.4" x14ac:dyDescent="0.3">
      <c r="A6" s="1209">
        <v>1</v>
      </c>
      <c r="B6" s="471" t="s">
        <v>476</v>
      </c>
      <c r="C6" s="472"/>
      <c r="D6" s="2090" t="str">
        <f>+$A$1</f>
        <v>Quarter 3 - 2019-2020</v>
      </c>
      <c r="E6" s="2090"/>
      <c r="F6" s="2090"/>
      <c r="G6" s="2090"/>
      <c r="H6" s="2090"/>
      <c r="I6" s="2090"/>
      <c r="J6" s="2090"/>
      <c r="K6" s="473"/>
      <c r="L6" s="473"/>
      <c r="M6" s="473"/>
      <c r="N6" s="466"/>
      <c r="O6" s="466"/>
      <c r="P6" s="474"/>
      <c r="Q6" s="474"/>
      <c r="R6" s="466"/>
      <c r="S6" s="466"/>
      <c r="T6" s="466"/>
      <c r="U6" s="466"/>
      <c r="V6" s="466"/>
      <c r="W6" s="466"/>
      <c r="X6" s="466"/>
      <c r="Y6" s="466"/>
      <c r="Z6" s="466"/>
      <c r="AA6" s="466"/>
      <c r="AB6" s="466"/>
      <c r="AC6" s="466"/>
      <c r="AD6" s="466"/>
    </row>
    <row r="7" spans="1:30" ht="14.4" thickBot="1" x14ac:dyDescent="0.35">
      <c r="A7" s="320"/>
      <c r="B7" s="43"/>
      <c r="C7" s="337"/>
      <c r="D7" s="337"/>
      <c r="E7" s="337"/>
      <c r="F7" s="337"/>
      <c r="G7" s="337"/>
      <c r="H7" s="337"/>
      <c r="I7" s="337"/>
      <c r="J7" s="337"/>
      <c r="K7" s="337"/>
      <c r="L7" s="337"/>
      <c r="M7" s="337"/>
      <c r="N7" s="337"/>
      <c r="O7" s="337"/>
      <c r="P7" s="337"/>
      <c r="Q7" s="337"/>
      <c r="R7" s="337"/>
      <c r="S7" s="337"/>
      <c r="T7" s="337"/>
      <c r="U7" s="337"/>
      <c r="V7" s="337"/>
      <c r="W7" s="337"/>
      <c r="X7" s="337"/>
      <c r="Y7" s="49"/>
      <c r="Z7" s="49"/>
      <c r="AA7" s="49"/>
      <c r="AB7" s="49"/>
      <c r="AC7" s="49"/>
      <c r="AD7" s="49"/>
    </row>
    <row r="8" spans="1:30" ht="14.4" thickBot="1" x14ac:dyDescent="0.35">
      <c r="A8" s="320"/>
      <c r="B8" s="49"/>
      <c r="C8" s="43"/>
      <c r="D8" s="428" t="s">
        <v>23</v>
      </c>
      <c r="E8" s="1083" t="s">
        <v>144</v>
      </c>
      <c r="F8" s="1849" t="s">
        <v>24</v>
      </c>
      <c r="G8" s="1850"/>
      <c r="H8" s="1851"/>
      <c r="I8" s="2086" t="s">
        <v>461</v>
      </c>
      <c r="J8" s="2087"/>
      <c r="K8" s="337"/>
      <c r="L8" s="337"/>
      <c r="M8" s="337"/>
      <c r="N8" s="337"/>
      <c r="O8" s="337"/>
      <c r="P8" s="337"/>
      <c r="Q8" s="337"/>
      <c r="R8" s="337"/>
      <c r="S8" s="337"/>
      <c r="T8" s="337"/>
      <c r="U8" s="337"/>
      <c r="V8" s="337"/>
      <c r="W8" s="337"/>
      <c r="X8" s="337"/>
      <c r="Y8" s="49"/>
      <c r="Z8" s="49"/>
      <c r="AA8" s="337"/>
      <c r="AB8" s="337"/>
      <c r="AC8" s="337"/>
      <c r="AD8" s="337"/>
    </row>
    <row r="9" spans="1:30" ht="14.4" thickBot="1" x14ac:dyDescent="0.35">
      <c r="A9" s="320"/>
      <c r="B9" s="359"/>
      <c r="C9" s="49"/>
      <c r="D9" s="490" t="s">
        <v>477</v>
      </c>
      <c r="E9" s="432" t="s">
        <v>477</v>
      </c>
      <c r="F9" s="1852"/>
      <c r="G9" s="1853"/>
      <c r="H9" s="1854"/>
      <c r="I9" s="2088"/>
      <c r="J9" s="2089"/>
      <c r="K9" s="337"/>
      <c r="L9" s="337"/>
      <c r="M9" s="337"/>
      <c r="N9" s="337"/>
      <c r="O9" s="337"/>
      <c r="P9" s="337"/>
      <c r="Q9" s="337"/>
      <c r="R9" s="337"/>
      <c r="S9" s="337"/>
      <c r="T9" s="337"/>
      <c r="U9" s="337"/>
      <c r="V9" s="337"/>
      <c r="W9" s="337"/>
      <c r="X9" s="337"/>
      <c r="Y9" s="49"/>
      <c r="Z9" s="49"/>
      <c r="AA9" s="337"/>
      <c r="AB9" s="337"/>
      <c r="AC9" s="337"/>
      <c r="AD9" s="337"/>
    </row>
    <row r="10" spans="1:30" ht="14.4" thickBot="1" x14ac:dyDescent="0.35">
      <c r="A10" s="320"/>
      <c r="B10" s="1855" t="s">
        <v>478</v>
      </c>
      <c r="C10" s="1856"/>
      <c r="D10" s="1042"/>
      <c r="E10" s="1043"/>
      <c r="F10" s="1857"/>
      <c r="G10" s="1858"/>
      <c r="H10" s="1859"/>
      <c r="I10" s="2129" t="str">
        <f>IF(OR(D10&lt;0,E10&lt;0),"Error - Negative number",IF(E10&gt;D10,"Offices only&gt;Total Estate",""))</f>
        <v/>
      </c>
      <c r="J10" s="2130"/>
      <c r="K10" s="337"/>
      <c r="L10" s="337"/>
      <c r="M10" s="337"/>
      <c r="N10" s="337"/>
      <c r="O10" s="337"/>
      <c r="P10" s="337"/>
      <c r="Q10" s="337"/>
      <c r="R10" s="337"/>
      <c r="S10" s="337"/>
      <c r="T10" s="337"/>
      <c r="U10" s="337"/>
      <c r="V10" s="337"/>
      <c r="W10" s="337"/>
      <c r="X10" s="337"/>
      <c r="Y10" s="49"/>
      <c r="Z10" s="49"/>
      <c r="AA10" s="337"/>
      <c r="AB10" s="337"/>
      <c r="AC10" s="337"/>
      <c r="AD10" s="337"/>
    </row>
    <row r="11" spans="1:30" x14ac:dyDescent="0.3">
      <c r="A11" s="320"/>
      <c r="B11" s="337"/>
      <c r="C11" s="337"/>
      <c r="D11" s="337"/>
      <c r="E11" s="337"/>
      <c r="F11" s="337"/>
      <c r="G11" s="337"/>
      <c r="H11" s="337"/>
      <c r="I11" s="337"/>
      <c r="J11" s="386"/>
      <c r="K11" s="425"/>
      <c r="L11" s="337"/>
      <c r="M11" s="337"/>
      <c r="N11" s="49"/>
      <c r="O11" s="49"/>
      <c r="P11" s="49"/>
      <c r="Q11" s="49"/>
      <c r="R11" s="49"/>
      <c r="S11" s="49"/>
      <c r="T11" s="49"/>
      <c r="U11" s="49"/>
      <c r="V11" s="49"/>
      <c r="W11" s="49"/>
      <c r="X11" s="49"/>
      <c r="Y11" s="49"/>
      <c r="Z11" s="49"/>
      <c r="AA11" s="49"/>
      <c r="AB11" s="49"/>
      <c r="AC11" s="49"/>
      <c r="AD11" s="49"/>
    </row>
    <row r="12" spans="1:30" x14ac:dyDescent="0.3">
      <c r="A12" s="320"/>
      <c r="B12" s="337"/>
      <c r="C12" s="337"/>
      <c r="D12" s="337"/>
      <c r="E12" s="337"/>
      <c r="F12" s="337"/>
      <c r="G12" s="337"/>
      <c r="H12" s="337"/>
      <c r="I12" s="337"/>
      <c r="J12" s="386"/>
      <c r="K12" s="425"/>
      <c r="L12" s="337"/>
      <c r="M12" s="337"/>
      <c r="N12" s="49"/>
      <c r="O12" s="49"/>
      <c r="P12" s="49"/>
      <c r="Q12" s="49"/>
      <c r="R12" s="49"/>
      <c r="S12" s="49"/>
      <c r="T12" s="49"/>
      <c r="U12" s="49"/>
      <c r="V12" s="49"/>
      <c r="W12" s="49"/>
      <c r="X12" s="49"/>
      <c r="Y12" s="49"/>
      <c r="Z12" s="49"/>
      <c r="AA12" s="49"/>
      <c r="AB12" s="49"/>
      <c r="AC12" s="49"/>
      <c r="AD12" s="49"/>
    </row>
    <row r="13" spans="1:30" ht="27.75" customHeight="1" x14ac:dyDescent="0.3">
      <c r="A13" s="1209">
        <v>2</v>
      </c>
      <c r="B13" s="471" t="s">
        <v>21</v>
      </c>
      <c r="C13" s="472"/>
      <c r="D13" s="2090" t="str">
        <f>+$A$1</f>
        <v>Quarter 3 - 2019-2020</v>
      </c>
      <c r="E13" s="2090"/>
      <c r="F13" s="2090"/>
      <c r="G13" s="2090"/>
      <c r="H13" s="2090"/>
      <c r="I13" s="2090"/>
      <c r="J13" s="2090"/>
      <c r="K13" s="473"/>
      <c r="L13" s="473"/>
      <c r="M13" s="473"/>
      <c r="N13" s="473"/>
      <c r="O13" s="466"/>
      <c r="P13" s="474"/>
      <c r="Q13" s="474"/>
      <c r="R13" s="466"/>
      <c r="S13" s="466"/>
      <c r="T13" s="466"/>
      <c r="U13" s="466"/>
      <c r="V13" s="466"/>
      <c r="W13" s="466"/>
      <c r="X13" s="466"/>
      <c r="Y13" s="466"/>
      <c r="Z13" s="466"/>
      <c r="AA13" s="466"/>
      <c r="AB13" s="466"/>
      <c r="AC13" s="466"/>
      <c r="AD13" s="466"/>
    </row>
    <row r="14" spans="1:30" s="594" customFormat="1" ht="23.4" x14ac:dyDescent="0.3">
      <c r="A14" s="1210" t="s">
        <v>505</v>
      </c>
      <c r="B14" s="475" t="s">
        <v>22</v>
      </c>
      <c r="C14" s="476"/>
      <c r="D14" s="2090"/>
      <c r="E14" s="2090"/>
      <c r="F14" s="2090"/>
      <c r="G14" s="2090"/>
      <c r="H14" s="2090"/>
      <c r="I14" s="2090"/>
      <c r="J14" s="2090"/>
      <c r="K14" s="477"/>
      <c r="L14" s="477"/>
      <c r="M14" s="477"/>
      <c r="N14" s="477"/>
      <c r="O14" s="477"/>
      <c r="P14" s="477"/>
      <c r="Q14" s="477"/>
      <c r="R14" s="477"/>
      <c r="S14" s="477"/>
      <c r="T14" s="477"/>
      <c r="U14" s="477"/>
      <c r="V14" s="477"/>
      <c r="W14" s="477"/>
      <c r="X14" s="477"/>
      <c r="Y14" s="478"/>
      <c r="Z14" s="478"/>
      <c r="AA14" s="478"/>
      <c r="AB14" s="478"/>
      <c r="AC14" s="478"/>
      <c r="AD14" s="478"/>
    </row>
    <row r="15" spans="1:30" ht="15.75" customHeight="1" thickBot="1" x14ac:dyDescent="0.35">
      <c r="A15" s="320"/>
      <c r="B15" s="43"/>
      <c r="C15" s="30"/>
      <c r="D15" s="43"/>
      <c r="E15" s="336"/>
      <c r="F15" s="336"/>
      <c r="G15" s="336"/>
      <c r="H15" s="336"/>
      <c r="I15" s="336"/>
      <c r="J15" s="336"/>
      <c r="K15" s="336"/>
      <c r="L15" s="49"/>
      <c r="M15" s="49"/>
      <c r="N15" s="49"/>
      <c r="O15" s="49"/>
      <c r="P15" s="49"/>
      <c r="Q15" s="49"/>
      <c r="R15" s="49"/>
      <c r="S15" s="49"/>
      <c r="T15" s="49"/>
      <c r="U15" s="49"/>
      <c r="V15" s="49"/>
      <c r="W15" s="49"/>
      <c r="X15" s="49"/>
      <c r="Y15" s="49"/>
      <c r="Z15" s="49"/>
      <c r="AA15" s="49"/>
      <c r="AB15" s="49"/>
      <c r="AC15" s="49"/>
      <c r="AD15" s="49"/>
    </row>
    <row r="16" spans="1:30" ht="15.75" customHeight="1" thickBot="1" x14ac:dyDescent="0.35">
      <c r="A16" s="320"/>
      <c r="B16" s="337"/>
      <c r="C16" s="337"/>
      <c r="D16" s="337"/>
      <c r="E16" s="337"/>
      <c r="F16" s="337"/>
      <c r="G16" s="337"/>
      <c r="H16" s="337"/>
      <c r="I16" s="337"/>
      <c r="J16" s="337"/>
      <c r="K16" s="337"/>
      <c r="L16" s="49"/>
      <c r="M16" s="49"/>
      <c r="N16" s="49"/>
      <c r="O16" s="1963" t="s">
        <v>23</v>
      </c>
      <c r="P16" s="2091"/>
      <c r="Q16" s="2091"/>
      <c r="R16" s="1964"/>
      <c r="S16" s="49"/>
      <c r="T16" s="49"/>
      <c r="U16" s="2092" t="s">
        <v>144</v>
      </c>
      <c r="V16" s="2093"/>
      <c r="W16" s="2093"/>
      <c r="X16" s="2094"/>
      <c r="Y16" s="49"/>
      <c r="Z16" s="49"/>
      <c r="AA16" s="49"/>
      <c r="AB16" s="49"/>
      <c r="AC16" s="49"/>
      <c r="AD16" s="49"/>
    </row>
    <row r="17" spans="1:30" ht="28.2" customHeight="1" thickBot="1" x14ac:dyDescent="0.35">
      <c r="A17" s="320"/>
      <c r="B17" s="337"/>
      <c r="C17" s="337"/>
      <c r="D17" s="1866" t="s">
        <v>23</v>
      </c>
      <c r="E17" s="1867"/>
      <c r="F17" s="1868"/>
      <c r="G17" s="1869" t="s">
        <v>144</v>
      </c>
      <c r="H17" s="1870"/>
      <c r="I17" s="1849" t="s">
        <v>24</v>
      </c>
      <c r="J17" s="1850"/>
      <c r="K17" s="1851"/>
      <c r="L17" s="1909" t="s">
        <v>461</v>
      </c>
      <c r="M17" s="49"/>
      <c r="N17" s="49"/>
      <c r="O17" s="1963" t="s">
        <v>25</v>
      </c>
      <c r="P17" s="2091"/>
      <c r="Q17" s="2091"/>
      <c r="R17" s="1964"/>
      <c r="S17" s="49"/>
      <c r="T17" s="49"/>
      <c r="U17" s="2092" t="s">
        <v>25</v>
      </c>
      <c r="V17" s="2093"/>
      <c r="W17" s="2093"/>
      <c r="X17" s="2094"/>
      <c r="Y17" s="49"/>
      <c r="Z17" s="49"/>
      <c r="AA17" s="49"/>
      <c r="AB17" s="49"/>
      <c r="AC17" s="49"/>
      <c r="AD17" s="49"/>
    </row>
    <row r="18" spans="1:30" ht="15.75" customHeight="1" thickBot="1" x14ac:dyDescent="0.35">
      <c r="A18" s="320"/>
      <c r="B18" s="337"/>
      <c r="C18" s="337"/>
      <c r="D18" s="338" t="s">
        <v>26</v>
      </c>
      <c r="E18" s="1087" t="s">
        <v>27</v>
      </c>
      <c r="F18" s="339" t="s">
        <v>28</v>
      </c>
      <c r="G18" s="433" t="s">
        <v>29</v>
      </c>
      <c r="H18" s="433" t="s">
        <v>28</v>
      </c>
      <c r="I18" s="1852"/>
      <c r="J18" s="1853"/>
      <c r="K18" s="1854"/>
      <c r="L18" s="1911"/>
      <c r="M18" s="49"/>
      <c r="N18" s="49"/>
      <c r="O18" s="2095" t="s">
        <v>30</v>
      </c>
      <c r="P18" s="2096"/>
      <c r="Q18" s="2095" t="s">
        <v>31</v>
      </c>
      <c r="R18" s="2096"/>
      <c r="S18" s="49"/>
      <c r="T18" s="49"/>
      <c r="U18" s="1869" t="s">
        <v>30</v>
      </c>
      <c r="V18" s="1870"/>
      <c r="W18" s="1869" t="s">
        <v>31</v>
      </c>
      <c r="X18" s="1870"/>
      <c r="Y18" s="49"/>
      <c r="Z18" s="49"/>
      <c r="AA18" s="49"/>
      <c r="AB18" s="49"/>
      <c r="AC18" s="49"/>
      <c r="AD18" s="49"/>
    </row>
    <row r="19" spans="1:30" ht="28.95" customHeight="1" thickBot="1" x14ac:dyDescent="0.35">
      <c r="A19" s="320"/>
      <c r="B19" s="1881" t="s">
        <v>32</v>
      </c>
      <c r="C19" s="1882"/>
      <c r="D19" s="340">
        <f>SUM(D20:D47)</f>
        <v>0</v>
      </c>
      <c r="E19" s="1107" t="str">
        <f>IF(D19&lt;&gt;0,F19*1000/D19,"")</f>
        <v/>
      </c>
      <c r="F19" s="342">
        <f>SUM(F20:F47)</f>
        <v>0</v>
      </c>
      <c r="G19" s="343">
        <f>SUM(G20:G47)</f>
        <v>0</v>
      </c>
      <c r="H19" s="343">
        <f>SUM(H20:H47)</f>
        <v>0</v>
      </c>
      <c r="I19" s="1871"/>
      <c r="J19" s="1872"/>
      <c r="K19" s="1873"/>
      <c r="L19" s="1119" t="str">
        <f>IF(OR(D19&lt;0,G19&lt;0),"Error - negative number",IF(G19&gt;D19,"Offices only &gt; Total Estate",IF(AND(D19&gt;0,E19=""),"Please enter CO2e factor","")))</f>
        <v/>
      </c>
      <c r="M19" s="49"/>
      <c r="N19" s="49"/>
      <c r="O19" s="1218" t="s">
        <v>33</v>
      </c>
      <c r="P19" s="1233" t="s">
        <v>34</v>
      </c>
      <c r="Q19" s="1218" t="s">
        <v>35</v>
      </c>
      <c r="R19" s="1233" t="s">
        <v>34</v>
      </c>
      <c r="S19" s="31"/>
      <c r="T19" s="49"/>
      <c r="U19" s="1234" t="s">
        <v>33</v>
      </c>
      <c r="V19" s="1235" t="s">
        <v>34</v>
      </c>
      <c r="W19" s="1234" t="s">
        <v>35</v>
      </c>
      <c r="X19" s="1235" t="s">
        <v>34</v>
      </c>
      <c r="Y19" s="49"/>
      <c r="Z19" s="49"/>
      <c r="AA19" s="49"/>
      <c r="AB19" s="49"/>
      <c r="AC19" s="49"/>
      <c r="AD19" s="49"/>
    </row>
    <row r="20" spans="1:30" ht="15" customHeight="1" x14ac:dyDescent="0.3">
      <c r="A20" s="320" t="s">
        <v>372</v>
      </c>
      <c r="B20" s="1883" t="s">
        <v>36</v>
      </c>
      <c r="C20" s="649" t="s">
        <v>37</v>
      </c>
      <c r="D20" s="1039"/>
      <c r="E20" s="151">
        <f>+O20+Q20</f>
        <v>0.27729999999999999</v>
      </c>
      <c r="F20" s="349">
        <f>P20+R20</f>
        <v>0</v>
      </c>
      <c r="G20" s="1048"/>
      <c r="H20" s="561">
        <f>IF(Performance!$L$2="y",F20,E20*G20/1000)</f>
        <v>0</v>
      </c>
      <c r="I20" s="2281"/>
      <c r="J20" s="2026"/>
      <c r="K20" s="2027"/>
      <c r="L20" s="1120" t="str">
        <f t="shared" ref="L20:L47" si="0">IF(OR(D20&lt;0,G20&lt;0),"Error - negative number",IF(G20&gt;D20,"Offices only &gt; Total Estate",IF(AND(D20&gt;0,E20=""),"Please enter CO2e factor","")))</f>
        <v/>
      </c>
      <c r="M20" s="49"/>
      <c r="N20" s="49"/>
      <c r="O20" s="62">
        <f>+'Emission Factors'!K7</f>
        <v>0.25559999999999999</v>
      </c>
      <c r="P20" s="32">
        <f>(D20*O20)/1000</f>
        <v>0</v>
      </c>
      <c r="Q20" s="63">
        <f>+'Emission Factors'!K8</f>
        <v>2.1700000000000001E-2</v>
      </c>
      <c r="R20" s="32">
        <f>(D20*Q20)/1000</f>
        <v>0</v>
      </c>
      <c r="S20" s="31"/>
      <c r="T20" s="49"/>
      <c r="U20" s="64">
        <f>+O20</f>
        <v>0.25559999999999999</v>
      </c>
      <c r="V20" s="82">
        <f>IF(Performance!$L$2="y",P20,$G20*U20/1000)</f>
        <v>0</v>
      </c>
      <c r="W20" s="64">
        <f>+Q20</f>
        <v>2.1700000000000001E-2</v>
      </c>
      <c r="X20" s="33">
        <f>IF(Performance!$L$2="y",R20,$G20*W20/1000)</f>
        <v>0</v>
      </c>
      <c r="Y20" s="49"/>
      <c r="Z20" s="49"/>
      <c r="AA20" s="49"/>
      <c r="AB20" s="49"/>
      <c r="AC20" s="49"/>
      <c r="AD20" s="49"/>
    </row>
    <row r="21" spans="1:30" ht="15" customHeight="1" x14ac:dyDescent="0.3">
      <c r="A21" s="320" t="s">
        <v>372</v>
      </c>
      <c r="B21" s="1884"/>
      <c r="C21" s="649" t="s">
        <v>38</v>
      </c>
      <c r="D21" s="1039"/>
      <c r="E21" s="61">
        <f>+O21+Q21</f>
        <v>0.27729999999999999</v>
      </c>
      <c r="F21" s="349">
        <f>P21+R21</f>
        <v>0</v>
      </c>
      <c r="G21" s="1048"/>
      <c r="H21" s="1171">
        <f>IF(Performance!$L$2="y",F21,E21*G21/1000)</f>
        <v>0</v>
      </c>
      <c r="I21" s="2098"/>
      <c r="J21" s="2099"/>
      <c r="K21" s="2100"/>
      <c r="L21" s="1056" t="str">
        <f t="shared" si="0"/>
        <v/>
      </c>
      <c r="M21" s="49"/>
      <c r="N21" s="49"/>
      <c r="O21" s="62">
        <f>+O20</f>
        <v>0.25559999999999999</v>
      </c>
      <c r="P21" s="32">
        <f>(D21*O21)/1000</f>
        <v>0</v>
      </c>
      <c r="Q21" s="63">
        <f>+Q20</f>
        <v>2.1700000000000001E-2</v>
      </c>
      <c r="R21" s="32">
        <f>(D21*Q21)/1000</f>
        <v>0</v>
      </c>
      <c r="S21" s="31"/>
      <c r="T21" s="49"/>
      <c r="U21" s="65">
        <f>+O21</f>
        <v>0.25559999999999999</v>
      </c>
      <c r="V21" s="83">
        <f>IF(Performance!$L$2="y",P21,$G21*U21/1000)</f>
        <v>0</v>
      </c>
      <c r="W21" s="65">
        <f>+Q21</f>
        <v>2.1700000000000001E-2</v>
      </c>
      <c r="X21" s="34">
        <f>IF(Performance!$L$2="y",R21,$G21*W21/1000)</f>
        <v>0</v>
      </c>
      <c r="Y21" s="49"/>
      <c r="Z21" s="49"/>
      <c r="AA21" s="49"/>
      <c r="AB21" s="49"/>
      <c r="AC21" s="49"/>
      <c r="AD21" s="49"/>
    </row>
    <row r="22" spans="1:30" ht="17.25" customHeight="1" x14ac:dyDescent="0.3">
      <c r="A22" s="320" t="s">
        <v>372</v>
      </c>
      <c r="B22" s="1884"/>
      <c r="C22" s="649" t="s">
        <v>39</v>
      </c>
      <c r="D22" s="1039"/>
      <c r="E22" s="61">
        <f>+O22+Q22</f>
        <v>0.27729999999999999</v>
      </c>
      <c r="F22" s="349">
        <f>P22+R22</f>
        <v>0</v>
      </c>
      <c r="G22" s="1048"/>
      <c r="H22" s="1171">
        <f>IF(Performance!$L$2="y",F22,E22*G22/1000)</f>
        <v>0</v>
      </c>
      <c r="I22" s="2098"/>
      <c r="J22" s="2099"/>
      <c r="K22" s="2100"/>
      <c r="L22" s="1056" t="str">
        <f t="shared" si="0"/>
        <v/>
      </c>
      <c r="M22" s="49"/>
      <c r="N22" s="49"/>
      <c r="O22" s="62">
        <f>+O21</f>
        <v>0.25559999999999999</v>
      </c>
      <c r="P22" s="32">
        <f>(D22*O22)/1000</f>
        <v>0</v>
      </c>
      <c r="Q22" s="63">
        <f>+Q21</f>
        <v>2.1700000000000001E-2</v>
      </c>
      <c r="R22" s="32">
        <f>(D22*Q22)/1000</f>
        <v>0</v>
      </c>
      <c r="S22" s="31"/>
      <c r="T22" s="49"/>
      <c r="U22" s="65">
        <f>+O22</f>
        <v>0.25559999999999999</v>
      </c>
      <c r="V22" s="83">
        <f>IF(Performance!$L$2="y",P22,$G22*U22/1000)</f>
        <v>0</v>
      </c>
      <c r="W22" s="65">
        <f>+Q22</f>
        <v>2.1700000000000001E-2</v>
      </c>
      <c r="X22" s="34">
        <f>IF(Performance!$L$2="y",R22,$G22*W22/1000)</f>
        <v>0</v>
      </c>
      <c r="Y22" s="49"/>
      <c r="Z22" s="49"/>
      <c r="AA22" s="49"/>
      <c r="AB22" s="49"/>
      <c r="AC22" s="49"/>
      <c r="AD22" s="49"/>
    </row>
    <row r="23" spans="1:30" ht="17.25" customHeight="1" thickBot="1" x14ac:dyDescent="0.35">
      <c r="A23" s="320" t="s">
        <v>372</v>
      </c>
      <c r="B23" s="1884"/>
      <c r="C23" s="649" t="s">
        <v>40</v>
      </c>
      <c r="D23" s="1039"/>
      <c r="E23" s="61">
        <f>+O23+Q23</f>
        <v>0.27729999999999999</v>
      </c>
      <c r="F23" s="349">
        <f>P23+R23</f>
        <v>0</v>
      </c>
      <c r="G23" s="1048"/>
      <c r="H23" s="1171">
        <f>IF(Performance!$L$2="y",F23,E23*G23/1000)</f>
        <v>0</v>
      </c>
      <c r="I23" s="2098"/>
      <c r="J23" s="2099"/>
      <c r="K23" s="2100"/>
      <c r="L23" s="1056" t="str">
        <f t="shared" si="0"/>
        <v/>
      </c>
      <c r="M23" s="49"/>
      <c r="N23" s="49"/>
      <c r="O23" s="66">
        <f>+O22</f>
        <v>0.25559999999999999</v>
      </c>
      <c r="P23" s="35">
        <f>(D23*O23)/1000</f>
        <v>0</v>
      </c>
      <c r="Q23" s="67">
        <f>+Q22</f>
        <v>2.1700000000000001E-2</v>
      </c>
      <c r="R23" s="35">
        <f>(D23*Q23)/1000</f>
        <v>0</v>
      </c>
      <c r="S23" s="31"/>
      <c r="T23" s="49"/>
      <c r="U23" s="68">
        <f>+O23</f>
        <v>0.25559999999999999</v>
      </c>
      <c r="V23" s="84">
        <f>IF(Performance!$L$2="y",P23,$G23*U23/1000)</f>
        <v>0</v>
      </c>
      <c r="W23" s="68">
        <f>+Q23</f>
        <v>2.1700000000000001E-2</v>
      </c>
      <c r="X23" s="36">
        <f>IF(Performance!$L$2="y",R23,$G23*W23/1000)</f>
        <v>0</v>
      </c>
      <c r="Y23" s="49"/>
      <c r="Z23" s="49"/>
      <c r="AA23" s="49"/>
      <c r="AB23" s="49"/>
      <c r="AC23" s="49"/>
      <c r="AD23" s="49"/>
    </row>
    <row r="24" spans="1:30" ht="15.75" customHeight="1" thickBot="1" x14ac:dyDescent="0.35">
      <c r="A24" s="320" t="s">
        <v>370</v>
      </c>
      <c r="B24" s="1884"/>
      <c r="C24" s="37" t="s">
        <v>41</v>
      </c>
      <c r="D24" s="1039"/>
      <c r="E24" s="69">
        <f>+'Emission Factors'!K11</f>
        <v>0.18385000000000001</v>
      </c>
      <c r="F24" s="349">
        <f>(D24*E24)/1000</f>
        <v>0</v>
      </c>
      <c r="G24" s="1048"/>
      <c r="H24" s="1171">
        <f>IF(Performance!$L$2="y",F24,E24*G24/1000)</f>
        <v>0</v>
      </c>
      <c r="I24" s="2098"/>
      <c r="J24" s="2099"/>
      <c r="K24" s="2100"/>
      <c r="L24" s="1056" t="str">
        <f t="shared" si="0"/>
        <v/>
      </c>
      <c r="M24" s="49"/>
      <c r="N24" s="49"/>
      <c r="O24" s="1860" t="s">
        <v>23</v>
      </c>
      <c r="P24" s="1861"/>
      <c r="Q24" s="1861"/>
      <c r="R24" s="1862"/>
      <c r="S24" s="49"/>
      <c r="T24" s="49"/>
      <c r="U24" s="2097" t="s">
        <v>144</v>
      </c>
      <c r="V24" s="1864"/>
      <c r="W24" s="1864"/>
      <c r="X24" s="1865"/>
      <c r="Y24" s="49"/>
      <c r="Z24" s="49"/>
      <c r="AA24" s="49"/>
      <c r="AB24" s="49"/>
      <c r="AC24" s="49"/>
      <c r="AD24" s="49"/>
    </row>
    <row r="25" spans="1:30" ht="15.75" customHeight="1" thickBot="1" x14ac:dyDescent="0.35">
      <c r="A25" s="320" t="s">
        <v>370</v>
      </c>
      <c r="B25" s="1884"/>
      <c r="C25" s="37" t="s">
        <v>42</v>
      </c>
      <c r="D25" s="1039"/>
      <c r="E25" s="69">
        <f>+'Emission Factors'!K12</f>
        <v>0.25675999999999999</v>
      </c>
      <c r="F25" s="349">
        <f t="shared" ref="F25:F47" si="1">(D25*E25)/1000</f>
        <v>0</v>
      </c>
      <c r="G25" s="1048"/>
      <c r="H25" s="1171">
        <f>IF(Performance!$L$2="y",F25,E25*G25/1000)</f>
        <v>0</v>
      </c>
      <c r="I25" s="2098"/>
      <c r="J25" s="2099"/>
      <c r="K25" s="2100"/>
      <c r="L25" s="1056" t="str">
        <f t="shared" si="0"/>
        <v/>
      </c>
      <c r="M25" s="49"/>
      <c r="N25" s="49"/>
      <c r="O25" s="49"/>
      <c r="P25" s="49"/>
      <c r="Q25" s="49"/>
      <c r="R25" s="49"/>
      <c r="S25" s="49"/>
      <c r="T25" s="49"/>
      <c r="U25" s="49"/>
      <c r="V25" s="49"/>
      <c r="W25" s="49"/>
      <c r="X25" s="49"/>
      <c r="Y25" s="49"/>
      <c r="Z25" s="49"/>
      <c r="AA25" s="49"/>
      <c r="AB25" s="49"/>
      <c r="AC25" s="49"/>
      <c r="AD25" s="49"/>
    </row>
    <row r="26" spans="1:30" ht="13.5" customHeight="1" thickBot="1" x14ac:dyDescent="0.35">
      <c r="A26" s="320" t="s">
        <v>370</v>
      </c>
      <c r="B26" s="1884"/>
      <c r="C26" s="37" t="s">
        <v>43</v>
      </c>
      <c r="D26" s="1039"/>
      <c r="E26" s="69">
        <f>+'Emission Factors'!K13</f>
        <v>0.21446999999999999</v>
      </c>
      <c r="F26" s="349">
        <f t="shared" si="1"/>
        <v>0</v>
      </c>
      <c r="G26" s="1048"/>
      <c r="H26" s="1171">
        <f>IF(Performance!$L$2="y",F26,E26*G26/1000)</f>
        <v>0</v>
      </c>
      <c r="I26" s="2098"/>
      <c r="J26" s="2099"/>
      <c r="K26" s="2100"/>
      <c r="L26" s="1056" t="str">
        <f t="shared" si="0"/>
        <v/>
      </c>
      <c r="M26" s="49"/>
      <c r="N26" s="49"/>
      <c r="O26" s="2095" t="s">
        <v>44</v>
      </c>
      <c r="P26" s="2096"/>
      <c r="Q26" s="2095" t="s">
        <v>45</v>
      </c>
      <c r="R26" s="2096"/>
      <c r="S26" s="49"/>
      <c r="T26" s="49"/>
      <c r="U26" s="1869" t="s">
        <v>44</v>
      </c>
      <c r="V26" s="1870"/>
      <c r="W26" s="1869" t="s">
        <v>45</v>
      </c>
      <c r="X26" s="1870"/>
      <c r="Y26" s="49"/>
      <c r="Z26" s="49"/>
      <c r="AA26" s="49"/>
      <c r="AB26" s="49"/>
      <c r="AC26" s="49"/>
      <c r="AD26" s="49"/>
    </row>
    <row r="27" spans="1:30" ht="15.75" customHeight="1" x14ac:dyDescent="0.3">
      <c r="A27" s="320" t="s">
        <v>370</v>
      </c>
      <c r="B27" s="1884"/>
      <c r="C27" s="37" t="s">
        <v>46</v>
      </c>
      <c r="D27" s="1039"/>
      <c r="E27" s="69">
        <f>+'Emission Factors'!K14</f>
        <v>0.34472999999999998</v>
      </c>
      <c r="F27" s="349">
        <f t="shared" si="1"/>
        <v>0</v>
      </c>
      <c r="G27" s="1048"/>
      <c r="H27" s="1171">
        <f>IF(Performance!$L$2="y",F27,E27*G27/1000)</f>
        <v>0</v>
      </c>
      <c r="I27" s="2098"/>
      <c r="J27" s="2099"/>
      <c r="K27" s="2100"/>
      <c r="L27" s="1056" t="str">
        <f t="shared" si="0"/>
        <v/>
      </c>
      <c r="M27" s="49"/>
      <c r="N27" s="49"/>
      <c r="O27" s="2105" t="s">
        <v>33</v>
      </c>
      <c r="P27" s="2107" t="s">
        <v>34</v>
      </c>
      <c r="Q27" s="2105" t="s">
        <v>35</v>
      </c>
      <c r="R27" s="2107" t="s">
        <v>34</v>
      </c>
      <c r="S27" s="49"/>
      <c r="T27" s="49"/>
      <c r="U27" s="2103" t="s">
        <v>33</v>
      </c>
      <c r="V27" s="2101" t="s">
        <v>34</v>
      </c>
      <c r="W27" s="2103" t="s">
        <v>35</v>
      </c>
      <c r="X27" s="2101" t="s">
        <v>34</v>
      </c>
      <c r="Y27" s="49"/>
      <c r="Z27" s="49"/>
      <c r="AA27" s="49"/>
      <c r="AB27" s="49"/>
      <c r="AC27" s="49"/>
      <c r="AD27" s="49"/>
    </row>
    <row r="28" spans="1:30" ht="15.75" customHeight="1" thickBot="1" x14ac:dyDescent="0.35">
      <c r="A28" s="320" t="s">
        <v>370</v>
      </c>
      <c r="B28" s="1884"/>
      <c r="C28" s="37" t="s">
        <v>47</v>
      </c>
      <c r="D28" s="1039"/>
      <c r="E28" s="69">
        <f>+'Emission Factors'!K15</f>
        <v>1.5630000000000002E-2</v>
      </c>
      <c r="F28" s="349">
        <f t="shared" si="1"/>
        <v>0</v>
      </c>
      <c r="G28" s="1048"/>
      <c r="H28" s="1171">
        <f>IF(Performance!$L$2="y",F28,E28*G28/1000)</f>
        <v>0</v>
      </c>
      <c r="I28" s="2098"/>
      <c r="J28" s="2099"/>
      <c r="K28" s="2100"/>
      <c r="L28" s="1056" t="str">
        <f t="shared" si="0"/>
        <v/>
      </c>
      <c r="M28" s="49"/>
      <c r="N28" s="49"/>
      <c r="O28" s="2106"/>
      <c r="P28" s="2108"/>
      <c r="Q28" s="2106"/>
      <c r="R28" s="2108"/>
      <c r="S28" s="49"/>
      <c r="T28" s="49"/>
      <c r="U28" s="2104"/>
      <c r="V28" s="2102"/>
      <c r="W28" s="2104"/>
      <c r="X28" s="2102"/>
      <c r="Y28" s="49"/>
      <c r="Z28" s="49"/>
      <c r="AA28" s="49"/>
      <c r="AB28" s="49"/>
      <c r="AC28" s="49"/>
      <c r="AD28" s="49"/>
    </row>
    <row r="29" spans="1:30" ht="15.75" customHeight="1" thickBot="1" x14ac:dyDescent="0.35">
      <c r="A29" s="320" t="s">
        <v>372</v>
      </c>
      <c r="B29" s="1884"/>
      <c r="C29" s="649" t="s">
        <v>48</v>
      </c>
      <c r="D29" s="1039"/>
      <c r="E29" s="69">
        <f>+O29+Q29</f>
        <v>0.18532999999999999</v>
      </c>
      <c r="F29" s="349">
        <f>P29+R29</f>
        <v>0</v>
      </c>
      <c r="G29" s="1048"/>
      <c r="H29" s="1171">
        <f>IF(Performance!$L$2="y",F29,E29*G29/1000)</f>
        <v>0</v>
      </c>
      <c r="I29" s="2098"/>
      <c r="J29" s="2099"/>
      <c r="K29" s="2100"/>
      <c r="L29" s="1056" t="str">
        <f t="shared" si="0"/>
        <v/>
      </c>
      <c r="M29" s="49"/>
      <c r="N29" s="49"/>
      <c r="O29" s="70">
        <f>+'Emission Factors'!K33</f>
        <v>0.17605999999999999</v>
      </c>
      <c r="P29" s="38">
        <f>(D29*O29)/1000</f>
        <v>0</v>
      </c>
      <c r="Q29" s="71">
        <f>+'Emission Factors'!K34</f>
        <v>9.2700000000000005E-3</v>
      </c>
      <c r="R29" s="38">
        <f>(D29*Q29)/1000</f>
        <v>0</v>
      </c>
      <c r="S29" s="49"/>
      <c r="T29" s="49"/>
      <c r="U29" s="72">
        <f>+O29</f>
        <v>0.17605999999999999</v>
      </c>
      <c r="V29" s="39">
        <f>IF(Performance!$L$2="y",P29,$G29*U29/1000)</f>
        <v>0</v>
      </c>
      <c r="W29" s="73">
        <f>+Q29</f>
        <v>9.2700000000000005E-3</v>
      </c>
      <c r="X29" s="39">
        <f>IF(Performance!$L$2="y",R29,$G29*W29/1000)</f>
        <v>0</v>
      </c>
      <c r="Y29" s="49"/>
      <c r="Z29" s="49"/>
      <c r="AA29" s="49"/>
      <c r="AB29" s="49"/>
      <c r="AC29" s="49"/>
      <c r="AD29" s="49"/>
    </row>
    <row r="30" spans="1:30" ht="15.75" customHeight="1" thickBot="1" x14ac:dyDescent="0.35">
      <c r="A30" s="320" t="s">
        <v>372</v>
      </c>
      <c r="B30" s="1884"/>
      <c r="C30" s="37" t="s">
        <v>49</v>
      </c>
      <c r="D30" s="1039"/>
      <c r="E30" s="69">
        <f>+'Emission Factors'!K17</f>
        <v>0</v>
      </c>
      <c r="F30" s="349">
        <f>(D30*E30)/1000</f>
        <v>0</v>
      </c>
      <c r="G30" s="1048"/>
      <c r="H30" s="1171">
        <f>IF(Performance!$L$2="y",F30,E30*G30/1000)</f>
        <v>0</v>
      </c>
      <c r="I30" s="2098"/>
      <c r="J30" s="2099"/>
      <c r="K30" s="2100"/>
      <c r="L30" s="1056" t="str">
        <f t="shared" si="0"/>
        <v/>
      </c>
      <c r="M30" s="49"/>
      <c r="N30" s="49"/>
      <c r="O30" s="49"/>
      <c r="P30" s="49"/>
      <c r="Q30" s="49"/>
      <c r="R30" s="49"/>
      <c r="S30" s="49"/>
      <c r="T30" s="49"/>
      <c r="U30" s="49"/>
      <c r="V30" s="49"/>
      <c r="W30" s="49"/>
      <c r="X30" s="49"/>
      <c r="Y30" s="49"/>
      <c r="Z30" s="49"/>
      <c r="AA30" s="49"/>
      <c r="AB30" s="49"/>
      <c r="AC30" s="49"/>
      <c r="AD30" s="49"/>
    </row>
    <row r="31" spans="1:30" ht="23.25" customHeight="1" thickBot="1" x14ac:dyDescent="0.35">
      <c r="A31" s="320" t="s">
        <v>372</v>
      </c>
      <c r="B31" s="1884"/>
      <c r="C31" s="37" t="s">
        <v>50</v>
      </c>
      <c r="D31" s="1039"/>
      <c r="E31" s="1031"/>
      <c r="F31" s="349">
        <f t="shared" si="1"/>
        <v>0</v>
      </c>
      <c r="G31" s="1048"/>
      <c r="H31" s="1171">
        <f>IF(Performance!$L$2="y",F31,E31*G31/1000)</f>
        <v>0</v>
      </c>
      <c r="I31" s="2098"/>
      <c r="J31" s="2099"/>
      <c r="K31" s="2100"/>
      <c r="L31" s="1056" t="str">
        <f>IF(OR(D31&lt;0,G31&lt;0),"Error - negative number",IF(G31&gt;D31,"Offices only &gt; Total Estate",IF(AND(D31&gt;0,E31=""),"Please enter CO2e factor","")))</f>
        <v/>
      </c>
      <c r="M31" s="49"/>
      <c r="N31" s="49"/>
      <c r="O31" s="2095" t="s">
        <v>511</v>
      </c>
      <c r="P31" s="2096"/>
      <c r="Q31" s="2095" t="s">
        <v>512</v>
      </c>
      <c r="R31" s="2096"/>
      <c r="S31" s="49"/>
      <c r="T31" s="49"/>
      <c r="U31" s="1869" t="s">
        <v>511</v>
      </c>
      <c r="V31" s="1870"/>
      <c r="W31" s="1869" t="s">
        <v>512</v>
      </c>
      <c r="X31" s="1870"/>
      <c r="Y31" s="49"/>
      <c r="Z31" s="49"/>
      <c r="AA31" s="49"/>
      <c r="AB31" s="49"/>
      <c r="AC31" s="49"/>
      <c r="AD31" s="49"/>
    </row>
    <row r="32" spans="1:30" ht="15" customHeight="1" thickBot="1" x14ac:dyDescent="0.35">
      <c r="A32" s="320" t="s">
        <v>372</v>
      </c>
      <c r="B32" s="1884"/>
      <c r="C32" s="37" t="s">
        <v>369</v>
      </c>
      <c r="D32" s="1039"/>
      <c r="E32" s="69">
        <f>+O32+Q32</f>
        <v>0.26563604119443424</v>
      </c>
      <c r="F32" s="349">
        <f>P32+R32</f>
        <v>0</v>
      </c>
      <c r="G32" s="1048"/>
      <c r="H32" s="1171">
        <f>IF(Performance!$L$2="y",F32,E32*G32/1000)</f>
        <v>0</v>
      </c>
      <c r="I32" s="2098"/>
      <c r="J32" s="2099"/>
      <c r="K32" s="2100"/>
      <c r="L32" s="1056" t="str">
        <f t="shared" si="0"/>
        <v/>
      </c>
      <c r="M32" s="49"/>
      <c r="N32" s="49"/>
      <c r="O32" s="70">
        <f>+'Emission Factors'!K31</f>
        <v>0.26563604119443424</v>
      </c>
      <c r="P32" s="38">
        <f>(D32*O32)/1000</f>
        <v>0</v>
      </c>
      <c r="Q32" s="71">
        <f>+'Emission Factors'!K32</f>
        <v>0</v>
      </c>
      <c r="R32" s="38">
        <f>(D32*Q32)/1000</f>
        <v>0</v>
      </c>
      <c r="S32" s="49"/>
      <c r="T32" s="49"/>
      <c r="U32" s="72">
        <f>+O32</f>
        <v>0.26563604119443424</v>
      </c>
      <c r="V32" s="39">
        <f>IF(Performance!$L$2="y",P32,$G32*U32/1000)</f>
        <v>0</v>
      </c>
      <c r="W32" s="73">
        <f>+Q32</f>
        <v>0</v>
      </c>
      <c r="X32" s="39">
        <f>IF(Performance!$L$2="y",R32,$G32*W32/1000)</f>
        <v>0</v>
      </c>
      <c r="Y32" s="49"/>
      <c r="Z32" s="49"/>
      <c r="AA32" s="49"/>
      <c r="AB32" s="49"/>
      <c r="AC32" s="49"/>
      <c r="AD32" s="49"/>
    </row>
    <row r="33" spans="1:30" ht="15.75" customHeight="1" x14ac:dyDescent="0.3">
      <c r="A33" s="320" t="s">
        <v>370</v>
      </c>
      <c r="B33" s="1884"/>
      <c r="C33" s="37" t="s">
        <v>514</v>
      </c>
      <c r="D33" s="1039"/>
      <c r="E33" s="1039"/>
      <c r="F33" s="349">
        <f>(D33*E33)/1000</f>
        <v>0</v>
      </c>
      <c r="G33" s="1048"/>
      <c r="H33" s="1171">
        <f>IF(Performance!$L$2="y",F33,E33*G33/1000)</f>
        <v>0</v>
      </c>
      <c r="I33" s="1226"/>
      <c r="J33" s="2112"/>
      <c r="K33" s="1880"/>
      <c r="L33" s="1056" t="str">
        <f t="shared" si="0"/>
        <v/>
      </c>
      <c r="M33" s="49"/>
      <c r="N33" s="49"/>
      <c r="O33" s="49"/>
      <c r="P33" s="49"/>
      <c r="Q33" s="49"/>
      <c r="R33" s="49"/>
      <c r="S33" s="49"/>
      <c r="T33" s="49"/>
      <c r="U33" s="49"/>
      <c r="V33" s="49"/>
      <c r="W33" s="49"/>
      <c r="X33" s="49"/>
      <c r="Y33" s="49"/>
      <c r="Z33" s="49"/>
      <c r="AA33" s="49"/>
      <c r="AB33" s="49"/>
      <c r="AC33" s="49"/>
      <c r="AD33" s="49"/>
    </row>
    <row r="34" spans="1:30" ht="15.75" customHeight="1" x14ac:dyDescent="0.3">
      <c r="A34" s="320"/>
      <c r="B34" s="1884"/>
      <c r="C34" s="37" t="s">
        <v>515</v>
      </c>
      <c r="D34" s="1039"/>
      <c r="E34" s="1039"/>
      <c r="F34" s="349">
        <f t="shared" ref="F34:F35" si="2">(D34*E34)/1000</f>
        <v>0</v>
      </c>
      <c r="G34" s="1048"/>
      <c r="H34" s="1171">
        <f>IF(Performance!$L$2="y",F34,E34*G34/1000)</f>
        <v>0</v>
      </c>
      <c r="I34" s="1226"/>
      <c r="J34" s="1879"/>
      <c r="K34" s="1880"/>
      <c r="L34" s="1056" t="str">
        <f t="shared" si="0"/>
        <v/>
      </c>
      <c r="M34" s="49"/>
      <c r="N34" s="49"/>
      <c r="O34" s="49"/>
      <c r="P34" s="49"/>
      <c r="Q34" s="49"/>
      <c r="R34" s="49"/>
      <c r="S34" s="49"/>
      <c r="T34" s="49"/>
      <c r="U34" s="49"/>
      <c r="V34" s="49"/>
      <c r="W34" s="49"/>
      <c r="X34" s="49"/>
      <c r="Y34" s="49"/>
      <c r="Z34" s="49"/>
      <c r="AA34" s="49"/>
      <c r="AB34" s="49"/>
      <c r="AC34" s="49"/>
      <c r="AD34" s="49"/>
    </row>
    <row r="35" spans="1:30" ht="15.75" customHeight="1" thickBot="1" x14ac:dyDescent="0.35">
      <c r="A35" s="320"/>
      <c r="B35" s="1885"/>
      <c r="C35" s="649" t="s">
        <v>516</v>
      </c>
      <c r="D35" s="1039"/>
      <c r="E35" s="1039"/>
      <c r="F35" s="349">
        <f t="shared" si="2"/>
        <v>0</v>
      </c>
      <c r="G35" s="1048"/>
      <c r="H35" s="1171">
        <f>IF(Performance!$L$2="y",F35,E35*G35/1000)</f>
        <v>0</v>
      </c>
      <c r="I35" s="1227"/>
      <c r="J35" s="1896"/>
      <c r="K35" s="1897"/>
      <c r="L35" s="1056" t="str">
        <f t="shared" si="0"/>
        <v/>
      </c>
      <c r="M35" s="49"/>
      <c r="N35" s="49"/>
      <c r="O35" s="49"/>
      <c r="P35" s="49"/>
      <c r="Q35" s="49"/>
      <c r="R35" s="49"/>
      <c r="S35" s="49"/>
      <c r="T35" s="49"/>
      <c r="U35" s="49"/>
      <c r="V35" s="49"/>
      <c r="W35" s="49"/>
      <c r="X35" s="49"/>
      <c r="Y35" s="49"/>
      <c r="Z35" s="49"/>
      <c r="AA35" s="49"/>
      <c r="AB35" s="49"/>
      <c r="AC35" s="49"/>
      <c r="AD35" s="49"/>
    </row>
    <row r="36" spans="1:30" ht="15" customHeight="1" x14ac:dyDescent="0.3">
      <c r="A36" s="320" t="s">
        <v>370</v>
      </c>
      <c r="B36" s="1883" t="s">
        <v>53</v>
      </c>
      <c r="C36" s="184" t="s">
        <v>54</v>
      </c>
      <c r="D36" s="1037"/>
      <c r="E36" s="151">
        <f>+'Emission Factors'!K21</f>
        <v>0</v>
      </c>
      <c r="F36" s="356">
        <f t="shared" si="1"/>
        <v>0</v>
      </c>
      <c r="G36" s="1114"/>
      <c r="H36" s="561">
        <f>IF(Performance!$L$2="y",F36,E36*G36/1000)</f>
        <v>0</v>
      </c>
      <c r="I36" s="2025"/>
      <c r="J36" s="2026"/>
      <c r="K36" s="2027"/>
      <c r="L36" s="1121" t="str">
        <f t="shared" si="0"/>
        <v/>
      </c>
      <c r="M36" s="49"/>
      <c r="N36" s="49"/>
      <c r="O36" s="49"/>
      <c r="P36" s="49"/>
      <c r="Q36" s="49"/>
      <c r="R36" s="49"/>
      <c r="S36" s="49"/>
      <c r="T36" s="49"/>
      <c r="U36" s="49"/>
      <c r="V36" s="49"/>
      <c r="W36" s="49"/>
      <c r="X36" s="49"/>
      <c r="Y36" s="49"/>
      <c r="Z36" s="49"/>
      <c r="AA36" s="49"/>
      <c r="AB36" s="49"/>
      <c r="AC36" s="49"/>
      <c r="AD36" s="49"/>
    </row>
    <row r="37" spans="1:30" ht="15" customHeight="1" x14ac:dyDescent="0.3">
      <c r="A37" s="320" t="s">
        <v>370</v>
      </c>
      <c r="B37" s="1884"/>
      <c r="C37" s="37" t="s">
        <v>55</v>
      </c>
      <c r="D37" s="1038"/>
      <c r="E37" s="69">
        <f>+'Emission Factors'!K22</f>
        <v>0</v>
      </c>
      <c r="F37" s="85">
        <f t="shared" si="1"/>
        <v>0</v>
      </c>
      <c r="G37" s="1115"/>
      <c r="H37" s="1171">
        <f>IF(Performance!$L$2="y",F37,E37*G37/1000)</f>
        <v>0</v>
      </c>
      <c r="I37" s="2098"/>
      <c r="J37" s="2099"/>
      <c r="K37" s="2100"/>
      <c r="L37" s="1056" t="str">
        <f t="shared" si="0"/>
        <v/>
      </c>
      <c r="M37" s="49"/>
      <c r="N37" s="49"/>
      <c r="O37" s="49"/>
      <c r="P37" s="49"/>
      <c r="Q37" s="49"/>
      <c r="R37" s="49"/>
      <c r="S37" s="49"/>
      <c r="T37" s="49"/>
      <c r="U37" s="49"/>
      <c r="V37" s="49"/>
      <c r="W37" s="49"/>
      <c r="X37" s="49"/>
      <c r="Y37" s="49"/>
      <c r="Z37" s="49"/>
      <c r="AA37" s="49"/>
      <c r="AB37" s="49"/>
      <c r="AC37" s="49"/>
      <c r="AD37" s="49"/>
    </row>
    <row r="38" spans="1:30" ht="15" customHeight="1" x14ac:dyDescent="0.3">
      <c r="A38" s="320" t="s">
        <v>370</v>
      </c>
      <c r="B38" s="1884"/>
      <c r="C38" s="37" t="s">
        <v>56</v>
      </c>
      <c r="D38" s="1038"/>
      <c r="E38" s="69">
        <f>+'Emission Factors'!K23</f>
        <v>0</v>
      </c>
      <c r="F38" s="85">
        <f t="shared" si="1"/>
        <v>0</v>
      </c>
      <c r="G38" s="1115"/>
      <c r="H38" s="1171">
        <f>IF(Performance!$L$2="y",F38,E38*G38/1000)</f>
        <v>0</v>
      </c>
      <c r="I38" s="2098"/>
      <c r="J38" s="2099"/>
      <c r="K38" s="2100"/>
      <c r="L38" s="1056" t="str">
        <f t="shared" si="0"/>
        <v/>
      </c>
      <c r="M38" s="49"/>
      <c r="N38" s="49"/>
      <c r="O38" s="49"/>
      <c r="P38" s="49"/>
      <c r="Q38" s="49"/>
      <c r="R38" s="49"/>
      <c r="S38" s="49"/>
      <c r="T38" s="49"/>
      <c r="U38" s="49"/>
      <c r="V38" s="49"/>
      <c r="W38" s="49"/>
      <c r="X38" s="49"/>
      <c r="Y38" s="49"/>
      <c r="Z38" s="49"/>
      <c r="AA38" s="49"/>
      <c r="AB38" s="49"/>
      <c r="AC38" s="49"/>
      <c r="AD38" s="49"/>
    </row>
    <row r="39" spans="1:30" ht="15" customHeight="1" x14ac:dyDescent="0.3">
      <c r="A39" s="320" t="s">
        <v>370</v>
      </c>
      <c r="B39" s="1884"/>
      <c r="C39" s="37" t="s">
        <v>410</v>
      </c>
      <c r="D39" s="1038"/>
      <c r="E39" s="74"/>
      <c r="F39" s="85">
        <f t="shared" si="1"/>
        <v>0</v>
      </c>
      <c r="G39" s="1115"/>
      <c r="H39" s="1171">
        <f>IF(Performance!$L$2="y",F39,E39*G39/1000)</f>
        <v>0</v>
      </c>
      <c r="I39" s="2098"/>
      <c r="J39" s="2099"/>
      <c r="K39" s="2100"/>
      <c r="L39" s="1056" t="str">
        <f t="shared" si="0"/>
        <v/>
      </c>
      <c r="M39" s="49"/>
      <c r="N39" s="49"/>
      <c r="O39" s="49"/>
      <c r="P39" s="49"/>
      <c r="Q39" s="49"/>
      <c r="R39" s="49"/>
      <c r="S39" s="49"/>
      <c r="T39" s="49"/>
      <c r="U39" s="49"/>
      <c r="V39" s="49"/>
      <c r="W39" s="49"/>
      <c r="X39" s="49"/>
      <c r="Y39" s="49"/>
      <c r="Z39" s="49"/>
      <c r="AA39" s="49"/>
      <c r="AB39" s="49"/>
      <c r="AC39" s="49"/>
      <c r="AD39" s="49"/>
    </row>
    <row r="40" spans="1:30" ht="15" customHeight="1" x14ac:dyDescent="0.3">
      <c r="A40" s="320"/>
      <c r="B40" s="1884"/>
      <c r="C40" s="37" t="s">
        <v>411</v>
      </c>
      <c r="D40" s="1038"/>
      <c r="E40" s="74"/>
      <c r="F40" s="85">
        <f t="shared" si="1"/>
        <v>0</v>
      </c>
      <c r="G40" s="1115"/>
      <c r="H40" s="1171">
        <f>IF(Performance!$L$2="y",F40,E40*G40/1000)</f>
        <v>0</v>
      </c>
      <c r="I40" s="2098"/>
      <c r="J40" s="2099"/>
      <c r="K40" s="2100"/>
      <c r="L40" s="1056"/>
      <c r="M40" s="49"/>
      <c r="N40" s="49"/>
      <c r="O40" s="49"/>
      <c r="P40" s="49"/>
      <c r="Q40" s="49"/>
      <c r="R40" s="49"/>
      <c r="S40" s="49"/>
      <c r="T40" s="49"/>
      <c r="U40" s="49"/>
      <c r="V40" s="49"/>
      <c r="W40" s="49"/>
      <c r="X40" s="49"/>
      <c r="Y40" s="49"/>
      <c r="Z40" s="49"/>
      <c r="AA40" s="49"/>
      <c r="AB40" s="49"/>
      <c r="AC40" s="49"/>
      <c r="AD40" s="49"/>
    </row>
    <row r="41" spans="1:30" ht="15" customHeight="1" x14ac:dyDescent="0.3">
      <c r="A41" s="320"/>
      <c r="B41" s="1884"/>
      <c r="C41" s="37" t="s">
        <v>412</v>
      </c>
      <c r="D41" s="1038"/>
      <c r="E41" s="74"/>
      <c r="F41" s="85">
        <f t="shared" si="1"/>
        <v>0</v>
      </c>
      <c r="G41" s="1115"/>
      <c r="H41" s="1171">
        <f>IF(Performance!$L$2="y",F41,E41*G41/1000)</f>
        <v>0</v>
      </c>
      <c r="I41" s="2098"/>
      <c r="J41" s="2099"/>
      <c r="K41" s="2100"/>
      <c r="L41" s="1056"/>
      <c r="M41" s="49"/>
      <c r="N41" s="49"/>
      <c r="O41" s="49"/>
      <c r="P41" s="49"/>
      <c r="Q41" s="49"/>
      <c r="R41" s="49"/>
      <c r="S41" s="49"/>
      <c r="T41" s="49"/>
      <c r="U41" s="49"/>
      <c r="V41" s="49"/>
      <c r="W41" s="49"/>
      <c r="X41" s="49"/>
      <c r="Y41" s="49"/>
      <c r="Z41" s="49"/>
      <c r="AA41" s="49"/>
      <c r="AB41" s="49"/>
      <c r="AC41" s="49"/>
      <c r="AD41" s="49"/>
    </row>
    <row r="42" spans="1:30" ht="15" customHeight="1" x14ac:dyDescent="0.3">
      <c r="A42" s="320" t="s">
        <v>370</v>
      </c>
      <c r="B42" s="1884"/>
      <c r="C42" s="357" t="s">
        <v>57</v>
      </c>
      <c r="D42" s="40">
        <f>+CHP!AL22</f>
        <v>0</v>
      </c>
      <c r="E42" s="69">
        <f>+CHP!AP17</f>
        <v>0</v>
      </c>
      <c r="F42" s="85">
        <f>(D42*E42)/1000</f>
        <v>0</v>
      </c>
      <c r="G42" s="1115"/>
      <c r="H42" s="652">
        <f>IF(Performance!$L$2="y",F42,E42*G42/1000)</f>
        <v>0</v>
      </c>
      <c r="I42" s="2098"/>
      <c r="J42" s="2099"/>
      <c r="K42" s="2100"/>
      <c r="L42" s="1056" t="str">
        <f t="shared" si="0"/>
        <v/>
      </c>
      <c r="M42" s="49"/>
      <c r="N42" s="49"/>
      <c r="O42" s="49"/>
      <c r="P42" s="49"/>
      <c r="Q42" s="49"/>
      <c r="R42" s="49"/>
      <c r="S42" s="49"/>
      <c r="T42" s="49"/>
      <c r="U42" s="49"/>
      <c r="V42" s="49"/>
      <c r="W42" s="49"/>
      <c r="X42" s="49"/>
      <c r="Y42" s="49"/>
      <c r="Z42" s="49"/>
      <c r="AA42" s="49"/>
      <c r="AB42" s="49"/>
      <c r="AC42" s="49"/>
      <c r="AD42" s="49"/>
    </row>
    <row r="43" spans="1:30" ht="15" customHeight="1" x14ac:dyDescent="0.3">
      <c r="A43" s="320" t="s">
        <v>370</v>
      </c>
      <c r="B43" s="1884"/>
      <c r="C43" s="357" t="s">
        <v>58</v>
      </c>
      <c r="D43" s="40">
        <f>+CHP!AL23</f>
        <v>0</v>
      </c>
      <c r="E43" s="69">
        <f>+CHP!AP18</f>
        <v>0</v>
      </c>
      <c r="F43" s="85">
        <f t="shared" si="1"/>
        <v>0</v>
      </c>
      <c r="G43" s="1115"/>
      <c r="H43" s="652">
        <f>IF(Performance!$L$2="y",F43,E43*G43/1000)</f>
        <v>0</v>
      </c>
      <c r="I43" s="2098"/>
      <c r="J43" s="2099"/>
      <c r="K43" s="2100"/>
      <c r="L43" s="1056" t="str">
        <f t="shared" si="0"/>
        <v/>
      </c>
      <c r="M43" s="49"/>
      <c r="N43" s="49"/>
      <c r="O43" s="49"/>
      <c r="P43" s="49"/>
      <c r="Q43" s="49"/>
      <c r="R43" s="49"/>
      <c r="S43" s="49"/>
      <c r="T43" s="49"/>
      <c r="U43" s="49"/>
      <c r="V43" s="49"/>
      <c r="W43" s="49"/>
      <c r="X43" s="49"/>
      <c r="Y43" s="49"/>
      <c r="Z43" s="49"/>
      <c r="AA43" s="49"/>
      <c r="AB43" s="49"/>
      <c r="AC43" s="49"/>
      <c r="AD43" s="49"/>
    </row>
    <row r="44" spans="1:30" ht="15" customHeight="1" x14ac:dyDescent="0.3">
      <c r="A44" s="320" t="s">
        <v>370</v>
      </c>
      <c r="B44" s="1884"/>
      <c r="C44" s="357" t="s">
        <v>59</v>
      </c>
      <c r="D44" s="40">
        <f>+CHP!AL49</f>
        <v>0</v>
      </c>
      <c r="E44" s="69">
        <f>+CHP!AP44</f>
        <v>0</v>
      </c>
      <c r="F44" s="85">
        <f t="shared" si="1"/>
        <v>0</v>
      </c>
      <c r="G44" s="1115"/>
      <c r="H44" s="652">
        <f>IF(Performance!$L$2="y",F44,E44*G44/1000)</f>
        <v>0</v>
      </c>
      <c r="I44" s="2098"/>
      <c r="J44" s="2099"/>
      <c r="K44" s="2100"/>
      <c r="L44" s="1056" t="str">
        <f t="shared" si="0"/>
        <v/>
      </c>
      <c r="M44" s="49"/>
      <c r="N44" s="49"/>
      <c r="O44" s="49"/>
      <c r="P44" s="49"/>
      <c r="Q44" s="49"/>
      <c r="R44" s="49"/>
      <c r="S44" s="49"/>
      <c r="T44" s="49"/>
      <c r="U44" s="49"/>
      <c r="V44" s="49"/>
      <c r="W44" s="49"/>
      <c r="X44" s="49"/>
      <c r="Y44" s="49"/>
      <c r="Z44" s="49"/>
      <c r="AA44" s="49"/>
      <c r="AB44" s="49"/>
      <c r="AC44" s="49"/>
      <c r="AD44" s="49"/>
    </row>
    <row r="45" spans="1:30" ht="15" customHeight="1" x14ac:dyDescent="0.3">
      <c r="A45" s="320" t="s">
        <v>370</v>
      </c>
      <c r="B45" s="1884"/>
      <c r="C45" s="357" t="s">
        <v>60</v>
      </c>
      <c r="D45" s="40">
        <f>+CHP!AL50</f>
        <v>0</v>
      </c>
      <c r="E45" s="69">
        <f>+CHP!AP45</f>
        <v>0</v>
      </c>
      <c r="F45" s="85">
        <f t="shared" si="1"/>
        <v>0</v>
      </c>
      <c r="G45" s="1115"/>
      <c r="H45" s="652">
        <f>IF(Performance!$L$2="y",F45,E45*G45/1000)</f>
        <v>0</v>
      </c>
      <c r="I45" s="2098"/>
      <c r="J45" s="2099"/>
      <c r="K45" s="2100"/>
      <c r="L45" s="1056" t="str">
        <f t="shared" si="0"/>
        <v/>
      </c>
      <c r="M45" s="49"/>
      <c r="N45" s="49"/>
      <c r="O45" s="49"/>
      <c r="P45" s="49"/>
      <c r="Q45" s="49"/>
      <c r="R45" s="49"/>
      <c r="S45" s="49"/>
      <c r="T45" s="49"/>
      <c r="U45" s="49"/>
      <c r="V45" s="49"/>
      <c r="W45" s="49"/>
      <c r="X45" s="49"/>
      <c r="Y45" s="49"/>
      <c r="Z45" s="49"/>
      <c r="AA45" s="49"/>
      <c r="AB45" s="49"/>
      <c r="AC45" s="49"/>
      <c r="AD45" s="49"/>
    </row>
    <row r="46" spans="1:30" ht="15" customHeight="1" x14ac:dyDescent="0.3">
      <c r="A46" s="320" t="s">
        <v>370</v>
      </c>
      <c r="B46" s="1884"/>
      <c r="C46" s="357" t="s">
        <v>61</v>
      </c>
      <c r="D46" s="40">
        <f>+CHP!AL76</f>
        <v>0</v>
      </c>
      <c r="E46" s="69">
        <f>+CHP!AP71</f>
        <v>0</v>
      </c>
      <c r="F46" s="85">
        <f t="shared" si="1"/>
        <v>0</v>
      </c>
      <c r="G46" s="1115"/>
      <c r="H46" s="652">
        <f>IF(Performance!$L$2="y",F46,E46*G46/1000)</f>
        <v>0</v>
      </c>
      <c r="I46" s="2098"/>
      <c r="J46" s="2099"/>
      <c r="K46" s="2100"/>
      <c r="L46" s="1056" t="str">
        <f t="shared" si="0"/>
        <v/>
      </c>
      <c r="M46" s="49"/>
      <c r="N46" s="49"/>
      <c r="O46" s="49"/>
      <c r="P46" s="49"/>
      <c r="Q46" s="49"/>
      <c r="R46" s="49"/>
      <c r="S46" s="49"/>
      <c r="T46" s="49"/>
      <c r="U46" s="49"/>
      <c r="V46" s="49"/>
      <c r="W46" s="49"/>
      <c r="X46" s="49"/>
      <c r="Y46" s="49"/>
      <c r="Z46" s="49"/>
      <c r="AA46" s="49"/>
      <c r="AB46" s="49"/>
      <c r="AC46" s="49"/>
      <c r="AD46" s="49"/>
    </row>
    <row r="47" spans="1:30" ht="15.75" customHeight="1" thickBot="1" x14ac:dyDescent="0.35">
      <c r="A47" s="320" t="s">
        <v>370</v>
      </c>
      <c r="B47" s="1885"/>
      <c r="C47" s="358" t="s">
        <v>62</v>
      </c>
      <c r="D47" s="190">
        <f>+CHP!AL77</f>
        <v>0</v>
      </c>
      <c r="E47" s="172">
        <f>+CHP!AP72</f>
        <v>0</v>
      </c>
      <c r="F47" s="86">
        <f t="shared" si="1"/>
        <v>0</v>
      </c>
      <c r="G47" s="1116"/>
      <c r="H47" s="355">
        <f>IF(Performance!$L$2="y",F47,E47*G47/1000)</f>
        <v>0</v>
      </c>
      <c r="I47" s="2113"/>
      <c r="J47" s="2114"/>
      <c r="K47" s="2115"/>
      <c r="L47" s="1122" t="str">
        <f t="shared" si="0"/>
        <v/>
      </c>
      <c r="M47" s="49"/>
      <c r="N47" s="49"/>
      <c r="O47" s="49"/>
      <c r="P47" s="49"/>
      <c r="Q47" s="49"/>
      <c r="R47" s="49"/>
      <c r="S47" s="49"/>
      <c r="T47" s="49"/>
      <c r="U47" s="49"/>
      <c r="V47" s="49"/>
      <c r="W47" s="49"/>
      <c r="X47" s="49"/>
      <c r="Y47" s="49"/>
      <c r="Z47" s="49"/>
      <c r="AA47" s="49"/>
      <c r="AB47" s="49"/>
      <c r="AC47" s="49"/>
      <c r="AD47" s="49"/>
    </row>
    <row r="48" spans="1:30" x14ac:dyDescent="0.3">
      <c r="A48" s="320"/>
      <c r="B48" s="49" t="s">
        <v>63</v>
      </c>
      <c r="C48" s="337"/>
      <c r="D48" s="337"/>
      <c r="E48" s="337"/>
      <c r="F48" s="337"/>
      <c r="G48" s="337"/>
      <c r="H48" s="337"/>
      <c r="I48" s="337"/>
      <c r="J48" s="337"/>
      <c r="K48" s="337"/>
      <c r="L48" s="49"/>
      <c r="M48" s="49"/>
      <c r="N48" s="49"/>
      <c r="O48" s="49"/>
      <c r="P48" s="49"/>
      <c r="Q48" s="49"/>
      <c r="R48" s="49"/>
      <c r="S48" s="49"/>
      <c r="T48" s="49"/>
      <c r="U48" s="49"/>
      <c r="V48" s="49"/>
      <c r="W48" s="49"/>
      <c r="X48" s="49"/>
      <c r="Y48" s="49"/>
      <c r="Z48" s="49"/>
      <c r="AA48" s="49"/>
      <c r="AB48" s="49"/>
      <c r="AC48" s="49"/>
      <c r="AD48" s="49"/>
    </row>
    <row r="49" spans="1:30" s="594" customFormat="1" ht="23.4" x14ac:dyDescent="0.3">
      <c r="A49" s="1210" t="s">
        <v>506</v>
      </c>
      <c r="B49" s="475" t="s">
        <v>65</v>
      </c>
      <c r="C49" s="476"/>
      <c r="D49" s="2090" t="str">
        <f>+$A$1</f>
        <v>Quarter 3 - 2019-2020</v>
      </c>
      <c r="E49" s="2090"/>
      <c r="F49" s="2090"/>
      <c r="G49" s="2090"/>
      <c r="H49" s="2090"/>
      <c r="I49" s="2090"/>
      <c r="J49" s="2090"/>
      <c r="K49" s="477"/>
      <c r="L49" s="477"/>
      <c r="M49" s="477"/>
      <c r="N49" s="477"/>
      <c r="O49" s="477"/>
      <c r="P49" s="477"/>
      <c r="Q49" s="477"/>
      <c r="R49" s="477"/>
      <c r="S49" s="477"/>
      <c r="T49" s="477"/>
      <c r="U49" s="477"/>
      <c r="V49" s="477"/>
      <c r="W49" s="477"/>
      <c r="X49" s="477"/>
      <c r="Y49" s="478"/>
      <c r="Z49" s="478"/>
      <c r="AA49" s="478"/>
      <c r="AB49" s="478"/>
      <c r="AC49" s="478"/>
      <c r="AD49" s="478"/>
    </row>
    <row r="50" spans="1:30" ht="14.4" thickBot="1" x14ac:dyDescent="0.35">
      <c r="A50" s="320"/>
      <c r="B50" s="43" t="s">
        <v>66</v>
      </c>
      <c r="C50" s="359"/>
      <c r="D50" s="337"/>
      <c r="E50" s="337"/>
      <c r="F50" s="337"/>
      <c r="G50" s="337"/>
      <c r="H50" s="337"/>
      <c r="I50" s="337"/>
      <c r="J50" s="337"/>
      <c r="K50" s="337"/>
      <c r="L50" s="49"/>
      <c r="M50" s="49"/>
      <c r="N50" s="49"/>
      <c r="O50" s="49"/>
      <c r="P50" s="49"/>
      <c r="Q50" s="49"/>
      <c r="R50" s="49"/>
      <c r="S50" s="49"/>
      <c r="T50" s="49"/>
      <c r="U50" s="49"/>
      <c r="V50" s="49"/>
      <c r="W50" s="49"/>
      <c r="X50" s="49"/>
      <c r="Y50" s="49"/>
      <c r="Z50" s="49"/>
      <c r="AA50" s="49"/>
      <c r="AB50" s="49"/>
      <c r="AC50" s="49"/>
      <c r="AD50" s="49"/>
    </row>
    <row r="51" spans="1:30" ht="30" customHeight="1" thickBot="1" x14ac:dyDescent="0.35">
      <c r="A51" s="320"/>
      <c r="B51" s="49"/>
      <c r="C51" s="49"/>
      <c r="D51" s="1898" t="s">
        <v>23</v>
      </c>
      <c r="E51" s="1899"/>
      <c r="F51" s="1900"/>
      <c r="G51" s="1901" t="s">
        <v>144</v>
      </c>
      <c r="H51" s="1902"/>
      <c r="I51" s="1903" t="s">
        <v>24</v>
      </c>
      <c r="J51" s="1904"/>
      <c r="K51" s="1905"/>
      <c r="L51" s="1909" t="s">
        <v>461</v>
      </c>
      <c r="M51" s="49"/>
      <c r="N51" s="49"/>
      <c r="O51" s="49"/>
      <c r="P51" s="49"/>
      <c r="Q51" s="49"/>
      <c r="R51" s="49"/>
      <c r="S51" s="49"/>
      <c r="T51" s="49"/>
      <c r="U51" s="49"/>
      <c r="V51" s="49"/>
      <c r="W51" s="49"/>
      <c r="X51" s="49"/>
      <c r="Y51" s="49"/>
      <c r="Z51" s="49"/>
      <c r="AA51" s="49"/>
      <c r="AB51" s="49"/>
      <c r="AC51" s="49"/>
      <c r="AD51" s="49"/>
    </row>
    <row r="52" spans="1:30" ht="39" customHeight="1" thickBot="1" x14ac:dyDescent="0.35">
      <c r="A52" s="320"/>
      <c r="B52" s="360"/>
      <c r="C52" s="359"/>
      <c r="D52" s="51" t="s">
        <v>67</v>
      </c>
      <c r="E52" s="41" t="s">
        <v>68</v>
      </c>
      <c r="F52" s="361" t="s">
        <v>28</v>
      </c>
      <c r="G52" s="433" t="s">
        <v>67</v>
      </c>
      <c r="H52" s="433" t="s">
        <v>28</v>
      </c>
      <c r="I52" s="1906"/>
      <c r="J52" s="1907"/>
      <c r="K52" s="1908"/>
      <c r="L52" s="1911"/>
      <c r="M52" s="49"/>
      <c r="N52" s="49"/>
      <c r="O52" s="49"/>
      <c r="P52" s="49"/>
      <c r="Q52" s="49"/>
      <c r="R52" s="49"/>
      <c r="S52" s="49"/>
      <c r="T52" s="49"/>
      <c r="U52" s="49"/>
      <c r="V52" s="49"/>
      <c r="W52" s="49"/>
      <c r="X52" s="49"/>
      <c r="Y52" s="49"/>
      <c r="Z52" s="49"/>
      <c r="AA52" s="49"/>
      <c r="AB52" s="49"/>
      <c r="AC52" s="49"/>
      <c r="AD52" s="49"/>
    </row>
    <row r="53" spans="1:30" ht="13.5" customHeight="1" thickBot="1" x14ac:dyDescent="0.35">
      <c r="A53" s="320" t="s">
        <v>370</v>
      </c>
      <c r="B53" s="1924" t="s">
        <v>69</v>
      </c>
      <c r="C53" s="1925"/>
      <c r="D53" s="1049"/>
      <c r="E53" s="1035"/>
      <c r="F53" s="42">
        <f>D53/1000</f>
        <v>0</v>
      </c>
      <c r="G53" s="1108"/>
      <c r="H53" s="651">
        <f>IF(Performance!L2="y",F53,G53/1000)</f>
        <v>0</v>
      </c>
      <c r="I53" s="1926"/>
      <c r="J53" s="1927"/>
      <c r="K53" s="1928"/>
      <c r="L53" s="1119" t="str">
        <f>IF(OR(D53&lt;0,G53&lt;0),"Error - negative number",IF(G53&gt;D53,"Offices only &gt; Total Estate",IF(AND(D53&gt;0,E53=""),"Please enter method used","")))</f>
        <v/>
      </c>
      <c r="M53" s="49"/>
      <c r="N53" s="49"/>
      <c r="O53" s="49"/>
      <c r="P53" s="49"/>
      <c r="Q53" s="49"/>
      <c r="R53" s="49"/>
      <c r="S53" s="49"/>
      <c r="T53" s="49"/>
      <c r="U53" s="49"/>
      <c r="V53" s="49"/>
      <c r="W53" s="49"/>
      <c r="X53" s="49"/>
      <c r="Y53" s="49"/>
      <c r="Z53" s="49"/>
      <c r="AA53" s="49"/>
      <c r="AB53" s="49"/>
      <c r="AC53" s="49"/>
      <c r="AD53" s="49"/>
    </row>
    <row r="54" spans="1:30" x14ac:dyDescent="0.3">
      <c r="A54" s="365"/>
      <c r="B54" s="337"/>
      <c r="C54" s="337"/>
      <c r="D54" s="337"/>
      <c r="E54" s="337"/>
      <c r="F54" s="366"/>
      <c r="G54" s="337"/>
      <c r="H54" s="337"/>
      <c r="I54" s="337"/>
      <c r="J54" s="337"/>
      <c r="K54" s="337"/>
      <c r="L54" s="49"/>
      <c r="M54" s="49"/>
      <c r="N54" s="49"/>
      <c r="O54" s="49"/>
      <c r="P54" s="49"/>
      <c r="Q54" s="49"/>
      <c r="R54" s="49"/>
      <c r="S54" s="49"/>
      <c r="T54" s="49"/>
      <c r="U54" s="49"/>
      <c r="V54" s="49"/>
      <c r="W54" s="49"/>
      <c r="X54" s="49"/>
      <c r="Y54" s="49"/>
      <c r="Z54" s="49"/>
      <c r="AA54" s="49"/>
      <c r="AB54" s="49"/>
      <c r="AC54" s="49"/>
      <c r="AD54" s="49"/>
    </row>
    <row r="55" spans="1:30" s="594" customFormat="1" ht="23.4" x14ac:dyDescent="0.3">
      <c r="A55" s="1210" t="s">
        <v>507</v>
      </c>
      <c r="B55" s="475" t="s">
        <v>71</v>
      </c>
      <c r="C55" s="476"/>
      <c r="D55" s="2090" t="str">
        <f>+$A$1</f>
        <v>Quarter 3 - 2019-2020</v>
      </c>
      <c r="E55" s="2090"/>
      <c r="F55" s="2090"/>
      <c r="G55" s="2090"/>
      <c r="H55" s="2090"/>
      <c r="I55" s="2090"/>
      <c r="J55" s="2090"/>
      <c r="K55" s="477"/>
      <c r="L55" s="477"/>
      <c r="M55" s="477"/>
      <c r="N55" s="477"/>
      <c r="O55" s="477"/>
      <c r="P55" s="477"/>
      <c r="Q55" s="477"/>
      <c r="R55" s="477"/>
      <c r="S55" s="477"/>
      <c r="T55" s="477"/>
      <c r="U55" s="477"/>
      <c r="V55" s="477"/>
      <c r="W55" s="477"/>
      <c r="X55" s="477"/>
      <c r="Y55" s="478"/>
      <c r="Z55" s="478"/>
      <c r="AA55" s="478"/>
      <c r="AB55" s="478"/>
      <c r="AC55" s="478"/>
      <c r="AD55" s="478"/>
    </row>
    <row r="56" spans="1:30" x14ac:dyDescent="0.3">
      <c r="A56" s="320"/>
      <c r="B56" s="43" t="s">
        <v>72</v>
      </c>
      <c r="C56" s="359"/>
      <c r="D56" s="337"/>
      <c r="E56" s="337"/>
      <c r="F56" s="337"/>
      <c r="G56" s="337"/>
      <c r="H56" s="337"/>
      <c r="I56" s="337"/>
      <c r="J56" s="337"/>
      <c r="K56" s="337"/>
      <c r="L56" s="49"/>
      <c r="M56" s="49"/>
      <c r="N56" s="49"/>
      <c r="O56" s="49"/>
      <c r="P56" s="49"/>
      <c r="Q56" s="49"/>
      <c r="R56" s="49"/>
      <c r="S56" s="49"/>
      <c r="T56" s="49"/>
      <c r="U56" s="49"/>
      <c r="V56" s="49"/>
      <c r="W56" s="49"/>
      <c r="X56" s="49"/>
      <c r="Y56" s="49"/>
      <c r="Z56" s="49"/>
      <c r="AA56" s="49"/>
      <c r="AB56" s="49"/>
      <c r="AC56" s="49"/>
      <c r="AD56" s="49"/>
    </row>
    <row r="57" spans="1:30" x14ac:dyDescent="0.3">
      <c r="A57" s="320"/>
      <c r="B57" s="43" t="s">
        <v>73</v>
      </c>
      <c r="C57" s="359"/>
      <c r="D57" s="337"/>
      <c r="E57" s="337"/>
      <c r="F57" s="337"/>
      <c r="G57" s="337"/>
      <c r="H57" s="337"/>
      <c r="I57" s="337"/>
      <c r="J57" s="337"/>
      <c r="K57" s="337"/>
      <c r="L57" s="49"/>
      <c r="M57" s="49"/>
      <c r="N57" s="49"/>
      <c r="O57" s="49"/>
      <c r="P57" s="49"/>
      <c r="Q57" s="49"/>
      <c r="R57" s="49"/>
      <c r="S57" s="49"/>
      <c r="T57" s="49"/>
      <c r="U57" s="49"/>
      <c r="V57" s="49"/>
      <c r="W57" s="49"/>
      <c r="X57" s="49"/>
      <c r="Y57" s="49"/>
      <c r="Z57" s="49"/>
      <c r="AA57" s="49"/>
      <c r="AB57" s="49"/>
      <c r="AC57" s="49"/>
      <c r="AD57" s="49"/>
    </row>
    <row r="58" spans="1:30" x14ac:dyDescent="0.3">
      <c r="A58" s="320"/>
      <c r="B58" s="43" t="s">
        <v>528</v>
      </c>
      <c r="C58" s="359"/>
      <c r="D58" s="337"/>
      <c r="E58" s="337"/>
      <c r="F58" s="337"/>
      <c r="G58" s="337"/>
      <c r="H58" s="337"/>
      <c r="I58" s="337"/>
      <c r="J58" s="337"/>
      <c r="K58" s="337"/>
      <c r="L58" s="49"/>
      <c r="M58" s="49"/>
      <c r="N58" s="49"/>
      <c r="O58" s="49"/>
      <c r="P58" s="49"/>
      <c r="Q58" s="49"/>
      <c r="R58" s="49"/>
      <c r="S58" s="49"/>
      <c r="T58" s="49"/>
      <c r="U58" s="49"/>
      <c r="V58" s="49"/>
      <c r="W58" s="49"/>
      <c r="X58" s="49"/>
      <c r="Y58" s="49"/>
      <c r="Z58" s="49"/>
      <c r="AA58" s="49"/>
      <c r="AB58" s="49"/>
      <c r="AC58" s="49"/>
      <c r="AD58" s="49"/>
    </row>
    <row r="59" spans="1:30" x14ac:dyDescent="0.3">
      <c r="A59" s="320"/>
      <c r="B59" s="43" t="s">
        <v>76</v>
      </c>
      <c r="C59" s="359"/>
      <c r="D59" s="337"/>
      <c r="E59" s="337"/>
      <c r="F59" s="337"/>
      <c r="G59" s="337"/>
      <c r="H59" s="337"/>
      <c r="I59" s="337"/>
      <c r="J59" s="337"/>
      <c r="K59" s="337"/>
      <c r="L59" s="49"/>
      <c r="M59" s="49"/>
      <c r="N59" s="49"/>
      <c r="O59" s="49"/>
      <c r="P59" s="49"/>
      <c r="Q59" s="49"/>
      <c r="R59" s="49"/>
      <c r="S59" s="49"/>
      <c r="T59" s="49"/>
      <c r="U59" s="49"/>
      <c r="V59" s="49"/>
      <c r="W59" s="49"/>
      <c r="X59" s="49"/>
      <c r="Y59" s="49"/>
      <c r="Z59" s="49"/>
      <c r="AA59" s="49"/>
      <c r="AB59" s="49"/>
      <c r="AC59" s="49"/>
      <c r="AD59" s="49"/>
    </row>
    <row r="60" spans="1:30" ht="13.5" customHeight="1" x14ac:dyDescent="0.3">
      <c r="A60" s="320"/>
      <c r="B60" s="143" t="s">
        <v>363</v>
      </c>
      <c r="C60" s="359"/>
      <c r="D60" s="337"/>
      <c r="E60" s="337"/>
      <c r="F60" s="337"/>
      <c r="G60" s="337"/>
      <c r="H60" s="337"/>
      <c r="I60" s="337"/>
      <c r="J60" s="337"/>
      <c r="K60" s="337"/>
      <c r="L60" s="49"/>
      <c r="M60" s="49"/>
      <c r="N60" s="49"/>
      <c r="O60" s="49"/>
      <c r="P60" s="49"/>
      <c r="Q60" s="49"/>
      <c r="R60" s="49"/>
      <c r="S60" s="49"/>
      <c r="T60" s="49"/>
      <c r="U60" s="49"/>
      <c r="V60" s="49"/>
      <c r="W60" s="49"/>
      <c r="X60" s="49"/>
      <c r="Y60" s="49"/>
      <c r="Z60" s="49"/>
      <c r="AA60" s="49"/>
      <c r="AB60" s="49"/>
      <c r="AC60" s="49"/>
      <c r="AD60" s="49"/>
    </row>
    <row r="61" spans="1:30" ht="15.75" customHeight="1" thickBot="1" x14ac:dyDescent="0.35">
      <c r="A61" s="320" t="s">
        <v>370</v>
      </c>
      <c r="B61" s="43"/>
      <c r="C61" s="359"/>
      <c r="D61" s="337"/>
      <c r="E61" s="337"/>
      <c r="F61" s="367"/>
      <c r="G61" s="337"/>
      <c r="H61" s="337"/>
      <c r="I61" s="337"/>
      <c r="J61" s="337"/>
      <c r="K61" s="49"/>
      <c r="L61" s="49"/>
      <c r="M61" s="49"/>
      <c r="N61" s="49"/>
      <c r="O61" s="49"/>
      <c r="P61" s="49"/>
      <c r="Q61" s="49"/>
      <c r="R61" s="49"/>
      <c r="S61" s="49"/>
      <c r="T61" s="49"/>
      <c r="U61" s="49"/>
      <c r="V61" s="49"/>
      <c r="W61" s="49"/>
      <c r="X61" s="49"/>
      <c r="Y61" s="49"/>
      <c r="Z61" s="49"/>
      <c r="AA61" s="49"/>
      <c r="AB61" s="49"/>
      <c r="AC61" s="49"/>
      <c r="AD61" s="49"/>
    </row>
    <row r="62" spans="1:30" ht="26.25" customHeight="1" thickBot="1" x14ac:dyDescent="0.35">
      <c r="A62" s="320"/>
      <c r="B62" s="1929" t="s">
        <v>79</v>
      </c>
      <c r="C62" s="1930"/>
      <c r="D62" s="1933" t="s">
        <v>23</v>
      </c>
      <c r="E62" s="1934"/>
      <c r="F62" s="1935"/>
      <c r="G62" s="148"/>
      <c r="H62" s="148"/>
      <c r="I62" s="1849" t="s">
        <v>24</v>
      </c>
      <c r="J62" s="1850"/>
      <c r="K62" s="1851"/>
      <c r="L62" s="1909" t="s">
        <v>461</v>
      </c>
      <c r="M62" s="49"/>
      <c r="N62" s="49"/>
      <c r="O62" s="49"/>
      <c r="P62" s="49"/>
      <c r="Q62" s="49"/>
      <c r="R62" s="49"/>
      <c r="S62" s="49"/>
      <c r="T62" s="49"/>
      <c r="U62" s="49"/>
      <c r="V62" s="49"/>
      <c r="W62" s="49"/>
      <c r="X62" s="49"/>
      <c r="Y62" s="49"/>
      <c r="Z62" s="49"/>
      <c r="AA62" s="49"/>
      <c r="AB62" s="49"/>
      <c r="AC62" s="49"/>
      <c r="AD62" s="49"/>
    </row>
    <row r="63" spans="1:30" ht="15.75" customHeight="1" thickBot="1" x14ac:dyDescent="0.35">
      <c r="A63" s="320"/>
      <c r="B63" s="1931"/>
      <c r="C63" s="1932"/>
      <c r="D63" s="368" t="s">
        <v>81</v>
      </c>
      <c r="E63" s="369" t="s">
        <v>27</v>
      </c>
      <c r="F63" s="370" t="s">
        <v>28</v>
      </c>
      <c r="G63" s="148"/>
      <c r="H63" s="148"/>
      <c r="I63" s="1852"/>
      <c r="J63" s="1853"/>
      <c r="K63" s="1854"/>
      <c r="L63" s="1911"/>
      <c r="M63" s="49"/>
      <c r="N63" s="49"/>
      <c r="O63" s="49"/>
      <c r="P63" s="49"/>
      <c r="Q63" s="49"/>
      <c r="R63" s="49"/>
      <c r="S63" s="49"/>
      <c r="T63" s="49"/>
      <c r="U63" s="49"/>
      <c r="V63" s="49"/>
      <c r="W63" s="49"/>
      <c r="X63" s="49"/>
      <c r="Y63" s="49"/>
      <c r="Z63" s="49"/>
      <c r="AA63" s="49"/>
      <c r="AB63" s="49"/>
      <c r="AC63" s="49"/>
      <c r="AD63" s="49"/>
    </row>
    <row r="64" spans="1:30" ht="31.5" customHeight="1" thickBot="1" x14ac:dyDescent="0.35">
      <c r="A64" s="320"/>
      <c r="B64" s="1955" t="s">
        <v>77</v>
      </c>
      <c r="C64" s="1956"/>
      <c r="D64" s="44">
        <f>SUM(D65:D85)</f>
        <v>0</v>
      </c>
      <c r="E64" s="1107" t="str">
        <f>IF(D64&lt;&gt;0,F64*1000/D64,"")</f>
        <v/>
      </c>
      <c r="F64" s="171">
        <f>SUM(F65:F85)</f>
        <v>0</v>
      </c>
      <c r="G64" s="148"/>
      <c r="H64" s="148"/>
      <c r="I64" s="1957"/>
      <c r="J64" s="1958"/>
      <c r="K64" s="1959"/>
      <c r="L64" s="1119" t="str">
        <f t="shared" ref="L64:L122" si="3">IF(OR(D64&lt;0,G64&lt;0),"Error - negative number",IF(G64&gt;D64,"Offices only &gt; Total Estate",IF(AND(D64&gt;0,E64=""),"Please enter CO2e factor","")))</f>
        <v/>
      </c>
      <c r="M64" s="49"/>
      <c r="N64" s="49"/>
      <c r="O64" s="1960" t="str">
        <f>B64</f>
        <v>TOTAL DOMESTIC FROM FLEET (i.e. vehicles owned or leased by the department) (Scope 1)</v>
      </c>
      <c r="P64" s="1961"/>
      <c r="Q64" s="1961"/>
      <c r="R64" s="1961"/>
      <c r="S64" s="1961"/>
      <c r="T64" s="1961"/>
      <c r="U64" s="1961"/>
      <c r="V64" s="1961"/>
      <c r="W64" s="1962"/>
      <c r="X64" s="1963" t="s">
        <v>381</v>
      </c>
      <c r="Y64" s="1964"/>
      <c r="Z64" s="1909" t="s">
        <v>461</v>
      </c>
      <c r="AA64" s="49"/>
      <c r="AB64" s="49"/>
      <c r="AC64" s="49"/>
      <c r="AD64" s="49"/>
    </row>
    <row r="65" spans="1:30" ht="15" customHeight="1" x14ac:dyDescent="0.3">
      <c r="A65" s="320" t="s">
        <v>370</v>
      </c>
      <c r="B65" s="1912" t="s">
        <v>84</v>
      </c>
      <c r="C65" s="46" t="s">
        <v>85</v>
      </c>
      <c r="D65" s="1039"/>
      <c r="E65" s="382">
        <f>+'Emission Factors'!K48</f>
        <v>0.15371000000000001</v>
      </c>
      <c r="F65" s="356">
        <f>(D65*E65)/1000</f>
        <v>0</v>
      </c>
      <c r="G65" s="148"/>
      <c r="H65" s="148"/>
      <c r="I65" s="1915"/>
      <c r="J65" s="1916"/>
      <c r="K65" s="1917"/>
      <c r="L65" s="1120" t="str">
        <f t="shared" si="3"/>
        <v/>
      </c>
      <c r="M65" s="49"/>
      <c r="N65" s="49"/>
      <c r="O65" s="479"/>
      <c r="P65" s="480"/>
      <c r="Q65" s="1918" t="s">
        <v>78</v>
      </c>
      <c r="R65" s="1918" t="s">
        <v>80</v>
      </c>
      <c r="S65" s="1921" t="s">
        <v>27</v>
      </c>
      <c r="T65" s="1936" t="s">
        <v>374</v>
      </c>
      <c r="U65" s="1938" t="s">
        <v>24</v>
      </c>
      <c r="V65" s="1939"/>
      <c r="W65" s="1940"/>
      <c r="X65" s="1947" t="s">
        <v>27</v>
      </c>
      <c r="Y65" s="1950" t="s">
        <v>374</v>
      </c>
      <c r="Z65" s="1910"/>
      <c r="AA65" s="49"/>
      <c r="AB65" s="49"/>
      <c r="AC65" s="49"/>
      <c r="AD65" s="49"/>
    </row>
    <row r="66" spans="1:30" ht="15" customHeight="1" thickBot="1" x14ac:dyDescent="0.35">
      <c r="A66" s="320" t="s">
        <v>370</v>
      </c>
      <c r="B66" s="1913"/>
      <c r="C66" s="648" t="s">
        <v>87</v>
      </c>
      <c r="D66" s="1039"/>
      <c r="E66" s="382">
        <f>+'Emission Factors'!K49</f>
        <v>0.19228000000000001</v>
      </c>
      <c r="F66" s="85">
        <f t="shared" ref="F66:F85" si="4">(D66*E66)/1000</f>
        <v>0</v>
      </c>
      <c r="G66" s="148"/>
      <c r="H66" s="148"/>
      <c r="I66" s="1952"/>
      <c r="J66" s="1953"/>
      <c r="K66" s="1954"/>
      <c r="L66" s="1056" t="str">
        <f t="shared" si="3"/>
        <v/>
      </c>
      <c r="M66" s="49"/>
      <c r="N66" s="49"/>
      <c r="O66" s="1101"/>
      <c r="P66" s="1102"/>
      <c r="Q66" s="1919"/>
      <c r="R66" s="1919"/>
      <c r="S66" s="1922"/>
      <c r="T66" s="1937"/>
      <c r="U66" s="1941"/>
      <c r="V66" s="1942"/>
      <c r="W66" s="1943"/>
      <c r="X66" s="1948"/>
      <c r="Y66" s="1951"/>
      <c r="Z66" s="1910"/>
      <c r="AA66" s="49"/>
      <c r="AB66" s="49"/>
      <c r="AC66" s="49"/>
      <c r="AD66" s="49"/>
    </row>
    <row r="67" spans="1:30" ht="15" customHeight="1" thickBot="1" x14ac:dyDescent="0.35">
      <c r="A67" s="320" t="s">
        <v>370</v>
      </c>
      <c r="B67" s="1913"/>
      <c r="C67" s="648" t="s">
        <v>89</v>
      </c>
      <c r="D67" s="1039"/>
      <c r="E67" s="382">
        <f>+'Emission Factors'!K50</f>
        <v>0.28294999999999998</v>
      </c>
      <c r="F67" s="85">
        <f t="shared" si="4"/>
        <v>0</v>
      </c>
      <c r="G67" s="148"/>
      <c r="H67" s="148"/>
      <c r="I67" s="1952"/>
      <c r="J67" s="1953"/>
      <c r="K67" s="1954"/>
      <c r="L67" s="1056" t="str">
        <f t="shared" si="3"/>
        <v/>
      </c>
      <c r="M67" s="49"/>
      <c r="N67" s="49"/>
      <c r="O67" s="1103"/>
      <c r="P67" s="1104"/>
      <c r="Q67" s="1920"/>
      <c r="R67" s="1920"/>
      <c r="S67" s="1923"/>
      <c r="T67" s="171">
        <f>SUM(T68:T74)</f>
        <v>0</v>
      </c>
      <c r="U67" s="1944"/>
      <c r="V67" s="1945"/>
      <c r="W67" s="1946"/>
      <c r="X67" s="1949"/>
      <c r="Y67" s="171">
        <f>SUM(Y68:Y74)</f>
        <v>0</v>
      </c>
      <c r="Z67" s="1911"/>
      <c r="AA67" s="49"/>
      <c r="AB67" s="49"/>
      <c r="AC67" s="49"/>
      <c r="AD67" s="49"/>
    </row>
    <row r="68" spans="1:30" ht="15" customHeight="1" x14ac:dyDescent="0.3">
      <c r="A68" s="320" t="s">
        <v>370</v>
      </c>
      <c r="B68" s="1913"/>
      <c r="C68" s="648" t="s">
        <v>91</v>
      </c>
      <c r="D68" s="1039"/>
      <c r="E68" s="382">
        <f>+'Emission Factors'!K51</f>
        <v>0.18084</v>
      </c>
      <c r="F68" s="85">
        <f t="shared" si="4"/>
        <v>0</v>
      </c>
      <c r="G68" s="148"/>
      <c r="H68" s="148"/>
      <c r="I68" s="1952"/>
      <c r="J68" s="1953"/>
      <c r="K68" s="1954"/>
      <c r="L68" s="1056" t="str">
        <f t="shared" si="3"/>
        <v/>
      </c>
      <c r="M68" s="49"/>
      <c r="N68" s="49"/>
      <c r="O68" s="1289" t="s">
        <v>82</v>
      </c>
      <c r="P68" s="1290"/>
      <c r="Q68" s="1231" t="s">
        <v>83</v>
      </c>
      <c r="R68" s="168"/>
      <c r="S68" s="166">
        <f>+'Emission Factors'!K36</f>
        <v>2.2090399999999999</v>
      </c>
      <c r="T68" s="145">
        <f t="shared" ref="T68:T74" si="5">(R68*S68)/1000</f>
        <v>0</v>
      </c>
      <c r="U68" s="1972"/>
      <c r="V68" s="1973"/>
      <c r="W68" s="1974"/>
      <c r="X68" s="185">
        <f>+'Emission Factors'!K42</f>
        <v>7.0099999999999996E-2</v>
      </c>
      <c r="Y68" s="76">
        <f t="shared" ref="Y68:Y74" si="6">+X68*R68</f>
        <v>0</v>
      </c>
      <c r="Z68" s="1121" t="str">
        <f t="shared" ref="Z68:Z74" si="7">IF(R68&lt;0,"Error - negative number","")</f>
        <v/>
      </c>
      <c r="AA68" s="49"/>
      <c r="AB68" s="49"/>
      <c r="AC68" s="49"/>
      <c r="AD68" s="49"/>
    </row>
    <row r="69" spans="1:30" ht="15" customHeight="1" x14ac:dyDescent="0.3">
      <c r="A69" s="320" t="s">
        <v>370</v>
      </c>
      <c r="B69" s="1913"/>
      <c r="C69" s="648" t="s">
        <v>94</v>
      </c>
      <c r="D69" s="1039"/>
      <c r="E69" s="382">
        <f>+'Emission Factors'!K52</f>
        <v>0.14208000000000001</v>
      </c>
      <c r="F69" s="85">
        <f t="shared" si="4"/>
        <v>0</v>
      </c>
      <c r="G69" s="148"/>
      <c r="H69" s="148"/>
      <c r="I69" s="1952"/>
      <c r="J69" s="1953"/>
      <c r="K69" s="1954"/>
      <c r="L69" s="1056" t="str">
        <f t="shared" si="3"/>
        <v/>
      </c>
      <c r="M69" s="49"/>
      <c r="N69" s="49"/>
      <c r="O69" s="1287" t="s">
        <v>86</v>
      </c>
      <c r="P69" s="1288"/>
      <c r="Q69" s="1232" t="s">
        <v>83</v>
      </c>
      <c r="R69" s="169"/>
      <c r="S69" s="167">
        <f>+'Emission Factors'!K37</f>
        <v>2.3149500000000001</v>
      </c>
      <c r="T69" s="146">
        <f t="shared" si="5"/>
        <v>0</v>
      </c>
      <c r="U69" s="1969"/>
      <c r="V69" s="1970"/>
      <c r="W69" s="1971"/>
      <c r="X69" s="167">
        <f>+'Emission Factors'!K43</f>
        <v>0</v>
      </c>
      <c r="Y69" s="77">
        <f t="shared" si="6"/>
        <v>0</v>
      </c>
      <c r="Z69" s="1056" t="str">
        <f t="shared" si="7"/>
        <v/>
      </c>
      <c r="AA69" s="49"/>
      <c r="AB69" s="49"/>
      <c r="AC69" s="49"/>
      <c r="AD69" s="49"/>
    </row>
    <row r="70" spans="1:30" ht="15" customHeight="1" x14ac:dyDescent="0.3">
      <c r="A70" s="320" t="s">
        <v>370</v>
      </c>
      <c r="B70" s="1913"/>
      <c r="C70" s="648" t="s">
        <v>96</v>
      </c>
      <c r="D70" s="1039"/>
      <c r="E70" s="382">
        <f>+'Emission Factors'!K53</f>
        <v>0.17061000000000001</v>
      </c>
      <c r="F70" s="85">
        <f t="shared" si="4"/>
        <v>0</v>
      </c>
      <c r="G70" s="148"/>
      <c r="H70" s="148"/>
      <c r="I70" s="1952"/>
      <c r="J70" s="1953"/>
      <c r="K70" s="1954"/>
      <c r="L70" s="1056" t="str">
        <f t="shared" si="3"/>
        <v/>
      </c>
      <c r="M70" s="49"/>
      <c r="N70" s="49"/>
      <c r="O70" s="1287" t="s">
        <v>88</v>
      </c>
      <c r="P70" s="1288"/>
      <c r="Q70" s="1232" t="s">
        <v>83</v>
      </c>
      <c r="R70" s="169"/>
      <c r="S70" s="167">
        <f>+'Emission Factors'!K38</f>
        <v>2.5941100000000001</v>
      </c>
      <c r="T70" s="146">
        <f t="shared" si="5"/>
        <v>0</v>
      </c>
      <c r="U70" s="1969"/>
      <c r="V70" s="1970"/>
      <c r="W70" s="1971"/>
      <c r="X70" s="167">
        <f>+'Emission Factors'!K44</f>
        <v>8.72E-2</v>
      </c>
      <c r="Y70" s="77">
        <f t="shared" si="6"/>
        <v>0</v>
      </c>
      <c r="Z70" s="1056" t="str">
        <f t="shared" si="7"/>
        <v/>
      </c>
      <c r="AA70" s="49"/>
      <c r="AB70" s="49"/>
      <c r="AC70" s="49"/>
      <c r="AD70" s="49"/>
    </row>
    <row r="71" spans="1:30" ht="15" customHeight="1" x14ac:dyDescent="0.3">
      <c r="A71" s="320" t="s">
        <v>370</v>
      </c>
      <c r="B71" s="1913"/>
      <c r="C71" s="648" t="s">
        <v>97</v>
      </c>
      <c r="D71" s="1039"/>
      <c r="E71" s="382">
        <f>+'Emission Factors'!K54</f>
        <v>0.20946999999999999</v>
      </c>
      <c r="F71" s="85">
        <f t="shared" si="4"/>
        <v>0</v>
      </c>
      <c r="G71" s="148"/>
      <c r="H71" s="148"/>
      <c r="I71" s="1952"/>
      <c r="J71" s="1953"/>
      <c r="K71" s="1954"/>
      <c r="L71" s="1056" t="str">
        <f t="shared" si="3"/>
        <v/>
      </c>
      <c r="M71" s="49"/>
      <c r="N71" s="49"/>
      <c r="O71" s="1287" t="s">
        <v>90</v>
      </c>
      <c r="P71" s="1288"/>
      <c r="Q71" s="1232" t="s">
        <v>83</v>
      </c>
      <c r="R71" s="169"/>
      <c r="S71" s="167">
        <f>+'Emission Factors'!K39</f>
        <v>2.6869700000000001</v>
      </c>
      <c r="T71" s="146">
        <f t="shared" si="5"/>
        <v>0</v>
      </c>
      <c r="U71" s="1969"/>
      <c r="V71" s="1970"/>
      <c r="W71" s="1971"/>
      <c r="X71" s="167">
        <f>+'Emission Factors'!K45</f>
        <v>0</v>
      </c>
      <c r="Y71" s="77">
        <f t="shared" si="6"/>
        <v>0</v>
      </c>
      <c r="Z71" s="1056" t="str">
        <f t="shared" si="7"/>
        <v/>
      </c>
      <c r="AA71" s="49"/>
      <c r="AB71" s="49"/>
      <c r="AC71" s="49"/>
      <c r="AD71" s="49"/>
    </row>
    <row r="72" spans="1:30" ht="15" customHeight="1" x14ac:dyDescent="0.3">
      <c r="A72" s="320" t="s">
        <v>370</v>
      </c>
      <c r="B72" s="1913"/>
      <c r="C72" s="648" t="s">
        <v>98</v>
      </c>
      <c r="D72" s="1039"/>
      <c r="E72" s="382">
        <f>+'Emission Factors'!K55</f>
        <v>0.17335999999999999</v>
      </c>
      <c r="F72" s="85">
        <f t="shared" si="4"/>
        <v>0</v>
      </c>
      <c r="G72" s="148"/>
      <c r="H72" s="148"/>
      <c r="I72" s="1952"/>
      <c r="J72" s="1953"/>
      <c r="K72" s="1954"/>
      <c r="L72" s="1056" t="str">
        <f t="shared" si="3"/>
        <v/>
      </c>
      <c r="M72" s="49"/>
      <c r="N72" s="49"/>
      <c r="O72" s="1287" t="s">
        <v>92</v>
      </c>
      <c r="P72" s="1288"/>
      <c r="Q72" s="1232" t="s">
        <v>93</v>
      </c>
      <c r="R72" s="169"/>
      <c r="S72" s="167">
        <f>+'Emission Factors'!K40</f>
        <v>2.5420400000000001</v>
      </c>
      <c r="T72" s="146">
        <f t="shared" si="5"/>
        <v>0</v>
      </c>
      <c r="U72" s="1969"/>
      <c r="V72" s="1970"/>
      <c r="W72" s="1971"/>
      <c r="X72" s="167">
        <f>+'Emission Factors'!K46</f>
        <v>0</v>
      </c>
      <c r="Y72" s="77">
        <f t="shared" si="6"/>
        <v>0</v>
      </c>
      <c r="Z72" s="1056" t="str">
        <f t="shared" si="7"/>
        <v/>
      </c>
      <c r="AA72" s="49"/>
      <c r="AB72" s="49"/>
      <c r="AC72" s="49"/>
      <c r="AD72" s="49"/>
    </row>
    <row r="73" spans="1:30" ht="15" customHeight="1" x14ac:dyDescent="0.3">
      <c r="A73" s="320" t="s">
        <v>370</v>
      </c>
      <c r="B73" s="1913"/>
      <c r="C73" s="648" t="s">
        <v>99</v>
      </c>
      <c r="D73" s="1039"/>
      <c r="E73" s="382">
        <f>+'Emission Factors'!K56</f>
        <v>0.10895000000000001</v>
      </c>
      <c r="F73" s="85">
        <f t="shared" si="4"/>
        <v>0</v>
      </c>
      <c r="G73" s="148"/>
      <c r="H73" s="148"/>
      <c r="I73" s="1952"/>
      <c r="J73" s="1953"/>
      <c r="K73" s="1954"/>
      <c r="L73" s="1056" t="str">
        <f t="shared" si="3"/>
        <v/>
      </c>
      <c r="M73" s="49"/>
      <c r="N73" s="49"/>
      <c r="O73" s="1287" t="s">
        <v>95</v>
      </c>
      <c r="P73" s="1288"/>
      <c r="Q73" s="1232" t="s">
        <v>83</v>
      </c>
      <c r="R73" s="169"/>
      <c r="S73" s="167">
        <f>+'Emission Factors'!K41</f>
        <v>1.5226</v>
      </c>
      <c r="T73" s="146">
        <f t="shared" si="5"/>
        <v>0</v>
      </c>
      <c r="U73" s="1969"/>
      <c r="V73" s="1970"/>
      <c r="W73" s="1971"/>
      <c r="X73" s="167">
        <f>+'Emission Factors'!K47</f>
        <v>0</v>
      </c>
      <c r="Y73" s="77">
        <f t="shared" si="6"/>
        <v>0</v>
      </c>
      <c r="Z73" s="1056" t="str">
        <f t="shared" si="7"/>
        <v/>
      </c>
      <c r="AA73" s="49"/>
      <c r="AB73" s="49"/>
      <c r="AC73" s="49"/>
      <c r="AD73" s="49"/>
    </row>
    <row r="74" spans="1:30" ht="15" customHeight="1" thickBot="1" x14ac:dyDescent="0.35">
      <c r="A74" s="320" t="s">
        <v>370</v>
      </c>
      <c r="B74" s="1913"/>
      <c r="C74" s="648" t="s">
        <v>100</v>
      </c>
      <c r="D74" s="1039"/>
      <c r="E74" s="382">
        <f>+'Emission Factors'!K57</f>
        <v>0.13177</v>
      </c>
      <c r="F74" s="85">
        <f t="shared" si="4"/>
        <v>0</v>
      </c>
      <c r="G74" s="148"/>
      <c r="H74" s="148"/>
      <c r="I74" s="1952"/>
      <c r="J74" s="1953"/>
      <c r="K74" s="1954"/>
      <c r="L74" s="1056" t="str">
        <f t="shared" si="3"/>
        <v/>
      </c>
      <c r="M74" s="49"/>
      <c r="N74" s="49"/>
      <c r="O74" s="1284" t="s">
        <v>409</v>
      </c>
      <c r="P74" s="1285"/>
      <c r="Q74" s="1286"/>
      <c r="R74" s="170"/>
      <c r="S74" s="1488"/>
      <c r="T74" s="147">
        <f t="shared" si="5"/>
        <v>0</v>
      </c>
      <c r="U74" s="1975"/>
      <c r="V74" s="1976"/>
      <c r="W74" s="1977"/>
      <c r="X74" s="1488"/>
      <c r="Y74" s="80">
        <f t="shared" si="6"/>
        <v>0</v>
      </c>
      <c r="Z74" s="1122" t="str">
        <f t="shared" si="7"/>
        <v/>
      </c>
      <c r="AA74" s="49"/>
      <c r="AB74" s="49"/>
      <c r="AC74" s="49"/>
      <c r="AD74" s="49"/>
    </row>
    <row r="75" spans="1:30" ht="15" customHeight="1" x14ac:dyDescent="0.3">
      <c r="A75" s="320" t="s">
        <v>370</v>
      </c>
      <c r="B75" s="1913"/>
      <c r="C75" s="648" t="s">
        <v>529</v>
      </c>
      <c r="D75" s="1039"/>
      <c r="E75" s="382">
        <f>+'Emission Factors'!K58</f>
        <v>0.19900999999999999</v>
      </c>
      <c r="F75" s="85">
        <f t="shared" si="4"/>
        <v>0</v>
      </c>
      <c r="G75" s="148"/>
      <c r="H75" s="148"/>
      <c r="I75" s="1952"/>
      <c r="J75" s="1953"/>
      <c r="K75" s="1954"/>
      <c r="L75" s="1056" t="str">
        <f t="shared" si="3"/>
        <v/>
      </c>
      <c r="M75" s="49"/>
      <c r="N75" s="49"/>
      <c r="O75" s="1965" t="s">
        <v>367</v>
      </c>
      <c r="P75" s="1965"/>
      <c r="Q75" s="1965"/>
      <c r="R75" s="1965"/>
      <c r="S75" s="1965"/>
      <c r="T75" s="1965"/>
      <c r="U75" s="1965"/>
      <c r="V75" s="1965"/>
      <c r="W75" s="1965"/>
      <c r="X75" s="49"/>
      <c r="Y75" s="49"/>
      <c r="Z75" s="49"/>
      <c r="AA75" s="49"/>
      <c r="AB75" s="49"/>
      <c r="AC75" s="49"/>
      <c r="AD75" s="49"/>
    </row>
    <row r="76" spans="1:30" ht="15" customHeight="1" x14ac:dyDescent="0.3">
      <c r="A76" s="320" t="s">
        <v>370</v>
      </c>
      <c r="B76" s="1913"/>
      <c r="C76" s="648" t="s">
        <v>102</v>
      </c>
      <c r="D76" s="1039"/>
      <c r="E76" s="382">
        <f>+'Emission Factors'!K59</f>
        <v>0.17710000000000001</v>
      </c>
      <c r="F76" s="85">
        <f t="shared" si="4"/>
        <v>0</v>
      </c>
      <c r="G76" s="148"/>
      <c r="H76" s="148"/>
      <c r="I76" s="1952"/>
      <c r="J76" s="1953"/>
      <c r="K76" s="1954"/>
      <c r="L76" s="1056" t="str">
        <f t="shared" si="3"/>
        <v/>
      </c>
      <c r="M76" s="49"/>
      <c r="N76" s="49"/>
      <c r="O76" s="1966"/>
      <c r="P76" s="1966"/>
      <c r="Q76" s="1966"/>
      <c r="R76" s="1966"/>
      <c r="S76" s="1966"/>
      <c r="T76" s="1966"/>
      <c r="U76" s="1966"/>
      <c r="V76" s="1966"/>
      <c r="W76" s="1966"/>
      <c r="X76" s="49"/>
      <c r="Y76" s="49"/>
      <c r="Z76" s="49"/>
      <c r="AA76" s="49"/>
      <c r="AB76" s="49"/>
      <c r="AC76" s="49"/>
      <c r="AD76" s="49"/>
    </row>
    <row r="77" spans="1:30" ht="15" customHeight="1" x14ac:dyDescent="0.3">
      <c r="A77" s="320" t="s">
        <v>370</v>
      </c>
      <c r="B77" s="1913"/>
      <c r="C77" s="648" t="s">
        <v>103</v>
      </c>
      <c r="D77" s="1039"/>
      <c r="E77" s="382">
        <f>+'Emission Factors'!K60</f>
        <v>8.4449999999999997E-2</v>
      </c>
      <c r="F77" s="85">
        <f t="shared" si="4"/>
        <v>0</v>
      </c>
      <c r="G77" s="148"/>
      <c r="H77" s="148"/>
      <c r="I77" s="1952"/>
      <c r="J77" s="1953"/>
      <c r="K77" s="1954"/>
      <c r="L77" s="1056" t="str">
        <f t="shared" si="3"/>
        <v/>
      </c>
      <c r="M77" s="49"/>
      <c r="N77" s="49"/>
      <c r="O77" s="1966"/>
      <c r="P77" s="1966"/>
      <c r="Q77" s="1966"/>
      <c r="R77" s="1966"/>
      <c r="S77" s="1966"/>
      <c r="T77" s="1966"/>
      <c r="U77" s="1966"/>
      <c r="V77" s="1966"/>
      <c r="W77" s="1966"/>
      <c r="X77" s="49"/>
      <c r="Y77" s="49"/>
      <c r="Z77" s="49"/>
      <c r="AA77" s="49"/>
      <c r="AB77" s="49"/>
      <c r="AC77" s="49"/>
      <c r="AD77" s="49"/>
    </row>
    <row r="78" spans="1:30" ht="15" customHeight="1" x14ac:dyDescent="0.3">
      <c r="A78" s="320" t="s">
        <v>370</v>
      </c>
      <c r="B78" s="1913"/>
      <c r="C78" s="648" t="s">
        <v>104</v>
      </c>
      <c r="D78" s="1039"/>
      <c r="E78" s="382">
        <f>+'Emission Factors'!K61</f>
        <v>0.10289</v>
      </c>
      <c r="F78" s="85">
        <f t="shared" si="4"/>
        <v>0</v>
      </c>
      <c r="G78" s="148"/>
      <c r="H78" s="148"/>
      <c r="I78" s="1952"/>
      <c r="J78" s="1953"/>
      <c r="K78" s="1954"/>
      <c r="L78" s="1056" t="str">
        <f t="shared" si="3"/>
        <v/>
      </c>
      <c r="M78" s="49"/>
      <c r="N78" s="49"/>
      <c r="O78" s="1966"/>
      <c r="P78" s="1966"/>
      <c r="Q78" s="1966"/>
      <c r="R78" s="1966"/>
      <c r="S78" s="1966"/>
      <c r="T78" s="1966"/>
      <c r="U78" s="1966"/>
      <c r="V78" s="1966"/>
      <c r="W78" s="1966"/>
      <c r="X78" s="49"/>
      <c r="Y78" s="49"/>
      <c r="Z78" s="49"/>
      <c r="AA78" s="49"/>
      <c r="AB78" s="49"/>
      <c r="AC78" s="49"/>
      <c r="AD78" s="49"/>
    </row>
    <row r="79" spans="1:30" ht="15" customHeight="1" x14ac:dyDescent="0.3">
      <c r="A79" s="320" t="s">
        <v>370</v>
      </c>
      <c r="B79" s="1913"/>
      <c r="C79" s="648" t="s">
        <v>105</v>
      </c>
      <c r="D79" s="1039"/>
      <c r="E79" s="382">
        <f>+'Emission Factors'!K62</f>
        <v>0.13500999999999999</v>
      </c>
      <c r="F79" s="85">
        <f t="shared" si="4"/>
        <v>0</v>
      </c>
      <c r="G79" s="148"/>
      <c r="H79" s="148"/>
      <c r="I79" s="1952"/>
      <c r="J79" s="1953"/>
      <c r="K79" s="1954"/>
      <c r="L79" s="1056" t="str">
        <f t="shared" si="3"/>
        <v/>
      </c>
      <c r="M79" s="49"/>
      <c r="N79" s="49"/>
      <c r="O79" s="49"/>
      <c r="P79" s="49"/>
      <c r="Q79" s="49"/>
      <c r="R79" s="49"/>
      <c r="S79" s="49"/>
      <c r="T79" s="49"/>
      <c r="U79" s="49"/>
      <c r="V79" s="49"/>
      <c r="W79" s="49"/>
      <c r="X79" s="49"/>
      <c r="Y79" s="49"/>
      <c r="Z79" s="49"/>
      <c r="AA79" s="49"/>
      <c r="AB79" s="49"/>
      <c r="AC79" s="49"/>
      <c r="AD79" s="49"/>
    </row>
    <row r="80" spans="1:30" ht="15" customHeight="1" x14ac:dyDescent="0.3">
      <c r="A80" s="320" t="s">
        <v>370</v>
      </c>
      <c r="B80" s="1913"/>
      <c r="C80" s="648" t="s">
        <v>106</v>
      </c>
      <c r="D80" s="1039"/>
      <c r="E80" s="382">
        <f>+'Emission Factors'!K63</f>
        <v>0.11551</v>
      </c>
      <c r="F80" s="85">
        <f t="shared" si="4"/>
        <v>0</v>
      </c>
      <c r="G80" s="148"/>
      <c r="H80" s="148"/>
      <c r="I80" s="1952"/>
      <c r="J80" s="1953"/>
      <c r="K80" s="1954"/>
      <c r="L80" s="1056" t="str">
        <f t="shared" si="3"/>
        <v/>
      </c>
      <c r="M80" s="49"/>
      <c r="N80" s="49"/>
      <c r="O80" s="49"/>
      <c r="P80" s="49"/>
      <c r="Q80" s="49"/>
      <c r="R80" s="49"/>
      <c r="S80" s="49"/>
      <c r="T80" s="49"/>
      <c r="U80" s="49"/>
      <c r="V80" s="49"/>
      <c r="W80" s="49"/>
      <c r="X80" s="49"/>
      <c r="Y80" s="49"/>
      <c r="Z80" s="49"/>
      <c r="AA80" s="49"/>
      <c r="AB80" s="49"/>
      <c r="AC80" s="49"/>
      <c r="AD80" s="49"/>
    </row>
    <row r="81" spans="1:30" ht="15" customHeight="1" x14ac:dyDescent="0.3">
      <c r="A81" s="320" t="s">
        <v>370</v>
      </c>
      <c r="B81" s="1913"/>
      <c r="C81" s="649" t="s">
        <v>410</v>
      </c>
      <c r="D81" s="1039"/>
      <c r="E81" s="1036"/>
      <c r="F81" s="85">
        <f t="shared" si="4"/>
        <v>0</v>
      </c>
      <c r="G81" s="148"/>
      <c r="H81" s="148"/>
      <c r="I81" s="1952"/>
      <c r="J81" s="1953"/>
      <c r="K81" s="1954"/>
      <c r="L81" s="1056" t="str">
        <f t="shared" si="3"/>
        <v/>
      </c>
      <c r="M81" s="49"/>
      <c r="N81" s="49"/>
      <c r="O81" s="49"/>
      <c r="P81" s="49"/>
      <c r="Q81" s="49"/>
      <c r="R81" s="49"/>
      <c r="S81" s="49"/>
      <c r="T81" s="49"/>
      <c r="U81" s="49"/>
      <c r="V81" s="49"/>
      <c r="W81" s="49"/>
      <c r="X81" s="49"/>
      <c r="Y81" s="49"/>
      <c r="Z81" s="49"/>
      <c r="AA81" s="49"/>
      <c r="AB81" s="49"/>
      <c r="AC81" s="49"/>
      <c r="AD81" s="49"/>
    </row>
    <row r="82" spans="1:30" ht="15" customHeight="1" x14ac:dyDescent="0.3">
      <c r="A82" s="320" t="s">
        <v>370</v>
      </c>
      <c r="B82" s="1913"/>
      <c r="C82" s="649" t="s">
        <v>411</v>
      </c>
      <c r="D82" s="1039"/>
      <c r="E82" s="1036"/>
      <c r="F82" s="85">
        <f t="shared" si="4"/>
        <v>0</v>
      </c>
      <c r="G82" s="148"/>
      <c r="H82" s="148"/>
      <c r="I82" s="1952"/>
      <c r="J82" s="1953"/>
      <c r="K82" s="1954"/>
      <c r="L82" s="1056" t="str">
        <f t="shared" si="3"/>
        <v/>
      </c>
      <c r="M82" s="49"/>
      <c r="N82" s="49"/>
      <c r="O82" s="49"/>
      <c r="P82" s="49"/>
      <c r="Q82" s="49"/>
      <c r="R82" s="49"/>
      <c r="S82" s="49"/>
      <c r="T82" s="49"/>
      <c r="U82" s="49"/>
      <c r="V82" s="49"/>
      <c r="W82" s="49"/>
      <c r="X82" s="49"/>
      <c r="Y82" s="49"/>
      <c r="Z82" s="49"/>
      <c r="AA82" s="49"/>
      <c r="AB82" s="49"/>
      <c r="AC82" s="49"/>
      <c r="AD82" s="49"/>
    </row>
    <row r="83" spans="1:30" ht="15" customHeight="1" x14ac:dyDescent="0.3">
      <c r="A83" s="320" t="s">
        <v>370</v>
      </c>
      <c r="B83" s="1913"/>
      <c r="C83" s="649" t="s">
        <v>412</v>
      </c>
      <c r="D83" s="1039"/>
      <c r="E83" s="1036"/>
      <c r="F83" s="85">
        <f t="shared" si="4"/>
        <v>0</v>
      </c>
      <c r="G83" s="148"/>
      <c r="H83" s="148"/>
      <c r="I83" s="1952"/>
      <c r="J83" s="1953"/>
      <c r="K83" s="1954"/>
      <c r="L83" s="1056" t="str">
        <f t="shared" si="3"/>
        <v/>
      </c>
      <c r="M83" s="49"/>
      <c r="N83" s="49"/>
      <c r="O83" s="49"/>
      <c r="P83" s="49"/>
      <c r="Q83" s="49"/>
      <c r="R83" s="49"/>
      <c r="S83" s="49"/>
      <c r="T83" s="49"/>
      <c r="U83" s="49"/>
      <c r="V83" s="49"/>
      <c r="W83" s="49"/>
      <c r="X83" s="49"/>
      <c r="Y83" s="49"/>
      <c r="Z83" s="49"/>
      <c r="AA83" s="49"/>
      <c r="AB83" s="49"/>
      <c r="AC83" s="49"/>
      <c r="AD83" s="49"/>
    </row>
    <row r="84" spans="1:30" ht="15" customHeight="1" x14ac:dyDescent="0.3">
      <c r="A84" s="320"/>
      <c r="B84" s="1913"/>
      <c r="C84" s="649" t="s">
        <v>509</v>
      </c>
      <c r="D84" s="1039"/>
      <c r="E84" s="1036"/>
      <c r="F84" s="85">
        <f t="shared" si="4"/>
        <v>0</v>
      </c>
      <c r="G84" s="148"/>
      <c r="H84" s="148"/>
      <c r="I84" s="1952"/>
      <c r="J84" s="1953"/>
      <c r="K84" s="1954"/>
      <c r="L84" s="1056" t="str">
        <f t="shared" si="3"/>
        <v/>
      </c>
      <c r="M84" s="49"/>
      <c r="N84" s="49"/>
      <c r="O84" s="49"/>
      <c r="P84" s="49"/>
      <c r="Q84" s="49"/>
      <c r="R84" s="49"/>
      <c r="S84" s="49"/>
      <c r="T84" s="49"/>
      <c r="U84" s="49"/>
      <c r="V84" s="49"/>
      <c r="W84" s="49"/>
      <c r="X84" s="49"/>
      <c r="Y84" s="49"/>
      <c r="Z84" s="49"/>
      <c r="AA84" s="49"/>
      <c r="AB84" s="49"/>
      <c r="AC84" s="49"/>
      <c r="AD84" s="49"/>
    </row>
    <row r="85" spans="1:30" ht="15" customHeight="1" thickBot="1" x14ac:dyDescent="0.35">
      <c r="A85" s="320"/>
      <c r="B85" s="1914"/>
      <c r="C85" s="649" t="s">
        <v>510</v>
      </c>
      <c r="D85" s="1039"/>
      <c r="E85" s="81"/>
      <c r="F85" s="85">
        <f t="shared" si="4"/>
        <v>0</v>
      </c>
      <c r="G85" s="148"/>
      <c r="H85" s="148"/>
      <c r="I85" s="1952"/>
      <c r="J85" s="1953"/>
      <c r="K85" s="1954"/>
      <c r="L85" s="1056" t="str">
        <f t="shared" si="3"/>
        <v/>
      </c>
      <c r="M85" s="49"/>
      <c r="N85" s="49"/>
      <c r="O85" s="49"/>
      <c r="P85" s="49"/>
      <c r="Q85" s="49"/>
      <c r="R85" s="49"/>
      <c r="S85" s="49"/>
      <c r="T85" s="49"/>
      <c r="U85" s="49"/>
      <c r="V85" s="49"/>
      <c r="W85" s="49"/>
      <c r="X85" s="49"/>
      <c r="Y85" s="49"/>
      <c r="Z85" s="49"/>
      <c r="AA85" s="49"/>
      <c r="AB85" s="49"/>
      <c r="AC85" s="49"/>
      <c r="AD85" s="49"/>
    </row>
    <row r="86" spans="1:30" ht="29.25" customHeight="1" thickBot="1" x14ac:dyDescent="0.35">
      <c r="A86" s="320"/>
      <c r="B86" s="1955" t="s">
        <v>110</v>
      </c>
      <c r="C86" s="1956"/>
      <c r="D86" s="44">
        <f>SUM(D87:D107)</f>
        <v>0</v>
      </c>
      <c r="E86" s="481" t="str">
        <f>IF(D86&lt;&gt;0,F86*1000/D86,"")</f>
        <v/>
      </c>
      <c r="F86" s="171">
        <f>SUM(F87:F107)</f>
        <v>0</v>
      </c>
      <c r="G86" s="148"/>
      <c r="H86" s="148"/>
      <c r="I86" s="1957"/>
      <c r="J86" s="1958"/>
      <c r="K86" s="1959"/>
      <c r="L86" s="1119" t="str">
        <f t="shared" si="3"/>
        <v/>
      </c>
      <c r="M86" s="49"/>
      <c r="N86" s="49"/>
      <c r="O86" s="1960" t="str">
        <f>B86</f>
        <v>TOTAL DOMESTIC FROM GREY FLEET/HIRE (i.e. employee owned or hire vehicles) (Scope 3)</v>
      </c>
      <c r="P86" s="1961"/>
      <c r="Q86" s="1961"/>
      <c r="R86" s="1961"/>
      <c r="S86" s="1961"/>
      <c r="T86" s="1961"/>
      <c r="U86" s="1961"/>
      <c r="V86" s="1961"/>
      <c r="W86" s="1962"/>
      <c r="X86" s="1963" t="s">
        <v>381</v>
      </c>
      <c r="Y86" s="1964"/>
      <c r="Z86" s="1909" t="s">
        <v>461</v>
      </c>
      <c r="AA86" s="49"/>
      <c r="AB86" s="49"/>
      <c r="AC86" s="49"/>
      <c r="AD86" s="49"/>
    </row>
    <row r="87" spans="1:30" ht="15" customHeight="1" x14ac:dyDescent="0.3">
      <c r="A87" s="320" t="s">
        <v>371</v>
      </c>
      <c r="B87" s="1912" t="s">
        <v>111</v>
      </c>
      <c r="C87" s="46" t="s">
        <v>85</v>
      </c>
      <c r="D87" s="1039"/>
      <c r="E87" s="382">
        <f t="shared" ref="E87:E102" si="8">+E65</f>
        <v>0.15371000000000001</v>
      </c>
      <c r="F87" s="356">
        <f>(D87*E87)/1000</f>
        <v>0</v>
      </c>
      <c r="G87" s="148"/>
      <c r="H87" s="148"/>
      <c r="I87" s="1915"/>
      <c r="J87" s="1916"/>
      <c r="K87" s="1917"/>
      <c r="L87" s="1120" t="str">
        <f t="shared" si="3"/>
        <v/>
      </c>
      <c r="M87" s="49"/>
      <c r="N87" s="49"/>
      <c r="O87" s="479"/>
      <c r="P87" s="480"/>
      <c r="Q87" s="1918" t="s">
        <v>78</v>
      </c>
      <c r="R87" s="1918" t="s">
        <v>80</v>
      </c>
      <c r="S87" s="1921" t="s">
        <v>27</v>
      </c>
      <c r="T87" s="1936" t="s">
        <v>374</v>
      </c>
      <c r="U87" s="1938" t="s">
        <v>24</v>
      </c>
      <c r="V87" s="1939"/>
      <c r="W87" s="1940"/>
      <c r="X87" s="1947" t="s">
        <v>27</v>
      </c>
      <c r="Y87" s="1967" t="s">
        <v>374</v>
      </c>
      <c r="Z87" s="1910"/>
      <c r="AA87" s="49"/>
      <c r="AB87" s="49"/>
      <c r="AC87" s="49"/>
      <c r="AD87" s="49"/>
    </row>
    <row r="88" spans="1:30" ht="15" customHeight="1" thickBot="1" x14ac:dyDescent="0.35">
      <c r="A88" s="320" t="s">
        <v>371</v>
      </c>
      <c r="B88" s="1913"/>
      <c r="C88" s="648" t="s">
        <v>87</v>
      </c>
      <c r="D88" s="1039"/>
      <c r="E88" s="382">
        <f t="shared" si="8"/>
        <v>0.19228000000000001</v>
      </c>
      <c r="F88" s="85">
        <f t="shared" ref="F88:F107" si="9">(D88*E88)/1000</f>
        <v>0</v>
      </c>
      <c r="G88" s="148"/>
      <c r="H88" s="148"/>
      <c r="I88" s="1952"/>
      <c r="J88" s="1953"/>
      <c r="K88" s="1954"/>
      <c r="L88" s="1056" t="str">
        <f t="shared" si="3"/>
        <v/>
      </c>
      <c r="M88" s="49"/>
      <c r="N88" s="49"/>
      <c r="O88" s="1101"/>
      <c r="P88" s="1102"/>
      <c r="Q88" s="1919"/>
      <c r="R88" s="1919"/>
      <c r="S88" s="1922"/>
      <c r="T88" s="1937"/>
      <c r="U88" s="1941"/>
      <c r="V88" s="1942"/>
      <c r="W88" s="1943"/>
      <c r="X88" s="1948"/>
      <c r="Y88" s="1968"/>
      <c r="Z88" s="1910"/>
      <c r="AA88" s="49"/>
      <c r="AB88" s="49"/>
      <c r="AC88" s="49"/>
      <c r="AD88" s="49"/>
    </row>
    <row r="89" spans="1:30" ht="15" customHeight="1" thickBot="1" x14ac:dyDescent="0.35">
      <c r="A89" s="320" t="s">
        <v>371</v>
      </c>
      <c r="B89" s="1913"/>
      <c r="C89" s="648" t="s">
        <v>89</v>
      </c>
      <c r="D89" s="1039"/>
      <c r="E89" s="382">
        <f t="shared" si="8"/>
        <v>0.28294999999999998</v>
      </c>
      <c r="F89" s="85">
        <f t="shared" si="9"/>
        <v>0</v>
      </c>
      <c r="G89" s="148"/>
      <c r="H89" s="148"/>
      <c r="I89" s="1952"/>
      <c r="J89" s="1953"/>
      <c r="K89" s="1954"/>
      <c r="L89" s="1056" t="str">
        <f t="shared" si="3"/>
        <v/>
      </c>
      <c r="M89" s="49"/>
      <c r="N89" s="49"/>
      <c r="O89" s="1103"/>
      <c r="P89" s="1104"/>
      <c r="Q89" s="1920"/>
      <c r="R89" s="1920"/>
      <c r="S89" s="1923"/>
      <c r="T89" s="171">
        <f>SUM(T90:T96)</f>
        <v>0</v>
      </c>
      <c r="U89" s="1944"/>
      <c r="V89" s="1945"/>
      <c r="W89" s="1946"/>
      <c r="X89" s="1949"/>
      <c r="Y89" s="171">
        <f>SUM(Y90:Y96)</f>
        <v>0</v>
      </c>
      <c r="Z89" s="1911"/>
      <c r="AA89" s="49"/>
      <c r="AB89" s="49"/>
      <c r="AC89" s="49"/>
      <c r="AD89" s="49"/>
    </row>
    <row r="90" spans="1:30" ht="15" customHeight="1" x14ac:dyDescent="0.3">
      <c r="A90" s="320" t="s">
        <v>371</v>
      </c>
      <c r="B90" s="1913"/>
      <c r="C90" s="648" t="s">
        <v>91</v>
      </c>
      <c r="D90" s="1039"/>
      <c r="E90" s="382">
        <f t="shared" si="8"/>
        <v>0.18084</v>
      </c>
      <c r="F90" s="85">
        <f t="shared" si="9"/>
        <v>0</v>
      </c>
      <c r="G90" s="148"/>
      <c r="H90" s="148"/>
      <c r="I90" s="1952"/>
      <c r="J90" s="1953"/>
      <c r="K90" s="1954"/>
      <c r="L90" s="1056" t="str">
        <f t="shared" si="3"/>
        <v/>
      </c>
      <c r="M90" s="49"/>
      <c r="N90" s="49"/>
      <c r="O90" s="1289" t="s">
        <v>82</v>
      </c>
      <c r="P90" s="1290"/>
      <c r="Q90" s="1231" t="s">
        <v>83</v>
      </c>
      <c r="R90" s="168"/>
      <c r="S90" s="166">
        <f>+'Emission Factors'!K36</f>
        <v>2.2090399999999999</v>
      </c>
      <c r="T90" s="145">
        <f t="shared" ref="T90:T96" si="10">(R90*S90)/1000</f>
        <v>0</v>
      </c>
      <c r="U90" s="1972"/>
      <c r="V90" s="1973"/>
      <c r="W90" s="1974"/>
      <c r="X90" s="185">
        <f>+'Emission Factors'!K42</f>
        <v>7.0099999999999996E-2</v>
      </c>
      <c r="Y90" s="76">
        <f t="shared" ref="Y90:Y96" si="11">+X90*R90</f>
        <v>0</v>
      </c>
      <c r="Z90" s="1121" t="str">
        <f t="shared" ref="Z90:Z96" si="12">IF(R90&lt;0,"Error - negative number","")</f>
        <v/>
      </c>
      <c r="AA90" s="49"/>
      <c r="AB90" s="49"/>
      <c r="AC90" s="49"/>
      <c r="AD90" s="49"/>
    </row>
    <row r="91" spans="1:30" ht="15" customHeight="1" x14ac:dyDescent="0.3">
      <c r="A91" s="320" t="s">
        <v>371</v>
      </c>
      <c r="B91" s="1913"/>
      <c r="C91" s="648" t="s">
        <v>94</v>
      </c>
      <c r="D91" s="1039"/>
      <c r="E91" s="382">
        <f t="shared" si="8"/>
        <v>0.14208000000000001</v>
      </c>
      <c r="F91" s="85">
        <f t="shared" si="9"/>
        <v>0</v>
      </c>
      <c r="G91" s="148"/>
      <c r="H91" s="148"/>
      <c r="I91" s="1952"/>
      <c r="J91" s="1953"/>
      <c r="K91" s="1954"/>
      <c r="L91" s="1056" t="str">
        <f t="shared" si="3"/>
        <v/>
      </c>
      <c r="M91" s="49"/>
      <c r="N91" s="49"/>
      <c r="O91" s="1287" t="s">
        <v>86</v>
      </c>
      <c r="P91" s="1288"/>
      <c r="Q91" s="1232" t="s">
        <v>83</v>
      </c>
      <c r="R91" s="169"/>
      <c r="S91" s="167">
        <f>+'Emission Factors'!K37</f>
        <v>2.3149500000000001</v>
      </c>
      <c r="T91" s="146">
        <f t="shared" si="10"/>
        <v>0</v>
      </c>
      <c r="U91" s="1969"/>
      <c r="V91" s="1970"/>
      <c r="W91" s="1971"/>
      <c r="X91" s="185">
        <f>+'Emission Factors'!K43</f>
        <v>0</v>
      </c>
      <c r="Y91" s="77">
        <f t="shared" si="11"/>
        <v>0</v>
      </c>
      <c r="Z91" s="1056" t="str">
        <f t="shared" si="12"/>
        <v/>
      </c>
      <c r="AA91" s="49"/>
      <c r="AB91" s="49"/>
      <c r="AC91" s="49"/>
      <c r="AD91" s="49"/>
    </row>
    <row r="92" spans="1:30" ht="15" customHeight="1" x14ac:dyDescent="0.3">
      <c r="A92" s="320" t="s">
        <v>371</v>
      </c>
      <c r="B92" s="1913"/>
      <c r="C92" s="648" t="s">
        <v>96</v>
      </c>
      <c r="D92" s="1039"/>
      <c r="E92" s="382">
        <f t="shared" si="8"/>
        <v>0.17061000000000001</v>
      </c>
      <c r="F92" s="85">
        <f t="shared" si="9"/>
        <v>0</v>
      </c>
      <c r="G92" s="148"/>
      <c r="H92" s="148"/>
      <c r="I92" s="1952"/>
      <c r="J92" s="1953"/>
      <c r="K92" s="1954"/>
      <c r="L92" s="1056" t="str">
        <f t="shared" si="3"/>
        <v/>
      </c>
      <c r="M92" s="49"/>
      <c r="N92" s="49"/>
      <c r="O92" s="1287" t="s">
        <v>88</v>
      </c>
      <c r="P92" s="1288"/>
      <c r="Q92" s="1232" t="s">
        <v>83</v>
      </c>
      <c r="R92" s="169"/>
      <c r="S92" s="167">
        <f>+'Emission Factors'!K38</f>
        <v>2.5941100000000001</v>
      </c>
      <c r="T92" s="146">
        <f t="shared" si="10"/>
        <v>0</v>
      </c>
      <c r="U92" s="1969"/>
      <c r="V92" s="1970"/>
      <c r="W92" s="1971"/>
      <c r="X92" s="185">
        <f>+'Emission Factors'!K44</f>
        <v>8.72E-2</v>
      </c>
      <c r="Y92" s="77">
        <f t="shared" si="11"/>
        <v>0</v>
      </c>
      <c r="Z92" s="1056" t="str">
        <f t="shared" si="12"/>
        <v/>
      </c>
      <c r="AA92" s="49"/>
      <c r="AB92" s="49"/>
      <c r="AC92" s="49"/>
      <c r="AD92" s="49"/>
    </row>
    <row r="93" spans="1:30" ht="15" customHeight="1" x14ac:dyDescent="0.3">
      <c r="A93" s="320" t="s">
        <v>371</v>
      </c>
      <c r="B93" s="1913"/>
      <c r="C93" s="648" t="s">
        <v>97</v>
      </c>
      <c r="D93" s="1039"/>
      <c r="E93" s="382">
        <f t="shared" si="8"/>
        <v>0.20946999999999999</v>
      </c>
      <c r="F93" s="85">
        <f t="shared" si="9"/>
        <v>0</v>
      </c>
      <c r="G93" s="148"/>
      <c r="H93" s="148"/>
      <c r="I93" s="1952"/>
      <c r="J93" s="1953"/>
      <c r="K93" s="1954"/>
      <c r="L93" s="1056" t="str">
        <f t="shared" si="3"/>
        <v/>
      </c>
      <c r="M93" s="49"/>
      <c r="N93" s="49"/>
      <c r="O93" s="1287" t="s">
        <v>90</v>
      </c>
      <c r="P93" s="1288"/>
      <c r="Q93" s="1232" t="s">
        <v>83</v>
      </c>
      <c r="R93" s="169"/>
      <c r="S93" s="167">
        <f>+'Emission Factors'!K39</f>
        <v>2.6869700000000001</v>
      </c>
      <c r="T93" s="146">
        <f t="shared" si="10"/>
        <v>0</v>
      </c>
      <c r="U93" s="1969"/>
      <c r="V93" s="1970"/>
      <c r="W93" s="1971"/>
      <c r="X93" s="185">
        <f>+'Emission Factors'!K45</f>
        <v>0</v>
      </c>
      <c r="Y93" s="77">
        <f t="shared" si="11"/>
        <v>0</v>
      </c>
      <c r="Z93" s="1056" t="str">
        <f t="shared" si="12"/>
        <v/>
      </c>
      <c r="AA93" s="49"/>
      <c r="AB93" s="49"/>
      <c r="AC93" s="49"/>
      <c r="AD93" s="49"/>
    </row>
    <row r="94" spans="1:30" ht="15" customHeight="1" x14ac:dyDescent="0.3">
      <c r="A94" s="320" t="s">
        <v>371</v>
      </c>
      <c r="B94" s="1913"/>
      <c r="C94" s="648" t="s">
        <v>98</v>
      </c>
      <c r="D94" s="1039"/>
      <c r="E94" s="382">
        <f t="shared" si="8"/>
        <v>0.17335999999999999</v>
      </c>
      <c r="F94" s="85">
        <f t="shared" si="9"/>
        <v>0</v>
      </c>
      <c r="G94" s="148"/>
      <c r="H94" s="148"/>
      <c r="I94" s="1952"/>
      <c r="J94" s="1953"/>
      <c r="K94" s="1954"/>
      <c r="L94" s="1056" t="str">
        <f t="shared" si="3"/>
        <v/>
      </c>
      <c r="M94" s="49"/>
      <c r="N94" s="49"/>
      <c r="O94" s="1287" t="s">
        <v>92</v>
      </c>
      <c r="P94" s="1288"/>
      <c r="Q94" s="1232" t="s">
        <v>93</v>
      </c>
      <c r="R94" s="169"/>
      <c r="S94" s="167">
        <f>+'Emission Factors'!K40</f>
        <v>2.5420400000000001</v>
      </c>
      <c r="T94" s="146">
        <f t="shared" si="10"/>
        <v>0</v>
      </c>
      <c r="U94" s="1969"/>
      <c r="V94" s="1970"/>
      <c r="W94" s="1971"/>
      <c r="X94" s="185">
        <f>+'Emission Factors'!K46</f>
        <v>0</v>
      </c>
      <c r="Y94" s="77">
        <f t="shared" si="11"/>
        <v>0</v>
      </c>
      <c r="Z94" s="1056" t="str">
        <f t="shared" si="12"/>
        <v/>
      </c>
      <c r="AA94" s="49"/>
      <c r="AB94" s="49"/>
      <c r="AC94" s="49"/>
      <c r="AD94" s="49"/>
    </row>
    <row r="95" spans="1:30" ht="15" customHeight="1" x14ac:dyDescent="0.3">
      <c r="A95" s="320" t="s">
        <v>371</v>
      </c>
      <c r="B95" s="1913"/>
      <c r="C95" s="648" t="s">
        <v>99</v>
      </c>
      <c r="D95" s="1039"/>
      <c r="E95" s="382">
        <f t="shared" si="8"/>
        <v>0.10895000000000001</v>
      </c>
      <c r="F95" s="85">
        <f t="shared" si="9"/>
        <v>0</v>
      </c>
      <c r="G95" s="148"/>
      <c r="H95" s="148"/>
      <c r="I95" s="1952"/>
      <c r="J95" s="1953"/>
      <c r="K95" s="1954"/>
      <c r="L95" s="1056" t="str">
        <f t="shared" si="3"/>
        <v/>
      </c>
      <c r="M95" s="49"/>
      <c r="N95" s="49"/>
      <c r="O95" s="1287" t="s">
        <v>95</v>
      </c>
      <c r="P95" s="1288"/>
      <c r="Q95" s="1232" t="s">
        <v>83</v>
      </c>
      <c r="R95" s="169"/>
      <c r="S95" s="167">
        <f>+'Emission Factors'!K41</f>
        <v>1.5226</v>
      </c>
      <c r="T95" s="146">
        <f t="shared" si="10"/>
        <v>0</v>
      </c>
      <c r="U95" s="1969"/>
      <c r="V95" s="1970"/>
      <c r="W95" s="1971"/>
      <c r="X95" s="185">
        <f>+'Emission Factors'!K47</f>
        <v>0</v>
      </c>
      <c r="Y95" s="77">
        <f t="shared" si="11"/>
        <v>0</v>
      </c>
      <c r="Z95" s="1056" t="str">
        <f t="shared" si="12"/>
        <v/>
      </c>
      <c r="AA95" s="49"/>
      <c r="AB95" s="49"/>
      <c r="AC95" s="49"/>
      <c r="AD95" s="49"/>
    </row>
    <row r="96" spans="1:30" ht="15" customHeight="1" thickBot="1" x14ac:dyDescent="0.35">
      <c r="A96" s="320" t="s">
        <v>371</v>
      </c>
      <c r="B96" s="1913"/>
      <c r="C96" s="648" t="s">
        <v>100</v>
      </c>
      <c r="D96" s="1039"/>
      <c r="E96" s="382">
        <f t="shared" si="8"/>
        <v>0.13177</v>
      </c>
      <c r="F96" s="85">
        <f t="shared" si="9"/>
        <v>0</v>
      </c>
      <c r="G96" s="148"/>
      <c r="H96" s="148"/>
      <c r="I96" s="1952"/>
      <c r="J96" s="1953"/>
      <c r="K96" s="1954"/>
      <c r="L96" s="1056" t="str">
        <f t="shared" si="3"/>
        <v/>
      </c>
      <c r="M96" s="49"/>
      <c r="N96" s="49"/>
      <c r="O96" s="1284" t="s">
        <v>409</v>
      </c>
      <c r="P96" s="1285"/>
      <c r="Q96" s="1286"/>
      <c r="R96" s="170"/>
      <c r="S96" s="1488"/>
      <c r="T96" s="147">
        <f t="shared" si="10"/>
        <v>0</v>
      </c>
      <c r="U96" s="1975"/>
      <c r="V96" s="1976"/>
      <c r="W96" s="1977"/>
      <c r="X96" s="1488"/>
      <c r="Y96" s="80">
        <f t="shared" si="11"/>
        <v>0</v>
      </c>
      <c r="Z96" s="1122" t="str">
        <f t="shared" si="12"/>
        <v/>
      </c>
      <c r="AA96" s="49"/>
      <c r="AB96" s="49"/>
      <c r="AC96" s="49"/>
      <c r="AD96" s="49"/>
    </row>
    <row r="97" spans="1:30" ht="15" customHeight="1" x14ac:dyDescent="0.3">
      <c r="A97" s="320" t="s">
        <v>371</v>
      </c>
      <c r="B97" s="1913"/>
      <c r="C97" s="648" t="s">
        <v>529</v>
      </c>
      <c r="D97" s="1039"/>
      <c r="E97" s="382">
        <f t="shared" si="8"/>
        <v>0.19900999999999999</v>
      </c>
      <c r="F97" s="85">
        <f t="shared" si="9"/>
        <v>0</v>
      </c>
      <c r="G97" s="148"/>
      <c r="H97" s="148"/>
      <c r="I97" s="1952"/>
      <c r="J97" s="1953"/>
      <c r="K97" s="1954"/>
      <c r="L97" s="1056" t="str">
        <f t="shared" si="3"/>
        <v/>
      </c>
      <c r="M97" s="49"/>
      <c r="N97" s="49"/>
      <c r="O97" s="1965" t="s">
        <v>367</v>
      </c>
      <c r="P97" s="1965"/>
      <c r="Q97" s="1965"/>
      <c r="R97" s="1965"/>
      <c r="S97" s="1965"/>
      <c r="T97" s="1965"/>
      <c r="U97" s="1965"/>
      <c r="V97" s="1965"/>
      <c r="W97" s="1965"/>
      <c r="X97" s="49"/>
      <c r="Y97" s="49"/>
      <c r="Z97" s="49"/>
      <c r="AA97" s="49"/>
      <c r="AB97" s="49"/>
      <c r="AC97" s="49"/>
      <c r="AD97" s="49"/>
    </row>
    <row r="98" spans="1:30" ht="15" customHeight="1" x14ac:dyDescent="0.3">
      <c r="A98" s="320" t="s">
        <v>371</v>
      </c>
      <c r="B98" s="1913"/>
      <c r="C98" s="648" t="s">
        <v>102</v>
      </c>
      <c r="D98" s="1039"/>
      <c r="E98" s="382">
        <f t="shared" si="8"/>
        <v>0.17710000000000001</v>
      </c>
      <c r="F98" s="85">
        <f t="shared" si="9"/>
        <v>0</v>
      </c>
      <c r="G98" s="148"/>
      <c r="H98" s="148"/>
      <c r="I98" s="1952"/>
      <c r="J98" s="1953"/>
      <c r="K98" s="1954"/>
      <c r="L98" s="1056" t="str">
        <f t="shared" si="3"/>
        <v/>
      </c>
      <c r="M98" s="49"/>
      <c r="N98" s="49"/>
      <c r="O98" s="1966"/>
      <c r="P98" s="1966"/>
      <c r="Q98" s="1966"/>
      <c r="R98" s="1966"/>
      <c r="S98" s="1966"/>
      <c r="T98" s="1966"/>
      <c r="U98" s="1966"/>
      <c r="V98" s="1966"/>
      <c r="W98" s="1966"/>
      <c r="X98" s="49"/>
      <c r="Y98" s="49"/>
      <c r="Z98" s="49"/>
      <c r="AA98" s="49"/>
      <c r="AB98" s="49"/>
      <c r="AC98" s="49"/>
      <c r="AD98" s="49"/>
    </row>
    <row r="99" spans="1:30" ht="15" customHeight="1" x14ac:dyDescent="0.3">
      <c r="A99" s="320" t="s">
        <v>371</v>
      </c>
      <c r="B99" s="1913"/>
      <c r="C99" s="648" t="s">
        <v>103</v>
      </c>
      <c r="D99" s="1039"/>
      <c r="E99" s="382">
        <f t="shared" si="8"/>
        <v>8.4449999999999997E-2</v>
      </c>
      <c r="F99" s="85">
        <f t="shared" si="9"/>
        <v>0</v>
      </c>
      <c r="G99" s="148"/>
      <c r="H99" s="148"/>
      <c r="I99" s="1952"/>
      <c r="J99" s="1953"/>
      <c r="K99" s="1954"/>
      <c r="L99" s="1056" t="str">
        <f t="shared" si="3"/>
        <v/>
      </c>
      <c r="M99" s="49"/>
      <c r="N99" s="49"/>
      <c r="O99" s="1966"/>
      <c r="P99" s="1966"/>
      <c r="Q99" s="1966"/>
      <c r="R99" s="1966"/>
      <c r="S99" s="1966"/>
      <c r="T99" s="1966"/>
      <c r="U99" s="1966"/>
      <c r="V99" s="1966"/>
      <c r="W99" s="1966"/>
      <c r="X99" s="49"/>
      <c r="Y99" s="49"/>
      <c r="Z99" s="49"/>
      <c r="AA99" s="49"/>
      <c r="AB99" s="49"/>
      <c r="AC99" s="49"/>
      <c r="AD99" s="49"/>
    </row>
    <row r="100" spans="1:30" ht="15" customHeight="1" x14ac:dyDescent="0.3">
      <c r="A100" s="320" t="s">
        <v>371</v>
      </c>
      <c r="B100" s="1913"/>
      <c r="C100" s="648" t="s">
        <v>104</v>
      </c>
      <c r="D100" s="1039"/>
      <c r="E100" s="382">
        <f t="shared" si="8"/>
        <v>0.10289</v>
      </c>
      <c r="F100" s="85">
        <f t="shared" si="9"/>
        <v>0</v>
      </c>
      <c r="G100" s="148"/>
      <c r="H100" s="148"/>
      <c r="I100" s="1952"/>
      <c r="J100" s="1953"/>
      <c r="K100" s="1954"/>
      <c r="L100" s="1056" t="str">
        <f t="shared" si="3"/>
        <v/>
      </c>
      <c r="M100" s="49"/>
      <c r="N100" s="49"/>
      <c r="O100" s="1966"/>
      <c r="P100" s="1966"/>
      <c r="Q100" s="1966"/>
      <c r="R100" s="1966"/>
      <c r="S100" s="1966"/>
      <c r="T100" s="1966"/>
      <c r="U100" s="1966"/>
      <c r="V100" s="1966"/>
      <c r="W100" s="1966"/>
      <c r="X100" s="49"/>
      <c r="Y100" s="49"/>
      <c r="Z100" s="49"/>
      <c r="AA100" s="49"/>
      <c r="AB100" s="49"/>
      <c r="AC100" s="49"/>
      <c r="AD100" s="49"/>
    </row>
    <row r="101" spans="1:30" ht="15" customHeight="1" x14ac:dyDescent="0.3">
      <c r="A101" s="320" t="s">
        <v>371</v>
      </c>
      <c r="B101" s="1913"/>
      <c r="C101" s="648" t="s">
        <v>105</v>
      </c>
      <c r="D101" s="1039"/>
      <c r="E101" s="382">
        <f t="shared" si="8"/>
        <v>0.13500999999999999</v>
      </c>
      <c r="F101" s="85">
        <f t="shared" si="9"/>
        <v>0</v>
      </c>
      <c r="G101" s="148"/>
      <c r="H101" s="148"/>
      <c r="I101" s="1952"/>
      <c r="J101" s="1953"/>
      <c r="K101" s="1954"/>
      <c r="L101" s="1056" t="str">
        <f t="shared" si="3"/>
        <v/>
      </c>
      <c r="M101" s="49"/>
      <c r="N101" s="49"/>
      <c r="O101" s="49"/>
      <c r="P101" s="49"/>
      <c r="Q101" s="49"/>
      <c r="R101" s="49"/>
      <c r="S101" s="49"/>
      <c r="T101" s="49"/>
      <c r="U101" s="49"/>
      <c r="V101" s="49"/>
      <c r="W101" s="49"/>
      <c r="X101" s="49"/>
      <c r="Y101" s="49"/>
      <c r="Z101" s="49"/>
      <c r="AA101" s="49"/>
      <c r="AB101" s="49"/>
      <c r="AC101" s="49"/>
      <c r="AD101" s="49"/>
    </row>
    <row r="102" spans="1:30" ht="15" customHeight="1" x14ac:dyDescent="0.3">
      <c r="A102" s="320" t="s">
        <v>371</v>
      </c>
      <c r="B102" s="1913"/>
      <c r="C102" s="648" t="s">
        <v>106</v>
      </c>
      <c r="D102" s="1039"/>
      <c r="E102" s="382">
        <f t="shared" si="8"/>
        <v>0.11551</v>
      </c>
      <c r="F102" s="85">
        <f t="shared" si="9"/>
        <v>0</v>
      </c>
      <c r="G102" s="148"/>
      <c r="H102" s="148"/>
      <c r="I102" s="1952"/>
      <c r="J102" s="1953"/>
      <c r="K102" s="1954"/>
      <c r="L102" s="1056" t="str">
        <f t="shared" si="3"/>
        <v/>
      </c>
      <c r="M102" s="49"/>
      <c r="N102" s="49"/>
      <c r="O102" s="49"/>
      <c r="P102" s="49"/>
      <c r="Q102" s="49"/>
      <c r="R102" s="49"/>
      <c r="S102" s="49"/>
      <c r="T102" s="49"/>
      <c r="U102" s="49"/>
      <c r="V102" s="49"/>
      <c r="W102" s="49"/>
      <c r="X102" s="49"/>
      <c r="Y102" s="49"/>
      <c r="Z102" s="49"/>
      <c r="AA102" s="49"/>
      <c r="AB102" s="49"/>
      <c r="AC102" s="49"/>
      <c r="AD102" s="49"/>
    </row>
    <row r="103" spans="1:30" ht="15" customHeight="1" x14ac:dyDescent="0.3">
      <c r="A103" s="320" t="s">
        <v>371</v>
      </c>
      <c r="B103" s="1913"/>
      <c r="C103" s="649" t="s">
        <v>410</v>
      </c>
      <c r="D103" s="1039"/>
      <c r="E103" s="1036"/>
      <c r="F103" s="85">
        <f t="shared" si="9"/>
        <v>0</v>
      </c>
      <c r="G103" s="148"/>
      <c r="H103" s="148"/>
      <c r="I103" s="1952"/>
      <c r="J103" s="1953"/>
      <c r="K103" s="1954"/>
      <c r="L103" s="1056" t="str">
        <f t="shared" si="3"/>
        <v/>
      </c>
      <c r="M103" s="49"/>
      <c r="N103" s="49"/>
      <c r="O103" s="49"/>
      <c r="P103" s="49"/>
      <c r="Q103" s="49"/>
      <c r="R103" s="49"/>
      <c r="S103" s="49"/>
      <c r="T103" s="49"/>
      <c r="U103" s="49"/>
      <c r="V103" s="49"/>
      <c r="W103" s="49"/>
      <c r="X103" s="49"/>
      <c r="Y103" s="49"/>
      <c r="Z103" s="49"/>
      <c r="AA103" s="49"/>
      <c r="AB103" s="49"/>
      <c r="AC103" s="49"/>
      <c r="AD103" s="49"/>
    </row>
    <row r="104" spans="1:30" ht="15" customHeight="1" x14ac:dyDescent="0.3">
      <c r="A104" s="320" t="s">
        <v>371</v>
      </c>
      <c r="B104" s="1913"/>
      <c r="C104" s="649" t="s">
        <v>411</v>
      </c>
      <c r="D104" s="1039"/>
      <c r="E104" s="1036"/>
      <c r="F104" s="85">
        <f t="shared" si="9"/>
        <v>0</v>
      </c>
      <c r="G104" s="148"/>
      <c r="H104" s="148"/>
      <c r="I104" s="1952"/>
      <c r="J104" s="1953"/>
      <c r="K104" s="1954"/>
      <c r="L104" s="1056" t="str">
        <f t="shared" si="3"/>
        <v/>
      </c>
      <c r="M104" s="49"/>
      <c r="N104" s="49"/>
      <c r="O104" s="49"/>
      <c r="P104" s="49"/>
      <c r="Q104" s="49"/>
      <c r="R104" s="49"/>
      <c r="S104" s="49"/>
      <c r="T104" s="49"/>
      <c r="U104" s="49"/>
      <c r="V104" s="49"/>
      <c r="W104" s="49"/>
      <c r="X104" s="49"/>
      <c r="Y104" s="49"/>
      <c r="Z104" s="49"/>
      <c r="AA104" s="49"/>
      <c r="AB104" s="49"/>
      <c r="AC104" s="49"/>
      <c r="AD104" s="49"/>
    </row>
    <row r="105" spans="1:30" ht="15" customHeight="1" x14ac:dyDescent="0.3">
      <c r="A105" s="320" t="s">
        <v>371</v>
      </c>
      <c r="B105" s="1913"/>
      <c r="C105" s="649" t="s">
        <v>412</v>
      </c>
      <c r="D105" s="1039"/>
      <c r="E105" s="1036"/>
      <c r="F105" s="85">
        <f t="shared" si="9"/>
        <v>0</v>
      </c>
      <c r="G105" s="148"/>
      <c r="H105" s="148"/>
      <c r="I105" s="1952"/>
      <c r="J105" s="1953"/>
      <c r="K105" s="1954"/>
      <c r="L105" s="1056" t="str">
        <f t="shared" si="3"/>
        <v/>
      </c>
      <c r="M105" s="49"/>
      <c r="N105" s="49"/>
      <c r="O105" s="49"/>
      <c r="P105" s="49"/>
      <c r="Q105" s="49"/>
      <c r="R105" s="49"/>
      <c r="S105" s="49"/>
      <c r="T105" s="49"/>
      <c r="U105" s="49"/>
      <c r="V105" s="49"/>
      <c r="W105" s="49"/>
      <c r="X105" s="49"/>
      <c r="Y105" s="49"/>
      <c r="Z105" s="49"/>
      <c r="AA105" s="49"/>
      <c r="AB105" s="49"/>
      <c r="AC105" s="49"/>
      <c r="AD105" s="49"/>
    </row>
    <row r="106" spans="1:30" ht="15" customHeight="1" x14ac:dyDescent="0.3">
      <c r="A106" s="320"/>
      <c r="B106" s="1913"/>
      <c r="C106" s="649" t="s">
        <v>509</v>
      </c>
      <c r="D106" s="1039"/>
      <c r="E106" s="1036"/>
      <c r="F106" s="85">
        <f t="shared" si="9"/>
        <v>0</v>
      </c>
      <c r="G106" s="148"/>
      <c r="H106" s="148"/>
      <c r="I106" s="1952"/>
      <c r="J106" s="1953"/>
      <c r="K106" s="1954"/>
      <c r="L106" s="1056" t="str">
        <f t="shared" si="3"/>
        <v/>
      </c>
      <c r="M106" s="49"/>
      <c r="N106" s="49"/>
      <c r="O106" s="49"/>
      <c r="P106" s="49"/>
      <c r="Q106" s="49"/>
      <c r="R106" s="49"/>
      <c r="S106" s="49"/>
      <c r="T106" s="49"/>
      <c r="U106" s="49"/>
      <c r="V106" s="49"/>
      <c r="W106" s="49"/>
      <c r="X106" s="49"/>
      <c r="Y106" s="49"/>
      <c r="Z106" s="49"/>
      <c r="AA106" s="49"/>
      <c r="AB106" s="49"/>
      <c r="AC106" s="49"/>
      <c r="AD106" s="49"/>
    </row>
    <row r="107" spans="1:30" ht="15" customHeight="1" thickBot="1" x14ac:dyDescent="0.35">
      <c r="A107" s="320"/>
      <c r="B107" s="1914"/>
      <c r="C107" s="649" t="s">
        <v>510</v>
      </c>
      <c r="D107" s="1039"/>
      <c r="E107" s="81"/>
      <c r="F107" s="85">
        <f t="shared" si="9"/>
        <v>0</v>
      </c>
      <c r="G107" s="148"/>
      <c r="H107" s="148"/>
      <c r="I107" s="2109"/>
      <c r="J107" s="2110"/>
      <c r="K107" s="2111"/>
      <c r="L107" s="1056" t="str">
        <f t="shared" si="3"/>
        <v/>
      </c>
      <c r="M107" s="49"/>
      <c r="N107" s="49"/>
      <c r="O107" s="49"/>
      <c r="P107" s="49"/>
      <c r="Q107" s="49"/>
      <c r="R107" s="49"/>
      <c r="S107" s="49"/>
      <c r="T107" s="49"/>
      <c r="U107" s="49"/>
      <c r="V107" s="49"/>
      <c r="W107" s="49"/>
      <c r="X107" s="49"/>
      <c r="Y107" s="49"/>
      <c r="Z107" s="49"/>
      <c r="AA107" s="49"/>
      <c r="AB107" s="49"/>
      <c r="AC107" s="49"/>
      <c r="AD107" s="49"/>
    </row>
    <row r="108" spans="1:30" ht="15.75" customHeight="1" thickBot="1" x14ac:dyDescent="0.35">
      <c r="A108" s="320"/>
      <c r="B108" s="1955" t="s">
        <v>112</v>
      </c>
      <c r="C108" s="1956"/>
      <c r="D108" s="44">
        <f>SUM(D109:D121)</f>
        <v>0</v>
      </c>
      <c r="E108" s="379" t="str">
        <f>IF(D108&lt;&gt;0,F108*1000/D108,"")</f>
        <v/>
      </c>
      <c r="F108" s="171">
        <f>SUM(F109:F121)</f>
        <v>0</v>
      </c>
      <c r="G108" s="148"/>
      <c r="H108" s="148"/>
      <c r="I108" s="2083"/>
      <c r="J108" s="2084"/>
      <c r="K108" s="2085"/>
      <c r="L108" s="1119" t="str">
        <f t="shared" si="3"/>
        <v/>
      </c>
      <c r="M108" s="49"/>
      <c r="N108" s="49"/>
      <c r="O108" s="49"/>
      <c r="P108" s="49"/>
      <c r="Q108" s="49"/>
      <c r="R108" s="49"/>
      <c r="S108" s="49"/>
      <c r="T108" s="49"/>
      <c r="U108" s="49"/>
      <c r="V108" s="49"/>
      <c r="W108" s="49"/>
      <c r="X108" s="49"/>
      <c r="Y108" s="49"/>
      <c r="Z108" s="49"/>
      <c r="AA108" s="49"/>
      <c r="AB108" s="49"/>
      <c r="AC108" s="49"/>
      <c r="AD108" s="49"/>
    </row>
    <row r="109" spans="1:30" ht="15" customHeight="1" x14ac:dyDescent="0.3">
      <c r="A109" s="320" t="s">
        <v>371</v>
      </c>
      <c r="B109" s="1883" t="s">
        <v>113</v>
      </c>
      <c r="C109" s="46" t="s">
        <v>114</v>
      </c>
      <c r="D109" s="1037"/>
      <c r="E109" s="381">
        <f>+'Emission Factors'!K88</f>
        <v>0.13483000000000001</v>
      </c>
      <c r="F109" s="385">
        <f t="shared" ref="F109:F121" si="13">(D109*E109)/1000</f>
        <v>0</v>
      </c>
      <c r="G109" s="148"/>
      <c r="H109" s="148"/>
      <c r="I109" s="1915"/>
      <c r="J109" s="1916"/>
      <c r="K109" s="1917"/>
      <c r="L109" s="1120" t="str">
        <f t="shared" si="3"/>
        <v/>
      </c>
      <c r="M109" s="49"/>
      <c r="N109" s="49"/>
      <c r="O109" s="49"/>
      <c r="P109" s="49"/>
      <c r="Q109" s="49"/>
      <c r="R109" s="49"/>
      <c r="S109" s="49"/>
      <c r="T109" s="49"/>
      <c r="U109" s="49"/>
      <c r="V109" s="49"/>
      <c r="W109" s="49"/>
      <c r="X109" s="49"/>
      <c r="Y109" s="49"/>
      <c r="Z109" s="49"/>
      <c r="AA109" s="49"/>
      <c r="AB109" s="49"/>
      <c r="AC109" s="49"/>
      <c r="AD109" s="49"/>
    </row>
    <row r="110" spans="1:30" ht="15" customHeight="1" x14ac:dyDescent="0.3">
      <c r="A110" s="320" t="s">
        <v>371</v>
      </c>
      <c r="B110" s="1884"/>
      <c r="C110" s="648" t="s">
        <v>115</v>
      </c>
      <c r="D110" s="1038"/>
      <c r="E110" s="382">
        <f>+'Emission Factors'!K89</f>
        <v>4.1149999999999999E-2</v>
      </c>
      <c r="F110" s="385">
        <f t="shared" si="13"/>
        <v>0</v>
      </c>
      <c r="G110" s="148"/>
      <c r="H110" s="148"/>
      <c r="I110" s="1952"/>
      <c r="J110" s="1953"/>
      <c r="K110" s="1954"/>
      <c r="L110" s="1056" t="str">
        <f t="shared" si="3"/>
        <v/>
      </c>
      <c r="M110" s="49"/>
      <c r="N110" s="49"/>
      <c r="O110" s="49"/>
      <c r="P110" s="49"/>
      <c r="Q110" s="49"/>
      <c r="R110" s="49"/>
      <c r="S110" s="49"/>
      <c r="T110" s="49"/>
      <c r="U110" s="49"/>
      <c r="V110" s="49"/>
      <c r="W110" s="49"/>
      <c r="X110" s="49"/>
      <c r="Y110" s="49"/>
      <c r="Z110" s="49"/>
      <c r="AA110" s="49"/>
      <c r="AB110" s="49"/>
      <c r="AC110" s="49"/>
      <c r="AD110" s="49"/>
    </row>
    <row r="111" spans="1:30" ht="15" customHeight="1" x14ac:dyDescent="0.3">
      <c r="A111" s="320" t="s">
        <v>371</v>
      </c>
      <c r="B111" s="1884"/>
      <c r="C111" s="648" t="s">
        <v>116</v>
      </c>
      <c r="D111" s="1038"/>
      <c r="E111" s="382">
        <f>+'Emission Factors'!K90</f>
        <v>3.508E-2</v>
      </c>
      <c r="F111" s="385">
        <f t="shared" si="13"/>
        <v>0</v>
      </c>
      <c r="G111" s="148"/>
      <c r="H111" s="148"/>
      <c r="I111" s="1952"/>
      <c r="J111" s="1953"/>
      <c r="K111" s="1954"/>
      <c r="L111" s="1056" t="str">
        <f t="shared" si="3"/>
        <v/>
      </c>
      <c r="M111" s="49"/>
      <c r="N111" s="49"/>
      <c r="O111" s="49"/>
      <c r="P111" s="49"/>
      <c r="Q111" s="49"/>
      <c r="R111" s="49"/>
      <c r="S111" s="49"/>
      <c r="T111" s="49"/>
      <c r="U111" s="49"/>
      <c r="V111" s="49"/>
      <c r="W111" s="49"/>
      <c r="X111" s="49"/>
      <c r="Y111" s="49"/>
      <c r="Z111" s="49"/>
      <c r="AA111" s="49"/>
      <c r="AB111" s="49"/>
      <c r="AC111" s="49"/>
      <c r="AD111" s="49"/>
    </row>
    <row r="112" spans="1:30" ht="15" customHeight="1" x14ac:dyDescent="0.3">
      <c r="A112" s="320" t="s">
        <v>371</v>
      </c>
      <c r="B112" s="1884"/>
      <c r="C112" s="648" t="s">
        <v>117</v>
      </c>
      <c r="D112" s="1038"/>
      <c r="E112" s="382">
        <f>+'Emission Factors'!K91</f>
        <v>3.0839999999999999E-2</v>
      </c>
      <c r="F112" s="385">
        <f t="shared" si="13"/>
        <v>0</v>
      </c>
      <c r="G112" s="148"/>
      <c r="H112" s="148"/>
      <c r="I112" s="1952"/>
      <c r="J112" s="1953"/>
      <c r="K112" s="1954"/>
      <c r="L112" s="1056" t="str">
        <f t="shared" si="3"/>
        <v/>
      </c>
      <c r="M112" s="49"/>
      <c r="N112" s="49"/>
      <c r="O112" s="49"/>
      <c r="P112" s="49"/>
      <c r="Q112" s="49"/>
      <c r="R112" s="49"/>
      <c r="S112" s="49"/>
      <c r="T112" s="49"/>
      <c r="U112" s="49"/>
      <c r="V112" s="49"/>
      <c r="W112" s="49"/>
      <c r="X112" s="49"/>
      <c r="Y112" s="49"/>
      <c r="Z112" s="49"/>
      <c r="AA112" s="49"/>
      <c r="AB112" s="49"/>
      <c r="AC112" s="49"/>
      <c r="AD112" s="49"/>
    </row>
    <row r="113" spans="1:30" ht="15" customHeight="1" x14ac:dyDescent="0.3">
      <c r="A113" s="320" t="s">
        <v>371</v>
      </c>
      <c r="B113" s="1884"/>
      <c r="C113" s="648" t="s">
        <v>118</v>
      </c>
      <c r="D113" s="1038"/>
      <c r="E113" s="382">
        <f>+'Emission Factors'!K92</f>
        <v>0.15018000000000001</v>
      </c>
      <c r="F113" s="385">
        <f t="shared" si="13"/>
        <v>0</v>
      </c>
      <c r="G113" s="148"/>
      <c r="H113" s="148"/>
      <c r="I113" s="1952"/>
      <c r="J113" s="1953"/>
      <c r="K113" s="1954"/>
      <c r="L113" s="1056" t="str">
        <f t="shared" si="3"/>
        <v/>
      </c>
      <c r="M113" s="49"/>
      <c r="N113" s="49"/>
      <c r="O113" s="49"/>
      <c r="P113" s="49"/>
      <c r="Q113" s="49"/>
      <c r="R113" s="49"/>
      <c r="S113" s="49"/>
      <c r="T113" s="49"/>
      <c r="U113" s="49"/>
      <c r="V113" s="49"/>
      <c r="W113" s="49"/>
      <c r="X113" s="49"/>
      <c r="Y113" s="49"/>
      <c r="Z113" s="49"/>
      <c r="AA113" s="49"/>
      <c r="AB113" s="49"/>
      <c r="AC113" s="49"/>
      <c r="AD113" s="49"/>
    </row>
    <row r="114" spans="1:30" ht="15" customHeight="1" x14ac:dyDescent="0.3">
      <c r="A114" s="320" t="s">
        <v>371</v>
      </c>
      <c r="B114" s="1884"/>
      <c r="C114" s="648" t="s">
        <v>119</v>
      </c>
      <c r="D114" s="1038"/>
      <c r="E114" s="382">
        <f>+'Emission Factors'!K93</f>
        <v>0.21176</v>
      </c>
      <c r="F114" s="385">
        <f t="shared" si="13"/>
        <v>0</v>
      </c>
      <c r="G114" s="148"/>
      <c r="H114" s="148"/>
      <c r="I114" s="1952"/>
      <c r="J114" s="1953"/>
      <c r="K114" s="1954"/>
      <c r="L114" s="1056" t="str">
        <f t="shared" si="3"/>
        <v/>
      </c>
      <c r="M114" s="49"/>
      <c r="N114" s="49"/>
      <c r="O114" s="49"/>
      <c r="P114" s="49"/>
      <c r="Q114" s="49"/>
      <c r="R114" s="49"/>
      <c r="S114" s="49"/>
      <c r="T114" s="49"/>
      <c r="U114" s="49"/>
      <c r="V114" s="49"/>
      <c r="W114" s="49"/>
      <c r="X114" s="49"/>
      <c r="Y114" s="49"/>
      <c r="Z114" s="49"/>
      <c r="AA114" s="49"/>
      <c r="AB114" s="49"/>
      <c r="AC114" s="49"/>
      <c r="AD114" s="49"/>
    </row>
    <row r="115" spans="1:30" ht="15" customHeight="1" x14ac:dyDescent="0.3">
      <c r="A115" s="320" t="s">
        <v>371</v>
      </c>
      <c r="B115" s="1884"/>
      <c r="C115" s="648" t="s">
        <v>120</v>
      </c>
      <c r="D115" s="1038"/>
      <c r="E115" s="382">
        <f>+'Emission Factors'!K94</f>
        <v>0.12076000000000001</v>
      </c>
      <c r="F115" s="385">
        <f t="shared" si="13"/>
        <v>0</v>
      </c>
      <c r="G115" s="148"/>
      <c r="H115" s="148"/>
      <c r="I115" s="1952"/>
      <c r="J115" s="1953"/>
      <c r="K115" s="1954"/>
      <c r="L115" s="1056" t="str">
        <f t="shared" si="3"/>
        <v/>
      </c>
      <c r="M115" s="49"/>
      <c r="N115" s="49"/>
      <c r="O115" s="49"/>
      <c r="P115" s="49"/>
      <c r="Q115" s="49"/>
      <c r="R115" s="49"/>
      <c r="S115" s="49"/>
      <c r="T115" s="49"/>
      <c r="U115" s="49"/>
      <c r="V115" s="49"/>
      <c r="W115" s="49"/>
      <c r="X115" s="49"/>
      <c r="Y115" s="49"/>
      <c r="Z115" s="49"/>
      <c r="AA115" s="49"/>
      <c r="AB115" s="49"/>
      <c r="AC115" s="49"/>
      <c r="AD115" s="49"/>
    </row>
    <row r="116" spans="1:30" ht="15" customHeight="1" x14ac:dyDescent="0.3">
      <c r="A116" s="320" t="s">
        <v>371</v>
      </c>
      <c r="B116" s="1884"/>
      <c r="C116" s="648" t="s">
        <v>121</v>
      </c>
      <c r="D116" s="1038"/>
      <c r="E116" s="382">
        <f>+'Emission Factors'!K95</f>
        <v>8.208E-2</v>
      </c>
      <c r="F116" s="385">
        <f t="shared" si="13"/>
        <v>0</v>
      </c>
      <c r="G116" s="148"/>
      <c r="H116" s="148"/>
      <c r="I116" s="1952"/>
      <c r="J116" s="1953"/>
      <c r="K116" s="1954"/>
      <c r="L116" s="1056" t="str">
        <f t="shared" si="3"/>
        <v/>
      </c>
      <c r="M116" s="49"/>
      <c r="N116" s="49"/>
      <c r="O116" s="49"/>
      <c r="P116" s="49"/>
      <c r="Q116" s="49"/>
      <c r="R116" s="49"/>
      <c r="S116" s="49"/>
      <c r="T116" s="49"/>
      <c r="U116" s="49"/>
      <c r="V116" s="49"/>
      <c r="W116" s="49"/>
      <c r="X116" s="49"/>
      <c r="Y116" s="49"/>
      <c r="Z116" s="49"/>
      <c r="AA116" s="49"/>
      <c r="AB116" s="49"/>
      <c r="AC116" s="49"/>
      <c r="AD116" s="49"/>
    </row>
    <row r="117" spans="1:30" ht="15" customHeight="1" x14ac:dyDescent="0.3">
      <c r="A117" s="320" t="s">
        <v>371</v>
      </c>
      <c r="B117" s="1884"/>
      <c r="C117" s="648" t="s">
        <v>122</v>
      </c>
      <c r="D117" s="1038"/>
      <c r="E117" s="382">
        <f>+'Emission Factors'!K96</f>
        <v>0.10471</v>
      </c>
      <c r="F117" s="385">
        <f t="shared" si="13"/>
        <v>0</v>
      </c>
      <c r="G117" s="148"/>
      <c r="H117" s="148"/>
      <c r="I117" s="1952"/>
      <c r="J117" s="1953"/>
      <c r="K117" s="1954"/>
      <c r="L117" s="1056" t="str">
        <f t="shared" si="3"/>
        <v/>
      </c>
      <c r="M117" s="49"/>
      <c r="N117" s="49"/>
      <c r="O117" s="49"/>
      <c r="P117" s="49"/>
      <c r="Q117" s="49"/>
      <c r="R117" s="49"/>
      <c r="S117" s="49"/>
      <c r="T117" s="49"/>
      <c r="U117" s="49"/>
      <c r="V117" s="49"/>
      <c r="W117" s="49"/>
      <c r="X117" s="49"/>
      <c r="Y117" s="49"/>
      <c r="Z117" s="49"/>
      <c r="AA117" s="49"/>
      <c r="AB117" s="49"/>
      <c r="AC117" s="49"/>
      <c r="AD117" s="49"/>
    </row>
    <row r="118" spans="1:30" ht="15" customHeight="1" x14ac:dyDescent="0.3">
      <c r="A118" s="320" t="s">
        <v>371</v>
      </c>
      <c r="B118" s="1884"/>
      <c r="C118" s="648" t="s">
        <v>123</v>
      </c>
      <c r="D118" s="1038"/>
      <c r="E118" s="382">
        <f>+'Emission Factors'!K97</f>
        <v>2.7789999999999999E-2</v>
      </c>
      <c r="F118" s="385">
        <f t="shared" si="13"/>
        <v>0</v>
      </c>
      <c r="G118" s="148"/>
      <c r="H118" s="148"/>
      <c r="I118" s="1952"/>
      <c r="J118" s="1953"/>
      <c r="K118" s="1954"/>
      <c r="L118" s="1056" t="str">
        <f t="shared" si="3"/>
        <v/>
      </c>
      <c r="M118" s="49"/>
      <c r="N118" s="49"/>
      <c r="O118" s="49"/>
      <c r="P118" s="49"/>
      <c r="Q118" s="49"/>
      <c r="R118" s="49"/>
      <c r="S118" s="49"/>
      <c r="T118" s="49"/>
      <c r="U118" s="49"/>
      <c r="V118" s="49"/>
      <c r="W118" s="49"/>
      <c r="X118" s="49"/>
      <c r="Y118" s="49"/>
      <c r="Z118" s="49"/>
      <c r="AA118" s="49"/>
      <c r="AB118" s="49"/>
      <c r="AC118" s="49"/>
      <c r="AD118" s="49"/>
    </row>
    <row r="119" spans="1:30" ht="15" customHeight="1" x14ac:dyDescent="0.3">
      <c r="A119" s="320" t="s">
        <v>371</v>
      </c>
      <c r="B119" s="1884"/>
      <c r="C119" s="649" t="s">
        <v>410</v>
      </c>
      <c r="D119" s="1038"/>
      <c r="E119" s="1036"/>
      <c r="F119" s="385">
        <f t="shared" si="13"/>
        <v>0</v>
      </c>
      <c r="G119" s="148"/>
      <c r="H119" s="148"/>
      <c r="I119" s="1952"/>
      <c r="J119" s="1953"/>
      <c r="K119" s="1954"/>
      <c r="L119" s="1056" t="str">
        <f t="shared" si="3"/>
        <v/>
      </c>
      <c r="M119" s="49"/>
      <c r="N119" s="49"/>
      <c r="O119" s="49"/>
      <c r="P119" s="49"/>
      <c r="Q119" s="49"/>
      <c r="R119" s="49"/>
      <c r="S119" s="49"/>
      <c r="T119" s="49"/>
      <c r="U119" s="49"/>
      <c r="V119" s="49"/>
      <c r="W119" s="49"/>
      <c r="X119" s="49"/>
      <c r="Y119" s="49"/>
      <c r="Z119" s="49"/>
      <c r="AA119" s="49"/>
      <c r="AB119" s="49"/>
      <c r="AC119" s="49"/>
      <c r="AD119" s="49"/>
    </row>
    <row r="120" spans="1:30" ht="15" customHeight="1" x14ac:dyDescent="0.3">
      <c r="A120" s="320" t="s">
        <v>371</v>
      </c>
      <c r="B120" s="1884"/>
      <c r="C120" s="649" t="s">
        <v>411</v>
      </c>
      <c r="D120" s="1038"/>
      <c r="E120" s="1036"/>
      <c r="F120" s="385">
        <f t="shared" si="13"/>
        <v>0</v>
      </c>
      <c r="G120" s="148"/>
      <c r="H120" s="148"/>
      <c r="I120" s="1952"/>
      <c r="J120" s="1953"/>
      <c r="K120" s="1954"/>
      <c r="L120" s="1056" t="str">
        <f t="shared" si="3"/>
        <v/>
      </c>
      <c r="M120" s="49"/>
      <c r="N120" s="49"/>
      <c r="O120" s="49"/>
      <c r="P120" s="49"/>
      <c r="Q120" s="49"/>
      <c r="R120" s="49"/>
      <c r="S120" s="49"/>
      <c r="T120" s="49"/>
      <c r="U120" s="49"/>
      <c r="V120" s="49"/>
      <c r="W120" s="49"/>
      <c r="X120" s="49"/>
      <c r="Y120" s="49"/>
      <c r="Z120" s="49"/>
      <c r="AA120" s="49"/>
      <c r="AB120" s="49"/>
      <c r="AC120" s="49"/>
      <c r="AD120" s="49"/>
    </row>
    <row r="121" spans="1:30" ht="15" customHeight="1" thickBot="1" x14ac:dyDescent="0.35">
      <c r="A121" s="320" t="s">
        <v>371</v>
      </c>
      <c r="B121" s="1884"/>
      <c r="C121" s="649" t="s">
        <v>412</v>
      </c>
      <c r="D121" s="1039"/>
      <c r="E121" s="1036"/>
      <c r="F121" s="85">
        <f t="shared" si="13"/>
        <v>0</v>
      </c>
      <c r="G121" s="148"/>
      <c r="H121" s="148"/>
      <c r="I121" s="1952"/>
      <c r="J121" s="1953"/>
      <c r="K121" s="1954"/>
      <c r="L121" s="1056" t="str">
        <f t="shared" si="3"/>
        <v/>
      </c>
      <c r="M121" s="49"/>
      <c r="N121" s="49"/>
      <c r="O121" s="49"/>
      <c r="P121" s="49"/>
      <c r="Q121" s="49"/>
      <c r="R121" s="49"/>
      <c r="S121" s="49"/>
      <c r="T121" s="49"/>
      <c r="U121" s="49"/>
      <c r="V121" s="49"/>
      <c r="W121" s="49"/>
      <c r="X121" s="49"/>
      <c r="Y121" s="49"/>
      <c r="Z121" s="49"/>
      <c r="AA121" s="49"/>
      <c r="AB121" s="49"/>
      <c r="AC121" s="49"/>
      <c r="AD121" s="49"/>
    </row>
    <row r="122" spans="1:30" ht="14.4" thickBot="1" x14ac:dyDescent="0.35">
      <c r="A122" s="320"/>
      <c r="B122" s="656" t="s">
        <v>406</v>
      </c>
      <c r="C122" s="658" t="s">
        <v>405</v>
      </c>
      <c r="D122" s="1049"/>
      <c r="E122" s="389">
        <v>0</v>
      </c>
      <c r="F122" s="389"/>
      <c r="G122" s="1112"/>
      <c r="H122" s="1113"/>
      <c r="I122" s="1996"/>
      <c r="J122" s="1997"/>
      <c r="K122" s="1998"/>
      <c r="L122" s="1119" t="str">
        <f t="shared" si="3"/>
        <v/>
      </c>
      <c r="M122" s="49"/>
      <c r="N122" s="49"/>
      <c r="O122" s="49"/>
      <c r="P122" s="49"/>
      <c r="Q122" s="49"/>
      <c r="R122" s="49"/>
      <c r="S122" s="49"/>
      <c r="T122" s="49"/>
      <c r="U122" s="49"/>
      <c r="V122" s="49"/>
      <c r="W122" s="49"/>
      <c r="X122" s="49"/>
      <c r="Y122" s="49"/>
      <c r="Z122" s="49"/>
      <c r="AA122" s="49"/>
      <c r="AB122" s="49"/>
      <c r="AC122" s="49"/>
      <c r="AD122" s="49"/>
    </row>
    <row r="123" spans="1:30" ht="13.5" customHeight="1" thickBot="1" x14ac:dyDescent="0.35">
      <c r="A123" s="320"/>
      <c r="B123" s="1093" t="s">
        <v>124</v>
      </c>
      <c r="C123" s="387"/>
      <c r="D123" s="654"/>
      <c r="E123" s="481"/>
      <c r="F123" s="1111">
        <f>+F19+F53+F64+T67+F86+T89+F108</f>
        <v>0</v>
      </c>
      <c r="G123" s="49"/>
      <c r="H123" s="49"/>
      <c r="I123" s="49"/>
      <c r="J123" s="49"/>
      <c r="K123" s="49"/>
      <c r="L123" s="49"/>
      <c r="M123" s="49"/>
      <c r="N123" s="49"/>
      <c r="O123" s="49"/>
      <c r="P123" s="49"/>
      <c r="Q123" s="49"/>
      <c r="R123" s="49"/>
      <c r="S123" s="49"/>
      <c r="T123" s="49"/>
      <c r="U123" s="49"/>
      <c r="V123" s="49"/>
      <c r="W123" s="49"/>
      <c r="X123" s="49"/>
      <c r="Y123" s="49"/>
      <c r="Z123" s="49"/>
      <c r="AA123" s="49"/>
      <c r="AB123" s="49"/>
      <c r="AC123" s="49"/>
      <c r="AD123" s="49"/>
    </row>
    <row r="124" spans="1:30" s="589" customFormat="1" ht="15" thickBot="1" x14ac:dyDescent="0.35">
      <c r="A124" s="391"/>
      <c r="B124" s="392" t="s">
        <v>125</v>
      </c>
      <c r="C124" s="393"/>
      <c r="D124" s="393"/>
      <c r="E124" s="393"/>
      <c r="F124" s="393"/>
      <c r="G124" s="393"/>
      <c r="H124" s="394"/>
      <c r="I124" s="395"/>
      <c r="J124" s="396"/>
      <c r="K124" s="396"/>
      <c r="L124" s="396"/>
      <c r="M124" s="396"/>
      <c r="N124" s="396"/>
      <c r="O124" s="396"/>
      <c r="P124" s="396"/>
      <c r="Q124" s="396"/>
      <c r="R124" s="396"/>
      <c r="S124" s="396"/>
      <c r="T124" s="396"/>
      <c r="U124" s="396"/>
      <c r="V124" s="396"/>
      <c r="W124" s="396"/>
      <c r="X124" s="396"/>
      <c r="Y124" s="396"/>
      <c r="Z124" s="396"/>
      <c r="AA124" s="396"/>
      <c r="AB124" s="396"/>
      <c r="AC124" s="396"/>
      <c r="AD124" s="396"/>
    </row>
    <row r="125" spans="1:30" ht="15.75" customHeight="1" thickBot="1" x14ac:dyDescent="0.35">
      <c r="A125" s="320"/>
      <c r="B125" s="397"/>
      <c r="C125" s="398"/>
      <c r="D125" s="1999" t="s">
        <v>23</v>
      </c>
      <c r="E125" s="2000"/>
      <c r="F125" s="2001"/>
      <c r="G125" s="376"/>
      <c r="H125" s="376"/>
      <c r="I125" s="2002" t="s">
        <v>24</v>
      </c>
      <c r="J125" s="2003"/>
      <c r="K125" s="2004"/>
      <c r="L125" s="361" t="s">
        <v>408</v>
      </c>
      <c r="M125" s="1909" t="s">
        <v>461</v>
      </c>
      <c r="N125" s="49"/>
      <c r="O125" s="49"/>
      <c r="P125" s="49"/>
      <c r="Q125" s="49"/>
      <c r="R125" s="49"/>
      <c r="S125" s="49"/>
      <c r="T125" s="49"/>
      <c r="U125" s="49"/>
      <c r="V125" s="49"/>
      <c r="W125" s="49"/>
      <c r="X125" s="49"/>
      <c r="Y125" s="49"/>
      <c r="Z125" s="49"/>
      <c r="AA125" s="49"/>
      <c r="AB125" s="49"/>
      <c r="AC125" s="49"/>
      <c r="AD125" s="49"/>
    </row>
    <row r="126" spans="1:30" ht="15.75" customHeight="1" thickBot="1" x14ac:dyDescent="0.35">
      <c r="A126" s="320"/>
      <c r="B126" s="397"/>
      <c r="C126" s="398"/>
      <c r="D126" s="399" t="s">
        <v>81</v>
      </c>
      <c r="E126" s="400" t="s">
        <v>171</v>
      </c>
      <c r="F126" s="401" t="s">
        <v>174</v>
      </c>
      <c r="G126" s="148"/>
      <c r="H126" s="148"/>
      <c r="I126" s="2005"/>
      <c r="J126" s="2006"/>
      <c r="K126" s="2007"/>
      <c r="L126" s="663" t="s">
        <v>28</v>
      </c>
      <c r="M126" s="1911"/>
      <c r="N126" s="49"/>
      <c r="O126" s="49"/>
      <c r="P126" s="49"/>
      <c r="Q126" s="49"/>
      <c r="R126" s="49"/>
      <c r="S126" s="49"/>
      <c r="T126" s="49"/>
      <c r="U126" s="49"/>
      <c r="V126" s="49"/>
      <c r="W126" s="49"/>
      <c r="X126" s="49"/>
      <c r="Y126" s="49"/>
      <c r="Z126" s="49"/>
      <c r="AA126" s="49"/>
      <c r="AB126" s="49"/>
      <c r="AC126" s="49"/>
      <c r="AD126" s="49"/>
    </row>
    <row r="127" spans="1:30" ht="13.5" customHeight="1" thickBot="1" x14ac:dyDescent="0.35">
      <c r="A127" s="320"/>
      <c r="B127" s="482" t="s">
        <v>126</v>
      </c>
      <c r="C127" s="483"/>
      <c r="D127" s="484">
        <f>SUM(D128:D136)</f>
        <v>0</v>
      </c>
      <c r="E127" s="405"/>
      <c r="F127" s="485">
        <f>SUM(F128:F136)</f>
        <v>0</v>
      </c>
      <c r="G127" s="148"/>
      <c r="H127" s="148"/>
      <c r="I127" s="2005"/>
      <c r="J127" s="2006"/>
      <c r="K127" s="2007"/>
      <c r="L127" s="660">
        <f>SUM(L128:L136)</f>
        <v>0</v>
      </c>
      <c r="M127" s="1119" t="str">
        <f>IF(D127&lt;0,"Error - Negative number","")</f>
        <v/>
      </c>
      <c r="N127" s="49"/>
      <c r="O127" s="49"/>
      <c r="P127" s="49"/>
      <c r="Q127" s="49"/>
      <c r="R127" s="49"/>
      <c r="S127" s="49"/>
      <c r="T127" s="49"/>
      <c r="U127" s="49"/>
      <c r="V127" s="49"/>
      <c r="W127" s="49"/>
      <c r="X127" s="49"/>
      <c r="Y127" s="49"/>
      <c r="Z127" s="49"/>
      <c r="AA127" s="49"/>
      <c r="AB127" s="49"/>
      <c r="AC127" s="49"/>
      <c r="AD127" s="49"/>
    </row>
    <row r="128" spans="1:30" ht="15" customHeight="1" x14ac:dyDescent="0.3">
      <c r="A128" s="320" t="s">
        <v>373</v>
      </c>
      <c r="B128" s="407" t="s">
        <v>127</v>
      </c>
      <c r="C128" s="408"/>
      <c r="D128" s="1041"/>
      <c r="E128" s="381">
        <f>+'Emission Factors'!K107</f>
        <v>0.15831999999999999</v>
      </c>
      <c r="F128" s="563">
        <f>(D128*E128)/1000</f>
        <v>0</v>
      </c>
      <c r="G128" s="148"/>
      <c r="H128" s="148"/>
      <c r="I128" s="2141"/>
      <c r="J128" s="2142"/>
      <c r="K128" s="2143"/>
      <c r="L128" s="559">
        <f>+F128*2.09</f>
        <v>0</v>
      </c>
      <c r="M128" s="1120" t="str">
        <f t="shared" ref="M128:M136" si="14">IF(D128&lt;0,"Error - Negative number","")</f>
        <v/>
      </c>
      <c r="N128" s="49"/>
      <c r="O128" s="49"/>
      <c r="P128" s="49"/>
      <c r="Q128" s="49"/>
      <c r="R128" s="49"/>
      <c r="S128" s="49"/>
      <c r="T128" s="49"/>
      <c r="U128" s="49"/>
      <c r="V128" s="49"/>
      <c r="W128" s="49"/>
      <c r="X128" s="49"/>
      <c r="Y128" s="49"/>
      <c r="Z128" s="49"/>
      <c r="AA128" s="49"/>
      <c r="AB128" s="49"/>
      <c r="AC128" s="49"/>
      <c r="AD128" s="49"/>
    </row>
    <row r="129" spans="1:30" ht="15.75" customHeight="1" x14ac:dyDescent="0.3">
      <c r="A129" s="320" t="s">
        <v>373</v>
      </c>
      <c r="B129" s="111" t="s">
        <v>128</v>
      </c>
      <c r="C129" s="112"/>
      <c r="D129" s="1040"/>
      <c r="E129" s="382">
        <f>+'Emission Factors'!K108</f>
        <v>0.15573000000000001</v>
      </c>
      <c r="F129" s="564">
        <f t="shared" ref="F129:F136" si="15">(D129*E129)/1000</f>
        <v>0</v>
      </c>
      <c r="G129" s="148"/>
      <c r="H129" s="148"/>
      <c r="I129" s="2116"/>
      <c r="J129" s="2117"/>
      <c r="K129" s="2118"/>
      <c r="L129" s="661">
        <f t="shared" ref="L129:L135" si="16">+F129*2.09</f>
        <v>0</v>
      </c>
      <c r="M129" s="1056" t="str">
        <f t="shared" si="14"/>
        <v/>
      </c>
      <c r="N129" s="49"/>
      <c r="O129" s="49"/>
      <c r="P129" s="49"/>
      <c r="Q129" s="49"/>
      <c r="R129" s="49"/>
      <c r="S129" s="49"/>
      <c r="T129" s="49"/>
      <c r="U129" s="49"/>
      <c r="V129" s="49"/>
      <c r="W129" s="49"/>
      <c r="X129" s="49"/>
      <c r="Y129" s="49"/>
      <c r="Z129" s="49"/>
      <c r="AA129" s="49"/>
      <c r="AB129" s="49"/>
      <c r="AC129" s="49"/>
      <c r="AD129" s="49"/>
    </row>
    <row r="130" spans="1:30" ht="15" customHeight="1" x14ac:dyDescent="0.3">
      <c r="A130" s="320" t="s">
        <v>373</v>
      </c>
      <c r="B130" s="111" t="s">
        <v>129</v>
      </c>
      <c r="C130" s="112"/>
      <c r="D130" s="1040"/>
      <c r="E130" s="382">
        <f>+'Emission Factors'!K109</f>
        <v>0.2336</v>
      </c>
      <c r="F130" s="564">
        <f t="shared" si="15"/>
        <v>0</v>
      </c>
      <c r="G130" s="148"/>
      <c r="H130" s="148"/>
      <c r="I130" s="2116"/>
      <c r="J130" s="2117"/>
      <c r="K130" s="2118"/>
      <c r="L130" s="661">
        <f t="shared" si="16"/>
        <v>0</v>
      </c>
      <c r="M130" s="1056" t="str">
        <f t="shared" si="14"/>
        <v/>
      </c>
      <c r="N130" s="49"/>
      <c r="O130" s="49"/>
      <c r="P130" s="49"/>
      <c r="Q130" s="49"/>
      <c r="R130" s="49"/>
      <c r="S130" s="49"/>
      <c r="T130" s="49"/>
      <c r="U130" s="49"/>
      <c r="V130" s="49"/>
      <c r="W130" s="49"/>
      <c r="X130" s="49"/>
      <c r="Y130" s="49"/>
      <c r="Z130" s="49"/>
      <c r="AA130" s="49"/>
      <c r="AB130" s="49"/>
      <c r="AC130" s="49"/>
      <c r="AD130" s="49"/>
    </row>
    <row r="131" spans="1:30" ht="15.75" customHeight="1" x14ac:dyDescent="0.3">
      <c r="A131" s="320" t="s">
        <v>373</v>
      </c>
      <c r="B131" s="111" t="s">
        <v>130</v>
      </c>
      <c r="C131" s="112"/>
      <c r="D131" s="1040"/>
      <c r="E131" s="382">
        <f>+'Emission Factors'!K110</f>
        <v>0.19561999999999999</v>
      </c>
      <c r="F131" s="564">
        <f t="shared" si="15"/>
        <v>0</v>
      </c>
      <c r="G131" s="148"/>
      <c r="H131" s="148"/>
      <c r="I131" s="2116"/>
      <c r="J131" s="2117"/>
      <c r="K131" s="2118"/>
      <c r="L131" s="661">
        <f t="shared" si="16"/>
        <v>0</v>
      </c>
      <c r="M131" s="1056" t="str">
        <f t="shared" si="14"/>
        <v/>
      </c>
      <c r="N131" s="49"/>
      <c r="O131" s="49"/>
      <c r="P131" s="49"/>
      <c r="Q131" s="49"/>
      <c r="R131" s="49"/>
      <c r="S131" s="49"/>
      <c r="T131" s="49"/>
      <c r="U131" s="49"/>
      <c r="V131" s="49"/>
      <c r="W131" s="49"/>
      <c r="X131" s="49"/>
      <c r="Y131" s="49"/>
      <c r="Z131" s="49"/>
      <c r="AA131" s="49"/>
      <c r="AB131" s="49"/>
      <c r="AC131" s="49"/>
      <c r="AD131" s="49"/>
    </row>
    <row r="132" spans="1:30" ht="15" customHeight="1" x14ac:dyDescent="0.3">
      <c r="A132" s="320" t="s">
        <v>373</v>
      </c>
      <c r="B132" s="111" t="s">
        <v>131</v>
      </c>
      <c r="C132" s="112"/>
      <c r="D132" s="1040"/>
      <c r="E132" s="382">
        <f>+'Emission Factors'!K111</f>
        <v>0.14981</v>
      </c>
      <c r="F132" s="564">
        <f t="shared" si="15"/>
        <v>0</v>
      </c>
      <c r="G132" s="148"/>
      <c r="H132" s="148"/>
      <c r="I132" s="2116"/>
      <c r="J132" s="2117"/>
      <c r="K132" s="2118"/>
      <c r="L132" s="661">
        <f t="shared" si="16"/>
        <v>0</v>
      </c>
      <c r="M132" s="1056" t="str">
        <f t="shared" si="14"/>
        <v/>
      </c>
      <c r="N132" s="49"/>
      <c r="O132" s="49"/>
      <c r="P132" s="49"/>
      <c r="Q132" s="49"/>
      <c r="R132" s="49"/>
      <c r="S132" s="49"/>
      <c r="T132" s="49"/>
      <c r="U132" s="49"/>
      <c r="V132" s="49"/>
      <c r="W132" s="49"/>
      <c r="X132" s="49"/>
      <c r="Y132" s="49"/>
      <c r="Z132" s="49"/>
      <c r="AA132" s="49"/>
      <c r="AB132" s="49"/>
      <c r="AC132" s="49"/>
      <c r="AD132" s="49"/>
    </row>
    <row r="133" spans="1:30" ht="15.75" customHeight="1" x14ac:dyDescent="0.3">
      <c r="A133" s="320" t="s">
        <v>373</v>
      </c>
      <c r="B133" s="111" t="s">
        <v>132</v>
      </c>
      <c r="C133" s="112"/>
      <c r="D133" s="1040"/>
      <c r="E133" s="382">
        <f>+'Emission Factors'!K112</f>
        <v>0.2397</v>
      </c>
      <c r="F133" s="564">
        <f t="shared" si="15"/>
        <v>0</v>
      </c>
      <c r="G133" s="148"/>
      <c r="H133" s="148"/>
      <c r="I133" s="2116"/>
      <c r="J133" s="2117"/>
      <c r="K133" s="2118"/>
      <c r="L133" s="661">
        <f t="shared" si="16"/>
        <v>0</v>
      </c>
      <c r="M133" s="1056" t="str">
        <f t="shared" si="14"/>
        <v/>
      </c>
      <c r="N133" s="49"/>
      <c r="O133" s="49"/>
      <c r="P133" s="49"/>
      <c r="Q133" s="49"/>
      <c r="R133" s="49"/>
      <c r="S133" s="49"/>
      <c r="T133" s="49"/>
      <c r="U133" s="49"/>
      <c r="V133" s="49"/>
      <c r="W133" s="49"/>
      <c r="X133" s="49"/>
      <c r="Y133" s="49"/>
      <c r="Z133" s="49"/>
      <c r="AA133" s="49"/>
      <c r="AB133" s="49"/>
      <c r="AC133" s="49"/>
      <c r="AD133" s="49"/>
    </row>
    <row r="134" spans="1:30" ht="15" customHeight="1" x14ac:dyDescent="0.3">
      <c r="A134" s="320" t="s">
        <v>373</v>
      </c>
      <c r="B134" s="111" t="s">
        <v>133</v>
      </c>
      <c r="C134" s="112"/>
      <c r="D134" s="1040"/>
      <c r="E134" s="382">
        <f>+'Emission Factors'!K113</f>
        <v>0.43446000000000001</v>
      </c>
      <c r="F134" s="564">
        <f t="shared" si="15"/>
        <v>0</v>
      </c>
      <c r="G134" s="148"/>
      <c r="H134" s="148"/>
      <c r="I134" s="2116"/>
      <c r="J134" s="2117"/>
      <c r="K134" s="2118"/>
      <c r="L134" s="661">
        <f t="shared" si="16"/>
        <v>0</v>
      </c>
      <c r="M134" s="1056" t="str">
        <f t="shared" si="14"/>
        <v/>
      </c>
      <c r="N134" s="49"/>
      <c r="O134" s="49"/>
      <c r="P134" s="49"/>
      <c r="Q134" s="49"/>
      <c r="R134" s="49"/>
      <c r="S134" s="49"/>
      <c r="T134" s="49"/>
      <c r="U134" s="49"/>
      <c r="V134" s="49"/>
      <c r="W134" s="49"/>
      <c r="X134" s="49"/>
      <c r="Y134" s="49"/>
      <c r="Z134" s="49"/>
      <c r="AA134" s="49"/>
      <c r="AB134" s="49"/>
      <c r="AC134" s="49"/>
      <c r="AD134" s="49"/>
    </row>
    <row r="135" spans="1:30" ht="15.75" customHeight="1" thickBot="1" x14ac:dyDescent="0.35">
      <c r="A135" s="320" t="s">
        <v>373</v>
      </c>
      <c r="B135" s="111" t="s">
        <v>134</v>
      </c>
      <c r="C135" s="112"/>
      <c r="D135" s="1040"/>
      <c r="E135" s="382">
        <f>+'Emission Factors'!K114</f>
        <v>0.59924999999999995</v>
      </c>
      <c r="F135" s="564">
        <f>(D135*E135)/1000</f>
        <v>0</v>
      </c>
      <c r="G135" s="148"/>
      <c r="H135" s="148"/>
      <c r="I135" s="2116"/>
      <c r="J135" s="2117"/>
      <c r="K135" s="2118"/>
      <c r="L135" s="662">
        <f t="shared" si="16"/>
        <v>0</v>
      </c>
      <c r="M135" s="1056" t="str">
        <f t="shared" si="14"/>
        <v/>
      </c>
      <c r="N135" s="49"/>
      <c r="O135" s="49"/>
      <c r="P135" s="49"/>
      <c r="Q135" s="49"/>
      <c r="R135" s="49"/>
      <c r="S135" s="49"/>
      <c r="T135" s="49"/>
      <c r="U135" s="49"/>
      <c r="V135" s="49"/>
      <c r="W135" s="49"/>
      <c r="X135" s="49"/>
      <c r="Y135" s="49"/>
      <c r="Z135" s="49"/>
      <c r="AA135" s="49"/>
      <c r="AB135" s="49"/>
      <c r="AC135" s="49"/>
      <c r="AD135" s="49"/>
    </row>
    <row r="136" spans="1:30" ht="15" customHeight="1" thickBot="1" x14ac:dyDescent="0.35">
      <c r="A136" s="320" t="s">
        <v>373</v>
      </c>
      <c r="B136" s="409" t="s">
        <v>135</v>
      </c>
      <c r="C136" s="410"/>
      <c r="D136" s="664"/>
      <c r="E136" s="411">
        <f>+'Emission Factors'!K115</f>
        <v>5.9699999999999996E-3</v>
      </c>
      <c r="F136" s="565">
        <f t="shared" si="15"/>
        <v>0</v>
      </c>
      <c r="G136" s="173"/>
      <c r="H136" s="173"/>
      <c r="I136" s="2134"/>
      <c r="J136" s="2135"/>
      <c r="K136" s="2136"/>
      <c r="L136" s="49"/>
      <c r="M136" s="1122" t="str">
        <f t="shared" si="14"/>
        <v/>
      </c>
      <c r="N136" s="49"/>
      <c r="O136" s="49"/>
      <c r="P136" s="49"/>
      <c r="Q136" s="49"/>
      <c r="R136" s="49"/>
      <c r="S136" s="49"/>
      <c r="T136" s="49"/>
      <c r="U136" s="49"/>
      <c r="V136" s="49"/>
      <c r="W136" s="49"/>
      <c r="X136" s="49"/>
      <c r="Y136" s="49"/>
      <c r="Z136" s="49"/>
      <c r="AA136" s="49"/>
      <c r="AB136" s="49"/>
      <c r="AC136" s="49"/>
      <c r="AD136" s="49"/>
    </row>
    <row r="137" spans="1:30" ht="15" customHeight="1" x14ac:dyDescent="0.3">
      <c r="A137" s="49"/>
      <c r="B137" s="659" t="s">
        <v>407</v>
      </c>
      <c r="C137" s="650"/>
      <c r="D137" s="412"/>
      <c r="E137" s="413"/>
      <c r="F137" s="414"/>
      <c r="G137" s="414"/>
      <c r="H137" s="414"/>
      <c r="I137" s="415"/>
      <c r="J137" s="415"/>
      <c r="K137" s="415"/>
      <c r="L137" s="345"/>
      <c r="M137" s="420"/>
      <c r="N137" s="49"/>
      <c r="O137" s="49"/>
      <c r="P137" s="49"/>
      <c r="Q137" s="49"/>
      <c r="R137" s="49"/>
      <c r="S137" s="49"/>
      <c r="T137" s="49"/>
      <c r="U137" s="49"/>
      <c r="V137" s="49"/>
      <c r="W137" s="49"/>
      <c r="X137" s="49"/>
      <c r="Y137" s="49"/>
      <c r="Z137" s="49"/>
      <c r="AA137" s="49"/>
      <c r="AB137" s="49"/>
      <c r="AC137" s="49"/>
      <c r="AD137" s="49"/>
    </row>
    <row r="138" spans="1:30" s="594" customFormat="1" ht="23.4" x14ac:dyDescent="0.3">
      <c r="A138" s="1209"/>
      <c r="B138" s="471" t="s">
        <v>136</v>
      </c>
      <c r="C138" s="476"/>
      <c r="D138" s="2090" t="str">
        <f>+$A$1</f>
        <v>Quarter 3 - 2019-2020</v>
      </c>
      <c r="E138" s="2090"/>
      <c r="F138" s="2090"/>
      <c r="G138" s="2090"/>
      <c r="H138" s="2090"/>
      <c r="I138" s="2090"/>
      <c r="J138" s="2090"/>
      <c r="K138" s="477"/>
      <c r="L138" s="477"/>
      <c r="M138" s="477"/>
      <c r="N138" s="477"/>
      <c r="O138" s="477"/>
      <c r="P138" s="477"/>
      <c r="Q138" s="477"/>
      <c r="R138" s="477"/>
      <c r="S138" s="477"/>
      <c r="T138" s="477"/>
      <c r="U138" s="477"/>
      <c r="V138" s="477"/>
      <c r="W138" s="477"/>
      <c r="X138" s="477"/>
      <c r="Y138" s="478"/>
      <c r="Z138" s="478"/>
      <c r="AA138" s="478"/>
      <c r="AB138" s="478"/>
      <c r="AC138" s="478"/>
      <c r="AD138" s="478"/>
    </row>
    <row r="139" spans="1:30" ht="15" customHeight="1" thickBot="1" x14ac:dyDescent="0.35">
      <c r="A139" s="320"/>
      <c r="B139" s="43" t="s">
        <v>137</v>
      </c>
      <c r="C139" s="650"/>
      <c r="D139" s="412"/>
      <c r="E139" s="413"/>
      <c r="F139" s="414"/>
      <c r="G139" s="414"/>
      <c r="H139" s="414"/>
      <c r="I139" s="415"/>
      <c r="J139" s="415"/>
      <c r="K139" s="415"/>
      <c r="L139" s="49"/>
      <c r="M139" s="49"/>
      <c r="N139" s="49"/>
      <c r="O139" s="49"/>
      <c r="P139" s="49"/>
      <c r="Q139" s="49"/>
      <c r="R139" s="49"/>
      <c r="S139" s="49"/>
      <c r="T139" s="49"/>
      <c r="U139" s="49"/>
      <c r="V139" s="49"/>
      <c r="W139" s="49"/>
      <c r="X139" s="49"/>
      <c r="Y139" s="49"/>
      <c r="Z139" s="49"/>
      <c r="AA139" s="49"/>
      <c r="AB139" s="49"/>
      <c r="AC139" s="49"/>
      <c r="AD139" s="49"/>
    </row>
    <row r="140" spans="1:30" ht="30.75" customHeight="1" thickBot="1" x14ac:dyDescent="0.35">
      <c r="A140" s="320"/>
      <c r="B140" s="49"/>
      <c r="C140" s="49"/>
      <c r="D140" s="416"/>
      <c r="E140" s="650"/>
      <c r="F140" s="417" t="s">
        <v>23</v>
      </c>
      <c r="G140" s="418"/>
      <c r="H140" s="419" t="s">
        <v>144</v>
      </c>
      <c r="I140" s="2031" t="s">
        <v>24</v>
      </c>
      <c r="J140" s="2032"/>
      <c r="K140" s="2033"/>
      <c r="L140" s="49"/>
      <c r="M140" s="49"/>
      <c r="N140" s="49"/>
      <c r="O140" s="415"/>
      <c r="P140" s="49"/>
      <c r="Q140" s="49"/>
      <c r="R140" s="49"/>
      <c r="S140" s="49"/>
      <c r="T140" s="49"/>
      <c r="U140" s="49"/>
      <c r="V140" s="49"/>
      <c r="W140" s="49"/>
      <c r="X140" s="49"/>
      <c r="Y140" s="49"/>
      <c r="Z140" s="49"/>
      <c r="AA140" s="49"/>
      <c r="AB140" s="49"/>
      <c r="AC140" s="49"/>
      <c r="AD140" s="49"/>
    </row>
    <row r="141" spans="1:30" ht="15" customHeight="1" thickBot="1" x14ac:dyDescent="0.35">
      <c r="A141" s="320"/>
      <c r="B141" s="49"/>
      <c r="C141" s="49"/>
      <c r="D141" s="43" t="str">
        <f>IF(D33&gt;0,"Please add F7 to relevant to total for relevant scope","")</f>
        <v/>
      </c>
      <c r="E141" s="650"/>
      <c r="F141" s="51" t="s">
        <v>28</v>
      </c>
      <c r="G141" s="418"/>
      <c r="H141" s="433" t="s">
        <v>28</v>
      </c>
      <c r="I141" s="2034"/>
      <c r="J141" s="2035"/>
      <c r="K141" s="2036"/>
      <c r="L141" s="49"/>
      <c r="M141" s="49"/>
      <c r="N141" s="49"/>
      <c r="O141" s="415"/>
      <c r="P141" s="49"/>
      <c r="Q141" s="49"/>
      <c r="R141" s="49"/>
      <c r="S141" s="49"/>
      <c r="T141" s="49"/>
      <c r="U141" s="49"/>
      <c r="V141" s="49"/>
      <c r="W141" s="49"/>
      <c r="X141" s="49"/>
      <c r="Y141" s="49"/>
      <c r="Z141" s="49"/>
      <c r="AA141" s="49"/>
      <c r="AB141" s="49"/>
      <c r="AC141" s="49"/>
      <c r="AD141" s="49"/>
    </row>
    <row r="142" spans="1:30" ht="15" customHeight="1" thickBot="1" x14ac:dyDescent="0.35">
      <c r="A142" s="420"/>
      <c r="B142" s="49"/>
      <c r="C142" s="486"/>
      <c r="D142" s="1855" t="s">
        <v>513</v>
      </c>
      <c r="E142" s="1856"/>
      <c r="F142" s="42">
        <f>F143+F144+F145</f>
        <v>0</v>
      </c>
      <c r="G142" s="418"/>
      <c r="H142" s="651">
        <f>H143+H144+H145</f>
        <v>0</v>
      </c>
      <c r="I142" s="2037"/>
      <c r="J142" s="2038"/>
      <c r="K142" s="2039"/>
      <c r="L142" s="487"/>
      <c r="M142" s="420"/>
      <c r="N142" s="49"/>
      <c r="O142" s="415"/>
      <c r="P142" s="49"/>
      <c r="Q142" s="49"/>
      <c r="R142" s="49"/>
      <c r="S142" s="49"/>
      <c r="T142" s="49"/>
      <c r="U142" s="49"/>
      <c r="V142" s="49"/>
      <c r="W142" s="49"/>
      <c r="X142" s="49"/>
      <c r="Y142" s="49"/>
      <c r="Z142" s="49"/>
      <c r="AA142" s="49"/>
      <c r="AB142" s="49"/>
      <c r="AC142" s="49"/>
      <c r="AD142" s="49"/>
    </row>
    <row r="143" spans="1:30" ht="15" customHeight="1" x14ac:dyDescent="0.3">
      <c r="A143" s="420"/>
      <c r="B143" s="420"/>
      <c r="C143" s="488"/>
      <c r="D143" s="2081" t="s">
        <v>139</v>
      </c>
      <c r="E143" s="2082"/>
      <c r="F143" s="177">
        <f>F24+F25+F26+F27+F28+IF(I33="Scope 1",F33,0)+IF(I34="Scope 1",F34,0)+IF(I35="Scope 1",F35,0)+F36+F37+F38+F39+F40+F41+F42+F43+F44+F45+F46+F47+F53+T67+F64</f>
        <v>0</v>
      </c>
      <c r="G143" s="421"/>
      <c r="H143" s="652">
        <f>H24+H25+H26+H27+H28+IF(I33="Scope 1",H33,0)+IF(I34="Scope 1",H34,0)+IF(I35="Scope 1",H35,0)+H36+H37+H38+H39+H40+H41+H42+H43+H44+H45+H46+H47+H53</f>
        <v>0</v>
      </c>
      <c r="I143" s="2040"/>
      <c r="J143" s="2041"/>
      <c r="K143" s="2042"/>
      <c r="L143" s="420"/>
      <c r="M143" s="420"/>
      <c r="N143" s="49"/>
      <c r="O143" s="415"/>
      <c r="P143" s="49"/>
      <c r="Q143" s="49"/>
      <c r="R143" s="49"/>
      <c r="S143" s="49"/>
      <c r="T143" s="49"/>
      <c r="U143" s="49"/>
      <c r="V143" s="49"/>
      <c r="W143" s="49"/>
      <c r="X143" s="49"/>
      <c r="Y143" s="49"/>
      <c r="Z143" s="49"/>
      <c r="AA143" s="49"/>
      <c r="AB143" s="49"/>
      <c r="AC143" s="49"/>
      <c r="AD143" s="49"/>
    </row>
    <row r="144" spans="1:30" ht="15" customHeight="1" x14ac:dyDescent="0.3">
      <c r="A144" s="420"/>
      <c r="B144" s="420"/>
      <c r="C144" s="489"/>
      <c r="D144" s="2079" t="s">
        <v>140</v>
      </c>
      <c r="E144" s="2080"/>
      <c r="F144" s="177">
        <f>+P20+P21+P22+P23+P29+F30+F31+P32+IF(I33="Scope 2",F33,0)+IF(I34="Scope 2",F34,0)+IF(I35="Scope 2",F35,0)</f>
        <v>0</v>
      </c>
      <c r="G144" s="422"/>
      <c r="H144" s="652">
        <f>+V20+V21+V22+V23+V29+H30+H31+V32+IF(I33="Scope 2",H33,0)+IF(I34="Scope 2",H34,0)+IF(I35="Scope 2",H35,0)</f>
        <v>0</v>
      </c>
      <c r="I144" s="2043"/>
      <c r="J144" s="2044"/>
      <c r="K144" s="2045"/>
      <c r="L144" s="489"/>
      <c r="M144" s="420"/>
      <c r="N144" s="49"/>
      <c r="O144" s="415"/>
      <c r="P144" s="49"/>
      <c r="Q144" s="49"/>
      <c r="R144" s="49"/>
      <c r="S144" s="49"/>
      <c r="T144" s="49"/>
      <c r="U144" s="49"/>
      <c r="V144" s="49"/>
      <c r="W144" s="49"/>
      <c r="X144" s="49"/>
      <c r="Y144" s="49"/>
      <c r="Z144" s="49"/>
      <c r="AA144" s="49"/>
      <c r="AB144" s="49"/>
      <c r="AC144" s="49"/>
      <c r="AD144" s="49"/>
    </row>
    <row r="145" spans="1:30" ht="15" customHeight="1" thickBot="1" x14ac:dyDescent="0.35">
      <c r="A145" s="420"/>
      <c r="B145" s="420"/>
      <c r="C145" s="489"/>
      <c r="D145" s="2077" t="s">
        <v>141</v>
      </c>
      <c r="E145" s="2078"/>
      <c r="F145" s="178">
        <f>+R20+R21+R22+R23+R29+R32+IF(I33="Scope 3",F33,0)+IF(I34="Scope 3",F34,0)+IF(I35="Scope 3",F35,0)+F86+T89+F108</f>
        <v>0</v>
      </c>
      <c r="G145" s="423"/>
      <c r="H145" s="180">
        <f>+X20+X21+X22+X23+X29+X32+IF(I33="Scope 3",H33,0)+IF(I34="Scope 3",H34,0)+IF(I35="Scope 3",H35,0)</f>
        <v>0</v>
      </c>
      <c r="I145" s="2138"/>
      <c r="J145" s="2139"/>
      <c r="K145" s="2140"/>
      <c r="L145" s="489"/>
      <c r="M145" s="420"/>
      <c r="N145" s="49"/>
      <c r="O145" s="415"/>
      <c r="P145" s="49"/>
      <c r="Q145" s="49"/>
      <c r="R145" s="49"/>
      <c r="S145" s="49"/>
      <c r="T145" s="49"/>
      <c r="U145" s="49"/>
      <c r="V145" s="49"/>
      <c r="W145" s="49"/>
      <c r="X145" s="49"/>
      <c r="Y145" s="49"/>
      <c r="Z145" s="49"/>
      <c r="AA145" s="49"/>
      <c r="AB145" s="49"/>
      <c r="AC145" s="49"/>
      <c r="AD145" s="49"/>
    </row>
    <row r="146" spans="1:30" ht="15" customHeight="1" thickBot="1" x14ac:dyDescent="0.35">
      <c r="A146" s="420"/>
      <c r="B146" s="420"/>
      <c r="C146" s="345"/>
      <c r="D146" s="2017" t="s">
        <v>172</v>
      </c>
      <c r="E146" s="2018"/>
      <c r="F146" s="179">
        <f>+Y67+Y89+F127</f>
        <v>0</v>
      </c>
      <c r="G146" s="424"/>
      <c r="H146" s="1108"/>
      <c r="I146" s="1095"/>
      <c r="J146" s="1096"/>
      <c r="K146" s="1097"/>
      <c r="L146" s="49"/>
      <c r="M146" s="420"/>
      <c r="N146" s="49"/>
      <c r="O146" s="415"/>
      <c r="P146" s="49"/>
      <c r="Q146" s="49"/>
      <c r="R146" s="49"/>
      <c r="S146" s="49"/>
      <c r="T146" s="49"/>
      <c r="U146" s="49"/>
      <c r="V146" s="49"/>
      <c r="W146" s="49"/>
      <c r="X146" s="49"/>
      <c r="Y146" s="49"/>
      <c r="Z146" s="49"/>
      <c r="AA146" s="49"/>
      <c r="AB146" s="49"/>
      <c r="AC146" s="49"/>
      <c r="AD146" s="49"/>
    </row>
    <row r="147" spans="1:30" ht="27.75" customHeight="1" x14ac:dyDescent="0.3">
      <c r="A147" s="320"/>
      <c r="B147" s="2019" t="s">
        <v>142</v>
      </c>
      <c r="C147" s="2019"/>
      <c r="D147" s="2019"/>
      <c r="E147" s="2019"/>
      <c r="F147" s="2019"/>
      <c r="G147" s="2019"/>
      <c r="H147" s="2019"/>
      <c r="I147" s="2019"/>
      <c r="J147" s="2019"/>
      <c r="K147" s="2019"/>
      <c r="L147" s="2019"/>
      <c r="M147" s="49"/>
      <c r="N147" s="49"/>
      <c r="O147" s="49"/>
      <c r="P147" s="49"/>
      <c r="Q147" s="49"/>
      <c r="R147" s="49"/>
      <c r="S147" s="49"/>
      <c r="T147" s="49"/>
      <c r="U147" s="49"/>
      <c r="V147" s="49"/>
      <c r="W147" s="49"/>
      <c r="X147" s="49"/>
      <c r="Y147" s="49"/>
      <c r="Z147" s="49"/>
      <c r="AA147" s="49"/>
      <c r="AB147" s="49"/>
      <c r="AC147" s="49"/>
      <c r="AD147" s="49"/>
    </row>
    <row r="148" spans="1:30" ht="27.75" customHeight="1" x14ac:dyDescent="0.3">
      <c r="A148" s="320"/>
      <c r="B148" s="1088"/>
      <c r="C148" s="1088"/>
      <c r="D148" s="1088"/>
      <c r="E148" s="1088"/>
      <c r="F148" s="1088"/>
      <c r="G148" s="1088"/>
      <c r="H148" s="1088"/>
      <c r="I148" s="1088"/>
      <c r="J148" s="1088"/>
      <c r="K148" s="1088"/>
      <c r="L148" s="1088"/>
      <c r="M148" s="49"/>
      <c r="N148" s="49"/>
      <c r="O148" s="49"/>
      <c r="P148" s="49"/>
      <c r="Q148" s="49"/>
      <c r="R148" s="49"/>
      <c r="S148" s="49"/>
      <c r="T148" s="49"/>
      <c r="U148" s="49"/>
      <c r="V148" s="49"/>
      <c r="W148" s="49"/>
      <c r="X148" s="49"/>
      <c r="Y148" s="49"/>
      <c r="Z148" s="49"/>
      <c r="AA148" s="49"/>
      <c r="AB148" s="49"/>
      <c r="AC148" s="49"/>
      <c r="AD148" s="49"/>
    </row>
    <row r="149" spans="1:30" s="594" customFormat="1" ht="23.4" x14ac:dyDescent="0.3">
      <c r="A149" s="1209"/>
      <c r="B149" s="471" t="s">
        <v>462</v>
      </c>
      <c r="C149" s="476"/>
      <c r="D149" s="2090" t="str">
        <f>+$A$1</f>
        <v>Quarter 3 - 2019-2020</v>
      </c>
      <c r="E149" s="2090"/>
      <c r="F149" s="2090"/>
      <c r="G149" s="2090"/>
      <c r="H149" s="2090"/>
      <c r="I149" s="2090"/>
      <c r="J149" s="2090"/>
      <c r="K149" s="477"/>
      <c r="L149" s="477"/>
      <c r="M149" s="477"/>
      <c r="N149" s="477"/>
      <c r="O149" s="477"/>
      <c r="P149" s="477"/>
      <c r="Q149" s="477"/>
      <c r="R149" s="477"/>
      <c r="S149" s="477"/>
      <c r="T149" s="477"/>
      <c r="U149" s="477"/>
      <c r="V149" s="477"/>
      <c r="W149" s="477"/>
      <c r="X149" s="477"/>
      <c r="Y149" s="478"/>
      <c r="Z149" s="478"/>
      <c r="AA149" s="478"/>
      <c r="AB149" s="478"/>
      <c r="AC149" s="478"/>
      <c r="AD149" s="478"/>
    </row>
    <row r="150" spans="1:30" ht="15" customHeight="1" x14ac:dyDescent="0.3">
      <c r="A150" s="320"/>
      <c r="B150" s="43" t="s">
        <v>480</v>
      </c>
      <c r="C150" s="650"/>
      <c r="D150" s="412"/>
      <c r="E150" s="413"/>
      <c r="F150" s="414"/>
      <c r="G150" s="414"/>
      <c r="H150" s="414"/>
      <c r="I150" s="415"/>
      <c r="J150" s="415"/>
      <c r="K150" s="415"/>
      <c r="L150" s="49"/>
      <c r="M150" s="49"/>
      <c r="N150" s="49"/>
      <c r="O150" s="49"/>
      <c r="P150" s="49"/>
      <c r="Q150" s="49"/>
      <c r="R150" s="49"/>
      <c r="S150" s="49"/>
      <c r="T150" s="49"/>
      <c r="U150" s="49"/>
      <c r="V150" s="49"/>
      <c r="W150" s="49"/>
      <c r="X150" s="49"/>
      <c r="Y150" s="49"/>
      <c r="Z150" s="49"/>
      <c r="AA150" s="49"/>
      <c r="AB150" s="49"/>
      <c r="AC150" s="49"/>
      <c r="AD150" s="49"/>
    </row>
    <row r="151" spans="1:30" ht="15" customHeight="1" thickBot="1" x14ac:dyDescent="0.35">
      <c r="A151" s="320"/>
      <c r="B151" s="49"/>
      <c r="C151" s="49"/>
      <c r="D151" s="416"/>
      <c r="E151" s="650"/>
      <c r="F151" s="650"/>
      <c r="G151" s="650"/>
      <c r="H151" s="650"/>
      <c r="I151" s="650"/>
      <c r="J151" s="650"/>
      <c r="K151" s="650"/>
      <c r="L151" s="49"/>
      <c r="M151" s="49"/>
      <c r="N151" s="49"/>
      <c r="O151" s="415"/>
      <c r="P151" s="49"/>
      <c r="Q151" s="49"/>
      <c r="R151" s="49"/>
      <c r="S151" s="49"/>
      <c r="T151" s="49"/>
      <c r="U151" s="49"/>
      <c r="V151" s="49"/>
      <c r="W151" s="49"/>
      <c r="X151" s="49"/>
      <c r="Y151" s="49"/>
      <c r="Z151" s="49"/>
      <c r="AA151" s="49"/>
      <c r="AB151" s="49"/>
      <c r="AC151" s="49"/>
      <c r="AD151" s="49"/>
    </row>
    <row r="152" spans="1:30" ht="15" customHeight="1" thickBot="1" x14ac:dyDescent="0.35">
      <c r="A152" s="320"/>
      <c r="B152" s="49"/>
      <c r="C152" s="49"/>
      <c r="D152" s="1860" t="s">
        <v>23</v>
      </c>
      <c r="E152" s="1861"/>
      <c r="F152" s="1862"/>
      <c r="G152" s="1860" t="s">
        <v>24</v>
      </c>
      <c r="H152" s="1861"/>
      <c r="I152" s="1862"/>
      <c r="J152" s="650"/>
      <c r="K152" s="650"/>
      <c r="L152" s="49"/>
      <c r="M152" s="49"/>
      <c r="N152" s="49"/>
      <c r="O152" s="415"/>
      <c r="P152" s="49"/>
      <c r="Q152" s="49"/>
      <c r="R152" s="49"/>
      <c r="S152" s="49"/>
      <c r="T152" s="49"/>
      <c r="U152" s="49"/>
      <c r="V152" s="49"/>
      <c r="W152" s="49"/>
      <c r="X152" s="49"/>
      <c r="Y152" s="49"/>
      <c r="Z152" s="49"/>
      <c r="AA152" s="49"/>
      <c r="AB152" s="49"/>
      <c r="AC152" s="49"/>
      <c r="AD152" s="49"/>
    </row>
    <row r="153" spans="1:30" ht="15" customHeight="1" thickBot="1" x14ac:dyDescent="0.35">
      <c r="A153" s="320"/>
      <c r="B153" s="2020" t="s">
        <v>463</v>
      </c>
      <c r="C153" s="2021"/>
      <c r="D153" s="1957"/>
      <c r="E153" s="1958"/>
      <c r="F153" s="1959"/>
      <c r="G153" s="2025"/>
      <c r="H153" s="2026"/>
      <c r="I153" s="2027"/>
      <c r="J153" s="650"/>
      <c r="K153" s="650"/>
      <c r="L153" s="487"/>
      <c r="M153" s="420"/>
      <c r="N153" s="49"/>
      <c r="O153" s="415"/>
      <c r="P153" s="49"/>
      <c r="Q153" s="49"/>
      <c r="R153" s="49"/>
      <c r="S153" s="49"/>
      <c r="T153" s="49"/>
      <c r="U153" s="49"/>
      <c r="V153" s="49"/>
      <c r="W153" s="49"/>
      <c r="X153" s="49"/>
      <c r="Y153" s="49"/>
      <c r="Z153" s="49"/>
      <c r="AA153" s="49"/>
      <c r="AB153" s="49"/>
      <c r="AC153" s="49"/>
      <c r="AD153" s="49"/>
    </row>
    <row r="154" spans="1:30" ht="15" customHeight="1" thickBot="1" x14ac:dyDescent="0.35">
      <c r="A154" s="320"/>
      <c r="B154" s="2020" t="s">
        <v>464</v>
      </c>
      <c r="C154" s="2021"/>
      <c r="D154" s="60" t="s">
        <v>466</v>
      </c>
      <c r="E154" s="2146"/>
      <c r="F154" s="2147"/>
      <c r="G154" s="2025"/>
      <c r="H154" s="2026"/>
      <c r="I154" s="2027"/>
      <c r="J154" s="650"/>
      <c r="K154" s="650"/>
      <c r="L154" s="420"/>
      <c r="M154" s="420"/>
      <c r="N154" s="49"/>
      <c r="O154" s="415"/>
      <c r="P154" s="49"/>
      <c r="Q154" s="49"/>
      <c r="R154" s="49"/>
      <c r="S154" s="49"/>
      <c r="T154" s="49"/>
      <c r="U154" s="49"/>
      <c r="V154" s="49"/>
      <c r="W154" s="49"/>
      <c r="X154" s="49"/>
      <c r="Y154" s="49"/>
      <c r="Z154" s="49"/>
      <c r="AA154" s="49"/>
      <c r="AB154" s="49"/>
      <c r="AC154" s="49"/>
      <c r="AD154" s="49"/>
    </row>
    <row r="155" spans="1:30" ht="45" customHeight="1" thickBot="1" x14ac:dyDescent="0.35">
      <c r="A155" s="320"/>
      <c r="B155" s="2020" t="s">
        <v>465</v>
      </c>
      <c r="C155" s="2021"/>
      <c r="D155" s="1996"/>
      <c r="E155" s="1997"/>
      <c r="F155" s="1998"/>
      <c r="G155" s="1857"/>
      <c r="H155" s="1858"/>
      <c r="I155" s="1859"/>
      <c r="J155" s="650"/>
      <c r="K155" s="650"/>
      <c r="L155" s="489"/>
      <c r="M155" s="420"/>
      <c r="N155" s="49"/>
      <c r="O155" s="415"/>
      <c r="P155" s="49"/>
      <c r="Q155" s="49"/>
      <c r="R155" s="49"/>
      <c r="S155" s="49"/>
      <c r="T155" s="49"/>
      <c r="U155" s="49"/>
      <c r="V155" s="49"/>
      <c r="W155" s="49"/>
      <c r="X155" s="49"/>
      <c r="Y155" s="49"/>
      <c r="Z155" s="49"/>
      <c r="AA155" s="49"/>
      <c r="AB155" s="49"/>
      <c r="AC155" s="49"/>
      <c r="AD155" s="49"/>
    </row>
    <row r="156" spans="1:30" ht="15" customHeight="1" x14ac:dyDescent="0.3">
      <c r="A156" s="320"/>
      <c r="B156" s="1088"/>
      <c r="C156" s="1088"/>
      <c r="D156" s="1088"/>
      <c r="E156" s="1088"/>
      <c r="F156" s="1088"/>
      <c r="G156" s="1088"/>
      <c r="H156" s="1088"/>
      <c r="I156" s="1088"/>
      <c r="J156" s="1088"/>
      <c r="K156" s="1088"/>
      <c r="L156" s="1088"/>
      <c r="M156" s="49"/>
      <c r="N156" s="49"/>
      <c r="O156" s="49"/>
      <c r="P156" s="49"/>
      <c r="Q156" s="49"/>
      <c r="R156" s="49"/>
      <c r="S156" s="49"/>
      <c r="T156" s="49"/>
      <c r="U156" s="49"/>
      <c r="V156" s="49"/>
      <c r="W156" s="49"/>
      <c r="X156" s="49"/>
      <c r="Y156" s="49"/>
      <c r="Z156" s="49"/>
      <c r="AA156" s="49"/>
      <c r="AB156" s="49"/>
      <c r="AC156" s="49"/>
      <c r="AD156" s="49"/>
    </row>
    <row r="157" spans="1:30" ht="27.75" customHeight="1" x14ac:dyDescent="0.3">
      <c r="A157" s="1209">
        <v>3</v>
      </c>
      <c r="B157" s="471" t="s">
        <v>143</v>
      </c>
      <c r="C157" s="472"/>
      <c r="D157" s="2090" t="str">
        <f>+$A$1</f>
        <v>Quarter 3 - 2019-2020</v>
      </c>
      <c r="E157" s="2090"/>
      <c r="F157" s="2090"/>
      <c r="G157" s="2090"/>
      <c r="H157" s="2090"/>
      <c r="I157" s="2090"/>
      <c r="J157" s="2090"/>
      <c r="K157" s="473"/>
      <c r="L157" s="473"/>
      <c r="M157" s="473"/>
      <c r="N157" s="466"/>
      <c r="O157" s="466"/>
      <c r="P157" s="474"/>
      <c r="Q157" s="474"/>
      <c r="R157" s="466"/>
      <c r="S157" s="466"/>
      <c r="T157" s="466"/>
      <c r="U157" s="466"/>
      <c r="V157" s="466"/>
      <c r="W157" s="466"/>
      <c r="X157" s="466"/>
      <c r="Y157" s="466"/>
      <c r="Z157" s="466"/>
      <c r="AA157" s="466"/>
      <c r="AB157" s="466"/>
      <c r="AC157" s="466"/>
      <c r="AD157" s="466"/>
    </row>
    <row r="158" spans="1:30" x14ac:dyDescent="0.3">
      <c r="A158" s="320"/>
      <c r="B158" s="49"/>
      <c r="C158" s="49"/>
      <c r="D158" s="336"/>
      <c r="E158" s="337"/>
      <c r="F158" s="337"/>
      <c r="G158" s="337"/>
      <c r="H158" s="337"/>
      <c r="I158" s="337"/>
      <c r="J158" s="386"/>
      <c r="K158" s="426"/>
      <c r="L158" s="337"/>
      <c r="M158" s="337"/>
      <c r="N158" s="49"/>
      <c r="O158" s="49"/>
      <c r="P158" s="49"/>
      <c r="Q158" s="49"/>
      <c r="R158" s="49"/>
      <c r="S158" s="49"/>
      <c r="T158" s="49"/>
      <c r="U158" s="49"/>
      <c r="V158" s="49"/>
      <c r="W158" s="49"/>
      <c r="X158" s="49"/>
      <c r="Y158" s="49"/>
      <c r="Z158" s="49"/>
      <c r="AA158" s="49"/>
      <c r="AB158" s="49"/>
      <c r="AC158" s="49"/>
      <c r="AD158" s="49"/>
    </row>
    <row r="159" spans="1:30" x14ac:dyDescent="0.3">
      <c r="A159" s="320"/>
      <c r="B159" s="49"/>
      <c r="C159" s="49"/>
      <c r="D159" s="336"/>
      <c r="E159" s="415"/>
      <c r="F159" s="415"/>
      <c r="G159" s="415"/>
      <c r="H159" s="415"/>
      <c r="I159" s="415"/>
      <c r="J159" s="415"/>
      <c r="K159" s="415"/>
      <c r="L159" s="337"/>
      <c r="M159" s="337"/>
      <c r="N159" s="49"/>
      <c r="O159" s="49"/>
      <c r="P159" s="49"/>
      <c r="Q159" s="49"/>
      <c r="R159" s="49"/>
      <c r="S159" s="49"/>
      <c r="T159" s="49"/>
      <c r="U159" s="49"/>
      <c r="V159" s="49"/>
      <c r="W159" s="49"/>
      <c r="X159" s="49"/>
      <c r="Y159" s="49"/>
      <c r="Z159" s="49"/>
      <c r="AA159" s="49"/>
      <c r="AB159" s="49"/>
      <c r="AC159" s="49"/>
      <c r="AD159" s="49"/>
    </row>
    <row r="160" spans="1:30" ht="18.75" customHeight="1" x14ac:dyDescent="0.3">
      <c r="A160" s="320"/>
      <c r="B160" s="43"/>
      <c r="C160" s="30"/>
      <c r="D160" s="43"/>
      <c r="E160" s="415"/>
      <c r="F160" s="415"/>
      <c r="G160" s="415"/>
      <c r="H160" s="415"/>
      <c r="I160" s="415"/>
      <c r="J160" s="415"/>
      <c r="K160" s="415"/>
      <c r="L160" s="415"/>
      <c r="M160" s="415"/>
      <c r="N160" s="415"/>
      <c r="O160" s="415"/>
      <c r="P160" s="415"/>
      <c r="Q160" s="415"/>
      <c r="R160" s="415"/>
      <c r="S160" s="415"/>
      <c r="T160" s="415"/>
      <c r="U160" s="415"/>
      <c r="V160" s="415"/>
      <c r="W160" s="415"/>
      <c r="X160" s="415"/>
      <c r="Y160" s="415"/>
      <c r="Z160" s="415"/>
      <c r="AA160" s="415"/>
      <c r="AB160" s="415"/>
      <c r="AC160" s="415"/>
      <c r="AD160" s="415"/>
    </row>
    <row r="161" spans="1:30" ht="15.75" customHeight="1" thickBot="1" x14ac:dyDescent="0.35">
      <c r="A161" s="320"/>
      <c r="B161" s="49"/>
      <c r="C161" s="49"/>
      <c r="D161" s="43"/>
      <c r="E161" s="49"/>
      <c r="F161" s="336"/>
      <c r="G161" s="336"/>
      <c r="H161" s="336"/>
      <c r="I161" s="415"/>
      <c r="J161" s="415"/>
      <c r="K161" s="415"/>
      <c r="L161" s="415"/>
      <c r="M161" s="415"/>
      <c r="N161" s="415"/>
      <c r="O161" s="415"/>
      <c r="P161" s="415"/>
      <c r="Q161" s="415"/>
      <c r="R161" s="415"/>
      <c r="S161" s="415"/>
      <c r="T161" s="415"/>
      <c r="U161" s="415"/>
      <c r="V161" s="415"/>
      <c r="W161" s="415"/>
      <c r="X161" s="415"/>
      <c r="Y161" s="415"/>
      <c r="Z161" s="415"/>
      <c r="AA161" s="415"/>
      <c r="AB161" s="415"/>
      <c r="AC161" s="415"/>
      <c r="AD161" s="415"/>
    </row>
    <row r="162" spans="1:30" ht="15.75" customHeight="1" thickBot="1" x14ac:dyDescent="0.35">
      <c r="A162" s="320"/>
      <c r="B162" s="49"/>
      <c r="C162" s="43"/>
      <c r="D162" s="428" t="s">
        <v>23</v>
      </c>
      <c r="E162" s="2046" t="s">
        <v>144</v>
      </c>
      <c r="F162" s="2047"/>
      <c r="G162" s="2047"/>
      <c r="H162" s="2048"/>
      <c r="I162" s="1849" t="s">
        <v>24</v>
      </c>
      <c r="J162" s="1850"/>
      <c r="K162" s="1851"/>
      <c r="L162" s="1909" t="s">
        <v>461</v>
      </c>
      <c r="M162" s="415"/>
      <c r="N162" s="415"/>
      <c r="O162" s="415"/>
      <c r="P162" s="415"/>
      <c r="Q162" s="415"/>
      <c r="R162" s="415"/>
      <c r="S162" s="415"/>
      <c r="T162" s="415"/>
      <c r="U162" s="415"/>
      <c r="V162" s="415"/>
      <c r="W162" s="415"/>
      <c r="X162" s="415"/>
      <c r="Y162" s="415"/>
      <c r="Z162" s="415"/>
      <c r="AA162" s="415"/>
      <c r="AB162" s="415"/>
      <c r="AC162" s="415"/>
      <c r="AD162" s="415"/>
    </row>
    <row r="163" spans="1:30" ht="39.75" customHeight="1" thickBot="1" x14ac:dyDescent="0.35">
      <c r="A163" s="320"/>
      <c r="B163" s="359"/>
      <c r="C163" s="49"/>
      <c r="D163" s="490" t="s">
        <v>145</v>
      </c>
      <c r="E163" s="432" t="s">
        <v>173</v>
      </c>
      <c r="F163" s="432" t="s">
        <v>376</v>
      </c>
      <c r="G163" s="433" t="s">
        <v>145</v>
      </c>
      <c r="H163" s="432" t="s">
        <v>469</v>
      </c>
      <c r="I163" s="1852"/>
      <c r="J163" s="1853"/>
      <c r="K163" s="1854"/>
      <c r="L163" s="1911"/>
      <c r="M163" s="415"/>
      <c r="N163" s="415"/>
      <c r="O163" s="415"/>
      <c r="P163" s="415"/>
      <c r="Q163" s="415"/>
      <c r="R163" s="415"/>
      <c r="S163" s="415"/>
      <c r="T163" s="415"/>
      <c r="U163" s="415"/>
      <c r="V163" s="415"/>
      <c r="W163" s="415"/>
      <c r="X163" s="415"/>
      <c r="Y163" s="415"/>
      <c r="Z163" s="415"/>
      <c r="AA163" s="415"/>
      <c r="AB163" s="415"/>
      <c r="AC163" s="415"/>
      <c r="AD163" s="415"/>
    </row>
    <row r="164" spans="1:30" ht="15.75" customHeight="1" thickBot="1" x14ac:dyDescent="0.35">
      <c r="A164" s="320"/>
      <c r="B164" s="1855" t="s">
        <v>146</v>
      </c>
      <c r="C164" s="1856"/>
      <c r="D164" s="1042"/>
      <c r="E164" s="1042"/>
      <c r="F164" s="1043"/>
      <c r="G164" s="491">
        <f>IF(Performance!$L$2="Y",D164,F164)</f>
        <v>0</v>
      </c>
      <c r="H164" s="562" t="str">
        <f>IF(AND(E164&lt;&gt;0,E164&lt;&gt;""),G164/E164,"")</f>
        <v/>
      </c>
      <c r="I164" s="1857"/>
      <c r="J164" s="1858"/>
      <c r="K164" s="1859"/>
      <c r="L164" s="1119" t="str">
        <f>IF(OR(D164&lt;0,E164&lt;0,F164&lt;0),"Error - negative number",IF(F164&gt;D164,"Offices only &gt; Total Estate",IF(AND(H164&lt;'QA config'!D2,H164&lt;&gt;""),CONCATENATE("&lt; ",'QA config'!D2," m3/FTE"),IF(AND(H164&gt;'QA config'!C2,H164&lt;&gt;""),CONCATENATE("&gt; ",'QA config'!C2," m3/FTE"),""))))</f>
        <v/>
      </c>
      <c r="M164" s="415"/>
      <c r="N164" s="415"/>
      <c r="O164" s="415"/>
      <c r="P164" s="415"/>
      <c r="Q164" s="415"/>
      <c r="R164" s="415"/>
      <c r="S164" s="415"/>
      <c r="T164" s="415"/>
      <c r="U164" s="415"/>
      <c r="V164" s="415"/>
      <c r="W164" s="415"/>
      <c r="X164" s="415"/>
      <c r="Y164" s="415"/>
      <c r="Z164" s="415"/>
      <c r="AA164" s="415"/>
      <c r="AB164" s="415"/>
      <c r="AC164" s="415"/>
      <c r="AD164" s="415"/>
    </row>
    <row r="165" spans="1:30" ht="13.5" customHeight="1" x14ac:dyDescent="0.3">
      <c r="A165" s="320"/>
      <c r="B165" s="49" t="s">
        <v>175</v>
      </c>
      <c r="C165" s="49"/>
      <c r="D165" s="49"/>
      <c r="E165" s="49"/>
      <c r="F165" s="49"/>
      <c r="G165" s="49"/>
      <c r="H165" s="49"/>
      <c r="I165" s="415"/>
      <c r="J165" s="415"/>
      <c r="K165" s="415"/>
      <c r="L165" s="415"/>
      <c r="M165" s="415"/>
      <c r="N165" s="415"/>
      <c r="O165" s="415"/>
      <c r="P165" s="415"/>
      <c r="Q165" s="415"/>
      <c r="R165" s="415"/>
      <c r="S165" s="415"/>
      <c r="T165" s="415"/>
      <c r="U165" s="415"/>
      <c r="V165" s="415"/>
      <c r="W165" s="415"/>
      <c r="X165" s="415"/>
      <c r="Y165" s="415"/>
      <c r="Z165" s="415"/>
      <c r="AA165" s="415"/>
      <c r="AB165" s="415"/>
      <c r="AC165" s="415"/>
      <c r="AD165" s="415"/>
    </row>
    <row r="166" spans="1:30" x14ac:dyDescent="0.3">
      <c r="A166" s="320"/>
      <c r="B166" s="49"/>
      <c r="C166" s="49"/>
      <c r="D166" s="360"/>
      <c r="E166" s="337"/>
      <c r="F166" s="337"/>
      <c r="G166" s="337"/>
      <c r="H166" s="337"/>
      <c r="I166" s="337"/>
      <c r="J166" s="415"/>
      <c r="K166" s="415"/>
      <c r="L166" s="337"/>
      <c r="M166" s="337"/>
      <c r="N166" s="437"/>
      <c r="O166" s="337"/>
      <c r="P166" s="49"/>
      <c r="Q166" s="49"/>
      <c r="R166" s="320"/>
      <c r="S166" s="49"/>
      <c r="T166" s="49"/>
      <c r="U166" s="49"/>
      <c r="V166" s="49"/>
      <c r="W166" s="49"/>
      <c r="X166" s="49"/>
      <c r="Y166" s="49"/>
      <c r="Z166" s="49"/>
      <c r="AA166" s="49"/>
      <c r="AB166" s="49"/>
      <c r="AC166" s="49"/>
      <c r="AD166" s="49"/>
    </row>
    <row r="167" spans="1:30" ht="27.75" customHeight="1" x14ac:dyDescent="0.3">
      <c r="A167" s="1209">
        <v>4</v>
      </c>
      <c r="B167" s="471" t="s">
        <v>147</v>
      </c>
      <c r="C167" s="472"/>
      <c r="D167" s="2090" t="str">
        <f>+$A$1</f>
        <v>Quarter 3 - 2019-2020</v>
      </c>
      <c r="E167" s="2090"/>
      <c r="F167" s="2090"/>
      <c r="G167" s="2090"/>
      <c r="H167" s="2090"/>
      <c r="I167" s="2090"/>
      <c r="J167" s="2090"/>
      <c r="K167" s="473"/>
      <c r="L167" s="473"/>
      <c r="M167" s="466"/>
      <c r="N167" s="466"/>
      <c r="O167" s="466"/>
      <c r="P167" s="474"/>
      <c r="Q167" s="466"/>
      <c r="R167" s="466"/>
      <c r="S167" s="466"/>
      <c r="T167" s="466"/>
      <c r="U167" s="466"/>
      <c r="V167" s="466"/>
      <c r="W167" s="466"/>
      <c r="X167" s="466"/>
      <c r="Y167" s="466"/>
      <c r="Z167" s="466"/>
      <c r="AA167" s="466"/>
      <c r="AB167" s="466"/>
      <c r="AC167" s="466"/>
      <c r="AD167" s="466"/>
    </row>
    <row r="168" spans="1:30" ht="15.75" customHeight="1" thickBot="1" x14ac:dyDescent="0.35">
      <c r="A168" s="320"/>
      <c r="B168" s="49"/>
      <c r="C168" s="49"/>
      <c r="D168" s="336"/>
      <c r="E168" s="336"/>
      <c r="F168" s="336"/>
      <c r="G168" s="336"/>
      <c r="H168" s="336"/>
      <c r="I168" s="336"/>
      <c r="J168" s="336"/>
      <c r="K168" s="336"/>
      <c r="L168" s="49"/>
      <c r="M168" s="49"/>
      <c r="N168" s="49"/>
      <c r="O168" s="49"/>
      <c r="P168" s="49"/>
      <c r="Q168" s="49"/>
      <c r="R168" s="49"/>
      <c r="S168" s="49"/>
      <c r="T168" s="49"/>
      <c r="U168" s="49"/>
      <c r="V168" s="49"/>
      <c r="W168" s="49"/>
      <c r="X168" s="49"/>
      <c r="Y168" s="49"/>
      <c r="Z168" s="49"/>
      <c r="AA168" s="49"/>
      <c r="AB168" s="49"/>
      <c r="AC168" s="49"/>
      <c r="AD168" s="49"/>
    </row>
    <row r="169" spans="1:30" ht="13.5" customHeight="1" thickBot="1" x14ac:dyDescent="0.35">
      <c r="A169" s="320"/>
      <c r="B169" s="49"/>
      <c r="C169" s="43"/>
      <c r="D169" s="337"/>
      <c r="E169" s="2060" t="s">
        <v>23</v>
      </c>
      <c r="F169" s="2061"/>
      <c r="G169" s="2062" t="s">
        <v>144</v>
      </c>
      <c r="H169" s="2137"/>
      <c r="I169" s="1849" t="s">
        <v>24</v>
      </c>
      <c r="J169" s="1850"/>
      <c r="K169" s="1851"/>
      <c r="L169" s="1909" t="s">
        <v>461</v>
      </c>
      <c r="M169" s="49"/>
      <c r="N169" s="49"/>
      <c r="O169" s="49"/>
      <c r="P169" s="49"/>
      <c r="Q169" s="49"/>
      <c r="R169" s="49"/>
      <c r="S169" s="49"/>
      <c r="T169" s="49"/>
      <c r="U169" s="49"/>
      <c r="V169" s="49"/>
      <c r="W169" s="49"/>
      <c r="X169" s="49"/>
      <c r="Y169" s="49"/>
      <c r="Z169" s="49"/>
      <c r="AA169" s="49"/>
      <c r="AB169" s="49"/>
      <c r="AC169" s="49"/>
      <c r="AD169" s="49"/>
    </row>
    <row r="170" spans="1:30" ht="16.5" customHeight="1" thickBot="1" x14ac:dyDescent="0.35">
      <c r="A170" s="320"/>
      <c r="B170" s="49"/>
      <c r="C170" s="359"/>
      <c r="D170" s="49"/>
      <c r="E170" s="438" t="s">
        <v>148</v>
      </c>
      <c r="F170" s="439" t="s">
        <v>149</v>
      </c>
      <c r="G170" s="433" t="s">
        <v>148</v>
      </c>
      <c r="H170" s="433" t="s">
        <v>149</v>
      </c>
      <c r="I170" s="1852"/>
      <c r="J170" s="1853"/>
      <c r="K170" s="1854"/>
      <c r="L170" s="1911"/>
      <c r="M170" s="49"/>
      <c r="N170" s="49"/>
      <c r="O170" s="49"/>
      <c r="P170" s="49"/>
      <c r="Q170" s="49"/>
      <c r="R170" s="49"/>
      <c r="S170" s="49"/>
      <c r="T170" s="49"/>
      <c r="U170" s="49"/>
      <c r="V170" s="49"/>
      <c r="W170" s="49"/>
      <c r="X170" s="49"/>
      <c r="Y170" s="49"/>
      <c r="Z170" s="49"/>
      <c r="AA170" s="49"/>
      <c r="AB170" s="49"/>
      <c r="AC170" s="49"/>
      <c r="AD170" s="49"/>
    </row>
    <row r="171" spans="1:30" ht="15.75" customHeight="1" x14ac:dyDescent="0.3">
      <c r="A171" s="320"/>
      <c r="B171" s="1291" t="s">
        <v>150</v>
      </c>
      <c r="C171" s="1310"/>
      <c r="D171" s="1300"/>
      <c r="E171" s="1046"/>
      <c r="F171" s="440" t="str">
        <f>IF($E$184&gt;0,E171/$E$184,"")</f>
        <v/>
      </c>
      <c r="G171" s="1048"/>
      <c r="H171" s="442" t="str">
        <f>IF($G$184&gt;0,G171/$G$184,"")</f>
        <v/>
      </c>
      <c r="I171" s="2025"/>
      <c r="J171" s="2026"/>
      <c r="K171" s="2027"/>
      <c r="L171" s="1121" t="str">
        <f>IF(OR(E171&lt;0,G171&lt;0),"Error - negative number",IF(G171&gt;E171,"Offices only &gt; Total Estate",""))</f>
        <v/>
      </c>
      <c r="M171" s="49"/>
      <c r="N171" s="49"/>
      <c r="O171" s="49"/>
      <c r="P171" s="49"/>
      <c r="Q171" s="49"/>
      <c r="R171" s="49"/>
      <c r="S171" s="49"/>
      <c r="T171" s="49"/>
      <c r="U171" s="49"/>
      <c r="V171" s="49"/>
      <c r="W171" s="49"/>
      <c r="X171" s="49"/>
      <c r="Y171" s="49"/>
      <c r="Z171" s="49"/>
      <c r="AA171" s="49"/>
      <c r="AB171" s="49"/>
      <c r="AC171" s="49"/>
      <c r="AD171" s="49"/>
    </row>
    <row r="172" spans="1:30" ht="15.75" customHeight="1" x14ac:dyDescent="0.3">
      <c r="A172" s="320"/>
      <c r="B172" s="1292" t="s">
        <v>365</v>
      </c>
      <c r="C172" s="1311"/>
      <c r="D172" s="1301"/>
      <c r="E172" s="1046"/>
      <c r="F172" s="443"/>
      <c r="G172" s="1048"/>
      <c r="H172" s="444"/>
      <c r="I172" s="2098"/>
      <c r="J172" s="2099"/>
      <c r="K172" s="2100"/>
      <c r="L172" s="1056" t="str">
        <f t="shared" ref="L172:L185" si="17">IF(OR(E172&lt;0,G172&lt;0),"Error - negative number",IF(G172&gt;E172,"Offices only &gt; Total Estate",""))</f>
        <v/>
      </c>
      <c r="M172" s="49"/>
      <c r="N172" s="49"/>
      <c r="O172" s="49"/>
      <c r="P172" s="49"/>
      <c r="Q172" s="49"/>
      <c r="R172" s="49"/>
      <c r="S172" s="49"/>
      <c r="T172" s="49"/>
      <c r="U172" s="49"/>
      <c r="V172" s="49"/>
      <c r="W172" s="49"/>
      <c r="X172" s="49"/>
      <c r="Y172" s="49"/>
      <c r="Z172" s="49"/>
      <c r="AA172" s="49"/>
      <c r="AB172" s="49"/>
      <c r="AC172" s="49"/>
      <c r="AD172" s="49"/>
    </row>
    <row r="173" spans="1:30" ht="15.75" customHeight="1" x14ac:dyDescent="0.3">
      <c r="A173" s="320"/>
      <c r="B173" s="1293" t="s">
        <v>151</v>
      </c>
      <c r="C173" s="1312"/>
      <c r="D173" s="1302"/>
      <c r="E173" s="1046"/>
      <c r="F173" s="445" t="str">
        <f>IF($E$184&gt;0,E173/$E$184,"")</f>
        <v/>
      </c>
      <c r="G173" s="1048"/>
      <c r="H173" s="446" t="str">
        <f>IF($G$184&gt;0,G173/$G$184,"")</f>
        <v/>
      </c>
      <c r="I173" s="2098"/>
      <c r="J173" s="2099"/>
      <c r="K173" s="2100"/>
      <c r="L173" s="1056" t="str">
        <f t="shared" si="17"/>
        <v/>
      </c>
      <c r="M173" s="49"/>
      <c r="N173" s="49"/>
      <c r="O173" s="49"/>
      <c r="P173" s="49"/>
      <c r="Q173" s="49"/>
      <c r="R173" s="49"/>
      <c r="S173" s="49"/>
      <c r="T173" s="49"/>
      <c r="U173" s="49"/>
      <c r="V173" s="49"/>
      <c r="W173" s="49"/>
      <c r="X173" s="49"/>
      <c r="Y173" s="49"/>
      <c r="Z173" s="49"/>
      <c r="AA173" s="49"/>
      <c r="AB173" s="49"/>
      <c r="AC173" s="49"/>
      <c r="AD173" s="49"/>
    </row>
    <row r="174" spans="1:30" ht="15.75" customHeight="1" x14ac:dyDescent="0.3">
      <c r="A174" s="320"/>
      <c r="B174" s="1293" t="s">
        <v>185</v>
      </c>
      <c r="C174" s="1312"/>
      <c r="D174" s="1302"/>
      <c r="E174" s="1046"/>
      <c r="F174" s="443"/>
      <c r="G174" s="1048"/>
      <c r="H174" s="444"/>
      <c r="I174" s="2098"/>
      <c r="J174" s="2099"/>
      <c r="K174" s="2100"/>
      <c r="L174" s="1056" t="str">
        <f t="shared" si="17"/>
        <v/>
      </c>
      <c r="M174" s="49"/>
      <c r="N174" s="49"/>
      <c r="O174" s="49"/>
      <c r="P174" s="49"/>
      <c r="Q174" s="49"/>
      <c r="R174" s="49"/>
      <c r="S174" s="49"/>
      <c r="T174" s="49"/>
      <c r="U174" s="49"/>
      <c r="V174" s="49"/>
      <c r="W174" s="49"/>
      <c r="X174" s="49"/>
      <c r="Y174" s="49"/>
      <c r="Z174" s="49"/>
      <c r="AA174" s="49"/>
      <c r="AB174" s="49"/>
      <c r="AC174" s="49"/>
      <c r="AD174" s="49"/>
    </row>
    <row r="175" spans="1:30" ht="15.75" customHeight="1" x14ac:dyDescent="0.3">
      <c r="A175" s="320"/>
      <c r="B175" s="1293" t="s">
        <v>152</v>
      </c>
      <c r="C175" s="1312"/>
      <c r="D175" s="1302"/>
      <c r="E175" s="1046"/>
      <c r="F175" s="445" t="str">
        <f>IF($E$184&gt;0,E175/$E$184,"")</f>
        <v/>
      </c>
      <c r="G175" s="1048"/>
      <c r="H175" s="446" t="str">
        <f>IF($G$184&gt;0,G175/$G$184,"")</f>
        <v/>
      </c>
      <c r="I175" s="2098"/>
      <c r="J175" s="2099"/>
      <c r="K175" s="2100"/>
      <c r="L175" s="1056" t="str">
        <f t="shared" si="17"/>
        <v/>
      </c>
      <c r="M175" s="49"/>
      <c r="N175" s="49"/>
      <c r="O175" s="49"/>
      <c r="P175" s="49"/>
      <c r="Q175" s="49"/>
      <c r="R175" s="49"/>
      <c r="S175" s="49"/>
      <c r="T175" s="49"/>
      <c r="U175" s="49"/>
      <c r="V175" s="49"/>
      <c r="W175" s="49"/>
      <c r="X175" s="49"/>
      <c r="Y175" s="49"/>
      <c r="Z175" s="49"/>
      <c r="AA175" s="49"/>
      <c r="AB175" s="49"/>
      <c r="AC175" s="49"/>
      <c r="AD175" s="49"/>
    </row>
    <row r="176" spans="1:30" ht="15.75" customHeight="1" x14ac:dyDescent="0.3">
      <c r="A176" s="320"/>
      <c r="B176" s="1292" t="s">
        <v>153</v>
      </c>
      <c r="C176" s="1311"/>
      <c r="D176" s="1301"/>
      <c r="E176" s="1046"/>
      <c r="F176" s="445" t="str">
        <f>IF($E$184&gt;0,E176/$E$184,"")</f>
        <v/>
      </c>
      <c r="G176" s="1048"/>
      <c r="H176" s="446" t="str">
        <f>IF($G$184&gt;0,G176/$G$184,"")</f>
        <v/>
      </c>
      <c r="I176" s="2098"/>
      <c r="J176" s="2099"/>
      <c r="K176" s="2100"/>
      <c r="L176" s="1056" t="str">
        <f t="shared" si="17"/>
        <v/>
      </c>
      <c r="M176" s="49"/>
      <c r="N176" s="49"/>
      <c r="O176" s="49"/>
      <c r="P176" s="49"/>
      <c r="Q176" s="49"/>
      <c r="R176" s="49"/>
      <c r="S176" s="49"/>
      <c r="T176" s="49"/>
      <c r="U176" s="49"/>
      <c r="V176" s="49"/>
      <c r="W176" s="49"/>
      <c r="X176" s="49"/>
      <c r="Y176" s="49"/>
      <c r="Z176" s="49"/>
      <c r="AA176" s="49"/>
      <c r="AB176" s="49"/>
      <c r="AC176" s="49"/>
      <c r="AD176" s="49"/>
    </row>
    <row r="177" spans="1:30" ht="15.75" customHeight="1" x14ac:dyDescent="0.3">
      <c r="A177" s="320"/>
      <c r="B177" s="1292" t="s">
        <v>154</v>
      </c>
      <c r="C177" s="1311"/>
      <c r="D177" s="1301"/>
      <c r="E177" s="1046"/>
      <c r="F177" s="445" t="str">
        <f>IF($E$184&gt;0,E177/$E$184,"")</f>
        <v/>
      </c>
      <c r="G177" s="1048"/>
      <c r="H177" s="446" t="str">
        <f>IF($G$184&gt;0,G177/$G$184,"")</f>
        <v/>
      </c>
      <c r="I177" s="2098"/>
      <c r="J177" s="2099"/>
      <c r="K177" s="2100"/>
      <c r="L177" s="1056" t="str">
        <f t="shared" si="17"/>
        <v/>
      </c>
      <c r="M177" s="49"/>
      <c r="N177" s="49"/>
      <c r="O177" s="49"/>
      <c r="P177" s="49"/>
      <c r="Q177" s="49"/>
      <c r="R177" s="49"/>
      <c r="S177" s="49"/>
      <c r="T177" s="49"/>
      <c r="U177" s="49"/>
      <c r="V177" s="49"/>
      <c r="W177" s="49"/>
      <c r="X177" s="49"/>
      <c r="Y177" s="49"/>
      <c r="Z177" s="49"/>
      <c r="AA177" s="49"/>
      <c r="AB177" s="49"/>
      <c r="AC177" s="49"/>
      <c r="AD177" s="49"/>
    </row>
    <row r="178" spans="1:30" ht="15.75" customHeight="1" thickBot="1" x14ac:dyDescent="0.35">
      <c r="A178" s="320"/>
      <c r="B178" s="1294" t="s">
        <v>155</v>
      </c>
      <c r="C178" s="1313"/>
      <c r="D178" s="1303"/>
      <c r="E178" s="1045"/>
      <c r="F178" s="492" t="str">
        <f>IF($E$184&gt;0,E178/$E$184,"")</f>
        <v/>
      </c>
      <c r="G178" s="1109"/>
      <c r="H178" s="493" t="str">
        <f>IF($G$184&gt;0,G178/$G$184,"")</f>
        <v/>
      </c>
      <c r="I178" s="2125"/>
      <c r="J178" s="2126"/>
      <c r="K178" s="2127"/>
      <c r="L178" s="1118" t="str">
        <f t="shared" si="17"/>
        <v/>
      </c>
      <c r="M178" s="49"/>
      <c r="N178" s="49"/>
      <c r="O178" s="49"/>
      <c r="P178" s="49"/>
      <c r="Q178" s="49"/>
      <c r="R178" s="49"/>
      <c r="S178" s="49"/>
      <c r="T178" s="49"/>
      <c r="U178" s="49"/>
      <c r="V178" s="49"/>
      <c r="W178" s="49"/>
      <c r="X178" s="49"/>
      <c r="Y178" s="49"/>
      <c r="Z178" s="49"/>
      <c r="AA178" s="49"/>
      <c r="AB178" s="49"/>
      <c r="AC178" s="49"/>
      <c r="AD178" s="49"/>
    </row>
    <row r="179" spans="1:30" ht="15.75" customHeight="1" thickBot="1" x14ac:dyDescent="0.35">
      <c r="A179" s="320"/>
      <c r="B179" s="1295" t="s">
        <v>156</v>
      </c>
      <c r="C179" s="1314"/>
      <c r="D179" s="1304"/>
      <c r="E179" s="1044"/>
      <c r="F179" s="60"/>
      <c r="G179" s="1108"/>
      <c r="H179" s="150"/>
      <c r="I179" s="1857"/>
      <c r="J179" s="1858"/>
      <c r="K179" s="1859"/>
      <c r="L179" s="1119" t="str">
        <f t="shared" si="17"/>
        <v/>
      </c>
      <c r="M179" s="49"/>
      <c r="N179" s="49"/>
      <c r="O179" s="49"/>
      <c r="P179" s="49"/>
      <c r="Q179" s="49"/>
      <c r="R179" s="49"/>
      <c r="S179" s="49"/>
      <c r="T179" s="49"/>
      <c r="U179" s="49"/>
      <c r="V179" s="49"/>
      <c r="W179" s="49"/>
      <c r="X179" s="49"/>
      <c r="Y179" s="49"/>
      <c r="Z179" s="49"/>
      <c r="AA179" s="49"/>
      <c r="AB179" s="49"/>
      <c r="AC179" s="49"/>
      <c r="AD179" s="49"/>
    </row>
    <row r="180" spans="1:30" ht="15.75" customHeight="1" thickBot="1" x14ac:dyDescent="0.35">
      <c r="A180" s="320"/>
      <c r="B180" s="1296" t="s">
        <v>157</v>
      </c>
      <c r="C180" s="1315"/>
      <c r="D180" s="1305"/>
      <c r="E180" s="494">
        <f>+E171+E173+E176</f>
        <v>0</v>
      </c>
      <c r="F180" s="60" t="str">
        <f>IF(E184=0,"",+E180/E184)</f>
        <v/>
      </c>
      <c r="G180" s="495">
        <f>IF(Performance!$L$2="y",E180,G171+G173+G176)</f>
        <v>0</v>
      </c>
      <c r="H180" s="456" t="str">
        <f>IF(G184=0,"",+G180/G184)</f>
        <v/>
      </c>
      <c r="I180" s="2122"/>
      <c r="J180" s="2123"/>
      <c r="K180" s="2124"/>
      <c r="L180" s="1119" t="str">
        <f t="shared" si="17"/>
        <v/>
      </c>
      <c r="M180" s="49"/>
      <c r="N180" s="49"/>
      <c r="O180" s="49"/>
      <c r="P180" s="49"/>
      <c r="Q180" s="49"/>
      <c r="R180" s="49"/>
      <c r="S180" s="49"/>
      <c r="T180" s="49"/>
      <c r="U180" s="49"/>
      <c r="V180" s="49"/>
      <c r="W180" s="49"/>
      <c r="X180" s="49"/>
      <c r="Y180" s="49"/>
      <c r="Z180" s="49"/>
      <c r="AA180" s="49"/>
      <c r="AB180" s="49"/>
      <c r="AC180" s="49"/>
      <c r="AD180" s="49"/>
    </row>
    <row r="181" spans="1:30" ht="15.75" customHeight="1" thickBot="1" x14ac:dyDescent="0.35">
      <c r="A181" s="320"/>
      <c r="B181" s="1297" t="s">
        <v>521</v>
      </c>
      <c r="C181" s="1309"/>
      <c r="D181" s="1306"/>
      <c r="E181" s="165">
        <f>E173+E175</f>
        <v>0</v>
      </c>
      <c r="F181" s="175" t="str">
        <f>IF($E$184&gt;0,E181/$E$184,"")</f>
        <v/>
      </c>
      <c r="G181" s="181">
        <f>IF(Performance!$L$2="y",E181,G173+G175)</f>
        <v>0</v>
      </c>
      <c r="H181" s="176" t="str">
        <f>IF($G$184&gt;0,G181/$G$184,"")</f>
        <v/>
      </c>
      <c r="I181" s="1857"/>
      <c r="J181" s="1858"/>
      <c r="K181" s="1859"/>
      <c r="L181" s="1119" t="str">
        <f t="shared" si="17"/>
        <v/>
      </c>
      <c r="M181" s="49"/>
      <c r="N181" s="49"/>
      <c r="O181" s="49"/>
      <c r="P181" s="49"/>
      <c r="Q181" s="49"/>
      <c r="R181" s="49"/>
      <c r="S181" s="49"/>
      <c r="T181" s="49"/>
      <c r="U181" s="49"/>
      <c r="V181" s="49"/>
      <c r="W181" s="49"/>
      <c r="X181" s="49"/>
      <c r="Y181" s="49"/>
      <c r="Z181" s="49"/>
      <c r="AA181" s="49"/>
      <c r="AB181" s="49"/>
      <c r="AC181" s="49"/>
      <c r="AD181" s="49"/>
    </row>
    <row r="182" spans="1:30" ht="15.75" customHeight="1" thickBot="1" x14ac:dyDescent="0.35">
      <c r="A182" s="320"/>
      <c r="B182" s="1296" t="s">
        <v>522</v>
      </c>
      <c r="C182" s="1315"/>
      <c r="D182" s="1305"/>
      <c r="E182" s="165">
        <f>SUM(E171:E178)-E172-E174</f>
        <v>0</v>
      </c>
      <c r="F182" s="60" t="str">
        <f>IF($E$184&gt;0,E182/$E$184,"")</f>
        <v/>
      </c>
      <c r="G182" s="181">
        <f>IF(Performance!$L$2="y",E182,SUM(G171:G178)-G172-G174)</f>
        <v>0</v>
      </c>
      <c r="H182" s="150" t="str">
        <f>IF($G$184&gt;0,G182/$G$184,"")</f>
        <v/>
      </c>
      <c r="I182" s="1857"/>
      <c r="J182" s="1858"/>
      <c r="K182" s="1859"/>
      <c r="L182" s="1119" t="str">
        <f t="shared" si="17"/>
        <v/>
      </c>
      <c r="M182" s="49"/>
      <c r="N182" s="49"/>
      <c r="O182" s="49"/>
      <c r="P182" s="49"/>
      <c r="Q182" s="49"/>
      <c r="R182" s="49"/>
      <c r="S182" s="49"/>
      <c r="T182" s="49"/>
      <c r="U182" s="49"/>
      <c r="V182" s="49"/>
      <c r="W182" s="49"/>
      <c r="X182" s="49"/>
      <c r="Y182" s="49"/>
      <c r="Z182" s="49"/>
      <c r="AA182" s="49"/>
      <c r="AB182" s="49"/>
      <c r="AC182" s="49"/>
      <c r="AD182" s="49"/>
    </row>
    <row r="183" spans="1:30" ht="15.75" customHeight="1" thickBot="1" x14ac:dyDescent="0.35">
      <c r="A183" s="320"/>
      <c r="B183" s="1297" t="s">
        <v>160</v>
      </c>
      <c r="C183" s="1309"/>
      <c r="D183" s="1306"/>
      <c r="E183" s="1046"/>
      <c r="F183" s="60" t="str">
        <f>IF($E$184&gt;0,E183/$E$184,"")</f>
        <v/>
      </c>
      <c r="G183" s="1048"/>
      <c r="H183" s="150" t="str">
        <f>IF($G$184&gt;0,G183/$G$184,"")</f>
        <v/>
      </c>
      <c r="I183" s="2122"/>
      <c r="J183" s="2123"/>
      <c r="K183" s="2124"/>
      <c r="L183" s="1119" t="str">
        <f t="shared" si="17"/>
        <v/>
      </c>
      <c r="M183" s="49"/>
      <c r="N183" s="49"/>
      <c r="O183" s="49"/>
      <c r="P183" s="49"/>
      <c r="Q183" s="49"/>
      <c r="R183" s="49"/>
      <c r="S183" s="49"/>
      <c r="T183" s="49"/>
      <c r="U183" s="49"/>
      <c r="V183" s="49"/>
      <c r="W183" s="49"/>
      <c r="X183" s="49"/>
      <c r="Y183" s="49"/>
      <c r="Z183" s="49"/>
      <c r="AA183" s="49"/>
      <c r="AB183" s="49"/>
      <c r="AC183" s="49"/>
      <c r="AD183" s="49"/>
    </row>
    <row r="184" spans="1:30" ht="15.75" customHeight="1" thickBot="1" x14ac:dyDescent="0.35">
      <c r="A184" s="320"/>
      <c r="B184" s="1298" t="s">
        <v>523</v>
      </c>
      <c r="C184" s="1316"/>
      <c r="D184" s="1307"/>
      <c r="E184" s="165">
        <f>E183+E182</f>
        <v>0</v>
      </c>
      <c r="F184" s="59"/>
      <c r="G184" s="163">
        <f>IF(Performance!$L$2="y",E184,G183+G182)</f>
        <v>0</v>
      </c>
      <c r="H184" s="149"/>
      <c r="I184" s="1857"/>
      <c r="J184" s="1858"/>
      <c r="K184" s="1859"/>
      <c r="L184" s="1119" t="str">
        <f t="shared" si="17"/>
        <v/>
      </c>
      <c r="M184" s="49"/>
      <c r="N184" s="49"/>
      <c r="O184" s="49"/>
      <c r="P184" s="49"/>
      <c r="Q184" s="49"/>
      <c r="R184" s="49"/>
      <c r="S184" s="49"/>
      <c r="T184" s="49"/>
      <c r="U184" s="49"/>
      <c r="V184" s="49"/>
      <c r="W184" s="49"/>
      <c r="X184" s="49"/>
      <c r="Y184" s="49"/>
      <c r="Z184" s="49"/>
      <c r="AA184" s="49"/>
      <c r="AB184" s="49"/>
      <c r="AC184" s="49"/>
      <c r="AD184" s="49"/>
    </row>
    <row r="185" spans="1:30" ht="17.25" customHeight="1" thickBot="1" x14ac:dyDescent="0.35">
      <c r="A185" s="320"/>
      <c r="B185" s="1299" t="s">
        <v>162</v>
      </c>
      <c r="C185" s="1317"/>
      <c r="D185" s="1308"/>
      <c r="E185" s="1047"/>
      <c r="F185" s="60" t="str">
        <f>IF($E$184&gt;0,E185/$E$184,"")</f>
        <v/>
      </c>
      <c r="G185" s="1108"/>
      <c r="H185" s="150" t="str">
        <f>IF($E$184&gt;0,G185/$E$184,"")</f>
        <v/>
      </c>
      <c r="I185" s="2131"/>
      <c r="J185" s="2132"/>
      <c r="K185" s="2133"/>
      <c r="L185" s="1119" t="str">
        <f t="shared" si="17"/>
        <v/>
      </c>
      <c r="M185" s="49"/>
      <c r="N185" s="49"/>
      <c r="O185" s="49"/>
      <c r="P185" s="49"/>
      <c r="Q185" s="49"/>
      <c r="R185" s="49"/>
      <c r="S185" s="49"/>
      <c r="T185" s="49"/>
      <c r="U185" s="49"/>
      <c r="V185" s="49"/>
      <c r="W185" s="49"/>
      <c r="X185" s="49"/>
      <c r="Y185" s="49"/>
      <c r="Z185" s="49"/>
      <c r="AA185" s="49"/>
      <c r="AB185" s="49"/>
      <c r="AC185" s="49"/>
      <c r="AD185" s="49"/>
    </row>
    <row r="186" spans="1:30" ht="31.5" customHeight="1" x14ac:dyDescent="0.3">
      <c r="A186" s="320"/>
      <c r="B186" s="49"/>
      <c r="C186" s="2076" t="s">
        <v>163</v>
      </c>
      <c r="D186" s="2128"/>
      <c r="E186" s="2128"/>
      <c r="F186" s="2128"/>
      <c r="G186" s="2128"/>
      <c r="H186" s="2128"/>
      <c r="I186" s="2128"/>
      <c r="J186" s="2128"/>
      <c r="K186" s="386"/>
      <c r="L186" s="426"/>
      <c r="M186" s="337"/>
      <c r="N186" s="337"/>
      <c r="O186" s="49"/>
      <c r="P186" s="49"/>
      <c r="Q186" s="49"/>
      <c r="R186" s="49"/>
      <c r="S186" s="49"/>
      <c r="T186" s="49"/>
      <c r="U186" s="49"/>
      <c r="V186" s="49"/>
      <c r="W186" s="49"/>
      <c r="X186" s="49"/>
      <c r="Y186" s="49"/>
      <c r="Z186" s="49"/>
      <c r="AA186" s="49"/>
      <c r="AB186" s="49"/>
      <c r="AC186" s="49"/>
      <c r="AD186" s="49"/>
    </row>
    <row r="187" spans="1:30" ht="27.75" customHeight="1" x14ac:dyDescent="0.3">
      <c r="A187" s="1209">
        <v>5</v>
      </c>
      <c r="B187" s="471" t="s">
        <v>164</v>
      </c>
      <c r="C187" s="472"/>
      <c r="D187" s="2090" t="str">
        <f>+$A$1</f>
        <v>Quarter 3 - 2019-2020</v>
      </c>
      <c r="E187" s="2090"/>
      <c r="F187" s="2090"/>
      <c r="G187" s="2090"/>
      <c r="H187" s="2090"/>
      <c r="I187" s="2090"/>
      <c r="J187" s="2090"/>
      <c r="K187" s="473"/>
      <c r="L187" s="473"/>
      <c r="M187" s="473"/>
      <c r="N187" s="466"/>
      <c r="O187" s="466"/>
      <c r="P187" s="474"/>
      <c r="Q187" s="474"/>
      <c r="R187" s="466"/>
      <c r="S187" s="466"/>
      <c r="T187" s="466"/>
      <c r="U187" s="466"/>
      <c r="V187" s="466"/>
      <c r="W187" s="466"/>
      <c r="X187" s="466"/>
      <c r="Y187" s="466"/>
      <c r="Z187" s="466"/>
      <c r="AA187" s="466"/>
      <c r="AB187" s="466"/>
      <c r="AC187" s="466"/>
      <c r="AD187" s="466"/>
    </row>
    <row r="188" spans="1:30" ht="15.75" customHeight="1" thickBot="1" x14ac:dyDescent="0.35">
      <c r="A188" s="320"/>
      <c r="B188" s="43"/>
      <c r="C188" s="49"/>
      <c r="D188" s="336"/>
      <c r="E188" s="336"/>
      <c r="F188" s="336"/>
      <c r="G188" s="336"/>
      <c r="H188" s="336"/>
      <c r="I188" s="336"/>
      <c r="J188" s="336"/>
      <c r="K188" s="336"/>
      <c r="L188" s="49"/>
      <c r="M188" s="49"/>
      <c r="N188" s="49"/>
      <c r="O188" s="49"/>
      <c r="P188" s="49"/>
      <c r="Q188" s="49"/>
      <c r="R188" s="49"/>
      <c r="S188" s="49"/>
      <c r="T188" s="49"/>
      <c r="U188" s="49"/>
      <c r="V188" s="49"/>
      <c r="W188" s="49"/>
      <c r="X188" s="49"/>
      <c r="Y188" s="49"/>
      <c r="Z188" s="49"/>
      <c r="AA188" s="49"/>
      <c r="AB188" s="49"/>
      <c r="AC188" s="49"/>
      <c r="AD188" s="49"/>
    </row>
    <row r="189" spans="1:30" ht="15.75" customHeight="1" thickBot="1" x14ac:dyDescent="0.35">
      <c r="A189" s="320"/>
      <c r="B189" s="1860" t="s">
        <v>23</v>
      </c>
      <c r="C189" s="1861"/>
      <c r="D189" s="1861"/>
      <c r="E189" s="1862"/>
      <c r="F189" s="1849" t="s">
        <v>24</v>
      </c>
      <c r="G189" s="1850"/>
      <c r="H189" s="1851"/>
      <c r="I189" s="2086" t="s">
        <v>461</v>
      </c>
      <c r="J189" s="2087"/>
      <c r="K189" s="49"/>
      <c r="L189" s="49"/>
      <c r="M189" s="49"/>
      <c r="N189" s="49"/>
      <c r="O189" s="49"/>
      <c r="P189" s="49"/>
      <c r="Q189" s="49"/>
      <c r="R189" s="49"/>
      <c r="S189" s="49"/>
      <c r="T189" s="49"/>
      <c r="U189" s="49"/>
      <c r="V189" s="49"/>
      <c r="W189" s="49"/>
      <c r="X189" s="49"/>
      <c r="Y189" s="49"/>
      <c r="Z189" s="49"/>
      <c r="AA189" s="49"/>
      <c r="AB189" s="49"/>
      <c r="AC189" s="49"/>
      <c r="AD189" s="49"/>
    </row>
    <row r="190" spans="1:30" ht="24.6" thickBot="1" x14ac:dyDescent="0.35">
      <c r="A190" s="320"/>
      <c r="B190" s="1086" t="s">
        <v>165</v>
      </c>
      <c r="C190" s="496" t="s">
        <v>166</v>
      </c>
      <c r="D190" s="1098" t="s">
        <v>167</v>
      </c>
      <c r="E190" s="497" t="s">
        <v>168</v>
      </c>
      <c r="F190" s="1852"/>
      <c r="G190" s="1853"/>
      <c r="H190" s="1854"/>
      <c r="I190" s="2088"/>
      <c r="J190" s="2089"/>
      <c r="K190" s="49"/>
      <c r="L190" s="49"/>
      <c r="M190" s="49"/>
      <c r="N190" s="49"/>
      <c r="O190" s="49"/>
      <c r="P190" s="49"/>
      <c r="Q190" s="49"/>
      <c r="R190" s="49"/>
      <c r="S190" s="49"/>
      <c r="T190" s="49"/>
      <c r="U190" s="49"/>
      <c r="V190" s="49"/>
      <c r="W190" s="49"/>
      <c r="X190" s="49"/>
      <c r="Y190" s="49"/>
      <c r="Z190" s="49"/>
      <c r="AA190" s="49"/>
      <c r="AB190" s="49"/>
      <c r="AC190" s="49"/>
      <c r="AD190" s="49"/>
    </row>
    <row r="191" spans="1:30" ht="14.4" thickBot="1" x14ac:dyDescent="0.35">
      <c r="A191" s="320"/>
      <c r="B191" s="1049"/>
      <c r="C191" s="1049"/>
      <c r="D191" s="1049"/>
      <c r="E191" s="58">
        <f>B191+(C191*2)+(D191/2)</f>
        <v>0</v>
      </c>
      <c r="F191" s="1857"/>
      <c r="G191" s="1858"/>
      <c r="H191" s="1859"/>
      <c r="I191" s="2129" t="str">
        <f>IF(OR(B191&lt;0,C191&lt;0,D191&lt;0),"Error - Negative number","")</f>
        <v/>
      </c>
      <c r="J191" s="2130"/>
      <c r="K191" s="49"/>
      <c r="L191" s="49"/>
      <c r="M191" s="49"/>
      <c r="N191" s="49"/>
      <c r="O191" s="49"/>
      <c r="P191" s="49"/>
      <c r="Q191" s="49"/>
      <c r="R191" s="49"/>
      <c r="S191" s="49"/>
      <c r="T191" s="49"/>
      <c r="U191" s="49"/>
      <c r="V191" s="49"/>
      <c r="W191" s="49"/>
      <c r="X191" s="49"/>
      <c r="Y191" s="49"/>
      <c r="Z191" s="49"/>
      <c r="AA191" s="49"/>
      <c r="AB191" s="49"/>
      <c r="AC191" s="49"/>
      <c r="AD191" s="49"/>
    </row>
    <row r="192" spans="1:30" x14ac:dyDescent="0.3">
      <c r="A192" s="320"/>
      <c r="B192" s="337"/>
      <c r="C192" s="337"/>
      <c r="D192" s="337"/>
      <c r="E192" s="337"/>
      <c r="F192" s="337"/>
      <c r="G192" s="337"/>
      <c r="H192" s="337"/>
      <c r="I192" s="337"/>
      <c r="J192" s="337"/>
      <c r="K192" s="337"/>
      <c r="L192" s="337"/>
      <c r="M192" s="337"/>
      <c r="N192" s="49"/>
      <c r="O192" s="49"/>
      <c r="P192" s="49"/>
      <c r="Q192" s="49"/>
      <c r="R192" s="49"/>
      <c r="S192" s="49"/>
      <c r="T192" s="49"/>
      <c r="U192" s="49"/>
      <c r="V192" s="49"/>
      <c r="W192" s="49"/>
      <c r="X192" s="49"/>
      <c r="Y192" s="49"/>
      <c r="Z192" s="49"/>
      <c r="AA192" s="49"/>
      <c r="AB192" s="49"/>
      <c r="AC192" s="49"/>
      <c r="AD192" s="49"/>
    </row>
    <row r="193" spans="1:30" ht="27.75" customHeight="1" x14ac:dyDescent="0.3">
      <c r="A193" s="1209">
        <v>6</v>
      </c>
      <c r="B193" s="471" t="s">
        <v>169</v>
      </c>
      <c r="C193" s="472"/>
      <c r="D193" s="2090" t="str">
        <f>+$A$1</f>
        <v>Quarter 3 - 2019-2020</v>
      </c>
      <c r="E193" s="2090"/>
      <c r="F193" s="2090"/>
      <c r="G193" s="2090"/>
      <c r="H193" s="2090"/>
      <c r="I193" s="2090"/>
      <c r="J193" s="2090"/>
      <c r="K193" s="473"/>
      <c r="L193" s="473"/>
      <c r="M193" s="473"/>
      <c r="N193" s="466"/>
      <c r="O193" s="466"/>
      <c r="P193" s="474"/>
      <c r="Q193" s="474"/>
      <c r="R193" s="466"/>
      <c r="S193" s="466"/>
      <c r="T193" s="466"/>
      <c r="U193" s="466"/>
      <c r="V193" s="466"/>
      <c r="W193" s="466"/>
      <c r="X193" s="466"/>
      <c r="Y193" s="466"/>
      <c r="Z193" s="466"/>
      <c r="AA193" s="466"/>
      <c r="AB193" s="466"/>
      <c r="AC193" s="466"/>
      <c r="AD193" s="466"/>
    </row>
    <row r="194" spans="1:30" ht="27.75" customHeight="1" x14ac:dyDescent="0.3">
      <c r="A194" s="320"/>
      <c r="B194" s="49"/>
      <c r="C194" s="49"/>
      <c r="D194" s="49"/>
      <c r="E194" s="49"/>
      <c r="F194" s="49"/>
      <c r="G194" s="49"/>
      <c r="H194" s="49"/>
      <c r="I194" s="49"/>
      <c r="J194" s="49"/>
      <c r="K194" s="49"/>
      <c r="L194" s="49"/>
      <c r="M194" s="49"/>
      <c r="N194" s="49"/>
      <c r="O194" s="49"/>
      <c r="P194" s="464"/>
      <c r="Q194" s="464"/>
      <c r="R194" s="49"/>
      <c r="S194" s="49"/>
      <c r="T194" s="49"/>
      <c r="U194" s="49"/>
      <c r="V194" s="49"/>
      <c r="W194" s="49"/>
      <c r="X194" s="49"/>
      <c r="Y194" s="49"/>
      <c r="Z194" s="49"/>
      <c r="AA194" s="49"/>
      <c r="AB194" s="49"/>
      <c r="AC194" s="49"/>
      <c r="AD194" s="49"/>
    </row>
    <row r="195" spans="1:30" ht="14.4" thickBot="1" x14ac:dyDescent="0.35">
      <c r="A195" s="320"/>
      <c r="B195" s="43"/>
      <c r="C195" s="337"/>
      <c r="D195" s="337"/>
      <c r="E195" s="337"/>
      <c r="F195" s="337"/>
      <c r="G195" s="337"/>
      <c r="H195" s="337"/>
      <c r="I195" s="337"/>
      <c r="J195" s="337"/>
      <c r="K195" s="337"/>
      <c r="L195" s="337"/>
      <c r="M195" s="337"/>
      <c r="N195" s="337"/>
      <c r="O195" s="337"/>
      <c r="P195" s="337"/>
      <c r="Q195" s="337"/>
      <c r="R195" s="337"/>
      <c r="S195" s="337"/>
      <c r="T195" s="337"/>
      <c r="U195" s="337"/>
      <c r="V195" s="337"/>
      <c r="W195" s="337"/>
      <c r="X195" s="337"/>
      <c r="Y195" s="49"/>
      <c r="Z195" s="49"/>
      <c r="AA195" s="49"/>
      <c r="AB195" s="49"/>
      <c r="AC195" s="49"/>
      <c r="AD195" s="49"/>
    </row>
    <row r="196" spans="1:30" ht="15.75" customHeight="1" thickBot="1" x14ac:dyDescent="0.35">
      <c r="A196" s="320"/>
      <c r="B196" s="1860" t="s">
        <v>23</v>
      </c>
      <c r="C196" s="1861"/>
      <c r="D196" s="1862"/>
      <c r="E196" s="1860" t="s">
        <v>24</v>
      </c>
      <c r="F196" s="1861"/>
      <c r="G196" s="1862"/>
      <c r="H196" s="1881" t="s">
        <v>461</v>
      </c>
      <c r="I196" s="2145"/>
      <c r="J196" s="1882"/>
      <c r="K196" s="337"/>
      <c r="L196" s="337"/>
      <c r="M196" s="337"/>
      <c r="N196" s="337"/>
      <c r="O196" s="337"/>
      <c r="P196" s="337"/>
      <c r="Q196" s="337"/>
      <c r="R196" s="337"/>
      <c r="S196" s="337"/>
      <c r="T196" s="337"/>
      <c r="U196" s="337"/>
      <c r="V196" s="337"/>
      <c r="W196" s="337"/>
      <c r="X196" s="337"/>
      <c r="Y196" s="49"/>
      <c r="Z196" s="49"/>
      <c r="AA196" s="49"/>
      <c r="AB196" s="49"/>
      <c r="AC196" s="49"/>
      <c r="AD196" s="49"/>
    </row>
    <row r="197" spans="1:30" ht="13.5" customHeight="1" thickBot="1" x14ac:dyDescent="0.35">
      <c r="A197" s="320"/>
      <c r="B197" s="2020" t="s">
        <v>170</v>
      </c>
      <c r="C197" s="2021"/>
      <c r="D197" s="1049"/>
      <c r="E197" s="2025"/>
      <c r="F197" s="2026"/>
      <c r="G197" s="2027"/>
      <c r="H197" s="2129" t="str">
        <f>IF(D197&lt;0,"Error - Negative number","")</f>
        <v/>
      </c>
      <c r="I197" s="2144"/>
      <c r="J197" s="2130"/>
      <c r="K197" s="337"/>
      <c r="L197" s="337"/>
      <c r="M197" s="337"/>
      <c r="N197" s="337"/>
      <c r="O197" s="337"/>
      <c r="P197" s="337"/>
      <c r="Q197" s="337"/>
      <c r="R197" s="337"/>
      <c r="S197" s="337"/>
      <c r="T197" s="337"/>
      <c r="U197" s="337"/>
      <c r="V197" s="337"/>
      <c r="W197" s="337"/>
      <c r="X197" s="337"/>
      <c r="Y197" s="49"/>
      <c r="Z197" s="49"/>
      <c r="AA197" s="49"/>
      <c r="AB197" s="49"/>
      <c r="AC197" s="49"/>
      <c r="AD197" s="49"/>
    </row>
    <row r="198" spans="1:30" ht="13.5" customHeight="1" thickBot="1" x14ac:dyDescent="0.35">
      <c r="A198" s="320"/>
      <c r="B198" s="2020" t="s">
        <v>468</v>
      </c>
      <c r="C198" s="2021"/>
      <c r="D198" s="58" t="str">
        <f>IF(D197=0,"",+D109/D197)</f>
        <v/>
      </c>
      <c r="E198" s="1857"/>
      <c r="F198" s="1858"/>
      <c r="G198" s="1859"/>
      <c r="H198" s="2119" t="str">
        <f>IF(AND(D198&lt;'QA config'!D3,D198&lt;&gt;""),CONCATENATE("Average distance less than ",'QA config'!D3," km"),IF(AND(D198&gt;'QA config'!C3,D198&lt;&gt;""),CONCATENATE("Average distance more than ",'QA config'!C3," km"),""))</f>
        <v/>
      </c>
      <c r="I198" s="2120"/>
      <c r="J198" s="2121"/>
      <c r="K198" s="337"/>
      <c r="L198" s="337"/>
      <c r="M198" s="337"/>
      <c r="N198" s="337"/>
      <c r="O198" s="337"/>
      <c r="P198" s="337"/>
      <c r="Q198" s="337"/>
      <c r="R198" s="337"/>
      <c r="S198" s="337"/>
      <c r="T198" s="337"/>
      <c r="U198" s="337"/>
      <c r="V198" s="337"/>
      <c r="W198" s="337"/>
      <c r="X198" s="337"/>
      <c r="Y198" s="49"/>
      <c r="Z198" s="49"/>
      <c r="AA198" s="49"/>
      <c r="AB198" s="49"/>
      <c r="AC198" s="49"/>
      <c r="AD198" s="49"/>
    </row>
    <row r="199" spans="1:30" x14ac:dyDescent="0.3">
      <c r="A199" s="320"/>
      <c r="B199" s="337"/>
      <c r="C199" s="337"/>
      <c r="D199" s="337"/>
      <c r="E199" s="337"/>
      <c r="F199" s="337"/>
      <c r="G199" s="337"/>
      <c r="H199" s="337"/>
      <c r="I199" s="337"/>
      <c r="J199" s="386"/>
      <c r="K199" s="425"/>
      <c r="L199" s="337"/>
      <c r="M199" s="337"/>
      <c r="N199" s="49"/>
      <c r="O199" s="49"/>
      <c r="P199" s="49"/>
      <c r="Q199" s="49"/>
      <c r="R199" s="49"/>
      <c r="S199" s="49"/>
      <c r="T199" s="49"/>
      <c r="U199" s="49"/>
      <c r="V199" s="49"/>
      <c r="W199" s="49"/>
      <c r="X199" s="49"/>
      <c r="Y199" s="49"/>
      <c r="Z199" s="49"/>
      <c r="AA199" s="49"/>
      <c r="AB199" s="49"/>
      <c r="AC199" s="49"/>
      <c r="AD199" s="49"/>
    </row>
    <row r="200" spans="1:30" ht="27.75" customHeight="1" x14ac:dyDescent="0.3">
      <c r="A200" s="362"/>
      <c r="J200" s="362"/>
      <c r="K200" s="362"/>
    </row>
    <row r="201" spans="1:30" x14ac:dyDescent="0.3">
      <c r="A201" s="362"/>
      <c r="J201" s="362"/>
      <c r="K201" s="362"/>
    </row>
    <row r="202" spans="1:30" ht="15.75" customHeight="1" x14ac:dyDescent="0.3">
      <c r="A202" s="362"/>
      <c r="J202" s="362"/>
      <c r="K202" s="362"/>
    </row>
    <row r="203" spans="1:30" ht="13.5" customHeight="1" x14ac:dyDescent="0.3">
      <c r="A203" s="362"/>
      <c r="J203" s="362"/>
      <c r="K203" s="362"/>
    </row>
    <row r="204" spans="1:30" ht="13.5" customHeight="1" x14ac:dyDescent="0.3">
      <c r="A204" s="362"/>
      <c r="J204" s="362"/>
      <c r="K204" s="362"/>
    </row>
    <row r="205" spans="1:30" x14ac:dyDescent="0.3">
      <c r="A205" s="362"/>
      <c r="J205" s="362"/>
      <c r="K205" s="362"/>
    </row>
    <row r="206" spans="1:30" x14ac:dyDescent="0.3">
      <c r="A206" s="362"/>
      <c r="J206" s="362"/>
      <c r="K206" s="362"/>
    </row>
    <row r="207" spans="1:30" x14ac:dyDescent="0.3">
      <c r="AA207" s="49"/>
      <c r="AB207" s="49"/>
      <c r="AC207" s="49"/>
      <c r="AD207" s="49"/>
    </row>
    <row r="208" spans="1:30" x14ac:dyDescent="0.3">
      <c r="AA208" s="49"/>
      <c r="AB208" s="49"/>
      <c r="AC208" s="49"/>
      <c r="AD208" s="49"/>
    </row>
  </sheetData>
  <sheetProtection algorithmName="SHA-512" hashValue="aVsggubZooXCSJNozNRKVwo0Pe2cuKb3MmflnMXWLFIJfzqjzTB75e4mXLdFZV6D9aGvaqHuw8PnIi27f4kYmw==" saltValue="rJT04H0VPy4Tce4nO//KdQ==" spinCount="100000" sheet="1" objects="1" scenarios="1"/>
  <mergeCells count="261">
    <mergeCell ref="I184:K184"/>
    <mergeCell ref="I185:K185"/>
    <mergeCell ref="C186:J186"/>
    <mergeCell ref="D187:J187"/>
    <mergeCell ref="B189:E189"/>
    <mergeCell ref="F189:H190"/>
    <mergeCell ref="I189:J190"/>
    <mergeCell ref="I178:K178"/>
    <mergeCell ref="I179:K179"/>
    <mergeCell ref="I180:K180"/>
    <mergeCell ref="I181:K181"/>
    <mergeCell ref="I182:K182"/>
    <mergeCell ref="I183:K183"/>
    <mergeCell ref="B197:C197"/>
    <mergeCell ref="E197:G197"/>
    <mergeCell ref="H197:J197"/>
    <mergeCell ref="B198:C198"/>
    <mergeCell ref="E198:G198"/>
    <mergeCell ref="H198:J198"/>
    <mergeCell ref="F191:H191"/>
    <mergeCell ref="I191:J191"/>
    <mergeCell ref="D193:J193"/>
    <mergeCell ref="B196:D196"/>
    <mergeCell ref="E196:G196"/>
    <mergeCell ref="H196:J196"/>
    <mergeCell ref="I172:K172"/>
    <mergeCell ref="I173:K173"/>
    <mergeCell ref="I174:K174"/>
    <mergeCell ref="I175:K175"/>
    <mergeCell ref="I176:K176"/>
    <mergeCell ref="I177:K177"/>
    <mergeCell ref="D167:J167"/>
    <mergeCell ref="E169:F169"/>
    <mergeCell ref="G169:H169"/>
    <mergeCell ref="I169:K170"/>
    <mergeCell ref="L169:L170"/>
    <mergeCell ref="I171:K171"/>
    <mergeCell ref="D157:J157"/>
    <mergeCell ref="E162:H162"/>
    <mergeCell ref="I162:K163"/>
    <mergeCell ref="L162:L163"/>
    <mergeCell ref="B164:C164"/>
    <mergeCell ref="I164:K164"/>
    <mergeCell ref="B154:C154"/>
    <mergeCell ref="E154:F154"/>
    <mergeCell ref="G154:I154"/>
    <mergeCell ref="B155:C155"/>
    <mergeCell ref="D155:F155"/>
    <mergeCell ref="G155:I155"/>
    <mergeCell ref="D149:J149"/>
    <mergeCell ref="D152:F152"/>
    <mergeCell ref="G152:I152"/>
    <mergeCell ref="B153:C153"/>
    <mergeCell ref="D153:F153"/>
    <mergeCell ref="G153:I153"/>
    <mergeCell ref="D144:E144"/>
    <mergeCell ref="I144:K144"/>
    <mergeCell ref="D145:E145"/>
    <mergeCell ref="I145:K145"/>
    <mergeCell ref="D146:E146"/>
    <mergeCell ref="B147:L147"/>
    <mergeCell ref="D138:J138"/>
    <mergeCell ref="I140:K141"/>
    <mergeCell ref="D142:E142"/>
    <mergeCell ref="I142:K142"/>
    <mergeCell ref="D143:E143"/>
    <mergeCell ref="I143:K143"/>
    <mergeCell ref="I131:K131"/>
    <mergeCell ref="I132:K132"/>
    <mergeCell ref="I133:K133"/>
    <mergeCell ref="I134:K134"/>
    <mergeCell ref="I135:K135"/>
    <mergeCell ref="I136:K136"/>
    <mergeCell ref="D125:F125"/>
    <mergeCell ref="I125:K127"/>
    <mergeCell ref="M125:M126"/>
    <mergeCell ref="I128:K128"/>
    <mergeCell ref="I129:K129"/>
    <mergeCell ref="I130:K130"/>
    <mergeCell ref="I117:K117"/>
    <mergeCell ref="I118:K118"/>
    <mergeCell ref="I119:K119"/>
    <mergeCell ref="I120:K120"/>
    <mergeCell ref="I121:K121"/>
    <mergeCell ref="I122:K122"/>
    <mergeCell ref="I108:K108"/>
    <mergeCell ref="B109:B121"/>
    <mergeCell ref="I109:K109"/>
    <mergeCell ref="I110:K110"/>
    <mergeCell ref="I111:K111"/>
    <mergeCell ref="I112:K112"/>
    <mergeCell ref="I113:K113"/>
    <mergeCell ref="I114:K114"/>
    <mergeCell ref="I115:K115"/>
    <mergeCell ref="I116:K116"/>
    <mergeCell ref="B108:C108"/>
    <mergeCell ref="U92:W92"/>
    <mergeCell ref="I93:K93"/>
    <mergeCell ref="U93:W93"/>
    <mergeCell ref="I102:K102"/>
    <mergeCell ref="I103:K103"/>
    <mergeCell ref="I104:K104"/>
    <mergeCell ref="I105:K105"/>
    <mergeCell ref="I106:K106"/>
    <mergeCell ref="I107:K107"/>
    <mergeCell ref="I97:K97"/>
    <mergeCell ref="O97:W100"/>
    <mergeCell ref="I98:K98"/>
    <mergeCell ref="I99:K99"/>
    <mergeCell ref="I100:K100"/>
    <mergeCell ref="I101:K101"/>
    <mergeCell ref="X87:X89"/>
    <mergeCell ref="Y87:Y88"/>
    <mergeCell ref="I88:K88"/>
    <mergeCell ref="I89:K89"/>
    <mergeCell ref="I90:K90"/>
    <mergeCell ref="U90:W90"/>
    <mergeCell ref="O86:W86"/>
    <mergeCell ref="X86:Y86"/>
    <mergeCell ref="Z86:Z89"/>
    <mergeCell ref="B87:B107"/>
    <mergeCell ref="I87:K87"/>
    <mergeCell ref="Q87:Q89"/>
    <mergeCell ref="R87:R89"/>
    <mergeCell ref="S87:S89"/>
    <mergeCell ref="T87:T88"/>
    <mergeCell ref="U87:W89"/>
    <mergeCell ref="I81:K81"/>
    <mergeCell ref="I82:K82"/>
    <mergeCell ref="I83:K83"/>
    <mergeCell ref="I84:K84"/>
    <mergeCell ref="I85:K85"/>
    <mergeCell ref="B86:C86"/>
    <mergeCell ref="I86:K86"/>
    <mergeCell ref="B65:B85"/>
    <mergeCell ref="I94:K94"/>
    <mergeCell ref="U94:W94"/>
    <mergeCell ref="I95:K95"/>
    <mergeCell ref="U95:W95"/>
    <mergeCell ref="I96:K96"/>
    <mergeCell ref="U96:W96"/>
    <mergeCell ref="I91:K91"/>
    <mergeCell ref="U91:W91"/>
    <mergeCell ref="I92:K92"/>
    <mergeCell ref="O75:W78"/>
    <mergeCell ref="I76:K76"/>
    <mergeCell ref="I77:K77"/>
    <mergeCell ref="I78:K78"/>
    <mergeCell ref="I79:K79"/>
    <mergeCell ref="I80:K80"/>
    <mergeCell ref="I70:K70"/>
    <mergeCell ref="I71:K71"/>
    <mergeCell ref="I72:K72"/>
    <mergeCell ref="I73:K73"/>
    <mergeCell ref="I74:K74"/>
    <mergeCell ref="I75:K75"/>
    <mergeCell ref="U70:W70"/>
    <mergeCell ref="U71:W71"/>
    <mergeCell ref="U72:W72"/>
    <mergeCell ref="U73:W73"/>
    <mergeCell ref="U74:W74"/>
    <mergeCell ref="X65:X67"/>
    <mergeCell ref="Y65:Y66"/>
    <mergeCell ref="I66:K66"/>
    <mergeCell ref="I67:K67"/>
    <mergeCell ref="I68:K68"/>
    <mergeCell ref="I69:K69"/>
    <mergeCell ref="O64:W64"/>
    <mergeCell ref="X64:Y64"/>
    <mergeCell ref="Z64:Z67"/>
    <mergeCell ref="I65:K65"/>
    <mergeCell ref="Q65:Q67"/>
    <mergeCell ref="R65:R67"/>
    <mergeCell ref="S65:S67"/>
    <mergeCell ref="T65:T66"/>
    <mergeCell ref="U65:W67"/>
    <mergeCell ref="U68:W68"/>
    <mergeCell ref="U69:W69"/>
    <mergeCell ref="J35:K35"/>
    <mergeCell ref="D55:J55"/>
    <mergeCell ref="B62:C63"/>
    <mergeCell ref="D62:F62"/>
    <mergeCell ref="I62:K63"/>
    <mergeCell ref="L62:L63"/>
    <mergeCell ref="B64:C64"/>
    <mergeCell ref="I64:K64"/>
    <mergeCell ref="D49:J49"/>
    <mergeCell ref="D51:F51"/>
    <mergeCell ref="G51:H51"/>
    <mergeCell ref="I51:K52"/>
    <mergeCell ref="L51:L52"/>
    <mergeCell ref="B53:C53"/>
    <mergeCell ref="I53:K53"/>
    <mergeCell ref="I30:K30"/>
    <mergeCell ref="I27:K27"/>
    <mergeCell ref="O27:O28"/>
    <mergeCell ref="P27:P28"/>
    <mergeCell ref="Q27:Q28"/>
    <mergeCell ref="R27:R28"/>
    <mergeCell ref="U27:U28"/>
    <mergeCell ref="B36:B47"/>
    <mergeCell ref="I36:K36"/>
    <mergeCell ref="I37:K37"/>
    <mergeCell ref="I38:K38"/>
    <mergeCell ref="I39:K39"/>
    <mergeCell ref="I40:K40"/>
    <mergeCell ref="I41:K41"/>
    <mergeCell ref="I31:K31"/>
    <mergeCell ref="O31:P31"/>
    <mergeCell ref="I42:K42"/>
    <mergeCell ref="I43:K43"/>
    <mergeCell ref="I44:K44"/>
    <mergeCell ref="I45:K45"/>
    <mergeCell ref="I46:K46"/>
    <mergeCell ref="I47:K47"/>
    <mergeCell ref="J33:K33"/>
    <mergeCell ref="J34:K34"/>
    <mergeCell ref="B19:C19"/>
    <mergeCell ref="B20:B35"/>
    <mergeCell ref="I20:K20"/>
    <mergeCell ref="I21:K21"/>
    <mergeCell ref="I22:K22"/>
    <mergeCell ref="I23:K23"/>
    <mergeCell ref="I24:K24"/>
    <mergeCell ref="O24:R24"/>
    <mergeCell ref="U24:X24"/>
    <mergeCell ref="I25:K25"/>
    <mergeCell ref="I26:K26"/>
    <mergeCell ref="O26:P26"/>
    <mergeCell ref="Q26:R26"/>
    <mergeCell ref="U26:V26"/>
    <mergeCell ref="W26:X26"/>
    <mergeCell ref="Q31:R31"/>
    <mergeCell ref="U31:V31"/>
    <mergeCell ref="W31:X31"/>
    <mergeCell ref="I32:K32"/>
    <mergeCell ref="V27:V28"/>
    <mergeCell ref="W27:W28"/>
    <mergeCell ref="X27:X28"/>
    <mergeCell ref="I28:K28"/>
    <mergeCell ref="I29:K29"/>
    <mergeCell ref="U16:X16"/>
    <mergeCell ref="D17:F17"/>
    <mergeCell ref="G17:H17"/>
    <mergeCell ref="I17:K19"/>
    <mergeCell ref="L17:L18"/>
    <mergeCell ref="O17:R17"/>
    <mergeCell ref="U17:X17"/>
    <mergeCell ref="O18:P18"/>
    <mergeCell ref="Q18:R18"/>
    <mergeCell ref="U18:V18"/>
    <mergeCell ref="W18:X18"/>
    <mergeCell ref="D6:J6"/>
    <mergeCell ref="F8:H9"/>
    <mergeCell ref="I8:J9"/>
    <mergeCell ref="B10:C10"/>
    <mergeCell ref="F10:H10"/>
    <mergeCell ref="I10:J10"/>
    <mergeCell ref="D13:J13"/>
    <mergeCell ref="D14:J14"/>
    <mergeCell ref="O16:R16"/>
  </mergeCells>
  <conditionalFormatting sqref="H17697">
    <cfRule type="expression" dxfId="755" priority="17">
      <formula>$H$197&lt;&gt;""</formula>
    </cfRule>
  </conditionalFormatting>
  <conditionalFormatting sqref="H198 L64:L121">
    <cfRule type="expression" dxfId="754" priority="16">
      <formula>H64&lt;&gt;""</formula>
    </cfRule>
  </conditionalFormatting>
  <conditionalFormatting sqref="H197">
    <cfRule type="expression" dxfId="753" priority="15">
      <formula>H197&lt;&gt;""</formula>
    </cfRule>
  </conditionalFormatting>
  <conditionalFormatting sqref="L171:L185">
    <cfRule type="expression" dxfId="752" priority="14">
      <formula>L171&lt;&gt;""</formula>
    </cfRule>
  </conditionalFormatting>
  <conditionalFormatting sqref="L19:L47">
    <cfRule type="expression" dxfId="751" priority="13">
      <formula>L19&lt;&gt;""</formula>
    </cfRule>
  </conditionalFormatting>
  <conditionalFormatting sqref="L164">
    <cfRule type="expression" dxfId="750" priority="12">
      <formula>L164&lt;&gt;""</formula>
    </cfRule>
  </conditionalFormatting>
  <conditionalFormatting sqref="I191">
    <cfRule type="expression" dxfId="749" priority="10">
      <formula>I191&lt;&gt;""</formula>
    </cfRule>
  </conditionalFormatting>
  <conditionalFormatting sqref="M127:M136">
    <cfRule type="expression" dxfId="748" priority="11">
      <formula>M127&lt;&gt;""</formula>
    </cfRule>
  </conditionalFormatting>
  <conditionalFormatting sqref="I10">
    <cfRule type="expression" dxfId="747" priority="9">
      <formula>I10&lt;&gt;""</formula>
    </cfRule>
  </conditionalFormatting>
  <conditionalFormatting sqref="Z68:Z72">
    <cfRule type="expression" dxfId="746" priority="8">
      <formula>Z68&lt;&gt;""</formula>
    </cfRule>
  </conditionalFormatting>
  <conditionalFormatting sqref="L53">
    <cfRule type="expression" dxfId="745" priority="7">
      <formula>L53&lt;&gt;""</formula>
    </cfRule>
  </conditionalFormatting>
  <conditionalFormatting sqref="Z95">
    <cfRule type="expression" dxfId="744" priority="2">
      <formula>Z95&lt;&gt;""</formula>
    </cfRule>
  </conditionalFormatting>
  <conditionalFormatting sqref="Z74">
    <cfRule type="expression" dxfId="743" priority="6">
      <formula>Z74&lt;&gt;""</formula>
    </cfRule>
  </conditionalFormatting>
  <conditionalFormatting sqref="Z73">
    <cfRule type="expression" dxfId="742" priority="5">
      <formula>Z73&lt;&gt;""</formula>
    </cfRule>
  </conditionalFormatting>
  <conditionalFormatting sqref="Z90:Z94">
    <cfRule type="expression" dxfId="741" priority="4">
      <formula>Z90&lt;&gt;""</formula>
    </cfRule>
  </conditionalFormatting>
  <conditionalFormatting sqref="Z96">
    <cfRule type="expression" dxfId="740" priority="3">
      <formula>Z96&lt;&gt;""</formula>
    </cfRule>
  </conditionalFormatting>
  <conditionalFormatting sqref="L122">
    <cfRule type="expression" dxfId="739" priority="1">
      <formula>L122&lt;&gt;""</formula>
    </cfRule>
  </conditionalFormatting>
  <dataValidations count="6">
    <dataValidation type="decimal" operator="greaterThan" allowBlank="1" showInputMessage="1" showErrorMessage="1" errorTitle="Invalid input" error="Must be a positive number" sqref="E154:F154">
      <formula1>0</formula1>
    </dataValidation>
    <dataValidation type="list" allowBlank="1" showErrorMessage="1" errorTitle="Invalid input" error="Please enter &quot;yes&quot; or &quot;no&quot;." sqref="D153:F153">
      <formula1>"yes,no"</formula1>
    </dataValidation>
    <dataValidation type="list" allowBlank="1" showInputMessage="1" showErrorMessage="1" errorTitle="Invalid data" error="Please enter &quot;Scope 1&quot;, &quot;Scope 2&quot; or &quot;Scope 3&quot;." promptTitle="Reporting scope" prompt="Please enter the reporting scope of the data in this row." sqref="I33:I35">
      <formula1>"Scope 1,Scope 2,Scope 3"</formula1>
    </dataValidation>
    <dataValidation type="decimal" operator="greaterThan" allowBlank="1" showInputMessage="1" showErrorMessage="1" error="Must be a positive number" sqref="D10:E10">
      <formula1>0</formula1>
    </dataValidation>
    <dataValidation allowBlank="1" showInputMessage="1" sqref="L196:L198"/>
    <dataValidation allowBlank="1" sqref="G50:G52 H50 D108:E108 G17:G19 N189:V189 I189 K190:V194 J50 E184 I50:I51 E50:F50 I17 E18:E19 R19 I139:I140 F191:F192 D187:J187 B169:E170 B186:E186 G188:J188 I142:I146 J139 C9:E9 F170:F186 W18 O13:R14 P15:R15 P20:R23 E138:J138 B86:B87 D123:D127 E49:J49 D86:E86 E139:H139 G184 G169:G170 G181:G182 B187:B190 C190:D190 K48:K50 J48 H170 G48 D49:D52 D54:D64 I53:I54 J54 H52:H54 K186:V188 G186:J186 C187:C188 D188:E188 F10 C192:D195 E190:E192 G192:J192 G194:J194 E193:J193 B171:B185 D137 E13:K16 H171:I185 E181:E182 X122:Y122 J124:K124 A147:K148 I62 E55:J60 K54:K60 E61:K61 Q68:Q73 B123:C137 C64:C122 I169 H164:I164 U19:X59 B108:B109 B64:B65 P25:R59 E54:G54 E52:F53 D42:E48 S68:S73 O65:U65 T67:T74 X65:Y65 X64 U69:U73 H18:H48 C20:C61 F18:F48 L19:L51 Y89:Y121 J123:XFD123 F140:G146 E194:F195 L53:L62 B122 I128:I137 K137:K139 G137:H137 J137 F188:F189 G195 E196:E198 M127:M155 M169:V185 L169 G152:G155 E149:J149 K149:K155 E150:I151 J150:J155 B156:XFD156 E140:E141 I191 K195:K198 E126:F137 I195:J195 A166:XFD168 L164:L165 F157:K161 C163:D163 B157:E162 B163:B164 B165:K165 I162 G163:H163 E163:F164 M157:XFD165 L157:L162 I199:L199 D154:D155 G123:H124 L124:L155 N124:XFD155 M124:M125 L171:L185 D199:G199 C197:C199 H195:H199 I8 I10 K8:K10 H140:H145 B8:F8 E63:E85 E87:E107 M195:V199 L195 Z64 B1:AD7 N8:AD10 W169:XFD199 C11:AD12 AE200:XFD206 B192:B199 A169:A199 A207:XFD1048576 B138:D146 A156:A165 P19 Q18:Q19 O68:O75 X68:X86 I20:I32 I36:I48 A149:C155 D149:D152 O79:W85 S90:S95 Q90:Q95 U90:U95 O87:U87 T89:T96 X87:Y87 U96:W96 O86 R74:S74 X90:X121 O64 O15:O59 Y67:Y85 Z68:Z86 O90:O97 R96:S96 B36:B62 I64:I125 E109:E124 O101:W122 Z90:Z122 L64:L122 F63:F124 A1:A146 AA13:AD122 M13:N122 AE1:XFD122 D13:D19 B9:B20 Y13:Z59 S13:T59 L13:L17 V13:X15 U13:U18 C13:C18 U74"/>
  </dataValidations>
  <hyperlinks>
    <hyperlink ref="C42:C47" location="CHP!A1" display="CHP1 Electricity"/>
    <hyperlink ref="B60" location="'conversion factors'!A1" display="If you need to convert from miles to km, go to the Conversions tab or click here"/>
    <hyperlink ref="C42" location="CHP!T4" display="CHP1 Electricity"/>
    <hyperlink ref="C43" location="CHP!T4" display="CHP1 Heat"/>
    <hyperlink ref="C44" location="CHP!T31" display="CHP2 Electricity"/>
    <hyperlink ref="C45" location="CHP!T31" display="CHP2 Heat"/>
    <hyperlink ref="C46" location="CHP!T58" display="CHP3 Electricity"/>
    <hyperlink ref="C47" location="CHP!T58" display="CHP3 Heat"/>
  </hyperlinks>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24</vt:i4>
      </vt:variant>
    </vt:vector>
  </HeadingPairs>
  <TitlesOfParts>
    <vt:vector size="24" baseType="lpstr">
      <vt:lpstr>Instructions</vt:lpstr>
      <vt:lpstr>Performance</vt:lpstr>
      <vt:lpstr>QA config</vt:lpstr>
      <vt:lpstr>2019-2020</vt:lpstr>
      <vt:lpstr>Q1</vt:lpstr>
      <vt:lpstr>QAQ1</vt:lpstr>
      <vt:lpstr>Q2</vt:lpstr>
      <vt:lpstr>QAQ2</vt:lpstr>
      <vt:lpstr>Q3</vt:lpstr>
      <vt:lpstr>QAQ3</vt:lpstr>
      <vt:lpstr>Q4</vt:lpstr>
      <vt:lpstr>QAQ4</vt:lpstr>
      <vt:lpstr>Notes</vt:lpstr>
      <vt:lpstr>Issues Log</vt:lpstr>
      <vt:lpstr>CHP</vt:lpstr>
      <vt:lpstr>Baseline</vt:lpstr>
      <vt:lpstr>2018-2019</vt:lpstr>
      <vt:lpstr>Q1-19</vt:lpstr>
      <vt:lpstr>Q2-19</vt:lpstr>
      <vt:lpstr>Q3-19</vt:lpstr>
      <vt:lpstr>Q4-19</vt:lpstr>
      <vt:lpstr>Scope</vt:lpstr>
      <vt:lpstr>Emission Factors</vt:lpstr>
      <vt:lpstr>conversion factors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GGC reporting template 2018-19</dc:title>
  <dc:creator>Pout, Christine</dc:creator>
  <cp:lastModifiedBy>Dutton, Joanne</cp:lastModifiedBy>
  <dcterms:created xsi:type="dcterms:W3CDTF">2016-08-02T16:01:09Z</dcterms:created>
  <dcterms:modified xsi:type="dcterms:W3CDTF">2020-09-09T13:59:57Z</dcterms:modified>
</cp:coreProperties>
</file>